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analazareva/Documents/УНИВЕР/документы/Excel/экзамен/"/>
    </mc:Choice>
  </mc:AlternateContent>
  <xr:revisionPtr revIDLastSave="0" documentId="13_ncr:1_{0ADAFE9F-C1F2-3346-8C00-7A5330CA805B}" xr6:coauthVersionLast="47" xr6:coauthVersionMax="47" xr10:uidLastSave="{00000000-0000-0000-0000-000000000000}"/>
  <bookViews>
    <workbookView xWindow="60" yWindow="460" windowWidth="28800" windowHeight="15900" activeTab="7" xr2:uid="{00000000-000D-0000-FFFF-FFFF00000000}"/>
  </bookViews>
  <sheets>
    <sheet name="Задание" sheetId="1" r:id="rId1"/>
    <sheet name="Акции" sheetId="2" r:id="rId2"/>
    <sheet name="КХЛ" sheetId="3" r:id="rId3"/>
    <sheet name="Текст" sheetId="4" r:id="rId4"/>
    <sheet name="Продажи" sheetId="5" r:id="rId5"/>
    <sheet name="Продажи (2)" sheetId="8" r:id="rId6"/>
    <sheet name="Массив" sheetId="6" r:id="rId7"/>
    <sheet name="Сделки" sheetId="7" r:id="rId8"/>
  </sheets>
  <definedNames>
    <definedName name="Сделки">Table_4[]</definedName>
  </definedNames>
  <calcPr calcId="191029"/>
  <pivotCaches>
    <pivotCache cacheId="20" r:id="rId9"/>
  </pivotCaches>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1" roundtripDataSignature="AMtx7mhyjEZWiJTahd+/esZEsYV85FU79w=="/>
    </ext>
  </extLst>
</workbook>
</file>

<file path=xl/calcChain.xml><?xml version="1.0" encoding="utf-8"?>
<calcChain xmlns="http://schemas.openxmlformats.org/spreadsheetml/2006/main">
  <c r="L2" i="7" l="1"/>
  <c r="C44" i="6" a="1"/>
  <c r="C44" i="6" s="1"/>
  <c r="C43" i="6"/>
  <c r="C42" i="6" l="1"/>
  <c r="C41" i="6" a="1"/>
  <c r="C41" i="6" s="1"/>
  <c r="D41" i="6" l="1"/>
  <c r="C40" i="6"/>
  <c r="B39" i="6"/>
  <c r="C39" i="6"/>
  <c r="D39" i="6"/>
  <c r="U8" i="8"/>
  <c r="V8" i="5"/>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V8" i="8" s="1"/>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R91" i="8"/>
  <c r="R92" i="8"/>
  <c r="R93" i="8"/>
  <c r="R94" i="8"/>
  <c r="R95" i="8"/>
  <c r="R96" i="8"/>
  <c r="R97" i="8"/>
  <c r="R98" i="8"/>
  <c r="R99" i="8"/>
  <c r="R100" i="8"/>
  <c r="R101" i="8"/>
  <c r="R102" i="8"/>
  <c r="R103" i="8"/>
  <c r="R104" i="8"/>
  <c r="R105" i="8"/>
  <c r="R106" i="8"/>
  <c r="R107" i="8"/>
  <c r="R108" i="8"/>
  <c r="R109" i="8"/>
  <c r="R110" i="8"/>
  <c r="R111" i="8"/>
  <c r="R112" i="8"/>
  <c r="R113" i="8"/>
  <c r="R114" i="8"/>
  <c r="R115" i="8"/>
  <c r="R116" i="8"/>
  <c r="R117" i="8"/>
  <c r="R118" i="8"/>
  <c r="R119" i="8"/>
  <c r="R120" i="8"/>
  <c r="R121" i="8"/>
  <c r="R122" i="8"/>
  <c r="R123" i="8"/>
  <c r="R124" i="8"/>
  <c r="R125" i="8"/>
  <c r="R126" i="8"/>
  <c r="R127" i="8"/>
  <c r="R128" i="8"/>
  <c r="R129" i="8"/>
  <c r="R130" i="8"/>
  <c r="R131" i="8"/>
  <c r="R132" i="8"/>
  <c r="R133" i="8"/>
  <c r="R134" i="8"/>
  <c r="R135" i="8"/>
  <c r="R136" i="8"/>
  <c r="R137" i="8"/>
  <c r="R138" i="8"/>
  <c r="R139" i="8"/>
  <c r="R140" i="8"/>
  <c r="R141" i="8"/>
  <c r="R142" i="8"/>
  <c r="R143" i="8"/>
  <c r="R144" i="8"/>
  <c r="R145" i="8"/>
  <c r="R146" i="8"/>
  <c r="R147" i="8"/>
  <c r="R148" i="8"/>
  <c r="R149" i="8"/>
  <c r="R150" i="8"/>
  <c r="R151" i="8"/>
  <c r="R152" i="8"/>
  <c r="R153" i="8"/>
  <c r="R154" i="8"/>
  <c r="R155" i="8"/>
  <c r="R156" i="8"/>
  <c r="R157" i="8"/>
  <c r="R158" i="8"/>
  <c r="R159" i="8"/>
  <c r="R160" i="8"/>
  <c r="R161" i="8"/>
  <c r="R162" i="8"/>
  <c r="R163" i="8"/>
  <c r="R164" i="8"/>
  <c r="R165" i="8"/>
  <c r="R166" i="8"/>
  <c r="R167" i="8"/>
  <c r="R168" i="8"/>
  <c r="R169" i="8"/>
  <c r="R170" i="8"/>
  <c r="R171" i="8"/>
  <c r="R172" i="8"/>
  <c r="R173" i="8"/>
  <c r="R174" i="8"/>
  <c r="R175" i="8"/>
  <c r="R176"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3"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242" i="8"/>
  <c r="R243" i="8"/>
  <c r="R244" i="8"/>
  <c r="R245" i="8"/>
  <c r="R246" i="8"/>
  <c r="R247" i="8"/>
  <c r="R248" i="8"/>
  <c r="R249" i="8"/>
  <c r="R250" i="8"/>
  <c r="R251" i="8"/>
  <c r="R252" i="8"/>
  <c r="R253" i="8"/>
  <c r="R254" i="8"/>
  <c r="R255" i="8"/>
  <c r="R256" i="8"/>
  <c r="R257" i="8"/>
  <c r="R258" i="8"/>
  <c r="R259" i="8"/>
  <c r="R260" i="8"/>
  <c r="R261" i="8"/>
  <c r="R262" i="8"/>
  <c r="R263" i="8"/>
  <c r="R264" i="8"/>
  <c r="R265" i="8"/>
  <c r="R266" i="8"/>
  <c r="R267" i="8"/>
  <c r="R268" i="8"/>
  <c r="R269" i="8"/>
  <c r="R270" i="8"/>
  <c r="R271" i="8"/>
  <c r="R272" i="8"/>
  <c r="R273" i="8"/>
  <c r="R274" i="8"/>
  <c r="R275" i="8"/>
  <c r="R276" i="8"/>
  <c r="R277" i="8"/>
  <c r="R278" i="8"/>
  <c r="R279" i="8"/>
  <c r="R280" i="8"/>
  <c r="R281" i="8"/>
  <c r="R282" i="8"/>
  <c r="R283" i="8"/>
  <c r="R284" i="8"/>
  <c r="R285" i="8"/>
  <c r="R286" i="8"/>
  <c r="R287" i="8"/>
  <c r="R288" i="8"/>
  <c r="R289" i="8"/>
  <c r="R290" i="8"/>
  <c r="R291" i="8"/>
  <c r="R292" i="8"/>
  <c r="R293" i="8"/>
  <c r="R294" i="8"/>
  <c r="R295" i="8"/>
  <c r="R296" i="8"/>
  <c r="R297" i="8"/>
  <c r="R298" i="8"/>
  <c r="R299" i="8"/>
  <c r="R300" i="8"/>
  <c r="R301" i="8"/>
  <c r="R302" i="8"/>
  <c r="R303" i="8"/>
  <c r="R304" i="8"/>
  <c r="R305" i="8"/>
  <c r="R306" i="8"/>
  <c r="R307" i="8"/>
  <c r="R308" i="8"/>
  <c r="R309" i="8"/>
  <c r="R310" i="8"/>
  <c r="R311" i="8"/>
  <c r="R312" i="8"/>
  <c r="R313" i="8"/>
  <c r="R314" i="8"/>
  <c r="R315" i="8"/>
  <c r="R316" i="8"/>
  <c r="R317" i="8"/>
  <c r="R318" i="8"/>
  <c r="R319" i="8"/>
  <c r="R320" i="8"/>
  <c r="R321" i="8"/>
  <c r="R322" i="8"/>
  <c r="R323" i="8"/>
  <c r="R324" i="8"/>
  <c r="R325" i="8"/>
  <c r="R326" i="8"/>
  <c r="R327" i="8"/>
  <c r="R328" i="8"/>
  <c r="R329" i="8"/>
  <c r="R330" i="8"/>
  <c r="R331" i="8"/>
  <c r="R332" i="8"/>
  <c r="R333" i="8"/>
  <c r="R334" i="8"/>
  <c r="R335" i="8"/>
  <c r="R336" i="8"/>
  <c r="R337" i="8"/>
  <c r="R338" i="8"/>
  <c r="R339" i="8"/>
  <c r="R340" i="8"/>
  <c r="R341" i="8"/>
  <c r="R342" i="8"/>
  <c r="R343" i="8"/>
  <c r="R344" i="8"/>
  <c r="R345" i="8"/>
  <c r="R346" i="8"/>
  <c r="R347" i="8"/>
  <c r="R348" i="8"/>
  <c r="R349" i="8"/>
  <c r="R350" i="8"/>
  <c r="R351" i="8"/>
  <c r="R352" i="8"/>
  <c r="R353" i="8"/>
  <c r="R354" i="8"/>
  <c r="R355" i="8"/>
  <c r="R356" i="8"/>
  <c r="R357" i="8"/>
  <c r="R358" i="8"/>
  <c r="R359" i="8"/>
  <c r="R360" i="8"/>
  <c r="R361" i="8"/>
  <c r="R362" i="8"/>
  <c r="R363" i="8"/>
  <c r="R364" i="8"/>
  <c r="R365" i="8"/>
  <c r="R366" i="8"/>
  <c r="R367" i="8"/>
  <c r="R368" i="8"/>
  <c r="R369" i="8"/>
  <c r="R370" i="8"/>
  <c r="R371" i="8"/>
  <c r="R372" i="8"/>
  <c r="R373" i="8"/>
  <c r="R374" i="8"/>
  <c r="R375" i="8"/>
  <c r="R376" i="8"/>
  <c r="R377" i="8"/>
  <c r="R378" i="8"/>
  <c r="R379" i="8"/>
  <c r="R380" i="8"/>
  <c r="R381" i="8"/>
  <c r="R382" i="8"/>
  <c r="R383" i="8"/>
  <c r="R384" i="8"/>
  <c r="R385" i="8"/>
  <c r="R386" i="8"/>
  <c r="R387" i="8"/>
  <c r="R388" i="8"/>
  <c r="R389" i="8"/>
  <c r="R390" i="8"/>
  <c r="R391" i="8"/>
  <c r="R392" i="8"/>
  <c r="R393" i="8"/>
  <c r="R394" i="8"/>
  <c r="R395" i="8"/>
  <c r="R396" i="8"/>
  <c r="R397" i="8"/>
  <c r="R398" i="8"/>
  <c r="R399" i="8"/>
  <c r="R400" i="8"/>
  <c r="R401" i="8"/>
  <c r="R402" i="8"/>
  <c r="R403" i="8"/>
  <c r="R404" i="8"/>
  <c r="R405" i="8"/>
  <c r="R406" i="8"/>
  <c r="R407" i="8"/>
  <c r="R408" i="8"/>
  <c r="R409" i="8"/>
  <c r="R410" i="8"/>
  <c r="R411" i="8"/>
  <c r="R412" i="8"/>
  <c r="R413" i="8"/>
  <c r="R414" i="8"/>
  <c r="U7" i="8"/>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Q367" i="8"/>
  <c r="Q368" i="8"/>
  <c r="Q369" i="8"/>
  <c r="Q370" i="8"/>
  <c r="Q371" i="8"/>
  <c r="Q372" i="8"/>
  <c r="Q373" i="8"/>
  <c r="Q374" i="8"/>
  <c r="Q375" i="8"/>
  <c r="Q376" i="8"/>
  <c r="Q377" i="8"/>
  <c r="Q378" i="8"/>
  <c r="Q379" i="8"/>
  <c r="Q380" i="8"/>
  <c r="Q381" i="8"/>
  <c r="Q382" i="8"/>
  <c r="Q383" i="8"/>
  <c r="Q384" i="8"/>
  <c r="Q385" i="8"/>
  <c r="Q386" i="8"/>
  <c r="Q387" i="8"/>
  <c r="Q388" i="8"/>
  <c r="Q389" i="8"/>
  <c r="Q390" i="8"/>
  <c r="Q391" i="8"/>
  <c r="Q392" i="8"/>
  <c r="Q393" i="8"/>
  <c r="Q394" i="8"/>
  <c r="Q395" i="8"/>
  <c r="Q396" i="8"/>
  <c r="Q397" i="8"/>
  <c r="Q398" i="8"/>
  <c r="Q399" i="8"/>
  <c r="Q400" i="8"/>
  <c r="Q401" i="8"/>
  <c r="Q402" i="8"/>
  <c r="Q403" i="8"/>
  <c r="Q404" i="8"/>
  <c r="Q405" i="8"/>
  <c r="Q406" i="8"/>
  <c r="Q407" i="8"/>
  <c r="Q408" i="8"/>
  <c r="Q409" i="8"/>
  <c r="Q410" i="8"/>
  <c r="Q411" i="8"/>
  <c r="Q412" i="8"/>
  <c r="Q413" i="8"/>
  <c r="Q414" i="8"/>
  <c r="S4" i="5"/>
  <c r="V6" i="5" s="1"/>
  <c r="V6"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U5" i="8"/>
  <c r="V4" i="5"/>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V5" i="8"/>
  <c r="B15" i="4"/>
  <c r="B14" i="4"/>
  <c r="B13" i="4"/>
  <c r="B12" i="4"/>
  <c r="B11" i="4"/>
  <c r="B10" i="4"/>
  <c r="R11" i="3"/>
  <c r="U6" i="8" l="1"/>
  <c r="V3" i="8"/>
  <c r="V4" i="8"/>
  <c r="U4" i="8"/>
  <c r="U3" i="8"/>
  <c r="R10" i="3"/>
  <c r="R9" i="3"/>
  <c r="S9" i="3"/>
  <c r="D14" i="1" s="1"/>
  <c r="R7" i="3"/>
  <c r="R6" i="3"/>
  <c r="O6" i="2"/>
  <c r="O5" i="2"/>
  <c r="O4" i="2"/>
  <c r="I3" i="2"/>
  <c r="O3" i="2"/>
  <c r="O2" i="2"/>
  <c r="O1" i="2"/>
  <c r="D38" i="1" a="1"/>
  <c r="D38" i="1" s="1"/>
  <c r="G411" i="7"/>
  <c r="H411" i="7" s="1"/>
  <c r="G410" i="7"/>
  <c r="H410" i="7" s="1"/>
  <c r="G409" i="7"/>
  <c r="H409" i="7" s="1"/>
  <c r="G408" i="7"/>
  <c r="H408" i="7" s="1"/>
  <c r="G407" i="7"/>
  <c r="H407" i="7" s="1"/>
  <c r="G406" i="7"/>
  <c r="H406" i="7" s="1"/>
  <c r="G405" i="7"/>
  <c r="H405" i="7" s="1"/>
  <c r="G404" i="7"/>
  <c r="H404" i="7" s="1"/>
  <c r="G403" i="7"/>
  <c r="H403" i="7" s="1"/>
  <c r="G402" i="7"/>
  <c r="H402" i="7" s="1"/>
  <c r="G401" i="7"/>
  <c r="H401" i="7" s="1"/>
  <c r="G400" i="7"/>
  <c r="H400" i="7" s="1"/>
  <c r="G399" i="7"/>
  <c r="H399" i="7" s="1"/>
  <c r="G398" i="7"/>
  <c r="H398" i="7" s="1"/>
  <c r="G397" i="7"/>
  <c r="H397" i="7" s="1"/>
  <c r="G396" i="7"/>
  <c r="H396" i="7" s="1"/>
  <c r="G395" i="7"/>
  <c r="H395" i="7" s="1"/>
  <c r="G394" i="7"/>
  <c r="H394" i="7" s="1"/>
  <c r="G393" i="7"/>
  <c r="H393" i="7" s="1"/>
  <c r="G392" i="7"/>
  <c r="H392" i="7" s="1"/>
  <c r="G391" i="7"/>
  <c r="H391" i="7" s="1"/>
  <c r="G390" i="7"/>
  <c r="H390" i="7" s="1"/>
  <c r="G389" i="7"/>
  <c r="H389" i="7" s="1"/>
  <c r="G388" i="7"/>
  <c r="H388" i="7" s="1"/>
  <c r="G387" i="7"/>
  <c r="H387" i="7" s="1"/>
  <c r="G386" i="7"/>
  <c r="H386" i="7" s="1"/>
  <c r="G385" i="7"/>
  <c r="H385" i="7" s="1"/>
  <c r="G384" i="7"/>
  <c r="H384" i="7" s="1"/>
  <c r="G383" i="7"/>
  <c r="H383" i="7" s="1"/>
  <c r="G382" i="7"/>
  <c r="H382" i="7" s="1"/>
  <c r="G381" i="7"/>
  <c r="H381" i="7" s="1"/>
  <c r="G380" i="7"/>
  <c r="H380" i="7" s="1"/>
  <c r="G379" i="7"/>
  <c r="H379" i="7" s="1"/>
  <c r="G378" i="7"/>
  <c r="H378" i="7" s="1"/>
  <c r="G377" i="7"/>
  <c r="H377" i="7" s="1"/>
  <c r="G376" i="7"/>
  <c r="H376" i="7" s="1"/>
  <c r="G375" i="7"/>
  <c r="H375" i="7" s="1"/>
  <c r="G374" i="7"/>
  <c r="H374" i="7" s="1"/>
  <c r="G373" i="7"/>
  <c r="H373" i="7" s="1"/>
  <c r="G372" i="7"/>
  <c r="H372" i="7" s="1"/>
  <c r="G371" i="7"/>
  <c r="H371" i="7" s="1"/>
  <c r="G370" i="7"/>
  <c r="H370" i="7" s="1"/>
  <c r="G369" i="7"/>
  <c r="H369" i="7" s="1"/>
  <c r="G368" i="7"/>
  <c r="H368" i="7" s="1"/>
  <c r="G367" i="7"/>
  <c r="H367" i="7" s="1"/>
  <c r="G366" i="7"/>
  <c r="H366" i="7" s="1"/>
  <c r="G365" i="7"/>
  <c r="H365" i="7" s="1"/>
  <c r="G364" i="7"/>
  <c r="H364" i="7" s="1"/>
  <c r="G363" i="7"/>
  <c r="H363" i="7" s="1"/>
  <c r="G362" i="7"/>
  <c r="H362" i="7" s="1"/>
  <c r="G361" i="7"/>
  <c r="H361" i="7" s="1"/>
  <c r="G360" i="7"/>
  <c r="H360" i="7" s="1"/>
  <c r="G359" i="7"/>
  <c r="H359" i="7" s="1"/>
  <c r="G358" i="7"/>
  <c r="H358" i="7" s="1"/>
  <c r="G357" i="7"/>
  <c r="H357" i="7" s="1"/>
  <c r="G356" i="7"/>
  <c r="H356" i="7" s="1"/>
  <c r="G355" i="7"/>
  <c r="H355" i="7" s="1"/>
  <c r="G354" i="7"/>
  <c r="H354" i="7" s="1"/>
  <c r="G353" i="7"/>
  <c r="H353" i="7" s="1"/>
  <c r="G352" i="7"/>
  <c r="H352" i="7" s="1"/>
  <c r="G351" i="7"/>
  <c r="H351" i="7" s="1"/>
  <c r="G350" i="7"/>
  <c r="H350" i="7" s="1"/>
  <c r="G349" i="7"/>
  <c r="H349" i="7" s="1"/>
  <c r="G348" i="7"/>
  <c r="H348" i="7" s="1"/>
  <c r="G347" i="7"/>
  <c r="H347" i="7" s="1"/>
  <c r="G346" i="7"/>
  <c r="H346" i="7" s="1"/>
  <c r="G345" i="7"/>
  <c r="H345" i="7" s="1"/>
  <c r="G344" i="7"/>
  <c r="H344" i="7" s="1"/>
  <c r="G343" i="7"/>
  <c r="H343" i="7" s="1"/>
  <c r="G342" i="7"/>
  <c r="H342" i="7" s="1"/>
  <c r="G341" i="7"/>
  <c r="H341" i="7" s="1"/>
  <c r="G340" i="7"/>
  <c r="H340" i="7" s="1"/>
  <c r="G339" i="7"/>
  <c r="H339" i="7" s="1"/>
  <c r="G338" i="7"/>
  <c r="H338" i="7" s="1"/>
  <c r="G337" i="7"/>
  <c r="H337" i="7" s="1"/>
  <c r="G336" i="7"/>
  <c r="H336" i="7" s="1"/>
  <c r="G335" i="7"/>
  <c r="H335" i="7" s="1"/>
  <c r="G334" i="7"/>
  <c r="H334" i="7" s="1"/>
  <c r="G333" i="7"/>
  <c r="H333" i="7" s="1"/>
  <c r="G332" i="7"/>
  <c r="H332" i="7" s="1"/>
  <c r="G331" i="7"/>
  <c r="H331" i="7" s="1"/>
  <c r="G330" i="7"/>
  <c r="H330" i="7" s="1"/>
  <c r="G329" i="7"/>
  <c r="H329" i="7" s="1"/>
  <c r="G328" i="7"/>
  <c r="H328" i="7" s="1"/>
  <c r="G327" i="7"/>
  <c r="H327" i="7" s="1"/>
  <c r="G326" i="7"/>
  <c r="H326" i="7" s="1"/>
  <c r="G325" i="7"/>
  <c r="H325" i="7" s="1"/>
  <c r="G324" i="7"/>
  <c r="H324" i="7" s="1"/>
  <c r="G323" i="7"/>
  <c r="H323" i="7" s="1"/>
  <c r="G322" i="7"/>
  <c r="H322" i="7" s="1"/>
  <c r="G321" i="7"/>
  <c r="H321" i="7" s="1"/>
  <c r="G320" i="7"/>
  <c r="H320" i="7" s="1"/>
  <c r="G319" i="7"/>
  <c r="H319" i="7" s="1"/>
  <c r="G318" i="7"/>
  <c r="H318" i="7" s="1"/>
  <c r="G317" i="7"/>
  <c r="H317" i="7" s="1"/>
  <c r="G316" i="7"/>
  <c r="H316" i="7" s="1"/>
  <c r="G315" i="7"/>
  <c r="H315" i="7" s="1"/>
  <c r="G314" i="7"/>
  <c r="H314" i="7" s="1"/>
  <c r="G313" i="7"/>
  <c r="H313" i="7" s="1"/>
  <c r="G312" i="7"/>
  <c r="H312" i="7" s="1"/>
  <c r="G311" i="7"/>
  <c r="H311" i="7" s="1"/>
  <c r="G310" i="7"/>
  <c r="H310" i="7" s="1"/>
  <c r="G309" i="7"/>
  <c r="H309" i="7" s="1"/>
  <c r="G308" i="7"/>
  <c r="H308" i="7" s="1"/>
  <c r="G307" i="7"/>
  <c r="H307" i="7" s="1"/>
  <c r="G306" i="7"/>
  <c r="H306" i="7" s="1"/>
  <c r="G305" i="7"/>
  <c r="H305" i="7" s="1"/>
  <c r="G304" i="7"/>
  <c r="H304" i="7" s="1"/>
  <c r="G303" i="7"/>
  <c r="H303" i="7" s="1"/>
  <c r="G302" i="7"/>
  <c r="H302" i="7" s="1"/>
  <c r="G301" i="7"/>
  <c r="H301" i="7" s="1"/>
  <c r="G300" i="7"/>
  <c r="H300" i="7" s="1"/>
  <c r="G299" i="7"/>
  <c r="H299" i="7" s="1"/>
  <c r="G298" i="7"/>
  <c r="H298" i="7" s="1"/>
  <c r="G297" i="7"/>
  <c r="H297" i="7" s="1"/>
  <c r="G296" i="7"/>
  <c r="H296" i="7" s="1"/>
  <c r="G295" i="7"/>
  <c r="H295" i="7" s="1"/>
  <c r="G294" i="7"/>
  <c r="H294" i="7" s="1"/>
  <c r="G293" i="7"/>
  <c r="H293" i="7" s="1"/>
  <c r="G292" i="7"/>
  <c r="H292" i="7" s="1"/>
  <c r="G291" i="7"/>
  <c r="H291" i="7" s="1"/>
  <c r="G290" i="7"/>
  <c r="H290" i="7" s="1"/>
  <c r="G289" i="7"/>
  <c r="H289" i="7" s="1"/>
  <c r="G288" i="7"/>
  <c r="H288" i="7" s="1"/>
  <c r="G287" i="7"/>
  <c r="H287" i="7" s="1"/>
  <c r="G286" i="7"/>
  <c r="H286" i="7" s="1"/>
  <c r="G285" i="7"/>
  <c r="H285" i="7" s="1"/>
  <c r="G284" i="7"/>
  <c r="H284" i="7" s="1"/>
  <c r="G283" i="7"/>
  <c r="H283" i="7" s="1"/>
  <c r="G282" i="7"/>
  <c r="H282" i="7" s="1"/>
  <c r="G281" i="7"/>
  <c r="H281" i="7" s="1"/>
  <c r="G280" i="7"/>
  <c r="H280" i="7" s="1"/>
  <c r="G279" i="7"/>
  <c r="H279" i="7" s="1"/>
  <c r="G278" i="7"/>
  <c r="H278" i="7" s="1"/>
  <c r="G277" i="7"/>
  <c r="H277" i="7" s="1"/>
  <c r="G276" i="7"/>
  <c r="H276" i="7" s="1"/>
  <c r="G275" i="7"/>
  <c r="H275" i="7" s="1"/>
  <c r="G274" i="7"/>
  <c r="H274" i="7" s="1"/>
  <c r="G273" i="7"/>
  <c r="H273" i="7" s="1"/>
  <c r="G272" i="7"/>
  <c r="H272" i="7" s="1"/>
  <c r="G271" i="7"/>
  <c r="H271" i="7" s="1"/>
  <c r="G270" i="7"/>
  <c r="H270" i="7" s="1"/>
  <c r="G269" i="7"/>
  <c r="H269" i="7" s="1"/>
  <c r="G268" i="7"/>
  <c r="H268" i="7" s="1"/>
  <c r="G267" i="7"/>
  <c r="H267" i="7" s="1"/>
  <c r="G266" i="7"/>
  <c r="H266" i="7" s="1"/>
  <c r="G265" i="7"/>
  <c r="H265" i="7" s="1"/>
  <c r="G264" i="7"/>
  <c r="H264" i="7" s="1"/>
  <c r="G263" i="7"/>
  <c r="H263" i="7" s="1"/>
  <c r="G262" i="7"/>
  <c r="H262" i="7" s="1"/>
  <c r="G261" i="7"/>
  <c r="H261" i="7" s="1"/>
  <c r="G260" i="7"/>
  <c r="H260" i="7" s="1"/>
  <c r="G259" i="7"/>
  <c r="H259" i="7" s="1"/>
  <c r="G258" i="7"/>
  <c r="H258" i="7" s="1"/>
  <c r="G257" i="7"/>
  <c r="H257" i="7" s="1"/>
  <c r="G256" i="7"/>
  <c r="H256" i="7" s="1"/>
  <c r="G255" i="7"/>
  <c r="H255" i="7" s="1"/>
  <c r="G254" i="7"/>
  <c r="H254" i="7" s="1"/>
  <c r="G253" i="7"/>
  <c r="H253" i="7" s="1"/>
  <c r="G252" i="7"/>
  <c r="H252" i="7" s="1"/>
  <c r="G251" i="7"/>
  <c r="H251" i="7" s="1"/>
  <c r="G250" i="7"/>
  <c r="H250" i="7" s="1"/>
  <c r="G249" i="7"/>
  <c r="H249" i="7" s="1"/>
  <c r="G248" i="7"/>
  <c r="H248" i="7" s="1"/>
  <c r="G247" i="7"/>
  <c r="H247" i="7" s="1"/>
  <c r="G246" i="7"/>
  <c r="H246" i="7" s="1"/>
  <c r="G245" i="7"/>
  <c r="H245" i="7" s="1"/>
  <c r="G244" i="7"/>
  <c r="H244" i="7" s="1"/>
  <c r="G243" i="7"/>
  <c r="H243" i="7" s="1"/>
  <c r="G242" i="7"/>
  <c r="H242" i="7" s="1"/>
  <c r="G241" i="7"/>
  <c r="H241" i="7" s="1"/>
  <c r="G240" i="7"/>
  <c r="H240" i="7" s="1"/>
  <c r="G239" i="7"/>
  <c r="H239" i="7" s="1"/>
  <c r="G238" i="7"/>
  <c r="H238" i="7" s="1"/>
  <c r="G237" i="7"/>
  <c r="H237" i="7" s="1"/>
  <c r="G236" i="7"/>
  <c r="H236" i="7" s="1"/>
  <c r="G235" i="7"/>
  <c r="H235" i="7" s="1"/>
  <c r="G234" i="7"/>
  <c r="H234" i="7" s="1"/>
  <c r="G233" i="7"/>
  <c r="H233" i="7" s="1"/>
  <c r="G232" i="7"/>
  <c r="H232" i="7" s="1"/>
  <c r="G231" i="7"/>
  <c r="H231" i="7" s="1"/>
  <c r="G230" i="7"/>
  <c r="H230" i="7" s="1"/>
  <c r="G229" i="7"/>
  <c r="H229" i="7" s="1"/>
  <c r="G228" i="7"/>
  <c r="H228" i="7" s="1"/>
  <c r="G227" i="7"/>
  <c r="H227" i="7" s="1"/>
  <c r="G226" i="7"/>
  <c r="H226" i="7" s="1"/>
  <c r="G225" i="7"/>
  <c r="H225" i="7" s="1"/>
  <c r="G224" i="7"/>
  <c r="H224" i="7" s="1"/>
  <c r="G223" i="7"/>
  <c r="H223" i="7" s="1"/>
  <c r="G222" i="7"/>
  <c r="H222" i="7" s="1"/>
  <c r="G221" i="7"/>
  <c r="H221" i="7" s="1"/>
  <c r="G220" i="7"/>
  <c r="H220" i="7" s="1"/>
  <c r="G219" i="7"/>
  <c r="H219" i="7" s="1"/>
  <c r="G218" i="7"/>
  <c r="H218" i="7" s="1"/>
  <c r="G217" i="7"/>
  <c r="H217" i="7" s="1"/>
  <c r="G216" i="7"/>
  <c r="H216" i="7" s="1"/>
  <c r="G215" i="7"/>
  <c r="H215" i="7" s="1"/>
  <c r="G214" i="7"/>
  <c r="H214" i="7" s="1"/>
  <c r="G213" i="7"/>
  <c r="H213" i="7" s="1"/>
  <c r="G212" i="7"/>
  <c r="H212" i="7" s="1"/>
  <c r="G211" i="7"/>
  <c r="H211" i="7" s="1"/>
  <c r="G210" i="7"/>
  <c r="H210" i="7" s="1"/>
  <c r="G209" i="7"/>
  <c r="H209" i="7" s="1"/>
  <c r="G208" i="7"/>
  <c r="H208" i="7" s="1"/>
  <c r="G207" i="7"/>
  <c r="H207" i="7" s="1"/>
  <c r="G206" i="7"/>
  <c r="H206" i="7" s="1"/>
  <c r="G205" i="7"/>
  <c r="H205" i="7" s="1"/>
  <c r="G204" i="7"/>
  <c r="H204" i="7" s="1"/>
  <c r="G203" i="7"/>
  <c r="H203" i="7" s="1"/>
  <c r="G202" i="7"/>
  <c r="H202" i="7" s="1"/>
  <c r="G201" i="7"/>
  <c r="H201" i="7" s="1"/>
  <c r="G200" i="7"/>
  <c r="H200" i="7" s="1"/>
  <c r="G199" i="7"/>
  <c r="H199" i="7" s="1"/>
  <c r="G198" i="7"/>
  <c r="H198" i="7" s="1"/>
  <c r="G197" i="7"/>
  <c r="H197" i="7" s="1"/>
  <c r="G196" i="7"/>
  <c r="H196" i="7" s="1"/>
  <c r="G195" i="7"/>
  <c r="H195" i="7" s="1"/>
  <c r="G194" i="7"/>
  <c r="H194" i="7" s="1"/>
  <c r="G193" i="7"/>
  <c r="H193" i="7" s="1"/>
  <c r="G192" i="7"/>
  <c r="H192" i="7" s="1"/>
  <c r="G191" i="7"/>
  <c r="H191" i="7" s="1"/>
  <c r="G190" i="7"/>
  <c r="H190" i="7" s="1"/>
  <c r="G189" i="7"/>
  <c r="H189" i="7" s="1"/>
  <c r="G188" i="7"/>
  <c r="H188" i="7" s="1"/>
  <c r="G187" i="7"/>
  <c r="H187" i="7" s="1"/>
  <c r="G186" i="7"/>
  <c r="H186" i="7" s="1"/>
  <c r="G185" i="7"/>
  <c r="H185" i="7" s="1"/>
  <c r="G184" i="7"/>
  <c r="H184" i="7" s="1"/>
  <c r="G183" i="7"/>
  <c r="H183" i="7" s="1"/>
  <c r="G182" i="7"/>
  <c r="H182" i="7" s="1"/>
  <c r="G181" i="7"/>
  <c r="H181" i="7" s="1"/>
  <c r="G180" i="7"/>
  <c r="H180" i="7" s="1"/>
  <c r="G179" i="7"/>
  <c r="H179" i="7" s="1"/>
  <c r="G178" i="7"/>
  <c r="H178" i="7" s="1"/>
  <c r="G177" i="7"/>
  <c r="H177" i="7" s="1"/>
  <c r="G176" i="7"/>
  <c r="H176" i="7" s="1"/>
  <c r="G175" i="7"/>
  <c r="H175" i="7" s="1"/>
  <c r="G174" i="7"/>
  <c r="H174" i="7" s="1"/>
  <c r="G173" i="7"/>
  <c r="H173" i="7" s="1"/>
  <c r="G172" i="7"/>
  <c r="H172" i="7" s="1"/>
  <c r="G171" i="7"/>
  <c r="H171" i="7" s="1"/>
  <c r="G170" i="7"/>
  <c r="H170" i="7" s="1"/>
  <c r="G169" i="7"/>
  <c r="H169" i="7" s="1"/>
  <c r="G168" i="7"/>
  <c r="H168" i="7" s="1"/>
  <c r="G167" i="7"/>
  <c r="H167" i="7" s="1"/>
  <c r="G166" i="7"/>
  <c r="H166" i="7" s="1"/>
  <c r="G165" i="7"/>
  <c r="H165" i="7" s="1"/>
  <c r="G164" i="7"/>
  <c r="H164" i="7" s="1"/>
  <c r="G163" i="7"/>
  <c r="H163" i="7" s="1"/>
  <c r="G162" i="7"/>
  <c r="H162" i="7" s="1"/>
  <c r="G161" i="7"/>
  <c r="H161" i="7" s="1"/>
  <c r="G160" i="7"/>
  <c r="H160" i="7" s="1"/>
  <c r="G159" i="7"/>
  <c r="H159" i="7" s="1"/>
  <c r="G158" i="7"/>
  <c r="H158" i="7" s="1"/>
  <c r="G157" i="7"/>
  <c r="H157" i="7" s="1"/>
  <c r="G156" i="7"/>
  <c r="H156" i="7" s="1"/>
  <c r="G155" i="7"/>
  <c r="H155" i="7" s="1"/>
  <c r="G154" i="7"/>
  <c r="H154" i="7" s="1"/>
  <c r="G153" i="7"/>
  <c r="H153" i="7" s="1"/>
  <c r="G152" i="7"/>
  <c r="H152" i="7" s="1"/>
  <c r="G151" i="7"/>
  <c r="H151" i="7" s="1"/>
  <c r="G150" i="7"/>
  <c r="H150" i="7" s="1"/>
  <c r="G149" i="7"/>
  <c r="H149" i="7" s="1"/>
  <c r="G148" i="7"/>
  <c r="H148" i="7" s="1"/>
  <c r="G147" i="7"/>
  <c r="H147" i="7" s="1"/>
  <c r="G146" i="7"/>
  <c r="H146" i="7" s="1"/>
  <c r="G145" i="7"/>
  <c r="H145" i="7" s="1"/>
  <c r="G144" i="7"/>
  <c r="H144" i="7" s="1"/>
  <c r="G143" i="7"/>
  <c r="H143" i="7" s="1"/>
  <c r="G142" i="7"/>
  <c r="H142" i="7" s="1"/>
  <c r="G141" i="7"/>
  <c r="H141" i="7" s="1"/>
  <c r="G140" i="7"/>
  <c r="H140" i="7" s="1"/>
  <c r="G139" i="7"/>
  <c r="H139" i="7" s="1"/>
  <c r="G138" i="7"/>
  <c r="H138" i="7" s="1"/>
  <c r="G137" i="7"/>
  <c r="H137" i="7" s="1"/>
  <c r="G136" i="7"/>
  <c r="H136" i="7" s="1"/>
  <c r="G135" i="7"/>
  <c r="H135" i="7" s="1"/>
  <c r="G134" i="7"/>
  <c r="H134" i="7" s="1"/>
  <c r="G133" i="7"/>
  <c r="H133" i="7" s="1"/>
  <c r="G132" i="7"/>
  <c r="H132" i="7" s="1"/>
  <c r="G131" i="7"/>
  <c r="H131" i="7" s="1"/>
  <c r="G130" i="7"/>
  <c r="H130" i="7" s="1"/>
  <c r="G129" i="7"/>
  <c r="H129" i="7" s="1"/>
  <c r="G128" i="7"/>
  <c r="H128" i="7" s="1"/>
  <c r="G127" i="7"/>
  <c r="H127" i="7" s="1"/>
  <c r="G126" i="7"/>
  <c r="H126" i="7" s="1"/>
  <c r="G125" i="7"/>
  <c r="H125" i="7" s="1"/>
  <c r="G124" i="7"/>
  <c r="H124" i="7" s="1"/>
  <c r="G123" i="7"/>
  <c r="H123" i="7" s="1"/>
  <c r="G122" i="7"/>
  <c r="H122" i="7" s="1"/>
  <c r="G121" i="7"/>
  <c r="H121" i="7" s="1"/>
  <c r="G120" i="7"/>
  <c r="H120" i="7" s="1"/>
  <c r="G119" i="7"/>
  <c r="H119" i="7" s="1"/>
  <c r="G118" i="7"/>
  <c r="H118" i="7" s="1"/>
  <c r="G117" i="7"/>
  <c r="H117" i="7" s="1"/>
  <c r="G116" i="7"/>
  <c r="H116" i="7" s="1"/>
  <c r="G115" i="7"/>
  <c r="H115" i="7" s="1"/>
  <c r="G114" i="7"/>
  <c r="H114" i="7" s="1"/>
  <c r="G113" i="7"/>
  <c r="H113" i="7" s="1"/>
  <c r="G112" i="7"/>
  <c r="H112" i="7" s="1"/>
  <c r="G111" i="7"/>
  <c r="H111" i="7" s="1"/>
  <c r="G110" i="7"/>
  <c r="H110" i="7" s="1"/>
  <c r="G109" i="7"/>
  <c r="H109" i="7" s="1"/>
  <c r="G108" i="7"/>
  <c r="H108" i="7" s="1"/>
  <c r="G107" i="7"/>
  <c r="H107" i="7" s="1"/>
  <c r="G106" i="7"/>
  <c r="H106" i="7" s="1"/>
  <c r="G105" i="7"/>
  <c r="H105" i="7" s="1"/>
  <c r="G104" i="7"/>
  <c r="H104" i="7" s="1"/>
  <c r="G103" i="7"/>
  <c r="H103" i="7" s="1"/>
  <c r="G102" i="7"/>
  <c r="H102" i="7" s="1"/>
  <c r="G101" i="7"/>
  <c r="H101" i="7" s="1"/>
  <c r="G100" i="7"/>
  <c r="H100" i="7" s="1"/>
  <c r="G99" i="7"/>
  <c r="H99" i="7" s="1"/>
  <c r="G98" i="7"/>
  <c r="H98" i="7" s="1"/>
  <c r="G97" i="7"/>
  <c r="H97" i="7" s="1"/>
  <c r="G96" i="7"/>
  <c r="H96" i="7" s="1"/>
  <c r="G95" i="7"/>
  <c r="H95" i="7" s="1"/>
  <c r="G94" i="7"/>
  <c r="H94" i="7" s="1"/>
  <c r="G93" i="7"/>
  <c r="H93" i="7" s="1"/>
  <c r="G92" i="7"/>
  <c r="H92" i="7" s="1"/>
  <c r="G91" i="7"/>
  <c r="H91" i="7" s="1"/>
  <c r="G90" i="7"/>
  <c r="H90" i="7" s="1"/>
  <c r="G89" i="7"/>
  <c r="H89" i="7" s="1"/>
  <c r="G88" i="7"/>
  <c r="H88" i="7" s="1"/>
  <c r="G87" i="7"/>
  <c r="H87" i="7" s="1"/>
  <c r="G86" i="7"/>
  <c r="H86" i="7" s="1"/>
  <c r="G85" i="7"/>
  <c r="H85" i="7" s="1"/>
  <c r="G84" i="7"/>
  <c r="H84" i="7" s="1"/>
  <c r="G83" i="7"/>
  <c r="H83" i="7" s="1"/>
  <c r="G82" i="7"/>
  <c r="H82" i="7" s="1"/>
  <c r="G81" i="7"/>
  <c r="H81" i="7" s="1"/>
  <c r="G80" i="7"/>
  <c r="H80" i="7" s="1"/>
  <c r="G79" i="7"/>
  <c r="H79" i="7" s="1"/>
  <c r="G78" i="7"/>
  <c r="H78" i="7" s="1"/>
  <c r="G77" i="7"/>
  <c r="H77" i="7" s="1"/>
  <c r="G76" i="7"/>
  <c r="H76" i="7" s="1"/>
  <c r="G75" i="7"/>
  <c r="H75" i="7" s="1"/>
  <c r="G74" i="7"/>
  <c r="H74" i="7" s="1"/>
  <c r="G73" i="7"/>
  <c r="H73" i="7" s="1"/>
  <c r="G72" i="7"/>
  <c r="H72" i="7" s="1"/>
  <c r="G71" i="7"/>
  <c r="H71" i="7" s="1"/>
  <c r="G70" i="7"/>
  <c r="H70" i="7" s="1"/>
  <c r="G69" i="7"/>
  <c r="H69" i="7" s="1"/>
  <c r="G68" i="7"/>
  <c r="H68" i="7" s="1"/>
  <c r="G67" i="7"/>
  <c r="H67" i="7" s="1"/>
  <c r="G66" i="7"/>
  <c r="H66" i="7" s="1"/>
  <c r="G65" i="7"/>
  <c r="H65" i="7" s="1"/>
  <c r="G64" i="7"/>
  <c r="H64" i="7" s="1"/>
  <c r="G63" i="7"/>
  <c r="H63" i="7" s="1"/>
  <c r="G62" i="7"/>
  <c r="H62" i="7" s="1"/>
  <c r="G61" i="7"/>
  <c r="H61" i="7" s="1"/>
  <c r="G60" i="7"/>
  <c r="H60" i="7" s="1"/>
  <c r="G59" i="7"/>
  <c r="H59" i="7" s="1"/>
  <c r="G58" i="7"/>
  <c r="H58" i="7" s="1"/>
  <c r="G57" i="7"/>
  <c r="H57" i="7" s="1"/>
  <c r="G56" i="7"/>
  <c r="H56" i="7" s="1"/>
  <c r="G55" i="7"/>
  <c r="H55" i="7" s="1"/>
  <c r="G54" i="7"/>
  <c r="H54" i="7" s="1"/>
  <c r="G53" i="7"/>
  <c r="H53" i="7" s="1"/>
  <c r="G52" i="7"/>
  <c r="H52" i="7" s="1"/>
  <c r="G51" i="7"/>
  <c r="H51" i="7" s="1"/>
  <c r="G50" i="7"/>
  <c r="H50" i="7" s="1"/>
  <c r="G49" i="7"/>
  <c r="H49" i="7" s="1"/>
  <c r="G48" i="7"/>
  <c r="H48" i="7" s="1"/>
  <c r="G47" i="7"/>
  <c r="H47" i="7" s="1"/>
  <c r="G46" i="7"/>
  <c r="H46" i="7" s="1"/>
  <c r="G45" i="7"/>
  <c r="H45" i="7" s="1"/>
  <c r="G44" i="7"/>
  <c r="H44" i="7" s="1"/>
  <c r="E39" i="1" s="1"/>
  <c r="G43" i="7"/>
  <c r="H43" i="7" s="1"/>
  <c r="G42" i="7"/>
  <c r="H42" i="7" s="1"/>
  <c r="G41" i="7"/>
  <c r="H41" i="7" s="1"/>
  <c r="G40" i="7"/>
  <c r="H40" i="7" s="1"/>
  <c r="G39" i="7"/>
  <c r="H39" i="7" s="1"/>
  <c r="G38" i="7"/>
  <c r="H38" i="7" s="1"/>
  <c r="G37" i="7"/>
  <c r="H37" i="7" s="1"/>
  <c r="G36" i="7"/>
  <c r="H36" i="7" s="1"/>
  <c r="G35" i="7"/>
  <c r="H35" i="7" s="1"/>
  <c r="G34" i="7"/>
  <c r="H34" i="7" s="1"/>
  <c r="G33" i="7"/>
  <c r="H33" i="7" s="1"/>
  <c r="G32" i="7"/>
  <c r="H32" i="7" s="1"/>
  <c r="G31" i="7"/>
  <c r="H31" i="7" s="1"/>
  <c r="G30" i="7"/>
  <c r="H30" i="7" s="1"/>
  <c r="G29" i="7"/>
  <c r="H29" i="7" s="1"/>
  <c r="G28" i="7"/>
  <c r="H28" i="7" s="1"/>
  <c r="G27" i="7"/>
  <c r="H27" i="7" s="1"/>
  <c r="G26" i="7"/>
  <c r="H26" i="7" s="1"/>
  <c r="G25" i="7"/>
  <c r="H25" i="7" s="1"/>
  <c r="G24" i="7"/>
  <c r="H24" i="7" s="1"/>
  <c r="G23" i="7"/>
  <c r="H23" i="7" s="1"/>
  <c r="G22" i="7"/>
  <c r="H22" i="7" s="1"/>
  <c r="G21" i="7"/>
  <c r="H21" i="7" s="1"/>
  <c r="G20" i="7"/>
  <c r="H20" i="7" s="1"/>
  <c r="G19" i="7"/>
  <c r="H19" i="7" s="1"/>
  <c r="G18" i="7"/>
  <c r="H18" i="7" s="1"/>
  <c r="G17" i="7"/>
  <c r="H17" i="7" s="1"/>
  <c r="G16" i="7"/>
  <c r="H16" i="7" s="1"/>
  <c r="G15" i="7"/>
  <c r="H15" i="7" s="1"/>
  <c r="G14" i="7"/>
  <c r="H14" i="7" s="1"/>
  <c r="G13" i="7"/>
  <c r="H13" i="7" s="1"/>
  <c r="G12" i="7"/>
  <c r="H12" i="7" s="1"/>
  <c r="G11" i="7"/>
  <c r="H11" i="7" s="1"/>
  <c r="G10" i="7"/>
  <c r="H10" i="7" s="1"/>
  <c r="G9" i="7"/>
  <c r="H9" i="7" s="1"/>
  <c r="G8" i="7"/>
  <c r="H8" i="7" s="1"/>
  <c r="G7" i="7"/>
  <c r="H7" i="7" s="1"/>
  <c r="G6" i="7"/>
  <c r="H6" i="7" s="1"/>
  <c r="G5" i="7"/>
  <c r="H5" i="7" s="1"/>
  <c r="G4" i="7"/>
  <c r="H4" i="7" s="1"/>
  <c r="G3" i="7"/>
  <c r="H3" i="7" s="1"/>
  <c r="G2" i="7"/>
  <c r="H2" i="7" s="1"/>
  <c r="D43" i="6"/>
  <c r="D42" i="6"/>
  <c r="D40" i="6" a="1"/>
  <c r="D40" i="6" s="1"/>
  <c r="D30" i="1" s="1"/>
  <c r="AF37" i="6"/>
  <c r="AB37" i="6"/>
  <c r="X37" i="6"/>
  <c r="T37" i="6"/>
  <c r="P37" i="6"/>
  <c r="L37" i="6"/>
  <c r="H37" i="6"/>
  <c r="D37" i="6"/>
  <c r="B37" i="6" a="1"/>
  <c r="AG37" i="6" s="1"/>
  <c r="AG35" i="6"/>
  <c r="AF35" i="6"/>
  <c r="AE35" i="6"/>
  <c r="AC35" i="6"/>
  <c r="AB35" i="6"/>
  <c r="AA35" i="6"/>
  <c r="Y35" i="6"/>
  <c r="X35" i="6"/>
  <c r="W35" i="6"/>
  <c r="U35" i="6"/>
  <c r="T35" i="6"/>
  <c r="S35" i="6"/>
  <c r="Q35" i="6"/>
  <c r="P35" i="6"/>
  <c r="O35" i="6"/>
  <c r="M35" i="6"/>
  <c r="L35" i="6"/>
  <c r="K35" i="6"/>
  <c r="I35" i="6"/>
  <c r="H35" i="6"/>
  <c r="G35" i="6"/>
  <c r="E35" i="6"/>
  <c r="D35" i="6"/>
  <c r="C35" i="6"/>
  <c r="B35" i="6" a="1"/>
  <c r="AD35" i="6" s="1"/>
  <c r="B35" i="6"/>
  <c r="S414" i="5"/>
  <c r="R414" i="5"/>
  <c r="Q414" i="5"/>
  <c r="P414" i="5"/>
  <c r="O414" i="5"/>
  <c r="N414" i="5"/>
  <c r="S413" i="5"/>
  <c r="R413" i="5"/>
  <c r="Q413" i="5"/>
  <c r="P413" i="5"/>
  <c r="O413" i="5"/>
  <c r="N413" i="5"/>
  <c r="S412" i="5"/>
  <c r="R412" i="5"/>
  <c r="Q412" i="5"/>
  <c r="P412" i="5"/>
  <c r="O412" i="5"/>
  <c r="N412" i="5"/>
  <c r="S411" i="5"/>
  <c r="R411" i="5"/>
  <c r="Q411" i="5"/>
  <c r="P411" i="5"/>
  <c r="O411" i="5"/>
  <c r="N411" i="5"/>
  <c r="S410" i="5"/>
  <c r="R410" i="5"/>
  <c r="Q410" i="5"/>
  <c r="P410" i="5"/>
  <c r="O410" i="5"/>
  <c r="N410" i="5"/>
  <c r="S409" i="5"/>
  <c r="R409" i="5"/>
  <c r="Q409" i="5"/>
  <c r="P409" i="5"/>
  <c r="O409" i="5"/>
  <c r="N409" i="5"/>
  <c r="S408" i="5"/>
  <c r="R408" i="5"/>
  <c r="Q408" i="5"/>
  <c r="P408" i="5"/>
  <c r="O408" i="5"/>
  <c r="N408" i="5"/>
  <c r="S407" i="5"/>
  <c r="R407" i="5"/>
  <c r="Q407" i="5"/>
  <c r="P407" i="5"/>
  <c r="O407" i="5"/>
  <c r="N407" i="5"/>
  <c r="S406" i="5"/>
  <c r="R406" i="5"/>
  <c r="Q406" i="5"/>
  <c r="P406" i="5"/>
  <c r="O406" i="5"/>
  <c r="N406" i="5"/>
  <c r="S405" i="5"/>
  <c r="R405" i="5"/>
  <c r="Q405" i="5"/>
  <c r="P405" i="5"/>
  <c r="O405" i="5"/>
  <c r="N405" i="5"/>
  <c r="S404" i="5"/>
  <c r="R404" i="5"/>
  <c r="Q404" i="5"/>
  <c r="P404" i="5"/>
  <c r="O404" i="5"/>
  <c r="N404" i="5"/>
  <c r="S403" i="5"/>
  <c r="R403" i="5"/>
  <c r="Q403" i="5"/>
  <c r="P403" i="5"/>
  <c r="O403" i="5"/>
  <c r="N403" i="5"/>
  <c r="S402" i="5"/>
  <c r="R402" i="5"/>
  <c r="Q402" i="5"/>
  <c r="P402" i="5"/>
  <c r="O402" i="5"/>
  <c r="N402" i="5"/>
  <c r="S401" i="5"/>
  <c r="R401" i="5"/>
  <c r="Q401" i="5"/>
  <c r="P401" i="5"/>
  <c r="O401" i="5"/>
  <c r="N401" i="5"/>
  <c r="S400" i="5"/>
  <c r="R400" i="5"/>
  <c r="Q400" i="5"/>
  <c r="P400" i="5"/>
  <c r="O400" i="5"/>
  <c r="N400" i="5"/>
  <c r="S399" i="5"/>
  <c r="R399" i="5"/>
  <c r="Q399" i="5"/>
  <c r="P399" i="5"/>
  <c r="O399" i="5"/>
  <c r="N399" i="5"/>
  <c r="S398" i="5"/>
  <c r="R398" i="5"/>
  <c r="Q398" i="5"/>
  <c r="P398" i="5"/>
  <c r="O398" i="5"/>
  <c r="N398" i="5"/>
  <c r="S397" i="5"/>
  <c r="R397" i="5"/>
  <c r="Q397" i="5"/>
  <c r="P397" i="5"/>
  <c r="O397" i="5"/>
  <c r="N397" i="5"/>
  <c r="S396" i="5"/>
  <c r="R396" i="5"/>
  <c r="Q396" i="5"/>
  <c r="P396" i="5"/>
  <c r="O396" i="5"/>
  <c r="N396" i="5"/>
  <c r="S395" i="5"/>
  <c r="R395" i="5"/>
  <c r="Q395" i="5"/>
  <c r="P395" i="5"/>
  <c r="O395" i="5"/>
  <c r="N395" i="5"/>
  <c r="S394" i="5"/>
  <c r="R394" i="5"/>
  <c r="Q394" i="5"/>
  <c r="P394" i="5"/>
  <c r="O394" i="5"/>
  <c r="N394" i="5"/>
  <c r="S393" i="5"/>
  <c r="R393" i="5"/>
  <c r="Q393" i="5"/>
  <c r="P393" i="5"/>
  <c r="O393" i="5"/>
  <c r="N393" i="5"/>
  <c r="S392" i="5"/>
  <c r="R392" i="5"/>
  <c r="Q392" i="5"/>
  <c r="P392" i="5"/>
  <c r="O392" i="5"/>
  <c r="N392" i="5"/>
  <c r="S391" i="5"/>
  <c r="R391" i="5"/>
  <c r="Q391" i="5"/>
  <c r="P391" i="5"/>
  <c r="O391" i="5"/>
  <c r="N391" i="5"/>
  <c r="S390" i="5"/>
  <c r="R390" i="5"/>
  <c r="Q390" i="5"/>
  <c r="P390" i="5"/>
  <c r="O390" i="5"/>
  <c r="N390" i="5"/>
  <c r="S389" i="5"/>
  <c r="R389" i="5"/>
  <c r="Q389" i="5"/>
  <c r="P389" i="5"/>
  <c r="O389" i="5"/>
  <c r="N389" i="5"/>
  <c r="S388" i="5"/>
  <c r="R388" i="5"/>
  <c r="Q388" i="5"/>
  <c r="P388" i="5"/>
  <c r="O388" i="5"/>
  <c r="N388" i="5"/>
  <c r="S387" i="5"/>
  <c r="R387" i="5"/>
  <c r="Q387" i="5"/>
  <c r="P387" i="5"/>
  <c r="O387" i="5"/>
  <c r="N387" i="5"/>
  <c r="S386" i="5"/>
  <c r="R386" i="5"/>
  <c r="Q386" i="5"/>
  <c r="P386" i="5"/>
  <c r="O386" i="5"/>
  <c r="N386" i="5"/>
  <c r="S385" i="5"/>
  <c r="R385" i="5"/>
  <c r="Q385" i="5"/>
  <c r="P385" i="5"/>
  <c r="O385" i="5"/>
  <c r="N385" i="5"/>
  <c r="S384" i="5"/>
  <c r="R384" i="5"/>
  <c r="Q384" i="5"/>
  <c r="P384" i="5"/>
  <c r="O384" i="5"/>
  <c r="N384" i="5"/>
  <c r="S383" i="5"/>
  <c r="R383" i="5"/>
  <c r="Q383" i="5"/>
  <c r="P383" i="5"/>
  <c r="O383" i="5"/>
  <c r="N383" i="5"/>
  <c r="S382" i="5"/>
  <c r="R382" i="5"/>
  <c r="Q382" i="5"/>
  <c r="P382" i="5"/>
  <c r="O382" i="5"/>
  <c r="N382" i="5"/>
  <c r="S381" i="5"/>
  <c r="R381" i="5"/>
  <c r="Q381" i="5"/>
  <c r="P381" i="5"/>
  <c r="O381" i="5"/>
  <c r="N381" i="5"/>
  <c r="S380" i="5"/>
  <c r="R380" i="5"/>
  <c r="Q380" i="5"/>
  <c r="P380" i="5"/>
  <c r="O380" i="5"/>
  <c r="N380" i="5"/>
  <c r="S379" i="5"/>
  <c r="R379" i="5"/>
  <c r="Q379" i="5"/>
  <c r="P379" i="5"/>
  <c r="O379" i="5"/>
  <c r="N379" i="5"/>
  <c r="S378" i="5"/>
  <c r="R378" i="5"/>
  <c r="Q378" i="5"/>
  <c r="P378" i="5"/>
  <c r="O378" i="5"/>
  <c r="N378" i="5"/>
  <c r="S377" i="5"/>
  <c r="R377" i="5"/>
  <c r="Q377" i="5"/>
  <c r="P377" i="5"/>
  <c r="O377" i="5"/>
  <c r="N377" i="5"/>
  <c r="S376" i="5"/>
  <c r="R376" i="5"/>
  <c r="Q376" i="5"/>
  <c r="P376" i="5"/>
  <c r="O376" i="5"/>
  <c r="N376" i="5"/>
  <c r="S375" i="5"/>
  <c r="R375" i="5"/>
  <c r="Q375" i="5"/>
  <c r="P375" i="5"/>
  <c r="O375" i="5"/>
  <c r="N375" i="5"/>
  <c r="S374" i="5"/>
  <c r="R374" i="5"/>
  <c r="Q374" i="5"/>
  <c r="P374" i="5"/>
  <c r="O374" i="5"/>
  <c r="N374" i="5"/>
  <c r="S373" i="5"/>
  <c r="R373" i="5"/>
  <c r="Q373" i="5"/>
  <c r="P373" i="5"/>
  <c r="O373" i="5"/>
  <c r="N373" i="5"/>
  <c r="S372" i="5"/>
  <c r="R372" i="5"/>
  <c r="Q372" i="5"/>
  <c r="P372" i="5"/>
  <c r="O372" i="5"/>
  <c r="N372" i="5"/>
  <c r="S371" i="5"/>
  <c r="R371" i="5"/>
  <c r="Q371" i="5"/>
  <c r="P371" i="5"/>
  <c r="O371" i="5"/>
  <c r="N371" i="5"/>
  <c r="S370" i="5"/>
  <c r="R370" i="5"/>
  <c r="Q370" i="5"/>
  <c r="P370" i="5"/>
  <c r="O370" i="5"/>
  <c r="N370" i="5"/>
  <c r="S369" i="5"/>
  <c r="R369" i="5"/>
  <c r="Q369" i="5"/>
  <c r="P369" i="5"/>
  <c r="O369" i="5"/>
  <c r="N369" i="5"/>
  <c r="S368" i="5"/>
  <c r="R368" i="5"/>
  <c r="Q368" i="5"/>
  <c r="P368" i="5"/>
  <c r="O368" i="5"/>
  <c r="N368" i="5"/>
  <c r="S367" i="5"/>
  <c r="R367" i="5"/>
  <c r="Q367" i="5"/>
  <c r="P367" i="5"/>
  <c r="O367" i="5"/>
  <c r="N367" i="5"/>
  <c r="S366" i="5"/>
  <c r="R366" i="5"/>
  <c r="Q366" i="5"/>
  <c r="P366" i="5"/>
  <c r="O366" i="5"/>
  <c r="N366" i="5"/>
  <c r="S365" i="5"/>
  <c r="R365" i="5"/>
  <c r="Q365" i="5"/>
  <c r="P365" i="5"/>
  <c r="O365" i="5"/>
  <c r="N365" i="5"/>
  <c r="S364" i="5"/>
  <c r="R364" i="5"/>
  <c r="Q364" i="5"/>
  <c r="P364" i="5"/>
  <c r="O364" i="5"/>
  <c r="N364" i="5"/>
  <c r="S363" i="5"/>
  <c r="R363" i="5"/>
  <c r="Q363" i="5"/>
  <c r="P363" i="5"/>
  <c r="O363" i="5"/>
  <c r="N363" i="5"/>
  <c r="S362" i="5"/>
  <c r="R362" i="5"/>
  <c r="Q362" i="5"/>
  <c r="P362" i="5"/>
  <c r="O362" i="5"/>
  <c r="N362" i="5"/>
  <c r="S361" i="5"/>
  <c r="R361" i="5"/>
  <c r="Q361" i="5"/>
  <c r="P361" i="5"/>
  <c r="O361" i="5"/>
  <c r="N361" i="5"/>
  <c r="S360" i="5"/>
  <c r="R360" i="5"/>
  <c r="Q360" i="5"/>
  <c r="P360" i="5"/>
  <c r="O360" i="5"/>
  <c r="N360" i="5"/>
  <c r="S359" i="5"/>
  <c r="R359" i="5"/>
  <c r="Q359" i="5"/>
  <c r="P359" i="5"/>
  <c r="O359" i="5"/>
  <c r="N359" i="5"/>
  <c r="S358" i="5"/>
  <c r="R358" i="5"/>
  <c r="Q358" i="5"/>
  <c r="P358" i="5"/>
  <c r="O358" i="5"/>
  <c r="N358" i="5"/>
  <c r="S357" i="5"/>
  <c r="R357" i="5"/>
  <c r="Q357" i="5"/>
  <c r="P357" i="5"/>
  <c r="O357" i="5"/>
  <c r="N357" i="5"/>
  <c r="S356" i="5"/>
  <c r="R356" i="5"/>
  <c r="Q356" i="5"/>
  <c r="P356" i="5"/>
  <c r="O356" i="5"/>
  <c r="N356" i="5"/>
  <c r="S355" i="5"/>
  <c r="R355" i="5"/>
  <c r="Q355" i="5"/>
  <c r="P355" i="5"/>
  <c r="O355" i="5"/>
  <c r="N355" i="5"/>
  <c r="S354" i="5"/>
  <c r="R354" i="5"/>
  <c r="Q354" i="5"/>
  <c r="P354" i="5"/>
  <c r="O354" i="5"/>
  <c r="N354" i="5"/>
  <c r="S353" i="5"/>
  <c r="R353" i="5"/>
  <c r="Q353" i="5"/>
  <c r="P353" i="5"/>
  <c r="O353" i="5"/>
  <c r="N353" i="5"/>
  <c r="S352" i="5"/>
  <c r="R352" i="5"/>
  <c r="Q352" i="5"/>
  <c r="P352" i="5"/>
  <c r="O352" i="5"/>
  <c r="N352" i="5"/>
  <c r="S351" i="5"/>
  <c r="R351" i="5"/>
  <c r="Q351" i="5"/>
  <c r="P351" i="5"/>
  <c r="O351" i="5"/>
  <c r="N351" i="5"/>
  <c r="S350" i="5"/>
  <c r="R350" i="5"/>
  <c r="Q350" i="5"/>
  <c r="P350" i="5"/>
  <c r="O350" i="5"/>
  <c r="N350" i="5"/>
  <c r="S349" i="5"/>
  <c r="R349" i="5"/>
  <c r="Q349" i="5"/>
  <c r="P349" i="5"/>
  <c r="O349" i="5"/>
  <c r="N349" i="5"/>
  <c r="S348" i="5"/>
  <c r="R348" i="5"/>
  <c r="Q348" i="5"/>
  <c r="P348" i="5"/>
  <c r="O348" i="5"/>
  <c r="N348" i="5"/>
  <c r="S347" i="5"/>
  <c r="R347" i="5"/>
  <c r="Q347" i="5"/>
  <c r="P347" i="5"/>
  <c r="O347" i="5"/>
  <c r="N347" i="5"/>
  <c r="S346" i="5"/>
  <c r="R346" i="5"/>
  <c r="Q346" i="5"/>
  <c r="P346" i="5"/>
  <c r="O346" i="5"/>
  <c r="N346" i="5"/>
  <c r="S345" i="5"/>
  <c r="R345" i="5"/>
  <c r="Q345" i="5"/>
  <c r="P345" i="5"/>
  <c r="O345" i="5"/>
  <c r="N345" i="5"/>
  <c r="S344" i="5"/>
  <c r="R344" i="5"/>
  <c r="Q344" i="5"/>
  <c r="P344" i="5"/>
  <c r="O344" i="5"/>
  <c r="N344" i="5"/>
  <c r="S343" i="5"/>
  <c r="R343" i="5"/>
  <c r="Q343" i="5"/>
  <c r="P343" i="5"/>
  <c r="O343" i="5"/>
  <c r="N343" i="5"/>
  <c r="S342" i="5"/>
  <c r="R342" i="5"/>
  <c r="Q342" i="5"/>
  <c r="P342" i="5"/>
  <c r="O342" i="5"/>
  <c r="N342" i="5"/>
  <c r="S341" i="5"/>
  <c r="R341" i="5"/>
  <c r="Q341" i="5"/>
  <c r="P341" i="5"/>
  <c r="O341" i="5"/>
  <c r="N341" i="5"/>
  <c r="S340" i="5"/>
  <c r="R340" i="5"/>
  <c r="Q340" i="5"/>
  <c r="P340" i="5"/>
  <c r="O340" i="5"/>
  <c r="N340" i="5"/>
  <c r="S339" i="5"/>
  <c r="R339" i="5"/>
  <c r="Q339" i="5"/>
  <c r="P339" i="5"/>
  <c r="O339" i="5"/>
  <c r="N339" i="5"/>
  <c r="S338" i="5"/>
  <c r="R338" i="5"/>
  <c r="Q338" i="5"/>
  <c r="P338" i="5"/>
  <c r="O338" i="5"/>
  <c r="N338" i="5"/>
  <c r="S337" i="5"/>
  <c r="R337" i="5"/>
  <c r="Q337" i="5"/>
  <c r="P337" i="5"/>
  <c r="O337" i="5"/>
  <c r="N337" i="5"/>
  <c r="S336" i="5"/>
  <c r="R336" i="5"/>
  <c r="Q336" i="5"/>
  <c r="P336" i="5"/>
  <c r="O336" i="5"/>
  <c r="N336" i="5"/>
  <c r="S335" i="5"/>
  <c r="R335" i="5"/>
  <c r="Q335" i="5"/>
  <c r="P335" i="5"/>
  <c r="O335" i="5"/>
  <c r="N335" i="5"/>
  <c r="S334" i="5"/>
  <c r="R334" i="5"/>
  <c r="Q334" i="5"/>
  <c r="P334" i="5"/>
  <c r="O334" i="5"/>
  <c r="N334" i="5"/>
  <c r="S333" i="5"/>
  <c r="R333" i="5"/>
  <c r="Q333" i="5"/>
  <c r="P333" i="5"/>
  <c r="O333" i="5"/>
  <c r="N333" i="5"/>
  <c r="S332" i="5"/>
  <c r="R332" i="5"/>
  <c r="Q332" i="5"/>
  <c r="P332" i="5"/>
  <c r="O332" i="5"/>
  <c r="N332" i="5"/>
  <c r="S331" i="5"/>
  <c r="R331" i="5"/>
  <c r="Q331" i="5"/>
  <c r="P331" i="5"/>
  <c r="O331" i="5"/>
  <c r="N331" i="5"/>
  <c r="S330" i="5"/>
  <c r="R330" i="5"/>
  <c r="Q330" i="5"/>
  <c r="P330" i="5"/>
  <c r="O330" i="5"/>
  <c r="N330" i="5"/>
  <c r="S329" i="5"/>
  <c r="R329" i="5"/>
  <c r="Q329" i="5"/>
  <c r="P329" i="5"/>
  <c r="O329" i="5"/>
  <c r="N329" i="5"/>
  <c r="S328" i="5"/>
  <c r="R328" i="5"/>
  <c r="Q328" i="5"/>
  <c r="P328" i="5"/>
  <c r="O328" i="5"/>
  <c r="N328" i="5"/>
  <c r="S327" i="5"/>
  <c r="R327" i="5"/>
  <c r="Q327" i="5"/>
  <c r="P327" i="5"/>
  <c r="O327" i="5"/>
  <c r="N327" i="5"/>
  <c r="S326" i="5"/>
  <c r="R326" i="5"/>
  <c r="Q326" i="5"/>
  <c r="P326" i="5"/>
  <c r="O326" i="5"/>
  <c r="N326" i="5"/>
  <c r="S325" i="5"/>
  <c r="R325" i="5"/>
  <c r="Q325" i="5"/>
  <c r="P325" i="5"/>
  <c r="O325" i="5"/>
  <c r="N325" i="5"/>
  <c r="S324" i="5"/>
  <c r="R324" i="5"/>
  <c r="Q324" i="5"/>
  <c r="P324" i="5"/>
  <c r="O324" i="5"/>
  <c r="N324" i="5"/>
  <c r="S323" i="5"/>
  <c r="R323" i="5"/>
  <c r="Q323" i="5"/>
  <c r="P323" i="5"/>
  <c r="O323" i="5"/>
  <c r="N323" i="5"/>
  <c r="S322" i="5"/>
  <c r="R322" i="5"/>
  <c r="Q322" i="5"/>
  <c r="P322" i="5"/>
  <c r="O322" i="5"/>
  <c r="N322" i="5"/>
  <c r="S321" i="5"/>
  <c r="R321" i="5"/>
  <c r="Q321" i="5"/>
  <c r="P321" i="5"/>
  <c r="O321" i="5"/>
  <c r="N321" i="5"/>
  <c r="S320" i="5"/>
  <c r="R320" i="5"/>
  <c r="Q320" i="5"/>
  <c r="P320" i="5"/>
  <c r="O320" i="5"/>
  <c r="N320" i="5"/>
  <c r="S319" i="5"/>
  <c r="R319" i="5"/>
  <c r="Q319" i="5"/>
  <c r="P319" i="5"/>
  <c r="O319" i="5"/>
  <c r="N319" i="5"/>
  <c r="S318" i="5"/>
  <c r="R318" i="5"/>
  <c r="Q318" i="5"/>
  <c r="P318" i="5"/>
  <c r="O318" i="5"/>
  <c r="N318" i="5"/>
  <c r="S317" i="5"/>
  <c r="R317" i="5"/>
  <c r="Q317" i="5"/>
  <c r="P317" i="5"/>
  <c r="O317" i="5"/>
  <c r="N317" i="5"/>
  <c r="S316" i="5"/>
  <c r="R316" i="5"/>
  <c r="Q316" i="5"/>
  <c r="P316" i="5"/>
  <c r="O316" i="5"/>
  <c r="N316" i="5"/>
  <c r="S315" i="5"/>
  <c r="R315" i="5"/>
  <c r="Q315" i="5"/>
  <c r="P315" i="5"/>
  <c r="O315" i="5"/>
  <c r="N315" i="5"/>
  <c r="S314" i="5"/>
  <c r="R314" i="5"/>
  <c r="Q314" i="5"/>
  <c r="P314" i="5"/>
  <c r="O314" i="5"/>
  <c r="N314" i="5"/>
  <c r="S313" i="5"/>
  <c r="R313" i="5"/>
  <c r="Q313" i="5"/>
  <c r="P313" i="5"/>
  <c r="O313" i="5"/>
  <c r="N313" i="5"/>
  <c r="S312" i="5"/>
  <c r="R312" i="5"/>
  <c r="Q312" i="5"/>
  <c r="P312" i="5"/>
  <c r="O312" i="5"/>
  <c r="N312" i="5"/>
  <c r="S311" i="5"/>
  <c r="R311" i="5"/>
  <c r="Q311" i="5"/>
  <c r="P311" i="5"/>
  <c r="O311" i="5"/>
  <c r="N311" i="5"/>
  <c r="S310" i="5"/>
  <c r="R310" i="5"/>
  <c r="Q310" i="5"/>
  <c r="P310" i="5"/>
  <c r="O310" i="5"/>
  <c r="N310" i="5"/>
  <c r="S309" i="5"/>
  <c r="R309" i="5"/>
  <c r="Q309" i="5"/>
  <c r="P309" i="5"/>
  <c r="O309" i="5"/>
  <c r="N309" i="5"/>
  <c r="S308" i="5"/>
  <c r="R308" i="5"/>
  <c r="Q308" i="5"/>
  <c r="P308" i="5"/>
  <c r="O308" i="5"/>
  <c r="N308" i="5"/>
  <c r="S307" i="5"/>
  <c r="R307" i="5"/>
  <c r="Q307" i="5"/>
  <c r="P307" i="5"/>
  <c r="O307" i="5"/>
  <c r="N307" i="5"/>
  <c r="S306" i="5"/>
  <c r="R306" i="5"/>
  <c r="Q306" i="5"/>
  <c r="P306" i="5"/>
  <c r="O306" i="5"/>
  <c r="N306" i="5"/>
  <c r="S305" i="5"/>
  <c r="R305" i="5"/>
  <c r="Q305" i="5"/>
  <c r="P305" i="5"/>
  <c r="O305" i="5"/>
  <c r="N305" i="5"/>
  <c r="S304" i="5"/>
  <c r="R304" i="5"/>
  <c r="Q304" i="5"/>
  <c r="P304" i="5"/>
  <c r="O304" i="5"/>
  <c r="N304" i="5"/>
  <c r="S303" i="5"/>
  <c r="R303" i="5"/>
  <c r="Q303" i="5"/>
  <c r="P303" i="5"/>
  <c r="O303" i="5"/>
  <c r="N303" i="5"/>
  <c r="S302" i="5"/>
  <c r="R302" i="5"/>
  <c r="Q302" i="5"/>
  <c r="P302" i="5"/>
  <c r="O302" i="5"/>
  <c r="N302" i="5"/>
  <c r="S301" i="5"/>
  <c r="R301" i="5"/>
  <c r="Q301" i="5"/>
  <c r="P301" i="5"/>
  <c r="O301" i="5"/>
  <c r="N301" i="5"/>
  <c r="S300" i="5"/>
  <c r="R300" i="5"/>
  <c r="Q300" i="5"/>
  <c r="P300" i="5"/>
  <c r="O300" i="5"/>
  <c r="N300" i="5"/>
  <c r="S299" i="5"/>
  <c r="R299" i="5"/>
  <c r="Q299" i="5"/>
  <c r="P299" i="5"/>
  <c r="O299" i="5"/>
  <c r="N299" i="5"/>
  <c r="S298" i="5"/>
  <c r="R298" i="5"/>
  <c r="Q298" i="5"/>
  <c r="P298" i="5"/>
  <c r="O298" i="5"/>
  <c r="N298" i="5"/>
  <c r="S297" i="5"/>
  <c r="R297" i="5"/>
  <c r="Q297" i="5"/>
  <c r="P297" i="5"/>
  <c r="O297" i="5"/>
  <c r="N297" i="5"/>
  <c r="S296" i="5"/>
  <c r="R296" i="5"/>
  <c r="Q296" i="5"/>
  <c r="P296" i="5"/>
  <c r="O296" i="5"/>
  <c r="N296" i="5"/>
  <c r="S295" i="5"/>
  <c r="R295" i="5"/>
  <c r="Q295" i="5"/>
  <c r="P295" i="5"/>
  <c r="O295" i="5"/>
  <c r="N295" i="5"/>
  <c r="S294" i="5"/>
  <c r="R294" i="5"/>
  <c r="Q294" i="5"/>
  <c r="P294" i="5"/>
  <c r="O294" i="5"/>
  <c r="N294" i="5"/>
  <c r="S293" i="5"/>
  <c r="R293" i="5"/>
  <c r="Q293" i="5"/>
  <c r="P293" i="5"/>
  <c r="O293" i="5"/>
  <c r="N293" i="5"/>
  <c r="S292" i="5"/>
  <c r="R292" i="5"/>
  <c r="Q292" i="5"/>
  <c r="P292" i="5"/>
  <c r="O292" i="5"/>
  <c r="N292" i="5"/>
  <c r="S291" i="5"/>
  <c r="R291" i="5"/>
  <c r="Q291" i="5"/>
  <c r="P291" i="5"/>
  <c r="O291" i="5"/>
  <c r="N291" i="5"/>
  <c r="S290" i="5"/>
  <c r="R290" i="5"/>
  <c r="Q290" i="5"/>
  <c r="P290" i="5"/>
  <c r="O290" i="5"/>
  <c r="N290" i="5"/>
  <c r="S289" i="5"/>
  <c r="R289" i="5"/>
  <c r="Q289" i="5"/>
  <c r="P289" i="5"/>
  <c r="O289" i="5"/>
  <c r="N289" i="5"/>
  <c r="S288" i="5"/>
  <c r="R288" i="5"/>
  <c r="Q288" i="5"/>
  <c r="P288" i="5"/>
  <c r="O288" i="5"/>
  <c r="N288" i="5"/>
  <c r="S287" i="5"/>
  <c r="R287" i="5"/>
  <c r="Q287" i="5"/>
  <c r="P287" i="5"/>
  <c r="O287" i="5"/>
  <c r="N287" i="5"/>
  <c r="S286" i="5"/>
  <c r="R286" i="5"/>
  <c r="Q286" i="5"/>
  <c r="P286" i="5"/>
  <c r="O286" i="5"/>
  <c r="N286" i="5"/>
  <c r="S285" i="5"/>
  <c r="R285" i="5"/>
  <c r="Q285" i="5"/>
  <c r="P285" i="5"/>
  <c r="O285" i="5"/>
  <c r="N285" i="5"/>
  <c r="S284" i="5"/>
  <c r="R284" i="5"/>
  <c r="Q284" i="5"/>
  <c r="P284" i="5"/>
  <c r="O284" i="5"/>
  <c r="N284" i="5"/>
  <c r="S283" i="5"/>
  <c r="R283" i="5"/>
  <c r="Q283" i="5"/>
  <c r="P283" i="5"/>
  <c r="O283" i="5"/>
  <c r="N283" i="5"/>
  <c r="S282" i="5"/>
  <c r="R282" i="5"/>
  <c r="Q282" i="5"/>
  <c r="P282" i="5"/>
  <c r="O282" i="5"/>
  <c r="N282" i="5"/>
  <c r="S281" i="5"/>
  <c r="R281" i="5"/>
  <c r="Q281" i="5"/>
  <c r="P281" i="5"/>
  <c r="O281" i="5"/>
  <c r="N281" i="5"/>
  <c r="S280" i="5"/>
  <c r="R280" i="5"/>
  <c r="Q280" i="5"/>
  <c r="P280" i="5"/>
  <c r="O280" i="5"/>
  <c r="N280" i="5"/>
  <c r="S279" i="5"/>
  <c r="R279" i="5"/>
  <c r="Q279" i="5"/>
  <c r="P279" i="5"/>
  <c r="O279" i="5"/>
  <c r="N279" i="5"/>
  <c r="S278" i="5"/>
  <c r="R278" i="5"/>
  <c r="Q278" i="5"/>
  <c r="P278" i="5"/>
  <c r="O278" i="5"/>
  <c r="N278" i="5"/>
  <c r="S277" i="5"/>
  <c r="R277" i="5"/>
  <c r="Q277" i="5"/>
  <c r="P277" i="5"/>
  <c r="O277" i="5"/>
  <c r="N277" i="5"/>
  <c r="S276" i="5"/>
  <c r="R276" i="5"/>
  <c r="Q276" i="5"/>
  <c r="P276" i="5"/>
  <c r="O276" i="5"/>
  <c r="N276" i="5"/>
  <c r="S275" i="5"/>
  <c r="R275" i="5"/>
  <c r="Q275" i="5"/>
  <c r="P275" i="5"/>
  <c r="O275" i="5"/>
  <c r="N275" i="5"/>
  <c r="S274" i="5"/>
  <c r="R274" i="5"/>
  <c r="Q274" i="5"/>
  <c r="P274" i="5"/>
  <c r="O274" i="5"/>
  <c r="N274" i="5"/>
  <c r="S273" i="5"/>
  <c r="R273" i="5"/>
  <c r="Q273" i="5"/>
  <c r="P273" i="5"/>
  <c r="O273" i="5"/>
  <c r="N273" i="5"/>
  <c r="S272" i="5"/>
  <c r="R272" i="5"/>
  <c r="Q272" i="5"/>
  <c r="P272" i="5"/>
  <c r="O272" i="5"/>
  <c r="N272" i="5"/>
  <c r="S271" i="5"/>
  <c r="R271" i="5"/>
  <c r="Q271" i="5"/>
  <c r="P271" i="5"/>
  <c r="O271" i="5"/>
  <c r="N271" i="5"/>
  <c r="S270" i="5"/>
  <c r="R270" i="5"/>
  <c r="Q270" i="5"/>
  <c r="P270" i="5"/>
  <c r="O270" i="5"/>
  <c r="N270" i="5"/>
  <c r="S269" i="5"/>
  <c r="R269" i="5"/>
  <c r="Q269" i="5"/>
  <c r="P269" i="5"/>
  <c r="O269" i="5"/>
  <c r="N269" i="5"/>
  <c r="S268" i="5"/>
  <c r="R268" i="5"/>
  <c r="Q268" i="5"/>
  <c r="P268" i="5"/>
  <c r="O268" i="5"/>
  <c r="N268" i="5"/>
  <c r="S267" i="5"/>
  <c r="R267" i="5"/>
  <c r="Q267" i="5"/>
  <c r="P267" i="5"/>
  <c r="O267" i="5"/>
  <c r="N267" i="5"/>
  <c r="S266" i="5"/>
  <c r="R266" i="5"/>
  <c r="Q266" i="5"/>
  <c r="P266" i="5"/>
  <c r="O266" i="5"/>
  <c r="N266" i="5"/>
  <c r="S265" i="5"/>
  <c r="R265" i="5"/>
  <c r="Q265" i="5"/>
  <c r="P265" i="5"/>
  <c r="O265" i="5"/>
  <c r="N265" i="5"/>
  <c r="S264" i="5"/>
  <c r="R264" i="5"/>
  <c r="Q264" i="5"/>
  <c r="P264" i="5"/>
  <c r="O264" i="5"/>
  <c r="N264" i="5"/>
  <c r="S263" i="5"/>
  <c r="R263" i="5"/>
  <c r="Q263" i="5"/>
  <c r="P263" i="5"/>
  <c r="O263" i="5"/>
  <c r="N263" i="5"/>
  <c r="S262" i="5"/>
  <c r="R262" i="5"/>
  <c r="Q262" i="5"/>
  <c r="P262" i="5"/>
  <c r="O262" i="5"/>
  <c r="N262" i="5"/>
  <c r="S261" i="5"/>
  <c r="R261" i="5"/>
  <c r="Q261" i="5"/>
  <c r="P261" i="5"/>
  <c r="O261" i="5"/>
  <c r="N261" i="5"/>
  <c r="S260" i="5"/>
  <c r="R260" i="5"/>
  <c r="Q260" i="5"/>
  <c r="P260" i="5"/>
  <c r="O260" i="5"/>
  <c r="N260" i="5"/>
  <c r="S259" i="5"/>
  <c r="R259" i="5"/>
  <c r="Q259" i="5"/>
  <c r="P259" i="5"/>
  <c r="O259" i="5"/>
  <c r="N259" i="5"/>
  <c r="S258" i="5"/>
  <c r="R258" i="5"/>
  <c r="Q258" i="5"/>
  <c r="P258" i="5"/>
  <c r="O258" i="5"/>
  <c r="N258" i="5"/>
  <c r="S257" i="5"/>
  <c r="R257" i="5"/>
  <c r="Q257" i="5"/>
  <c r="P257" i="5"/>
  <c r="O257" i="5"/>
  <c r="N257" i="5"/>
  <c r="S256" i="5"/>
  <c r="R256" i="5"/>
  <c r="Q256" i="5"/>
  <c r="P256" i="5"/>
  <c r="O256" i="5"/>
  <c r="N256" i="5"/>
  <c r="S255" i="5"/>
  <c r="R255" i="5"/>
  <c r="Q255" i="5"/>
  <c r="P255" i="5"/>
  <c r="O255" i="5"/>
  <c r="N255" i="5"/>
  <c r="S254" i="5"/>
  <c r="R254" i="5"/>
  <c r="Q254" i="5"/>
  <c r="P254" i="5"/>
  <c r="O254" i="5"/>
  <c r="N254" i="5"/>
  <c r="S253" i="5"/>
  <c r="R253" i="5"/>
  <c r="Q253" i="5"/>
  <c r="P253" i="5"/>
  <c r="O253" i="5"/>
  <c r="N253" i="5"/>
  <c r="S252" i="5"/>
  <c r="R252" i="5"/>
  <c r="Q252" i="5"/>
  <c r="P252" i="5"/>
  <c r="O252" i="5"/>
  <c r="N252" i="5"/>
  <c r="S251" i="5"/>
  <c r="R251" i="5"/>
  <c r="Q251" i="5"/>
  <c r="P251" i="5"/>
  <c r="O251" i="5"/>
  <c r="N251" i="5"/>
  <c r="S250" i="5"/>
  <c r="R250" i="5"/>
  <c r="Q250" i="5"/>
  <c r="P250" i="5"/>
  <c r="O250" i="5"/>
  <c r="N250" i="5"/>
  <c r="S249" i="5"/>
  <c r="R249" i="5"/>
  <c r="Q249" i="5"/>
  <c r="P249" i="5"/>
  <c r="O249" i="5"/>
  <c r="N249" i="5"/>
  <c r="S248" i="5"/>
  <c r="R248" i="5"/>
  <c r="Q248" i="5"/>
  <c r="P248" i="5"/>
  <c r="O248" i="5"/>
  <c r="N248" i="5"/>
  <c r="S247" i="5"/>
  <c r="R247" i="5"/>
  <c r="Q247" i="5"/>
  <c r="P247" i="5"/>
  <c r="O247" i="5"/>
  <c r="N247" i="5"/>
  <c r="S246" i="5"/>
  <c r="R246" i="5"/>
  <c r="Q246" i="5"/>
  <c r="P246" i="5"/>
  <c r="O246" i="5"/>
  <c r="N246" i="5"/>
  <c r="S245" i="5"/>
  <c r="R245" i="5"/>
  <c r="Q245" i="5"/>
  <c r="P245" i="5"/>
  <c r="O245" i="5"/>
  <c r="N245" i="5"/>
  <c r="S244" i="5"/>
  <c r="R244" i="5"/>
  <c r="Q244" i="5"/>
  <c r="P244" i="5"/>
  <c r="O244" i="5"/>
  <c r="N244" i="5"/>
  <c r="S243" i="5"/>
  <c r="R243" i="5"/>
  <c r="Q243" i="5"/>
  <c r="P243" i="5"/>
  <c r="O243" i="5"/>
  <c r="N243" i="5"/>
  <c r="S242" i="5"/>
  <c r="R242" i="5"/>
  <c r="Q242" i="5"/>
  <c r="P242" i="5"/>
  <c r="O242" i="5"/>
  <c r="N242" i="5"/>
  <c r="S241" i="5"/>
  <c r="R241" i="5"/>
  <c r="Q241" i="5"/>
  <c r="P241" i="5"/>
  <c r="O241" i="5"/>
  <c r="N241" i="5"/>
  <c r="S240" i="5"/>
  <c r="R240" i="5"/>
  <c r="Q240" i="5"/>
  <c r="P240" i="5"/>
  <c r="O240" i="5"/>
  <c r="N240" i="5"/>
  <c r="S239" i="5"/>
  <c r="R239" i="5"/>
  <c r="Q239" i="5"/>
  <c r="P239" i="5"/>
  <c r="O239" i="5"/>
  <c r="N239" i="5"/>
  <c r="S238" i="5"/>
  <c r="R238" i="5"/>
  <c r="Q238" i="5"/>
  <c r="P238" i="5"/>
  <c r="O238" i="5"/>
  <c r="N238" i="5"/>
  <c r="S237" i="5"/>
  <c r="R237" i="5"/>
  <c r="Q237" i="5"/>
  <c r="P237" i="5"/>
  <c r="O237" i="5"/>
  <c r="N237" i="5"/>
  <c r="S236" i="5"/>
  <c r="R236" i="5"/>
  <c r="Q236" i="5"/>
  <c r="P236" i="5"/>
  <c r="O236" i="5"/>
  <c r="N236" i="5"/>
  <c r="S235" i="5"/>
  <c r="R235" i="5"/>
  <c r="Q235" i="5"/>
  <c r="P235" i="5"/>
  <c r="O235" i="5"/>
  <c r="N235" i="5"/>
  <c r="S234" i="5"/>
  <c r="R234" i="5"/>
  <c r="Q234" i="5"/>
  <c r="P234" i="5"/>
  <c r="O234" i="5"/>
  <c r="N234" i="5"/>
  <c r="S233" i="5"/>
  <c r="R233" i="5"/>
  <c r="Q233" i="5"/>
  <c r="P233" i="5"/>
  <c r="O233" i="5"/>
  <c r="N233" i="5"/>
  <c r="S232" i="5"/>
  <c r="R232" i="5"/>
  <c r="Q232" i="5"/>
  <c r="P232" i="5"/>
  <c r="O232" i="5"/>
  <c r="N232" i="5"/>
  <c r="S231" i="5"/>
  <c r="R231" i="5"/>
  <c r="Q231" i="5"/>
  <c r="P231" i="5"/>
  <c r="O231" i="5"/>
  <c r="N231" i="5"/>
  <c r="S230" i="5"/>
  <c r="R230" i="5"/>
  <c r="Q230" i="5"/>
  <c r="P230" i="5"/>
  <c r="O230" i="5"/>
  <c r="N230" i="5"/>
  <c r="S229" i="5"/>
  <c r="R229" i="5"/>
  <c r="Q229" i="5"/>
  <c r="P229" i="5"/>
  <c r="O229" i="5"/>
  <c r="N229" i="5"/>
  <c r="S228" i="5"/>
  <c r="R228" i="5"/>
  <c r="Q228" i="5"/>
  <c r="P228" i="5"/>
  <c r="O228" i="5"/>
  <c r="N228" i="5"/>
  <c r="S227" i="5"/>
  <c r="R227" i="5"/>
  <c r="Q227" i="5"/>
  <c r="P227" i="5"/>
  <c r="O227" i="5"/>
  <c r="N227" i="5"/>
  <c r="S226" i="5"/>
  <c r="R226" i="5"/>
  <c r="Q226" i="5"/>
  <c r="P226" i="5"/>
  <c r="O226" i="5"/>
  <c r="N226" i="5"/>
  <c r="S225" i="5"/>
  <c r="R225" i="5"/>
  <c r="Q225" i="5"/>
  <c r="P225" i="5"/>
  <c r="O225" i="5"/>
  <c r="N225" i="5"/>
  <c r="S224" i="5"/>
  <c r="R224" i="5"/>
  <c r="Q224" i="5"/>
  <c r="P224" i="5"/>
  <c r="O224" i="5"/>
  <c r="N224" i="5"/>
  <c r="S223" i="5"/>
  <c r="R223" i="5"/>
  <c r="Q223" i="5"/>
  <c r="P223" i="5"/>
  <c r="O223" i="5"/>
  <c r="N223" i="5"/>
  <c r="S222" i="5"/>
  <c r="R222" i="5"/>
  <c r="Q222" i="5"/>
  <c r="P222" i="5"/>
  <c r="O222" i="5"/>
  <c r="N222" i="5"/>
  <c r="S221" i="5"/>
  <c r="R221" i="5"/>
  <c r="Q221" i="5"/>
  <c r="P221" i="5"/>
  <c r="O221" i="5"/>
  <c r="N221" i="5"/>
  <c r="S220" i="5"/>
  <c r="R220" i="5"/>
  <c r="Q220" i="5"/>
  <c r="P220" i="5"/>
  <c r="O220" i="5"/>
  <c r="N220" i="5"/>
  <c r="S219" i="5"/>
  <c r="R219" i="5"/>
  <c r="Q219" i="5"/>
  <c r="P219" i="5"/>
  <c r="O219" i="5"/>
  <c r="N219" i="5"/>
  <c r="S218" i="5"/>
  <c r="R218" i="5"/>
  <c r="Q218" i="5"/>
  <c r="P218" i="5"/>
  <c r="O218" i="5"/>
  <c r="N218" i="5"/>
  <c r="S217" i="5"/>
  <c r="R217" i="5"/>
  <c r="Q217" i="5"/>
  <c r="P217" i="5"/>
  <c r="O217" i="5"/>
  <c r="N217" i="5"/>
  <c r="S216" i="5"/>
  <c r="R216" i="5"/>
  <c r="Q216" i="5"/>
  <c r="P216" i="5"/>
  <c r="O216" i="5"/>
  <c r="N216" i="5"/>
  <c r="S215" i="5"/>
  <c r="R215" i="5"/>
  <c r="Q215" i="5"/>
  <c r="P215" i="5"/>
  <c r="O215" i="5"/>
  <c r="N215" i="5"/>
  <c r="S214" i="5"/>
  <c r="R214" i="5"/>
  <c r="Q214" i="5"/>
  <c r="P214" i="5"/>
  <c r="O214" i="5"/>
  <c r="N214" i="5"/>
  <c r="S213" i="5"/>
  <c r="R213" i="5"/>
  <c r="Q213" i="5"/>
  <c r="P213" i="5"/>
  <c r="O213" i="5"/>
  <c r="N213" i="5"/>
  <c r="S212" i="5"/>
  <c r="R212" i="5"/>
  <c r="Q212" i="5"/>
  <c r="P212" i="5"/>
  <c r="O212" i="5"/>
  <c r="N212" i="5"/>
  <c r="S211" i="5"/>
  <c r="R211" i="5"/>
  <c r="Q211" i="5"/>
  <c r="P211" i="5"/>
  <c r="O211" i="5"/>
  <c r="N211" i="5"/>
  <c r="S210" i="5"/>
  <c r="R210" i="5"/>
  <c r="Q210" i="5"/>
  <c r="P210" i="5"/>
  <c r="O210" i="5"/>
  <c r="N210" i="5"/>
  <c r="S209" i="5"/>
  <c r="R209" i="5"/>
  <c r="Q209" i="5"/>
  <c r="P209" i="5"/>
  <c r="O209" i="5"/>
  <c r="N209" i="5"/>
  <c r="S208" i="5"/>
  <c r="R208" i="5"/>
  <c r="Q208" i="5"/>
  <c r="P208" i="5"/>
  <c r="O208" i="5"/>
  <c r="N208" i="5"/>
  <c r="S207" i="5"/>
  <c r="R207" i="5"/>
  <c r="Q207" i="5"/>
  <c r="P207" i="5"/>
  <c r="O207" i="5"/>
  <c r="N207" i="5"/>
  <c r="S206" i="5"/>
  <c r="R206" i="5"/>
  <c r="Q206" i="5"/>
  <c r="P206" i="5"/>
  <c r="O206" i="5"/>
  <c r="N206" i="5"/>
  <c r="S205" i="5"/>
  <c r="R205" i="5"/>
  <c r="Q205" i="5"/>
  <c r="P205" i="5"/>
  <c r="O205" i="5"/>
  <c r="N205" i="5"/>
  <c r="S204" i="5"/>
  <c r="R204" i="5"/>
  <c r="Q204" i="5"/>
  <c r="P204" i="5"/>
  <c r="O204" i="5"/>
  <c r="N204" i="5"/>
  <c r="S203" i="5"/>
  <c r="R203" i="5"/>
  <c r="Q203" i="5"/>
  <c r="P203" i="5"/>
  <c r="O203" i="5"/>
  <c r="N203" i="5"/>
  <c r="S202" i="5"/>
  <c r="R202" i="5"/>
  <c r="Q202" i="5"/>
  <c r="P202" i="5"/>
  <c r="O202" i="5"/>
  <c r="N202" i="5"/>
  <c r="S201" i="5"/>
  <c r="R201" i="5"/>
  <c r="Q201" i="5"/>
  <c r="P201" i="5"/>
  <c r="O201" i="5"/>
  <c r="N201" i="5"/>
  <c r="S200" i="5"/>
  <c r="R200" i="5"/>
  <c r="Q200" i="5"/>
  <c r="P200" i="5"/>
  <c r="O200" i="5"/>
  <c r="N200" i="5"/>
  <c r="S199" i="5"/>
  <c r="R199" i="5"/>
  <c r="Q199" i="5"/>
  <c r="P199" i="5"/>
  <c r="O199" i="5"/>
  <c r="N199" i="5"/>
  <c r="S198" i="5"/>
  <c r="R198" i="5"/>
  <c r="Q198" i="5"/>
  <c r="P198" i="5"/>
  <c r="O198" i="5"/>
  <c r="N198" i="5"/>
  <c r="S197" i="5"/>
  <c r="R197" i="5"/>
  <c r="Q197" i="5"/>
  <c r="P197" i="5"/>
  <c r="O197" i="5"/>
  <c r="N197" i="5"/>
  <c r="S196" i="5"/>
  <c r="R196" i="5"/>
  <c r="Q196" i="5"/>
  <c r="P196" i="5"/>
  <c r="O196" i="5"/>
  <c r="N196" i="5"/>
  <c r="S195" i="5"/>
  <c r="R195" i="5"/>
  <c r="Q195" i="5"/>
  <c r="P195" i="5"/>
  <c r="O195" i="5"/>
  <c r="N195" i="5"/>
  <c r="S194" i="5"/>
  <c r="R194" i="5"/>
  <c r="Q194" i="5"/>
  <c r="P194" i="5"/>
  <c r="O194" i="5"/>
  <c r="N194" i="5"/>
  <c r="S193" i="5"/>
  <c r="R193" i="5"/>
  <c r="Q193" i="5"/>
  <c r="P193" i="5"/>
  <c r="O193" i="5"/>
  <c r="N193" i="5"/>
  <c r="S192" i="5"/>
  <c r="R192" i="5"/>
  <c r="Q192" i="5"/>
  <c r="P192" i="5"/>
  <c r="O192" i="5"/>
  <c r="N192" i="5"/>
  <c r="S191" i="5"/>
  <c r="R191" i="5"/>
  <c r="Q191" i="5"/>
  <c r="P191" i="5"/>
  <c r="O191" i="5"/>
  <c r="N191" i="5"/>
  <c r="S190" i="5"/>
  <c r="R190" i="5"/>
  <c r="Q190" i="5"/>
  <c r="P190" i="5"/>
  <c r="O190" i="5"/>
  <c r="N190" i="5"/>
  <c r="S189" i="5"/>
  <c r="R189" i="5"/>
  <c r="Q189" i="5"/>
  <c r="P189" i="5"/>
  <c r="O189" i="5"/>
  <c r="N189" i="5"/>
  <c r="S188" i="5"/>
  <c r="R188" i="5"/>
  <c r="Q188" i="5"/>
  <c r="P188" i="5"/>
  <c r="O188" i="5"/>
  <c r="N188" i="5"/>
  <c r="S187" i="5"/>
  <c r="R187" i="5"/>
  <c r="Q187" i="5"/>
  <c r="P187" i="5"/>
  <c r="O187" i="5"/>
  <c r="N187" i="5"/>
  <c r="S186" i="5"/>
  <c r="R186" i="5"/>
  <c r="Q186" i="5"/>
  <c r="P186" i="5"/>
  <c r="O186" i="5"/>
  <c r="N186" i="5"/>
  <c r="S185" i="5"/>
  <c r="R185" i="5"/>
  <c r="Q185" i="5"/>
  <c r="P185" i="5"/>
  <c r="O185" i="5"/>
  <c r="N185" i="5"/>
  <c r="S184" i="5"/>
  <c r="R184" i="5"/>
  <c r="Q184" i="5"/>
  <c r="P184" i="5"/>
  <c r="O184" i="5"/>
  <c r="N184" i="5"/>
  <c r="S183" i="5"/>
  <c r="R183" i="5"/>
  <c r="Q183" i="5"/>
  <c r="P183" i="5"/>
  <c r="O183" i="5"/>
  <c r="N183" i="5"/>
  <c r="S182" i="5"/>
  <c r="R182" i="5"/>
  <c r="Q182" i="5"/>
  <c r="P182" i="5"/>
  <c r="O182" i="5"/>
  <c r="N182" i="5"/>
  <c r="S181" i="5"/>
  <c r="R181" i="5"/>
  <c r="Q181" i="5"/>
  <c r="P181" i="5"/>
  <c r="O181" i="5"/>
  <c r="N181" i="5"/>
  <c r="S180" i="5"/>
  <c r="R180" i="5"/>
  <c r="Q180" i="5"/>
  <c r="P180" i="5"/>
  <c r="O180" i="5"/>
  <c r="N180" i="5"/>
  <c r="S179" i="5"/>
  <c r="R179" i="5"/>
  <c r="Q179" i="5"/>
  <c r="P179" i="5"/>
  <c r="O179" i="5"/>
  <c r="N179" i="5"/>
  <c r="S178" i="5"/>
  <c r="R178" i="5"/>
  <c r="Q178" i="5"/>
  <c r="P178" i="5"/>
  <c r="O178" i="5"/>
  <c r="N178" i="5"/>
  <c r="S177" i="5"/>
  <c r="R177" i="5"/>
  <c r="Q177" i="5"/>
  <c r="P177" i="5"/>
  <c r="O177" i="5"/>
  <c r="N177" i="5"/>
  <c r="S176" i="5"/>
  <c r="R176" i="5"/>
  <c r="Q176" i="5"/>
  <c r="P176" i="5"/>
  <c r="O176" i="5"/>
  <c r="N176" i="5"/>
  <c r="S175" i="5"/>
  <c r="R175" i="5"/>
  <c r="Q175" i="5"/>
  <c r="P175" i="5"/>
  <c r="O175" i="5"/>
  <c r="N175" i="5"/>
  <c r="S174" i="5"/>
  <c r="R174" i="5"/>
  <c r="Q174" i="5"/>
  <c r="P174" i="5"/>
  <c r="O174" i="5"/>
  <c r="N174" i="5"/>
  <c r="S173" i="5"/>
  <c r="R173" i="5"/>
  <c r="Q173" i="5"/>
  <c r="P173" i="5"/>
  <c r="O173" i="5"/>
  <c r="N173" i="5"/>
  <c r="S172" i="5"/>
  <c r="R172" i="5"/>
  <c r="Q172" i="5"/>
  <c r="P172" i="5"/>
  <c r="O172" i="5"/>
  <c r="N172" i="5"/>
  <c r="S171" i="5"/>
  <c r="R171" i="5"/>
  <c r="Q171" i="5"/>
  <c r="P171" i="5"/>
  <c r="O171" i="5"/>
  <c r="N171" i="5"/>
  <c r="S170" i="5"/>
  <c r="R170" i="5"/>
  <c r="Q170" i="5"/>
  <c r="P170" i="5"/>
  <c r="O170" i="5"/>
  <c r="N170" i="5"/>
  <c r="S169" i="5"/>
  <c r="R169" i="5"/>
  <c r="Q169" i="5"/>
  <c r="P169" i="5"/>
  <c r="O169" i="5"/>
  <c r="N169" i="5"/>
  <c r="S168" i="5"/>
  <c r="R168" i="5"/>
  <c r="Q168" i="5"/>
  <c r="P168" i="5"/>
  <c r="O168" i="5"/>
  <c r="N168" i="5"/>
  <c r="S167" i="5"/>
  <c r="R167" i="5"/>
  <c r="Q167" i="5"/>
  <c r="P167" i="5"/>
  <c r="O167" i="5"/>
  <c r="N167" i="5"/>
  <c r="S166" i="5"/>
  <c r="R166" i="5"/>
  <c r="Q166" i="5"/>
  <c r="P166" i="5"/>
  <c r="O166" i="5"/>
  <c r="N166" i="5"/>
  <c r="S165" i="5"/>
  <c r="R165" i="5"/>
  <c r="Q165" i="5"/>
  <c r="P165" i="5"/>
  <c r="O165" i="5"/>
  <c r="N165" i="5"/>
  <c r="S164" i="5"/>
  <c r="R164" i="5"/>
  <c r="Q164" i="5"/>
  <c r="P164" i="5"/>
  <c r="O164" i="5"/>
  <c r="N164" i="5"/>
  <c r="S163" i="5"/>
  <c r="R163" i="5"/>
  <c r="Q163" i="5"/>
  <c r="P163" i="5"/>
  <c r="O163" i="5"/>
  <c r="N163" i="5"/>
  <c r="S162" i="5"/>
  <c r="R162" i="5"/>
  <c r="Q162" i="5"/>
  <c r="P162" i="5"/>
  <c r="O162" i="5"/>
  <c r="N162" i="5"/>
  <c r="S161" i="5"/>
  <c r="R161" i="5"/>
  <c r="Q161" i="5"/>
  <c r="P161" i="5"/>
  <c r="O161" i="5"/>
  <c r="N161" i="5"/>
  <c r="S160" i="5"/>
  <c r="R160" i="5"/>
  <c r="Q160" i="5"/>
  <c r="P160" i="5"/>
  <c r="O160" i="5"/>
  <c r="N160" i="5"/>
  <c r="S159" i="5"/>
  <c r="R159" i="5"/>
  <c r="Q159" i="5"/>
  <c r="P159" i="5"/>
  <c r="O159" i="5"/>
  <c r="N159" i="5"/>
  <c r="S158" i="5"/>
  <c r="R158" i="5"/>
  <c r="Q158" i="5"/>
  <c r="P158" i="5"/>
  <c r="O158" i="5"/>
  <c r="N158" i="5"/>
  <c r="S157" i="5"/>
  <c r="R157" i="5"/>
  <c r="Q157" i="5"/>
  <c r="P157" i="5"/>
  <c r="O157" i="5"/>
  <c r="N157" i="5"/>
  <c r="S156" i="5"/>
  <c r="R156" i="5"/>
  <c r="Q156" i="5"/>
  <c r="P156" i="5"/>
  <c r="O156" i="5"/>
  <c r="N156" i="5"/>
  <c r="S155" i="5"/>
  <c r="R155" i="5"/>
  <c r="Q155" i="5"/>
  <c r="P155" i="5"/>
  <c r="O155" i="5"/>
  <c r="N155" i="5"/>
  <c r="S154" i="5"/>
  <c r="R154" i="5"/>
  <c r="Q154" i="5"/>
  <c r="P154" i="5"/>
  <c r="O154" i="5"/>
  <c r="N154" i="5"/>
  <c r="S153" i="5"/>
  <c r="R153" i="5"/>
  <c r="Q153" i="5"/>
  <c r="P153" i="5"/>
  <c r="O153" i="5"/>
  <c r="N153" i="5"/>
  <c r="S152" i="5"/>
  <c r="R152" i="5"/>
  <c r="Q152" i="5"/>
  <c r="P152" i="5"/>
  <c r="O152" i="5"/>
  <c r="N152" i="5"/>
  <c r="S151" i="5"/>
  <c r="R151" i="5"/>
  <c r="Q151" i="5"/>
  <c r="P151" i="5"/>
  <c r="O151" i="5"/>
  <c r="N151" i="5"/>
  <c r="S150" i="5"/>
  <c r="R150" i="5"/>
  <c r="Q150" i="5"/>
  <c r="P150" i="5"/>
  <c r="O150" i="5"/>
  <c r="N150" i="5"/>
  <c r="S149" i="5"/>
  <c r="R149" i="5"/>
  <c r="Q149" i="5"/>
  <c r="P149" i="5"/>
  <c r="O149" i="5"/>
  <c r="N149" i="5"/>
  <c r="S148" i="5"/>
  <c r="R148" i="5"/>
  <c r="Q148" i="5"/>
  <c r="P148" i="5"/>
  <c r="O148" i="5"/>
  <c r="N148" i="5"/>
  <c r="S147" i="5"/>
  <c r="R147" i="5"/>
  <c r="Q147" i="5"/>
  <c r="P147" i="5"/>
  <c r="O147" i="5"/>
  <c r="N147" i="5"/>
  <c r="S146" i="5"/>
  <c r="R146" i="5"/>
  <c r="Q146" i="5"/>
  <c r="P146" i="5"/>
  <c r="O146" i="5"/>
  <c r="N146" i="5"/>
  <c r="S145" i="5"/>
  <c r="R145" i="5"/>
  <c r="Q145" i="5"/>
  <c r="P145" i="5"/>
  <c r="O145" i="5"/>
  <c r="N145" i="5"/>
  <c r="S144" i="5"/>
  <c r="R144" i="5"/>
  <c r="Q144" i="5"/>
  <c r="P144" i="5"/>
  <c r="O144" i="5"/>
  <c r="N144" i="5"/>
  <c r="S143" i="5"/>
  <c r="R143" i="5"/>
  <c r="Q143" i="5"/>
  <c r="P143" i="5"/>
  <c r="O143" i="5"/>
  <c r="N143" i="5"/>
  <c r="S142" i="5"/>
  <c r="R142" i="5"/>
  <c r="Q142" i="5"/>
  <c r="P142" i="5"/>
  <c r="O142" i="5"/>
  <c r="N142" i="5"/>
  <c r="S141" i="5"/>
  <c r="R141" i="5"/>
  <c r="Q141" i="5"/>
  <c r="P141" i="5"/>
  <c r="O141" i="5"/>
  <c r="N141" i="5"/>
  <c r="S140" i="5"/>
  <c r="R140" i="5"/>
  <c r="Q140" i="5"/>
  <c r="P140" i="5"/>
  <c r="O140" i="5"/>
  <c r="N140" i="5"/>
  <c r="S139" i="5"/>
  <c r="R139" i="5"/>
  <c r="Q139" i="5"/>
  <c r="P139" i="5"/>
  <c r="O139" i="5"/>
  <c r="N139" i="5"/>
  <c r="S138" i="5"/>
  <c r="R138" i="5"/>
  <c r="Q138" i="5"/>
  <c r="P138" i="5"/>
  <c r="O138" i="5"/>
  <c r="N138" i="5"/>
  <c r="S137" i="5"/>
  <c r="R137" i="5"/>
  <c r="Q137" i="5"/>
  <c r="P137" i="5"/>
  <c r="O137" i="5"/>
  <c r="N137" i="5"/>
  <c r="S136" i="5"/>
  <c r="R136" i="5"/>
  <c r="Q136" i="5"/>
  <c r="P136" i="5"/>
  <c r="O136" i="5"/>
  <c r="N136" i="5"/>
  <c r="S135" i="5"/>
  <c r="R135" i="5"/>
  <c r="Q135" i="5"/>
  <c r="P135" i="5"/>
  <c r="O135" i="5"/>
  <c r="N135" i="5"/>
  <c r="S134" i="5"/>
  <c r="R134" i="5"/>
  <c r="Q134" i="5"/>
  <c r="P134" i="5"/>
  <c r="O134" i="5"/>
  <c r="N134" i="5"/>
  <c r="S133" i="5"/>
  <c r="R133" i="5"/>
  <c r="Q133" i="5"/>
  <c r="P133" i="5"/>
  <c r="O133" i="5"/>
  <c r="N133" i="5"/>
  <c r="S132" i="5"/>
  <c r="R132" i="5"/>
  <c r="Q132" i="5"/>
  <c r="P132" i="5"/>
  <c r="O132" i="5"/>
  <c r="N132" i="5"/>
  <c r="S131" i="5"/>
  <c r="R131" i="5"/>
  <c r="Q131" i="5"/>
  <c r="P131" i="5"/>
  <c r="O131" i="5"/>
  <c r="N131" i="5"/>
  <c r="S130" i="5"/>
  <c r="R130" i="5"/>
  <c r="Q130" i="5"/>
  <c r="P130" i="5"/>
  <c r="O130" i="5"/>
  <c r="N130" i="5"/>
  <c r="S129" i="5"/>
  <c r="R129" i="5"/>
  <c r="Q129" i="5"/>
  <c r="P129" i="5"/>
  <c r="O129" i="5"/>
  <c r="N129" i="5"/>
  <c r="S128" i="5"/>
  <c r="R128" i="5"/>
  <c r="Q128" i="5"/>
  <c r="P128" i="5"/>
  <c r="O128" i="5"/>
  <c r="N128" i="5"/>
  <c r="S127" i="5"/>
  <c r="R127" i="5"/>
  <c r="Q127" i="5"/>
  <c r="P127" i="5"/>
  <c r="O127" i="5"/>
  <c r="N127" i="5"/>
  <c r="S126" i="5"/>
  <c r="R126" i="5"/>
  <c r="Q126" i="5"/>
  <c r="P126" i="5"/>
  <c r="O126" i="5"/>
  <c r="N126" i="5"/>
  <c r="S125" i="5"/>
  <c r="R125" i="5"/>
  <c r="Q125" i="5"/>
  <c r="P125" i="5"/>
  <c r="O125" i="5"/>
  <c r="N125" i="5"/>
  <c r="S124" i="5"/>
  <c r="R124" i="5"/>
  <c r="Q124" i="5"/>
  <c r="P124" i="5"/>
  <c r="O124" i="5"/>
  <c r="N124" i="5"/>
  <c r="S123" i="5"/>
  <c r="R123" i="5"/>
  <c r="Q123" i="5"/>
  <c r="P123" i="5"/>
  <c r="O123" i="5"/>
  <c r="N123" i="5"/>
  <c r="S122" i="5"/>
  <c r="R122" i="5"/>
  <c r="Q122" i="5"/>
  <c r="P122" i="5"/>
  <c r="O122" i="5"/>
  <c r="N122" i="5"/>
  <c r="S121" i="5"/>
  <c r="R121" i="5"/>
  <c r="Q121" i="5"/>
  <c r="P121" i="5"/>
  <c r="O121" i="5"/>
  <c r="N121" i="5"/>
  <c r="S120" i="5"/>
  <c r="R120" i="5"/>
  <c r="Q120" i="5"/>
  <c r="P120" i="5"/>
  <c r="O120" i="5"/>
  <c r="N120" i="5"/>
  <c r="S119" i="5"/>
  <c r="R119" i="5"/>
  <c r="Q119" i="5"/>
  <c r="P119" i="5"/>
  <c r="O119" i="5"/>
  <c r="N119" i="5"/>
  <c r="S118" i="5"/>
  <c r="R118" i="5"/>
  <c r="Q118" i="5"/>
  <c r="P118" i="5"/>
  <c r="O118" i="5"/>
  <c r="N118" i="5"/>
  <c r="S117" i="5"/>
  <c r="R117" i="5"/>
  <c r="Q117" i="5"/>
  <c r="P117" i="5"/>
  <c r="O117" i="5"/>
  <c r="N117" i="5"/>
  <c r="S116" i="5"/>
  <c r="R116" i="5"/>
  <c r="Q116" i="5"/>
  <c r="P116" i="5"/>
  <c r="O116" i="5"/>
  <c r="N116" i="5"/>
  <c r="S115" i="5"/>
  <c r="R115" i="5"/>
  <c r="Q115" i="5"/>
  <c r="P115" i="5"/>
  <c r="O115" i="5"/>
  <c r="N115" i="5"/>
  <c r="S114" i="5"/>
  <c r="R114" i="5"/>
  <c r="Q114" i="5"/>
  <c r="P114" i="5"/>
  <c r="O114" i="5"/>
  <c r="N114" i="5"/>
  <c r="S113" i="5"/>
  <c r="R113" i="5"/>
  <c r="Q113" i="5"/>
  <c r="P113" i="5"/>
  <c r="O113" i="5"/>
  <c r="N113" i="5"/>
  <c r="S112" i="5"/>
  <c r="R112" i="5"/>
  <c r="Q112" i="5"/>
  <c r="P112" i="5"/>
  <c r="O112" i="5"/>
  <c r="N112" i="5"/>
  <c r="S111" i="5"/>
  <c r="R111" i="5"/>
  <c r="Q111" i="5"/>
  <c r="P111" i="5"/>
  <c r="O111" i="5"/>
  <c r="N111" i="5"/>
  <c r="S110" i="5"/>
  <c r="R110" i="5"/>
  <c r="Q110" i="5"/>
  <c r="P110" i="5"/>
  <c r="O110" i="5"/>
  <c r="N110" i="5"/>
  <c r="S109" i="5"/>
  <c r="R109" i="5"/>
  <c r="Q109" i="5"/>
  <c r="P109" i="5"/>
  <c r="O109" i="5"/>
  <c r="N109" i="5"/>
  <c r="S108" i="5"/>
  <c r="R108" i="5"/>
  <c r="Q108" i="5"/>
  <c r="P108" i="5"/>
  <c r="O108" i="5"/>
  <c r="N108" i="5"/>
  <c r="S107" i="5"/>
  <c r="R107" i="5"/>
  <c r="Q107" i="5"/>
  <c r="P107" i="5"/>
  <c r="O107" i="5"/>
  <c r="N107" i="5"/>
  <c r="S106" i="5"/>
  <c r="R106" i="5"/>
  <c r="Q106" i="5"/>
  <c r="P106" i="5"/>
  <c r="O106" i="5"/>
  <c r="N106" i="5"/>
  <c r="S105" i="5"/>
  <c r="R105" i="5"/>
  <c r="Q105" i="5"/>
  <c r="P105" i="5"/>
  <c r="O105" i="5"/>
  <c r="N105" i="5"/>
  <c r="S104" i="5"/>
  <c r="R104" i="5"/>
  <c r="Q104" i="5"/>
  <c r="P104" i="5"/>
  <c r="O104" i="5"/>
  <c r="N104" i="5"/>
  <c r="S103" i="5"/>
  <c r="R103" i="5"/>
  <c r="Q103" i="5"/>
  <c r="P103" i="5"/>
  <c r="O103" i="5"/>
  <c r="N103" i="5"/>
  <c r="S102" i="5"/>
  <c r="R102" i="5"/>
  <c r="Q102" i="5"/>
  <c r="P102" i="5"/>
  <c r="O102" i="5"/>
  <c r="N102" i="5"/>
  <c r="S101" i="5"/>
  <c r="R101" i="5"/>
  <c r="Q101" i="5"/>
  <c r="P101" i="5"/>
  <c r="O101" i="5"/>
  <c r="N101" i="5"/>
  <c r="S100" i="5"/>
  <c r="R100" i="5"/>
  <c r="Q100" i="5"/>
  <c r="P100" i="5"/>
  <c r="O100" i="5"/>
  <c r="N100" i="5"/>
  <c r="S99" i="5"/>
  <c r="R99" i="5"/>
  <c r="Q99" i="5"/>
  <c r="P99" i="5"/>
  <c r="O99" i="5"/>
  <c r="N99" i="5"/>
  <c r="S98" i="5"/>
  <c r="R98" i="5"/>
  <c r="Q98" i="5"/>
  <c r="P98" i="5"/>
  <c r="O98" i="5"/>
  <c r="N98" i="5"/>
  <c r="S97" i="5"/>
  <c r="R97" i="5"/>
  <c r="Q97" i="5"/>
  <c r="P97" i="5"/>
  <c r="O97" i="5"/>
  <c r="N97" i="5"/>
  <c r="S96" i="5"/>
  <c r="R96" i="5"/>
  <c r="Q96" i="5"/>
  <c r="P96" i="5"/>
  <c r="O96" i="5"/>
  <c r="N96" i="5"/>
  <c r="S95" i="5"/>
  <c r="R95" i="5"/>
  <c r="Q95" i="5"/>
  <c r="P95" i="5"/>
  <c r="O95" i="5"/>
  <c r="N95" i="5"/>
  <c r="S94" i="5"/>
  <c r="R94" i="5"/>
  <c r="Q94" i="5"/>
  <c r="P94" i="5"/>
  <c r="O94" i="5"/>
  <c r="N94" i="5"/>
  <c r="S93" i="5"/>
  <c r="R93" i="5"/>
  <c r="Q93" i="5"/>
  <c r="P93" i="5"/>
  <c r="O93" i="5"/>
  <c r="N93" i="5"/>
  <c r="S92" i="5"/>
  <c r="R92" i="5"/>
  <c r="Q92" i="5"/>
  <c r="P92" i="5"/>
  <c r="O92" i="5"/>
  <c r="N92" i="5"/>
  <c r="S91" i="5"/>
  <c r="R91" i="5"/>
  <c r="Q91" i="5"/>
  <c r="P91" i="5"/>
  <c r="O91" i="5"/>
  <c r="N91" i="5"/>
  <c r="S90" i="5"/>
  <c r="R90" i="5"/>
  <c r="Q90" i="5"/>
  <c r="P90" i="5"/>
  <c r="O90" i="5"/>
  <c r="N90" i="5"/>
  <c r="S89" i="5"/>
  <c r="R89" i="5"/>
  <c r="Q89" i="5"/>
  <c r="P89" i="5"/>
  <c r="O89" i="5"/>
  <c r="N89" i="5"/>
  <c r="S88" i="5"/>
  <c r="R88" i="5"/>
  <c r="Q88" i="5"/>
  <c r="P88" i="5"/>
  <c r="O88" i="5"/>
  <c r="N88" i="5"/>
  <c r="S87" i="5"/>
  <c r="R87" i="5"/>
  <c r="Q87" i="5"/>
  <c r="P87" i="5"/>
  <c r="O87" i="5"/>
  <c r="N87" i="5"/>
  <c r="S86" i="5"/>
  <c r="R86" i="5"/>
  <c r="Q86" i="5"/>
  <c r="P86" i="5"/>
  <c r="O86" i="5"/>
  <c r="N86" i="5"/>
  <c r="S85" i="5"/>
  <c r="R85" i="5"/>
  <c r="Q85" i="5"/>
  <c r="P85" i="5"/>
  <c r="O85" i="5"/>
  <c r="N85" i="5"/>
  <c r="S84" i="5"/>
  <c r="R84" i="5"/>
  <c r="Q84" i="5"/>
  <c r="P84" i="5"/>
  <c r="O84" i="5"/>
  <c r="N84" i="5"/>
  <c r="S83" i="5"/>
  <c r="R83" i="5"/>
  <c r="Q83" i="5"/>
  <c r="P83" i="5"/>
  <c r="O83" i="5"/>
  <c r="N83" i="5"/>
  <c r="S82" i="5"/>
  <c r="R82" i="5"/>
  <c r="Q82" i="5"/>
  <c r="P82" i="5"/>
  <c r="O82" i="5"/>
  <c r="N82" i="5"/>
  <c r="S81" i="5"/>
  <c r="R81" i="5"/>
  <c r="Q81" i="5"/>
  <c r="P81" i="5"/>
  <c r="O81" i="5"/>
  <c r="N81" i="5"/>
  <c r="S80" i="5"/>
  <c r="R80" i="5"/>
  <c r="Q80" i="5"/>
  <c r="P80" i="5"/>
  <c r="O80" i="5"/>
  <c r="N80" i="5"/>
  <c r="S79" i="5"/>
  <c r="R79" i="5"/>
  <c r="Q79" i="5"/>
  <c r="P79" i="5"/>
  <c r="O79" i="5"/>
  <c r="N79" i="5"/>
  <c r="S78" i="5"/>
  <c r="R78" i="5"/>
  <c r="Q78" i="5"/>
  <c r="P78" i="5"/>
  <c r="O78" i="5"/>
  <c r="N78" i="5"/>
  <c r="S77" i="5"/>
  <c r="R77" i="5"/>
  <c r="Q77" i="5"/>
  <c r="P77" i="5"/>
  <c r="O77" i="5"/>
  <c r="N77" i="5"/>
  <c r="S76" i="5"/>
  <c r="R76" i="5"/>
  <c r="Q76" i="5"/>
  <c r="P76" i="5"/>
  <c r="O76" i="5"/>
  <c r="N76" i="5"/>
  <c r="S75" i="5"/>
  <c r="R75" i="5"/>
  <c r="Q75" i="5"/>
  <c r="P75" i="5"/>
  <c r="O75" i="5"/>
  <c r="N75" i="5"/>
  <c r="S74" i="5"/>
  <c r="R74" i="5"/>
  <c r="Q74" i="5"/>
  <c r="P74" i="5"/>
  <c r="O74" i="5"/>
  <c r="N74" i="5"/>
  <c r="S73" i="5"/>
  <c r="R73" i="5"/>
  <c r="Q73" i="5"/>
  <c r="P73" i="5"/>
  <c r="O73" i="5"/>
  <c r="N73" i="5"/>
  <c r="S72" i="5"/>
  <c r="R72" i="5"/>
  <c r="Q72" i="5"/>
  <c r="P72" i="5"/>
  <c r="O72" i="5"/>
  <c r="N72" i="5"/>
  <c r="S71" i="5"/>
  <c r="R71" i="5"/>
  <c r="Q71" i="5"/>
  <c r="P71" i="5"/>
  <c r="O71" i="5"/>
  <c r="N71" i="5"/>
  <c r="S70" i="5"/>
  <c r="R70" i="5"/>
  <c r="Q70" i="5"/>
  <c r="P70" i="5"/>
  <c r="O70" i="5"/>
  <c r="N70" i="5"/>
  <c r="S69" i="5"/>
  <c r="R69" i="5"/>
  <c r="Q69" i="5"/>
  <c r="P69" i="5"/>
  <c r="O69" i="5"/>
  <c r="N69" i="5"/>
  <c r="S68" i="5"/>
  <c r="R68" i="5"/>
  <c r="Q68" i="5"/>
  <c r="P68" i="5"/>
  <c r="O68" i="5"/>
  <c r="N68" i="5"/>
  <c r="S67" i="5"/>
  <c r="R67" i="5"/>
  <c r="Q67" i="5"/>
  <c r="P67" i="5"/>
  <c r="O67" i="5"/>
  <c r="N67" i="5"/>
  <c r="S66" i="5"/>
  <c r="R66" i="5"/>
  <c r="Q66" i="5"/>
  <c r="P66" i="5"/>
  <c r="O66" i="5"/>
  <c r="N66" i="5"/>
  <c r="S65" i="5"/>
  <c r="R65" i="5"/>
  <c r="Q65" i="5"/>
  <c r="P65" i="5"/>
  <c r="O65" i="5"/>
  <c r="N65" i="5"/>
  <c r="S64" i="5"/>
  <c r="R64" i="5"/>
  <c r="Q64" i="5"/>
  <c r="P64" i="5"/>
  <c r="O64" i="5"/>
  <c r="N64" i="5"/>
  <c r="S63" i="5"/>
  <c r="R63" i="5"/>
  <c r="Q63" i="5"/>
  <c r="P63" i="5"/>
  <c r="O63" i="5"/>
  <c r="N63" i="5"/>
  <c r="S62" i="5"/>
  <c r="R62" i="5"/>
  <c r="Q62" i="5"/>
  <c r="P62" i="5"/>
  <c r="O62" i="5"/>
  <c r="N62" i="5"/>
  <c r="S61" i="5"/>
  <c r="R61" i="5"/>
  <c r="Q61" i="5"/>
  <c r="P61" i="5"/>
  <c r="O61" i="5"/>
  <c r="N61" i="5"/>
  <c r="S60" i="5"/>
  <c r="R60" i="5"/>
  <c r="Q60" i="5"/>
  <c r="P60" i="5"/>
  <c r="O60" i="5"/>
  <c r="N60" i="5"/>
  <c r="S59" i="5"/>
  <c r="R59" i="5"/>
  <c r="Q59" i="5"/>
  <c r="P59" i="5"/>
  <c r="O59" i="5"/>
  <c r="N59" i="5"/>
  <c r="S58" i="5"/>
  <c r="R58" i="5"/>
  <c r="Q58" i="5"/>
  <c r="P58" i="5"/>
  <c r="O58" i="5"/>
  <c r="N58" i="5"/>
  <c r="S57" i="5"/>
  <c r="R57" i="5"/>
  <c r="Q57" i="5"/>
  <c r="P57" i="5"/>
  <c r="O57" i="5"/>
  <c r="N57" i="5"/>
  <c r="S56" i="5"/>
  <c r="R56" i="5"/>
  <c r="Q56" i="5"/>
  <c r="P56" i="5"/>
  <c r="O56" i="5"/>
  <c r="N56" i="5"/>
  <c r="S55" i="5"/>
  <c r="R55" i="5"/>
  <c r="Q55" i="5"/>
  <c r="P55" i="5"/>
  <c r="O55" i="5"/>
  <c r="N55" i="5"/>
  <c r="S54" i="5"/>
  <c r="R54" i="5"/>
  <c r="Q54" i="5"/>
  <c r="P54" i="5"/>
  <c r="O54" i="5"/>
  <c r="N54" i="5"/>
  <c r="S53" i="5"/>
  <c r="R53" i="5"/>
  <c r="Q53" i="5"/>
  <c r="P53" i="5"/>
  <c r="O53" i="5"/>
  <c r="N53" i="5"/>
  <c r="S52" i="5"/>
  <c r="R52" i="5"/>
  <c r="Q52" i="5"/>
  <c r="P52" i="5"/>
  <c r="O52" i="5"/>
  <c r="N52" i="5"/>
  <c r="S51" i="5"/>
  <c r="R51" i="5"/>
  <c r="Q51" i="5"/>
  <c r="P51" i="5"/>
  <c r="O51" i="5"/>
  <c r="N51" i="5"/>
  <c r="S50" i="5"/>
  <c r="R50" i="5"/>
  <c r="Q50" i="5"/>
  <c r="P50" i="5"/>
  <c r="O50" i="5"/>
  <c r="N50" i="5"/>
  <c r="S49" i="5"/>
  <c r="R49" i="5"/>
  <c r="Q49" i="5"/>
  <c r="P49" i="5"/>
  <c r="O49" i="5"/>
  <c r="N49" i="5"/>
  <c r="S48" i="5"/>
  <c r="R48" i="5"/>
  <c r="Q48" i="5"/>
  <c r="P48" i="5"/>
  <c r="O48" i="5"/>
  <c r="N48" i="5"/>
  <c r="S47" i="5"/>
  <c r="R47" i="5"/>
  <c r="Q47" i="5"/>
  <c r="P47" i="5"/>
  <c r="O47" i="5"/>
  <c r="N47" i="5"/>
  <c r="S46" i="5"/>
  <c r="R46" i="5"/>
  <c r="Q46" i="5"/>
  <c r="P46" i="5"/>
  <c r="O46" i="5"/>
  <c r="N46" i="5"/>
  <c r="S45" i="5"/>
  <c r="R45" i="5"/>
  <c r="Q45" i="5"/>
  <c r="P45" i="5"/>
  <c r="O45" i="5"/>
  <c r="N45" i="5"/>
  <c r="S44" i="5"/>
  <c r="R44" i="5"/>
  <c r="Q44" i="5"/>
  <c r="P44" i="5"/>
  <c r="O44" i="5"/>
  <c r="N44" i="5"/>
  <c r="S43" i="5"/>
  <c r="R43" i="5"/>
  <c r="Q43" i="5"/>
  <c r="P43" i="5"/>
  <c r="O43" i="5"/>
  <c r="N43" i="5"/>
  <c r="S42" i="5"/>
  <c r="R42" i="5"/>
  <c r="Q42" i="5"/>
  <c r="P42" i="5"/>
  <c r="O42" i="5"/>
  <c r="N42" i="5"/>
  <c r="S41" i="5"/>
  <c r="R41" i="5"/>
  <c r="Q41" i="5"/>
  <c r="P41" i="5"/>
  <c r="O41" i="5"/>
  <c r="N41" i="5"/>
  <c r="S40" i="5"/>
  <c r="R40" i="5"/>
  <c r="Q40" i="5"/>
  <c r="P40" i="5"/>
  <c r="O40" i="5"/>
  <c r="N40" i="5"/>
  <c r="S39" i="5"/>
  <c r="R39" i="5"/>
  <c r="Q39" i="5"/>
  <c r="P39" i="5"/>
  <c r="O39" i="5"/>
  <c r="N39" i="5"/>
  <c r="S38" i="5"/>
  <c r="R38" i="5"/>
  <c r="Q38" i="5"/>
  <c r="P38" i="5"/>
  <c r="O38" i="5"/>
  <c r="N38" i="5"/>
  <c r="S37" i="5"/>
  <c r="R37" i="5"/>
  <c r="Q37" i="5"/>
  <c r="P37" i="5"/>
  <c r="O37" i="5"/>
  <c r="N37" i="5"/>
  <c r="S36" i="5"/>
  <c r="R36" i="5"/>
  <c r="Q36" i="5"/>
  <c r="P36" i="5"/>
  <c r="O36" i="5"/>
  <c r="N36" i="5"/>
  <c r="S35" i="5"/>
  <c r="R35" i="5"/>
  <c r="Q35" i="5"/>
  <c r="P35" i="5"/>
  <c r="O35" i="5"/>
  <c r="N35" i="5"/>
  <c r="S34" i="5"/>
  <c r="R34" i="5"/>
  <c r="Q34" i="5"/>
  <c r="P34" i="5"/>
  <c r="O34" i="5"/>
  <c r="N34" i="5"/>
  <c r="S33" i="5"/>
  <c r="R33" i="5"/>
  <c r="Q33" i="5"/>
  <c r="P33" i="5"/>
  <c r="O33" i="5"/>
  <c r="N33" i="5"/>
  <c r="S32" i="5"/>
  <c r="R32" i="5"/>
  <c r="Q32" i="5"/>
  <c r="P32" i="5"/>
  <c r="O32" i="5"/>
  <c r="N32" i="5"/>
  <c r="S31" i="5"/>
  <c r="R31" i="5"/>
  <c r="Q31" i="5"/>
  <c r="P31" i="5"/>
  <c r="O31" i="5"/>
  <c r="N31" i="5"/>
  <c r="S30" i="5"/>
  <c r="R30" i="5"/>
  <c r="Q30" i="5"/>
  <c r="P30" i="5"/>
  <c r="O30" i="5"/>
  <c r="N30" i="5"/>
  <c r="S29" i="5"/>
  <c r="R29" i="5"/>
  <c r="Q29" i="5"/>
  <c r="P29" i="5"/>
  <c r="O29" i="5"/>
  <c r="N29" i="5"/>
  <c r="S28" i="5"/>
  <c r="R28" i="5"/>
  <c r="Q28" i="5"/>
  <c r="P28" i="5"/>
  <c r="O28" i="5"/>
  <c r="N28" i="5"/>
  <c r="S27" i="5"/>
  <c r="R27" i="5"/>
  <c r="Q27" i="5"/>
  <c r="P27" i="5"/>
  <c r="O27" i="5"/>
  <c r="N27" i="5"/>
  <c r="S26" i="5"/>
  <c r="R26" i="5"/>
  <c r="Q26" i="5"/>
  <c r="P26" i="5"/>
  <c r="O26" i="5"/>
  <c r="N26" i="5"/>
  <c r="S25" i="5"/>
  <c r="R25" i="5"/>
  <c r="Q25" i="5"/>
  <c r="P25" i="5"/>
  <c r="O25" i="5"/>
  <c r="N25" i="5"/>
  <c r="S24" i="5"/>
  <c r="R24" i="5"/>
  <c r="Q24" i="5"/>
  <c r="P24" i="5"/>
  <c r="O24" i="5"/>
  <c r="N24" i="5"/>
  <c r="S23" i="5"/>
  <c r="R23" i="5"/>
  <c r="Q23" i="5"/>
  <c r="P23" i="5"/>
  <c r="O23" i="5"/>
  <c r="N23" i="5"/>
  <c r="S22" i="5"/>
  <c r="R22" i="5"/>
  <c r="Q22" i="5"/>
  <c r="P22" i="5"/>
  <c r="O22" i="5"/>
  <c r="N22" i="5"/>
  <c r="S21" i="5"/>
  <c r="R21" i="5"/>
  <c r="Q21" i="5"/>
  <c r="P21" i="5"/>
  <c r="O21" i="5"/>
  <c r="N21" i="5"/>
  <c r="S20" i="5"/>
  <c r="R20" i="5"/>
  <c r="Q20" i="5"/>
  <c r="P20" i="5"/>
  <c r="O20" i="5"/>
  <c r="N20" i="5"/>
  <c r="S19" i="5"/>
  <c r="R19" i="5"/>
  <c r="Q19" i="5"/>
  <c r="P19" i="5"/>
  <c r="O19" i="5"/>
  <c r="N19" i="5"/>
  <c r="S18" i="5"/>
  <c r="R18" i="5"/>
  <c r="Q18" i="5"/>
  <c r="P18" i="5"/>
  <c r="O18" i="5"/>
  <c r="N18" i="5"/>
  <c r="S17" i="5"/>
  <c r="R17" i="5"/>
  <c r="Q17" i="5"/>
  <c r="P17" i="5"/>
  <c r="O17" i="5"/>
  <c r="N17" i="5"/>
  <c r="S16" i="5"/>
  <c r="R16" i="5"/>
  <c r="Q16" i="5"/>
  <c r="P16" i="5"/>
  <c r="O16" i="5"/>
  <c r="N16" i="5"/>
  <c r="S15" i="5"/>
  <c r="R15" i="5"/>
  <c r="Q15" i="5"/>
  <c r="P15" i="5"/>
  <c r="O15" i="5"/>
  <c r="N15" i="5"/>
  <c r="S14" i="5"/>
  <c r="R14" i="5"/>
  <c r="Q14" i="5"/>
  <c r="P14" i="5"/>
  <c r="O14" i="5"/>
  <c r="N14" i="5"/>
  <c r="S13" i="5"/>
  <c r="R13" i="5"/>
  <c r="Q13" i="5"/>
  <c r="P13" i="5"/>
  <c r="O13" i="5"/>
  <c r="N13" i="5"/>
  <c r="S12" i="5"/>
  <c r="R12" i="5"/>
  <c r="Q12" i="5"/>
  <c r="P12" i="5"/>
  <c r="O12" i="5"/>
  <c r="N12" i="5"/>
  <c r="S11" i="5"/>
  <c r="R11" i="5"/>
  <c r="Q11" i="5"/>
  <c r="P11" i="5"/>
  <c r="O11" i="5"/>
  <c r="N11" i="5"/>
  <c r="S10" i="5"/>
  <c r="R10" i="5"/>
  <c r="Q10" i="5"/>
  <c r="P10" i="5"/>
  <c r="O10" i="5"/>
  <c r="N10" i="5"/>
  <c r="S9" i="5"/>
  <c r="R9" i="5"/>
  <c r="Q9" i="5"/>
  <c r="P9" i="5"/>
  <c r="O9" i="5"/>
  <c r="N9" i="5"/>
  <c r="S8" i="5"/>
  <c r="Q8" i="5"/>
  <c r="R8" i="5" s="1"/>
  <c r="P8" i="5"/>
  <c r="O8" i="5"/>
  <c r="N8" i="5"/>
  <c r="V7" i="5"/>
  <c r="S7" i="5"/>
  <c r="R7" i="5"/>
  <c r="Q7" i="5"/>
  <c r="P7" i="5"/>
  <c r="O7" i="5"/>
  <c r="N7" i="5"/>
  <c r="S6" i="5"/>
  <c r="Q6" i="5"/>
  <c r="R6" i="5" s="1"/>
  <c r="P6" i="5"/>
  <c r="O6" i="5"/>
  <c r="N6" i="5"/>
  <c r="V5" i="5"/>
  <c r="S5" i="5"/>
  <c r="R5" i="5"/>
  <c r="Q5" i="5"/>
  <c r="P5" i="5"/>
  <c r="O5" i="5"/>
  <c r="N5" i="5"/>
  <c r="D26" i="1"/>
  <c r="Q4" i="5"/>
  <c r="R4" i="5" s="1"/>
  <c r="D28" i="1" s="1"/>
  <c r="P4" i="5"/>
  <c r="O4" i="5"/>
  <c r="D24" i="1" s="1"/>
  <c r="N4" i="5"/>
  <c r="V3" i="5"/>
  <c r="C15" i="4"/>
  <c r="C14" i="4"/>
  <c r="C13" i="4"/>
  <c r="C12" i="4"/>
  <c r="C11" i="4"/>
  <c r="C10" i="4"/>
  <c r="L1224" i="3"/>
  <c r="L1223" i="3"/>
  <c r="L1222" i="3"/>
  <c r="L1221" i="3"/>
  <c r="L1220" i="3"/>
  <c r="L1219" i="3"/>
  <c r="L1218" i="3"/>
  <c r="L1217" i="3"/>
  <c r="L1216" i="3"/>
  <c r="L1215" i="3"/>
  <c r="L1214" i="3"/>
  <c r="L1213" i="3"/>
  <c r="L1212" i="3"/>
  <c r="L1211" i="3"/>
  <c r="L1210" i="3"/>
  <c r="L1209" i="3"/>
  <c r="L1208" i="3"/>
  <c r="L1207" i="3"/>
  <c r="L1206" i="3"/>
  <c r="L1205" i="3"/>
  <c r="L1204" i="3"/>
  <c r="L1203" i="3"/>
  <c r="L1202" i="3"/>
  <c r="L1201" i="3"/>
  <c r="L1200" i="3"/>
  <c r="L1199" i="3"/>
  <c r="L1198" i="3"/>
  <c r="L1197" i="3"/>
  <c r="L1196" i="3"/>
  <c r="L1195" i="3"/>
  <c r="L1194" i="3"/>
  <c r="L1193" i="3"/>
  <c r="L1192" i="3"/>
  <c r="L1191" i="3"/>
  <c r="L1190" i="3"/>
  <c r="L1189" i="3"/>
  <c r="L1188" i="3"/>
  <c r="L1187" i="3"/>
  <c r="L1186" i="3"/>
  <c r="L1185" i="3"/>
  <c r="L1184" i="3"/>
  <c r="L1183" i="3"/>
  <c r="L1182" i="3"/>
  <c r="L1181" i="3"/>
  <c r="L1180" i="3"/>
  <c r="L1179" i="3"/>
  <c r="L1178" i="3"/>
  <c r="L1177" i="3"/>
  <c r="L1176" i="3"/>
  <c r="L1175" i="3"/>
  <c r="L1174" i="3"/>
  <c r="L1173" i="3"/>
  <c r="L1172" i="3"/>
  <c r="L1171" i="3"/>
  <c r="L1170" i="3"/>
  <c r="L1169" i="3"/>
  <c r="L1168" i="3"/>
  <c r="L1167" i="3"/>
  <c r="L1166" i="3"/>
  <c r="L1165" i="3"/>
  <c r="L1164" i="3"/>
  <c r="L1163" i="3"/>
  <c r="L1162" i="3"/>
  <c r="L1161" i="3"/>
  <c r="L1160" i="3"/>
  <c r="L1159" i="3"/>
  <c r="L1158" i="3"/>
  <c r="L1157" i="3"/>
  <c r="L1156" i="3"/>
  <c r="L1155" i="3"/>
  <c r="L1154" i="3"/>
  <c r="L1153" i="3"/>
  <c r="L1152" i="3"/>
  <c r="L1151" i="3"/>
  <c r="L1150" i="3"/>
  <c r="L1149" i="3"/>
  <c r="L1148" i="3"/>
  <c r="L1147" i="3"/>
  <c r="L1146" i="3"/>
  <c r="L1145" i="3"/>
  <c r="L1144" i="3"/>
  <c r="L1143" i="3"/>
  <c r="L1142" i="3"/>
  <c r="L1141" i="3"/>
  <c r="L1140" i="3"/>
  <c r="L1139" i="3"/>
  <c r="L1138" i="3"/>
  <c r="L1137" i="3"/>
  <c r="L1136" i="3"/>
  <c r="L1135" i="3"/>
  <c r="L1134" i="3"/>
  <c r="L1133" i="3"/>
  <c r="L1132" i="3"/>
  <c r="L1131" i="3"/>
  <c r="L1130" i="3"/>
  <c r="L1129" i="3"/>
  <c r="L1128" i="3"/>
  <c r="L1127" i="3"/>
  <c r="L1126" i="3"/>
  <c r="L1125" i="3"/>
  <c r="L1124" i="3"/>
  <c r="L1123" i="3"/>
  <c r="L1122" i="3"/>
  <c r="L1121" i="3"/>
  <c r="L1120" i="3"/>
  <c r="L1119" i="3"/>
  <c r="L1118" i="3"/>
  <c r="L1117" i="3"/>
  <c r="L1116" i="3"/>
  <c r="L1115" i="3"/>
  <c r="L1114" i="3"/>
  <c r="L1113" i="3"/>
  <c r="L1112" i="3"/>
  <c r="L1111" i="3"/>
  <c r="L1110" i="3"/>
  <c r="L1109" i="3"/>
  <c r="L1108" i="3"/>
  <c r="L1107" i="3"/>
  <c r="L1106" i="3"/>
  <c r="L1105" i="3"/>
  <c r="L1104" i="3"/>
  <c r="L1103" i="3"/>
  <c r="L1102" i="3"/>
  <c r="L1101" i="3"/>
  <c r="L1100" i="3"/>
  <c r="L1099" i="3"/>
  <c r="L1098" i="3"/>
  <c r="L1097" i="3"/>
  <c r="L1096" i="3"/>
  <c r="L1095" i="3"/>
  <c r="L1094" i="3"/>
  <c r="L1093" i="3"/>
  <c r="L1092" i="3"/>
  <c r="L1091" i="3"/>
  <c r="L1090" i="3"/>
  <c r="L1089" i="3"/>
  <c r="L1088" i="3"/>
  <c r="L1087" i="3"/>
  <c r="L1086" i="3"/>
  <c r="L1085" i="3"/>
  <c r="L1084" i="3"/>
  <c r="L1083" i="3"/>
  <c r="L1082" i="3"/>
  <c r="L1081" i="3"/>
  <c r="L1080" i="3"/>
  <c r="L1079" i="3"/>
  <c r="L1078" i="3"/>
  <c r="L1077" i="3"/>
  <c r="L1076" i="3"/>
  <c r="L1075" i="3"/>
  <c r="L1074" i="3"/>
  <c r="L1073" i="3"/>
  <c r="L1072" i="3"/>
  <c r="L1071" i="3"/>
  <c r="L1070" i="3"/>
  <c r="L1069" i="3"/>
  <c r="L1068" i="3"/>
  <c r="L1067" i="3"/>
  <c r="L1066" i="3"/>
  <c r="L1065" i="3"/>
  <c r="L1064" i="3"/>
  <c r="L1063" i="3"/>
  <c r="L1062" i="3"/>
  <c r="L1061" i="3"/>
  <c r="L1060" i="3"/>
  <c r="L1059" i="3"/>
  <c r="L1058" i="3"/>
  <c r="L1057" i="3"/>
  <c r="L1056" i="3"/>
  <c r="L1055" i="3"/>
  <c r="L1054" i="3"/>
  <c r="L1053" i="3"/>
  <c r="L1052" i="3"/>
  <c r="L1051" i="3"/>
  <c r="L1050" i="3"/>
  <c r="L1049" i="3"/>
  <c r="L1048" i="3"/>
  <c r="L1047" i="3"/>
  <c r="L1046" i="3"/>
  <c r="L1045" i="3"/>
  <c r="L1044" i="3"/>
  <c r="L1043" i="3"/>
  <c r="L1042" i="3"/>
  <c r="L1041" i="3"/>
  <c r="L1040" i="3"/>
  <c r="L1039" i="3"/>
  <c r="L1038" i="3"/>
  <c r="L1037" i="3"/>
  <c r="L1036" i="3"/>
  <c r="L1035" i="3"/>
  <c r="L1034" i="3"/>
  <c r="L1033" i="3"/>
  <c r="L1032" i="3"/>
  <c r="L1031" i="3"/>
  <c r="L1030" i="3"/>
  <c r="L1029" i="3"/>
  <c r="L1028" i="3"/>
  <c r="L1027" i="3"/>
  <c r="L1026" i="3"/>
  <c r="L1025" i="3"/>
  <c r="L1024" i="3"/>
  <c r="L1023" i="3"/>
  <c r="L1022" i="3"/>
  <c r="L1021" i="3"/>
  <c r="L1020" i="3"/>
  <c r="L1019" i="3"/>
  <c r="L1018" i="3"/>
  <c r="L1017" i="3"/>
  <c r="L1016" i="3"/>
  <c r="L1015" i="3"/>
  <c r="L1014" i="3"/>
  <c r="L1013" i="3"/>
  <c r="L1012" i="3"/>
  <c r="L1011" i="3"/>
  <c r="L1010" i="3"/>
  <c r="L1009" i="3"/>
  <c r="L1008" i="3"/>
  <c r="L1007" i="3"/>
  <c r="L1006" i="3"/>
  <c r="L1005" i="3"/>
  <c r="L1004" i="3"/>
  <c r="L1003" i="3"/>
  <c r="L1002" i="3"/>
  <c r="L1001" i="3"/>
  <c r="L1000" i="3"/>
  <c r="L999" i="3"/>
  <c r="L998" i="3"/>
  <c r="L997" i="3"/>
  <c r="L996" i="3"/>
  <c r="L995" i="3"/>
  <c r="L994" i="3"/>
  <c r="L993" i="3"/>
  <c r="L992" i="3"/>
  <c r="L991" i="3"/>
  <c r="L990" i="3"/>
  <c r="L989" i="3"/>
  <c r="L988" i="3"/>
  <c r="L987" i="3"/>
  <c r="L986" i="3"/>
  <c r="L985" i="3"/>
  <c r="L984" i="3"/>
  <c r="L983" i="3"/>
  <c r="L982" i="3"/>
  <c r="L981" i="3"/>
  <c r="L980" i="3"/>
  <c r="L979" i="3"/>
  <c r="L978" i="3"/>
  <c r="L977" i="3"/>
  <c r="L976" i="3"/>
  <c r="L975" i="3"/>
  <c r="L974" i="3"/>
  <c r="L973" i="3"/>
  <c r="L972" i="3"/>
  <c r="L971" i="3"/>
  <c r="L970" i="3"/>
  <c r="L969" i="3"/>
  <c r="L968" i="3"/>
  <c r="L967" i="3"/>
  <c r="L966" i="3"/>
  <c r="L965" i="3"/>
  <c r="L964" i="3"/>
  <c r="L963" i="3"/>
  <c r="L962" i="3"/>
  <c r="L961" i="3"/>
  <c r="L960" i="3"/>
  <c r="L959" i="3"/>
  <c r="L958" i="3"/>
  <c r="L957" i="3"/>
  <c r="L956" i="3"/>
  <c r="L955" i="3"/>
  <c r="L954" i="3"/>
  <c r="L953" i="3"/>
  <c r="L952" i="3"/>
  <c r="L951" i="3"/>
  <c r="L950" i="3"/>
  <c r="L949" i="3"/>
  <c r="L948" i="3"/>
  <c r="L947" i="3"/>
  <c r="L946" i="3"/>
  <c r="L945" i="3"/>
  <c r="L944" i="3"/>
  <c r="L943" i="3"/>
  <c r="L942" i="3"/>
  <c r="L941" i="3"/>
  <c r="L940" i="3"/>
  <c r="L939" i="3"/>
  <c r="L938" i="3"/>
  <c r="L937" i="3"/>
  <c r="L936" i="3"/>
  <c r="L935" i="3"/>
  <c r="L934" i="3"/>
  <c r="L933" i="3"/>
  <c r="L932" i="3"/>
  <c r="L931" i="3"/>
  <c r="L930" i="3"/>
  <c r="L929" i="3"/>
  <c r="L928" i="3"/>
  <c r="L927" i="3"/>
  <c r="L926" i="3"/>
  <c r="L925" i="3"/>
  <c r="L924" i="3"/>
  <c r="L923" i="3"/>
  <c r="L922" i="3"/>
  <c r="L921" i="3"/>
  <c r="L920" i="3"/>
  <c r="L919" i="3"/>
  <c r="L918" i="3"/>
  <c r="L917" i="3"/>
  <c r="L916" i="3"/>
  <c r="L915" i="3"/>
  <c r="L914" i="3"/>
  <c r="L913" i="3"/>
  <c r="L912" i="3"/>
  <c r="L911" i="3"/>
  <c r="L910" i="3"/>
  <c r="L909" i="3"/>
  <c r="L908" i="3"/>
  <c r="L907" i="3"/>
  <c r="L906" i="3"/>
  <c r="L905" i="3"/>
  <c r="L904" i="3"/>
  <c r="L903" i="3"/>
  <c r="L902" i="3"/>
  <c r="L901" i="3"/>
  <c r="L900" i="3"/>
  <c r="L899" i="3"/>
  <c r="L898" i="3"/>
  <c r="L897" i="3"/>
  <c r="L896" i="3"/>
  <c r="L895" i="3"/>
  <c r="L894" i="3"/>
  <c r="L893" i="3"/>
  <c r="L892" i="3"/>
  <c r="L891" i="3"/>
  <c r="L890" i="3"/>
  <c r="L889" i="3"/>
  <c r="L888" i="3"/>
  <c r="L887" i="3"/>
  <c r="L886" i="3"/>
  <c r="L885" i="3"/>
  <c r="L884" i="3"/>
  <c r="L883" i="3"/>
  <c r="L882" i="3"/>
  <c r="L881" i="3"/>
  <c r="L880" i="3"/>
  <c r="L879" i="3"/>
  <c r="L878" i="3"/>
  <c r="L877" i="3"/>
  <c r="L876" i="3"/>
  <c r="L875" i="3"/>
  <c r="L874" i="3"/>
  <c r="L873" i="3"/>
  <c r="L872" i="3"/>
  <c r="L871" i="3"/>
  <c r="L870" i="3"/>
  <c r="L869" i="3"/>
  <c r="L868" i="3"/>
  <c r="L867" i="3"/>
  <c r="L866" i="3"/>
  <c r="L865" i="3"/>
  <c r="L864" i="3"/>
  <c r="L863" i="3"/>
  <c r="L862" i="3"/>
  <c r="L861" i="3"/>
  <c r="L860" i="3"/>
  <c r="L859" i="3"/>
  <c r="L858" i="3"/>
  <c r="L857" i="3"/>
  <c r="L856" i="3"/>
  <c r="L855" i="3"/>
  <c r="L854" i="3"/>
  <c r="L853" i="3"/>
  <c r="L852" i="3"/>
  <c r="L851" i="3"/>
  <c r="L850" i="3"/>
  <c r="L849" i="3"/>
  <c r="L848" i="3"/>
  <c r="L847" i="3"/>
  <c r="L846" i="3"/>
  <c r="L845" i="3"/>
  <c r="L844" i="3"/>
  <c r="L843" i="3"/>
  <c r="L842" i="3"/>
  <c r="L841" i="3"/>
  <c r="L840" i="3"/>
  <c r="L839" i="3"/>
  <c r="L838" i="3"/>
  <c r="L837" i="3"/>
  <c r="L836" i="3"/>
  <c r="L835" i="3"/>
  <c r="L834" i="3"/>
  <c r="L833" i="3"/>
  <c r="L832" i="3"/>
  <c r="L831" i="3"/>
  <c r="L830" i="3"/>
  <c r="L829" i="3"/>
  <c r="L828" i="3"/>
  <c r="L827" i="3"/>
  <c r="L826" i="3"/>
  <c r="L825" i="3"/>
  <c r="L824" i="3"/>
  <c r="L823" i="3"/>
  <c r="L822" i="3"/>
  <c r="L821" i="3"/>
  <c r="L820" i="3"/>
  <c r="L819" i="3"/>
  <c r="L818" i="3"/>
  <c r="L817" i="3"/>
  <c r="L816" i="3"/>
  <c r="L815" i="3"/>
  <c r="L814" i="3"/>
  <c r="L813" i="3"/>
  <c r="L812" i="3"/>
  <c r="L811" i="3"/>
  <c r="L810" i="3"/>
  <c r="L809" i="3"/>
  <c r="L808" i="3"/>
  <c r="L807" i="3"/>
  <c r="L806" i="3"/>
  <c r="L805" i="3"/>
  <c r="L804" i="3"/>
  <c r="L803" i="3"/>
  <c r="L802" i="3"/>
  <c r="L801" i="3"/>
  <c r="L800" i="3"/>
  <c r="L799" i="3"/>
  <c r="L798" i="3"/>
  <c r="L797" i="3"/>
  <c r="L796" i="3"/>
  <c r="L795" i="3"/>
  <c r="L794" i="3"/>
  <c r="L793" i="3"/>
  <c r="L792" i="3"/>
  <c r="L791" i="3"/>
  <c r="L790" i="3"/>
  <c r="L789" i="3"/>
  <c r="L788" i="3"/>
  <c r="L787" i="3"/>
  <c r="L786" i="3"/>
  <c r="L785" i="3"/>
  <c r="L784" i="3"/>
  <c r="L783" i="3"/>
  <c r="L782" i="3"/>
  <c r="L781" i="3"/>
  <c r="L780" i="3"/>
  <c r="L779" i="3"/>
  <c r="L778" i="3"/>
  <c r="L777" i="3"/>
  <c r="L776" i="3"/>
  <c r="L775" i="3"/>
  <c r="L774" i="3"/>
  <c r="L773" i="3"/>
  <c r="L772" i="3"/>
  <c r="L771" i="3"/>
  <c r="L770" i="3"/>
  <c r="L769" i="3"/>
  <c r="L768" i="3"/>
  <c r="L767" i="3"/>
  <c r="L766" i="3"/>
  <c r="L765" i="3"/>
  <c r="L764" i="3"/>
  <c r="L763" i="3"/>
  <c r="L762" i="3"/>
  <c r="L761" i="3"/>
  <c r="L760" i="3"/>
  <c r="L759" i="3"/>
  <c r="L758" i="3"/>
  <c r="L757" i="3"/>
  <c r="L756" i="3"/>
  <c r="L755" i="3"/>
  <c r="L754" i="3"/>
  <c r="L753" i="3"/>
  <c r="L752" i="3"/>
  <c r="L751" i="3"/>
  <c r="L750" i="3"/>
  <c r="L749" i="3"/>
  <c r="L748" i="3"/>
  <c r="L747" i="3"/>
  <c r="L746" i="3"/>
  <c r="L745" i="3"/>
  <c r="L744" i="3"/>
  <c r="L743" i="3"/>
  <c r="L742" i="3"/>
  <c r="L741" i="3"/>
  <c r="L740" i="3"/>
  <c r="L739" i="3"/>
  <c r="L738" i="3"/>
  <c r="L737" i="3"/>
  <c r="L736" i="3"/>
  <c r="L735" i="3"/>
  <c r="L734" i="3"/>
  <c r="L733" i="3"/>
  <c r="L732" i="3"/>
  <c r="L731" i="3"/>
  <c r="L730" i="3"/>
  <c r="L729" i="3"/>
  <c r="L728" i="3"/>
  <c r="L727" i="3"/>
  <c r="L726" i="3"/>
  <c r="L725" i="3"/>
  <c r="L724" i="3"/>
  <c r="L723" i="3"/>
  <c r="L722" i="3"/>
  <c r="L721" i="3"/>
  <c r="L720" i="3"/>
  <c r="L719" i="3"/>
  <c r="L718" i="3"/>
  <c r="L717" i="3"/>
  <c r="L716" i="3"/>
  <c r="L715" i="3"/>
  <c r="L714" i="3"/>
  <c r="L713" i="3"/>
  <c r="L712" i="3"/>
  <c r="L711" i="3"/>
  <c r="L710" i="3"/>
  <c r="L709" i="3"/>
  <c r="L708" i="3"/>
  <c r="L707" i="3"/>
  <c r="L706" i="3"/>
  <c r="L705" i="3"/>
  <c r="L704" i="3"/>
  <c r="L703" i="3"/>
  <c r="L702" i="3"/>
  <c r="L701" i="3"/>
  <c r="L700" i="3"/>
  <c r="L699" i="3"/>
  <c r="L698" i="3"/>
  <c r="L697" i="3"/>
  <c r="L696" i="3"/>
  <c r="L695" i="3"/>
  <c r="L694" i="3"/>
  <c r="L693" i="3"/>
  <c r="L692" i="3"/>
  <c r="L691" i="3"/>
  <c r="L690" i="3"/>
  <c r="L689" i="3"/>
  <c r="L688" i="3"/>
  <c r="L687" i="3"/>
  <c r="L686" i="3"/>
  <c r="L685" i="3"/>
  <c r="L684" i="3"/>
  <c r="L683" i="3"/>
  <c r="L682" i="3"/>
  <c r="L681" i="3"/>
  <c r="L680" i="3"/>
  <c r="L679" i="3"/>
  <c r="L678" i="3"/>
  <c r="L677" i="3"/>
  <c r="L676" i="3"/>
  <c r="L675" i="3"/>
  <c r="L674" i="3"/>
  <c r="L673" i="3"/>
  <c r="L672" i="3"/>
  <c r="L671" i="3"/>
  <c r="L670" i="3"/>
  <c r="L669" i="3"/>
  <c r="L668" i="3"/>
  <c r="L667" i="3"/>
  <c r="L666" i="3"/>
  <c r="L665" i="3"/>
  <c r="L664" i="3"/>
  <c r="L663" i="3"/>
  <c r="L662" i="3"/>
  <c r="L661" i="3"/>
  <c r="L660" i="3"/>
  <c r="L659" i="3"/>
  <c r="L658" i="3"/>
  <c r="L657" i="3"/>
  <c r="L656" i="3"/>
  <c r="L655" i="3"/>
  <c r="L654" i="3"/>
  <c r="L653" i="3"/>
  <c r="L652" i="3"/>
  <c r="L651" i="3"/>
  <c r="L650" i="3"/>
  <c r="L649" i="3"/>
  <c r="L648" i="3"/>
  <c r="L647" i="3"/>
  <c r="L646" i="3"/>
  <c r="L645" i="3"/>
  <c r="L644" i="3"/>
  <c r="L643" i="3"/>
  <c r="L642" i="3"/>
  <c r="L641" i="3"/>
  <c r="L640" i="3"/>
  <c r="L639" i="3"/>
  <c r="L638" i="3"/>
  <c r="L637" i="3"/>
  <c r="L636" i="3"/>
  <c r="L635" i="3"/>
  <c r="L634" i="3"/>
  <c r="L633" i="3"/>
  <c r="L632" i="3"/>
  <c r="L631" i="3"/>
  <c r="L630" i="3"/>
  <c r="L629" i="3"/>
  <c r="L628" i="3"/>
  <c r="L627" i="3"/>
  <c r="L626" i="3"/>
  <c r="L625" i="3"/>
  <c r="L624" i="3"/>
  <c r="L623" i="3"/>
  <c r="L622" i="3"/>
  <c r="L621" i="3"/>
  <c r="L620" i="3"/>
  <c r="L619" i="3"/>
  <c r="L618" i="3"/>
  <c r="L617" i="3"/>
  <c r="L616" i="3"/>
  <c r="L615" i="3"/>
  <c r="L614" i="3"/>
  <c r="L613" i="3"/>
  <c r="L612" i="3"/>
  <c r="L611" i="3"/>
  <c r="L610" i="3"/>
  <c r="L609" i="3"/>
  <c r="L608" i="3"/>
  <c r="L607" i="3"/>
  <c r="L606" i="3"/>
  <c r="L605" i="3"/>
  <c r="L604" i="3"/>
  <c r="L603" i="3"/>
  <c r="L602" i="3"/>
  <c r="L601" i="3"/>
  <c r="L600" i="3"/>
  <c r="L599" i="3"/>
  <c r="L598" i="3"/>
  <c r="L597" i="3"/>
  <c r="L596" i="3"/>
  <c r="L595" i="3"/>
  <c r="L594" i="3"/>
  <c r="L593" i="3"/>
  <c r="L592" i="3"/>
  <c r="L591" i="3"/>
  <c r="L590" i="3"/>
  <c r="L589" i="3"/>
  <c r="L588" i="3"/>
  <c r="L587" i="3"/>
  <c r="L586" i="3"/>
  <c r="L585" i="3"/>
  <c r="L584" i="3"/>
  <c r="L583" i="3"/>
  <c r="L582" i="3"/>
  <c r="L581" i="3"/>
  <c r="L580" i="3"/>
  <c r="L579" i="3"/>
  <c r="L578" i="3"/>
  <c r="L577" i="3"/>
  <c r="L576" i="3"/>
  <c r="L575" i="3"/>
  <c r="L574" i="3"/>
  <c r="L573" i="3"/>
  <c r="L572" i="3"/>
  <c r="L571" i="3"/>
  <c r="L570" i="3"/>
  <c r="L569" i="3"/>
  <c r="L568" i="3"/>
  <c r="L567" i="3"/>
  <c r="L566" i="3"/>
  <c r="L565" i="3"/>
  <c r="L564" i="3"/>
  <c r="L563" i="3"/>
  <c r="L562" i="3"/>
  <c r="L561" i="3"/>
  <c r="L560" i="3"/>
  <c r="L559" i="3"/>
  <c r="L558" i="3"/>
  <c r="L557" i="3"/>
  <c r="L556" i="3"/>
  <c r="L555" i="3"/>
  <c r="L554" i="3"/>
  <c r="L553" i="3"/>
  <c r="L552" i="3"/>
  <c r="L551" i="3"/>
  <c r="L550" i="3"/>
  <c r="L549" i="3"/>
  <c r="L548" i="3"/>
  <c r="L547" i="3"/>
  <c r="L546" i="3"/>
  <c r="L545" i="3"/>
  <c r="L544" i="3"/>
  <c r="L543" i="3"/>
  <c r="L542" i="3"/>
  <c r="L541" i="3"/>
  <c r="L540" i="3"/>
  <c r="L539" i="3"/>
  <c r="L538" i="3"/>
  <c r="L537" i="3"/>
  <c r="L536" i="3"/>
  <c r="L535" i="3"/>
  <c r="L534" i="3"/>
  <c r="L533" i="3"/>
  <c r="L532" i="3"/>
  <c r="L531" i="3"/>
  <c r="L530" i="3"/>
  <c r="L529" i="3"/>
  <c r="L528" i="3"/>
  <c r="L527" i="3"/>
  <c r="L526" i="3"/>
  <c r="L525" i="3"/>
  <c r="L524" i="3"/>
  <c r="L523" i="3"/>
  <c r="L522" i="3"/>
  <c r="L521" i="3"/>
  <c r="L520" i="3"/>
  <c r="L519" i="3"/>
  <c r="L518" i="3"/>
  <c r="L517" i="3"/>
  <c r="L516" i="3"/>
  <c r="L515" i="3"/>
  <c r="L514" i="3"/>
  <c r="L513" i="3"/>
  <c r="L512" i="3"/>
  <c r="L511" i="3"/>
  <c r="L510" i="3"/>
  <c r="L509" i="3"/>
  <c r="L508" i="3"/>
  <c r="L507" i="3"/>
  <c r="L506" i="3"/>
  <c r="L505" i="3"/>
  <c r="L504" i="3"/>
  <c r="L503" i="3"/>
  <c r="L502" i="3"/>
  <c r="L501" i="3"/>
  <c r="L500" i="3"/>
  <c r="L499" i="3"/>
  <c r="L498" i="3"/>
  <c r="L497" i="3"/>
  <c r="L496" i="3"/>
  <c r="L495" i="3"/>
  <c r="L494" i="3"/>
  <c r="L493" i="3"/>
  <c r="L492" i="3"/>
  <c r="L491" i="3"/>
  <c r="L490" i="3"/>
  <c r="L489" i="3"/>
  <c r="L488" i="3"/>
  <c r="L487" i="3"/>
  <c r="L486" i="3"/>
  <c r="L485" i="3"/>
  <c r="L484" i="3"/>
  <c r="L483" i="3"/>
  <c r="L482" i="3"/>
  <c r="L481" i="3"/>
  <c r="L480" i="3"/>
  <c r="L479" i="3"/>
  <c r="L478" i="3"/>
  <c r="L477" i="3"/>
  <c r="L476" i="3"/>
  <c r="L475" i="3"/>
  <c r="L474" i="3"/>
  <c r="L473" i="3"/>
  <c r="L472" i="3"/>
  <c r="L471" i="3"/>
  <c r="L470" i="3"/>
  <c r="L469" i="3"/>
  <c r="L468" i="3"/>
  <c r="L467" i="3"/>
  <c r="L466" i="3"/>
  <c r="L465" i="3"/>
  <c r="L464" i="3"/>
  <c r="L463" i="3"/>
  <c r="L462" i="3"/>
  <c r="L461" i="3"/>
  <c r="L460" i="3"/>
  <c r="L459" i="3"/>
  <c r="L458" i="3"/>
  <c r="L457" i="3"/>
  <c r="L456" i="3"/>
  <c r="L455" i="3"/>
  <c r="L454" i="3"/>
  <c r="L453" i="3"/>
  <c r="L452" i="3"/>
  <c r="L451" i="3"/>
  <c r="L450" i="3"/>
  <c r="L449" i="3"/>
  <c r="L448" i="3"/>
  <c r="L447" i="3"/>
  <c r="L446" i="3"/>
  <c r="L445" i="3"/>
  <c r="L444" i="3"/>
  <c r="L443" i="3"/>
  <c r="L442" i="3"/>
  <c r="L441" i="3"/>
  <c r="L440" i="3"/>
  <c r="L439" i="3"/>
  <c r="L438" i="3"/>
  <c r="L437" i="3"/>
  <c r="L436" i="3"/>
  <c r="L435" i="3"/>
  <c r="L434" i="3"/>
  <c r="L433" i="3"/>
  <c r="L432" i="3"/>
  <c r="L431" i="3"/>
  <c r="L430" i="3"/>
  <c r="L429" i="3"/>
  <c r="L428" i="3"/>
  <c r="L427" i="3"/>
  <c r="L426" i="3"/>
  <c r="L425" i="3"/>
  <c r="L424" i="3"/>
  <c r="L423" i="3"/>
  <c r="L422" i="3"/>
  <c r="L421" i="3"/>
  <c r="L420" i="3"/>
  <c r="L419" i="3"/>
  <c r="L418" i="3"/>
  <c r="L417" i="3"/>
  <c r="L416" i="3"/>
  <c r="L415" i="3"/>
  <c r="L414" i="3"/>
  <c r="L413" i="3"/>
  <c r="L412" i="3"/>
  <c r="L411" i="3"/>
  <c r="L410" i="3"/>
  <c r="L409" i="3"/>
  <c r="L408" i="3"/>
  <c r="L407" i="3"/>
  <c r="L406" i="3"/>
  <c r="L405" i="3"/>
  <c r="L404" i="3"/>
  <c r="L403" i="3"/>
  <c r="L402" i="3"/>
  <c r="L401" i="3"/>
  <c r="L400" i="3"/>
  <c r="L399" i="3"/>
  <c r="L398" i="3"/>
  <c r="L397" i="3"/>
  <c r="L396" i="3"/>
  <c r="L395" i="3"/>
  <c r="L394" i="3"/>
  <c r="L393" i="3"/>
  <c r="L392" i="3"/>
  <c r="L391" i="3"/>
  <c r="L390" i="3"/>
  <c r="L389" i="3"/>
  <c r="L388" i="3"/>
  <c r="L387" i="3"/>
  <c r="L386" i="3"/>
  <c r="L385" i="3"/>
  <c r="L384" i="3"/>
  <c r="L383" i="3"/>
  <c r="L382" i="3"/>
  <c r="L381" i="3"/>
  <c r="L380" i="3"/>
  <c r="L379" i="3"/>
  <c r="L378" i="3"/>
  <c r="L377" i="3"/>
  <c r="L376" i="3"/>
  <c r="L375" i="3"/>
  <c r="L374" i="3"/>
  <c r="L373" i="3"/>
  <c r="L372" i="3"/>
  <c r="L371" i="3"/>
  <c r="L370" i="3"/>
  <c r="L369" i="3"/>
  <c r="L368" i="3"/>
  <c r="L367" i="3"/>
  <c r="L366" i="3"/>
  <c r="L365" i="3"/>
  <c r="L364" i="3"/>
  <c r="L363" i="3"/>
  <c r="L362" i="3"/>
  <c r="L361" i="3"/>
  <c r="L360" i="3"/>
  <c r="L359" i="3"/>
  <c r="L358" i="3"/>
  <c r="L357" i="3"/>
  <c r="L356" i="3"/>
  <c r="L355" i="3"/>
  <c r="L354" i="3"/>
  <c r="L353" i="3"/>
  <c r="L352" i="3"/>
  <c r="L351" i="3"/>
  <c r="L350" i="3"/>
  <c r="L349" i="3"/>
  <c r="L348" i="3"/>
  <c r="L347" i="3"/>
  <c r="L346" i="3"/>
  <c r="L345" i="3"/>
  <c r="L344" i="3"/>
  <c r="L343" i="3"/>
  <c r="L342" i="3"/>
  <c r="L341" i="3"/>
  <c r="L340" i="3"/>
  <c r="L339" i="3"/>
  <c r="L338" i="3"/>
  <c r="L337" i="3"/>
  <c r="L336" i="3"/>
  <c r="L335" i="3"/>
  <c r="L334" i="3"/>
  <c r="L333" i="3"/>
  <c r="L332" i="3"/>
  <c r="L331" i="3"/>
  <c r="L330" i="3"/>
  <c r="L329" i="3"/>
  <c r="L328" i="3"/>
  <c r="L327" i="3"/>
  <c r="L326" i="3"/>
  <c r="L325" i="3"/>
  <c r="L324" i="3"/>
  <c r="L323" i="3"/>
  <c r="L322" i="3"/>
  <c r="L321" i="3"/>
  <c r="L320" i="3"/>
  <c r="L319" i="3"/>
  <c r="L318" i="3"/>
  <c r="L317" i="3"/>
  <c r="L316" i="3"/>
  <c r="L315" i="3"/>
  <c r="L314" i="3"/>
  <c r="L313" i="3"/>
  <c r="L312" i="3"/>
  <c r="L311" i="3"/>
  <c r="L310" i="3"/>
  <c r="L309" i="3"/>
  <c r="L308" i="3"/>
  <c r="L307" i="3"/>
  <c r="L306" i="3"/>
  <c r="L305" i="3"/>
  <c r="L304" i="3"/>
  <c r="L303" i="3"/>
  <c r="L302" i="3"/>
  <c r="L301" i="3"/>
  <c r="L300" i="3"/>
  <c r="L299" i="3"/>
  <c r="L298" i="3"/>
  <c r="L297" i="3"/>
  <c r="L296" i="3"/>
  <c r="L295" i="3"/>
  <c r="L294" i="3"/>
  <c r="L293" i="3"/>
  <c r="L292" i="3"/>
  <c r="L291" i="3"/>
  <c r="L290" i="3"/>
  <c r="L289" i="3"/>
  <c r="L288" i="3"/>
  <c r="L287" i="3"/>
  <c r="L286" i="3"/>
  <c r="L285" i="3"/>
  <c r="L284" i="3"/>
  <c r="L283" i="3"/>
  <c r="L282" i="3"/>
  <c r="L281" i="3"/>
  <c r="L280" i="3"/>
  <c r="L279" i="3"/>
  <c r="L278" i="3"/>
  <c r="L277" i="3"/>
  <c r="L276" i="3"/>
  <c r="L275" i="3"/>
  <c r="L274" i="3"/>
  <c r="L273" i="3"/>
  <c r="L272" i="3"/>
  <c r="L271" i="3"/>
  <c r="L270" i="3"/>
  <c r="L269" i="3"/>
  <c r="L268" i="3"/>
  <c r="L267" i="3"/>
  <c r="L266" i="3"/>
  <c r="L265" i="3"/>
  <c r="L264" i="3"/>
  <c r="L263" i="3"/>
  <c r="L262" i="3"/>
  <c r="L261" i="3"/>
  <c r="L260" i="3"/>
  <c r="L259" i="3"/>
  <c r="L258" i="3"/>
  <c r="L257" i="3"/>
  <c r="L256" i="3"/>
  <c r="L255" i="3"/>
  <c r="L254" i="3"/>
  <c r="L253" i="3"/>
  <c r="L252" i="3"/>
  <c r="L251"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S10" i="3"/>
  <c r="D15" i="1" s="1"/>
  <c r="L10" i="3"/>
  <c r="L9" i="3"/>
  <c r="L8" i="3"/>
  <c r="S7" i="3"/>
  <c r="D12" i="1" s="1"/>
  <c r="L7" i="3"/>
  <c r="S6" i="3"/>
  <c r="D11" i="1" s="1"/>
  <c r="L6" i="3"/>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P3" i="2" s="1"/>
  <c r="D7" i="1" s="1"/>
  <c r="I4" i="2"/>
  <c r="I2" i="2"/>
  <c r="D35" i="1"/>
  <c r="D33" i="1"/>
  <c r="D32" i="1"/>
  <c r="D29" i="1"/>
  <c r="D27" i="1"/>
  <c r="D25" i="1"/>
  <c r="D23" i="1"/>
  <c r="D22" i="1"/>
  <c r="D21" i="1"/>
  <c r="D20" i="1"/>
  <c r="D19" i="1"/>
  <c r="D18" i="1"/>
  <c r="D17" i="1"/>
  <c r="D16" i="1"/>
  <c r="D10" i="1"/>
  <c r="D9" i="1"/>
  <c r="D8" i="1"/>
  <c r="D6" i="1"/>
  <c r="D5" i="1"/>
  <c r="S8" i="3" l="1"/>
  <c r="D13" i="1" s="1"/>
  <c r="R8" i="3"/>
  <c r="D37" i="1"/>
  <c r="F37" i="6"/>
  <c r="J37" i="6"/>
  <c r="N37" i="6"/>
  <c r="R37" i="6"/>
  <c r="V37" i="6"/>
  <c r="Z37" i="6"/>
  <c r="AD37" i="6"/>
  <c r="C37" i="6"/>
  <c r="G37" i="6"/>
  <c r="K37" i="6"/>
  <c r="O37" i="6"/>
  <c r="S37" i="6"/>
  <c r="W37" i="6"/>
  <c r="AA37" i="6"/>
  <c r="AE37" i="6"/>
  <c r="F35" i="6"/>
  <c r="D31" i="1" s="1"/>
  <c r="J35" i="6"/>
  <c r="N35" i="6"/>
  <c r="R35" i="6"/>
  <c r="V35" i="6"/>
  <c r="Z35" i="6"/>
  <c r="B37" i="6"/>
  <c r="D44" i="6" s="1"/>
  <c r="D34" i="1" s="1"/>
  <c r="E37" i="6"/>
  <c r="I37" i="6"/>
  <c r="M37" i="6"/>
  <c r="Q37" i="6"/>
  <c r="U37" i="6"/>
  <c r="Y37" i="6"/>
  <c r="AC37" i="6"/>
</calcChain>
</file>

<file path=xl/sharedStrings.xml><?xml version="1.0" encoding="utf-8"?>
<sst xmlns="http://schemas.openxmlformats.org/spreadsheetml/2006/main" count="10128" uniqueCount="2529">
  <si>
    <t>ГРУППА</t>
  </si>
  <si>
    <t>ПМ19-3</t>
  </si>
  <si>
    <t>ФИО</t>
  </si>
  <si>
    <t>Самофалова Татьяна Андреевна</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</si>
  <si>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</si>
  <si>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</si>
  <si>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</si>
  <si>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</si>
  <si>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</si>
  <si>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</si>
  <si>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</si>
  <si>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равна третья квартиль (КВАРТИЛЬ.ВКЛ)дневной доходности акции?</t>
  </si>
  <si>
    <t>Какова асимметрия дневной доходности акции?</t>
  </si>
  <si>
    <t>Каково стандартное отклонение объема торгов?</t>
  </si>
  <si>
    <t>Чему равна дисперсия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</si>
  <si>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</si>
  <si>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</si>
  <si>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США больше 27?</t>
  </si>
  <si>
    <t>Какова суммарная зарплата игроков с амплуа защитник 1991 года рождения ?</t>
  </si>
  <si>
    <t>Какова средняя зарплата игроков с гражданством Беларусь с фамилией на букву О? (ошибку #ДЕЛ/0 замените на 0)</t>
  </si>
  <si>
    <t>Каков возраст игрока под номером 471?</t>
  </si>
  <si>
    <t>Под каким номером в списке идет игрок Лепистё Сами? (первое вхождение)</t>
  </si>
  <si>
    <t>Используя данные с листа Текст, ответьте на вопросы (каждый вопрос - 1 балл)</t>
  </si>
  <si>
    <t>Какова длина текста?</t>
  </si>
  <si>
    <t>Какой фрагмент текста содержится с 1076 по 1082 символ включительно?</t>
  </si>
  <si>
    <t>На какой позиции первый раз встречается символ k? (регистр важен)</t>
  </si>
  <si>
    <t>Какова будет длина текста, если убрать все пробелы?</t>
  </si>
  <si>
    <t>Сколько всего раз в тексте встречается символ b? (регистр важен)</t>
  </si>
  <si>
    <t>Если сделать все буквы строчными, на какой позиции первый раз встретится символ x?</t>
  </si>
  <si>
    <t>Используя данные с листа Продажи, ответьте на вопросы (каждый вопрос - 1 балл)</t>
  </si>
  <si>
    <t>Сколько заказов было сделано в мае?</t>
  </si>
  <si>
    <t>Какая доля от общего количества заказов приходится на субботы?</t>
  </si>
  <si>
    <t>На какую сумму (без учета скидки) было продано чая с 2016-12-01 по 2020-05-22 включительно?</t>
  </si>
  <si>
    <t>На какую сумму (с учетом скидки) в среднем продается товара в третью декаду месяца?  (ошибку #ДЕЛ/0 замените на 0)</t>
  </si>
  <si>
    <t>Сколько кг наименования Белый чай было заказано в 2020 году?</t>
  </si>
  <si>
    <t>Какова средняя скидка (десятичная дробь) по продажам в категории Зеленый чай c 7-й по 42-ю неделю года включительно? (Номер недели по ISO, ошибку #ДЕЛ/0 замените на 0)</t>
  </si>
  <si>
    <t>Используя данные с листа Массив, ответьте на вопросы (каждый вопрос - 1 балл).Под первой строкой/столбцом массива понимются координаты ячейки, где содержится крайнее левое верхнее значение</t>
  </si>
  <si>
    <t>Какова сумма 10ти наименьших элементов в строке номер 20?</t>
  </si>
  <si>
    <t>Какое значение содержится на пересечении строки номер 15и столбца номер 15?</t>
  </si>
  <si>
    <t>Чему равно скалярное произведение сроки номер 11и столбца номер 30?</t>
  </si>
  <si>
    <t>В какой(ом) строке массива находится наибольшее значение в столбце номер 23?</t>
  </si>
  <si>
    <t>Сколько нечетных значений в массиве?</t>
  </si>
  <si>
    <t>Чему равна сумма квадратов разностей элементов строки номер 1 и столбца номер 18?</t>
  </si>
  <si>
    <t>Используя данные с листов Акции и Сделки, ответьте на вопросы (макс сумма баллов - 30)</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</si>
  <si>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</si>
  <si>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</si>
  <si>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созданной на листе Задание (этот лист) сводной таблицы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</si>
  <si>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r=5.84% , определите чистую приведенную стоимость всех денежных потоков на дату 2015-01-07.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</si>
  <si>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</si>
  <si>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</si>
  <si>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Названия строк</t>
  </si>
  <si>
    <t>Сумма по полю Количество_net</t>
  </si>
  <si>
    <t>Сумма по полю Стоимость</t>
  </si>
  <si>
    <t>Date</t>
  </si>
  <si>
    <t>Close</t>
  </si>
  <si>
    <t>Volume</t>
  </si>
  <si>
    <t>Stockname</t>
  </si>
  <si>
    <t>Доходность</t>
  </si>
  <si>
    <t>Чему равен максимум цены закрытия?</t>
  </si>
  <si>
    <t>BSX</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</si>
  <si>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</si>
  <si>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</si>
  <si>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</si>
  <si>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</si>
  <si>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</si>
  <si>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</si>
  <si>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</si>
  <si>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</si>
  <si>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</si>
  <si>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</si>
  <si>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</si>
  <si>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</si>
  <si>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</si>
  <si>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Наибольший(1)</t>
  </si>
  <si>
    <t>Наименьший(1)</t>
  </si>
  <si>
    <t>Фамилия, имя</t>
  </si>
  <si>
    <t>Амплуа</t>
  </si>
  <si>
    <t>Дата рождения</t>
  </si>
  <si>
    <t>Возраст</t>
  </si>
  <si>
    <t>Гражданство</t>
  </si>
  <si>
    <t>Зарплата</t>
  </si>
  <si>
    <t>год р</t>
  </si>
  <si>
    <t>Эронен Тему</t>
  </si>
  <si>
    <t>защитник</t>
  </si>
  <si>
    <t>22 Ноября 1990</t>
  </si>
  <si>
    <t>Финляндия</t>
  </si>
  <si>
    <t>Девяткин Антон</t>
  </si>
  <si>
    <t>вратарь</t>
  </si>
  <si>
    <t>30 Января 2000</t>
  </si>
  <si>
    <t>Россия</t>
  </si>
  <si>
    <t>Сукель Матуш</t>
  </si>
  <si>
    <t>нападающий</t>
  </si>
  <si>
    <t>23 Января 1996</t>
  </si>
  <si>
    <t>Словакия</t>
  </si>
  <si>
    <t>Галанов Максим</t>
  </si>
  <si>
    <t>13 Марта 1974</t>
  </si>
  <si>
    <t>Манукян Тигран</t>
  </si>
  <si>
    <t>30 Января 1997</t>
  </si>
  <si>
    <t>Еремеев Виталий</t>
  </si>
  <si>
    <t>23 Сентября 1975</t>
  </si>
  <si>
    <t>Веханен Петри</t>
  </si>
  <si>
    <t>9 Октября 1977</t>
  </si>
  <si>
    <t>Гончаров Максим</t>
  </si>
  <si>
    <t>15 Июня 1989</t>
  </si>
  <si>
    <t>Фрэттин Мэттью</t>
  </si>
  <si>
    <t>3 Января 1988</t>
  </si>
  <si>
    <t>Канада</t>
  </si>
  <si>
    <t>Эмери Рэй</t>
  </si>
  <si>
    <t>28 Сентября 1982</t>
  </si>
  <si>
    <t>Шалимов Владислав</t>
  </si>
  <si>
    <t>23 Сентября 1993</t>
  </si>
  <si>
    <t>Гавриков Владислав</t>
  </si>
  <si>
    <t>21 Ноября 1995</t>
  </si>
  <si>
    <t>Дорожко Максим</t>
  </si>
  <si>
    <t>3 Августа 1998</t>
  </si>
  <si>
    <t>Ип Брэндон</t>
  </si>
  <si>
    <t>25 Апреля 1985</t>
  </si>
  <si>
    <t>Китай</t>
  </si>
  <si>
    <t>Церенок Никита</t>
  </si>
  <si>
    <t>27 Июля 1993</t>
  </si>
  <si>
    <t>Овчинников Максим</t>
  </si>
  <si>
    <t>16 Февраля 1981</t>
  </si>
  <si>
    <t>Литвиненко Алексей</t>
  </si>
  <si>
    <t>7 Марта 1980</t>
  </si>
  <si>
    <t>Пуголовкин Артём</t>
  </si>
  <si>
    <t>26 Января 1992</t>
  </si>
  <si>
    <t>Богдановский Константин</t>
  </si>
  <si>
    <t>9 Мая 1983</t>
  </si>
  <si>
    <t>Макаров Данил</t>
  </si>
  <si>
    <t>11 Мая 1992</t>
  </si>
  <si>
    <t>Виделль Линус</t>
  </si>
  <si>
    <t>5 Мая 1985</t>
  </si>
  <si>
    <t>Швеция</t>
  </si>
  <si>
    <t>Князев Игорь</t>
  </si>
  <si>
    <t>27 Января 1983</t>
  </si>
  <si>
    <t>Смирягин Роман</t>
  </si>
  <si>
    <t>19 Апреля 1990</t>
  </si>
  <si>
    <t>Захаров Виктор</t>
  </si>
  <si>
    <t>8 Января 1994</t>
  </si>
  <si>
    <t>Украина</t>
  </si>
  <si>
    <t>Майоров Максим</t>
  </si>
  <si>
    <t>26 Марта 1989</t>
  </si>
  <si>
    <t>Коробов Сергей</t>
  </si>
  <si>
    <t>12 Марта 1996</t>
  </si>
  <si>
    <t>Пулен Кевин</t>
  </si>
  <si>
    <t>12 Апреля 1990</t>
  </si>
  <si>
    <t>Кукумберг Роман</t>
  </si>
  <si>
    <t>8 Апреля 1980</t>
  </si>
  <si>
    <t>Емелин Константин</t>
  </si>
  <si>
    <t>4 Декабря 1988</t>
  </si>
  <si>
    <t>Кеннеди Тим</t>
  </si>
  <si>
    <t>30 Апреля 1986</t>
  </si>
  <si>
    <t>США</t>
  </si>
  <si>
    <t>Кукин Фёдор</t>
  </si>
  <si>
    <t>26 Февраля 1993</t>
  </si>
  <si>
    <t>Панарин Артемий</t>
  </si>
  <si>
    <t>30 Октября 1991</t>
  </si>
  <si>
    <t>Севостьянов Александр</t>
  </si>
  <si>
    <t>7 Января 1998</t>
  </si>
  <si>
    <t>О'Делл Эрик</t>
  </si>
  <si>
    <t>21 Июня 1990</t>
  </si>
  <si>
    <t>Кириллов Алексей</t>
  </si>
  <si>
    <t>18 Июня 1993</t>
  </si>
  <si>
    <t>Нурисламов Евгений</t>
  </si>
  <si>
    <t>11 Августа 1982</t>
  </si>
  <si>
    <t>Коледаев Алексей</t>
  </si>
  <si>
    <t>27 Марта 1976</t>
  </si>
  <si>
    <t>Протасеня Анатолий</t>
  </si>
  <si>
    <t>26 Января 1990</t>
  </si>
  <si>
    <t>Беларусь</t>
  </si>
  <si>
    <t>Порядин Павел</t>
  </si>
  <si>
    <t>21 Июля 1996</t>
  </si>
  <si>
    <t>Башкиров Андрей</t>
  </si>
  <si>
    <t>22 Июня 1970</t>
  </si>
  <si>
    <t>Андрейчиков Руслан</t>
  </si>
  <si>
    <t>28 Июля 1992</t>
  </si>
  <si>
    <t>Джиллсон Джефф</t>
  </si>
  <si>
    <t>24 Июля 1980</t>
  </si>
  <si>
    <t>Гусманов Равиль</t>
  </si>
  <si>
    <t>25 Июля 1972</t>
  </si>
  <si>
    <t>Шамолин Дмитрий</t>
  </si>
  <si>
    <t>3 Мая 1972</t>
  </si>
  <si>
    <t>Лисутин Иван</t>
  </si>
  <si>
    <t>23 Февраля 1987</t>
  </si>
  <si>
    <t>Гичибеков Назир</t>
  </si>
  <si>
    <t>5 Апреля 1995</t>
  </si>
  <si>
    <t>Набоков Евгений</t>
  </si>
  <si>
    <t>25 Июля 1975</t>
  </si>
  <si>
    <t>Тюрин Денис</t>
  </si>
  <si>
    <t>3 Июня 1980</t>
  </si>
  <si>
    <t>Юханссон Ларс</t>
  </si>
  <si>
    <t>11 Июля 1987</t>
  </si>
  <si>
    <t>Коллинз Шон</t>
  </si>
  <si>
    <t>29 Декабря 1988</t>
  </si>
  <si>
    <t>Никулин Александр</t>
  </si>
  <si>
    <t>25 Августа 1985</t>
  </si>
  <si>
    <t>Харитонов Александр</t>
  </si>
  <si>
    <t>30 Марта 1976</t>
  </si>
  <si>
    <t>Неколенко Илья</t>
  </si>
  <si>
    <t>31 Июля 1993</t>
  </si>
  <si>
    <t>Жульдиков Владимир</t>
  </si>
  <si>
    <t>11 Июня 1994</t>
  </si>
  <si>
    <t>Франскевич Денис</t>
  </si>
  <si>
    <t>6 Июня 1981</t>
  </si>
  <si>
    <t>Мосс Тайлер</t>
  </si>
  <si>
    <t>29 Июня 1975</t>
  </si>
  <si>
    <t>Головин Александр</t>
  </si>
  <si>
    <t>26 Марта 1983</t>
  </si>
  <si>
    <t>Вовченко Даниил</t>
  </si>
  <si>
    <t>4 Апреля 1996</t>
  </si>
  <si>
    <t>Платонов Денис</t>
  </si>
  <si>
    <t>6 Ноября 1981</t>
  </si>
  <si>
    <t>Керянен Михаэль</t>
  </si>
  <si>
    <t>4 Января 1990</t>
  </si>
  <si>
    <t>Буцаев Юрий</t>
  </si>
  <si>
    <t>11 Октября 1978</t>
  </si>
  <si>
    <t>Хитер Кэлвин</t>
  </si>
  <si>
    <t>2 Ноября 1988</t>
  </si>
  <si>
    <t>Кваша Олег</t>
  </si>
  <si>
    <t>26 Июля 1978</t>
  </si>
  <si>
    <t>Часлава Петр</t>
  </si>
  <si>
    <t>3 Сентября 1979</t>
  </si>
  <si>
    <t>Чехия</t>
  </si>
  <si>
    <t>Пуйстола Паси</t>
  </si>
  <si>
    <t>16 Сентября 1978</t>
  </si>
  <si>
    <t>Бурк Крис</t>
  </si>
  <si>
    <t>29 Января 1986</t>
  </si>
  <si>
    <t>Грэм Джон</t>
  </si>
  <si>
    <t>31 Августа 1975</t>
  </si>
  <si>
    <t>Воробьёв Михаил</t>
  </si>
  <si>
    <t>5 Января 1997</t>
  </si>
  <si>
    <t>Улльстрём Давид</t>
  </si>
  <si>
    <t>22 Апреля 1989</t>
  </si>
  <si>
    <t>Сафронов Кирилл</t>
  </si>
  <si>
    <t>26 Февраля 1981</t>
  </si>
  <si>
    <t>Верёвкин Максим</t>
  </si>
  <si>
    <t>12 Января 1990</t>
  </si>
  <si>
    <t>Никифоров Евгений</t>
  </si>
  <si>
    <t>20 Марта 1993</t>
  </si>
  <si>
    <t>Орехов Валерий</t>
  </si>
  <si>
    <t>17 Июля 1999</t>
  </si>
  <si>
    <t>Казахстан</t>
  </si>
  <si>
    <t>Староста Томаш</t>
  </si>
  <si>
    <t>20 Мая 1981</t>
  </si>
  <si>
    <t>Хомутов Иван</t>
  </si>
  <si>
    <t>11 Марта 1985</t>
  </si>
  <si>
    <t>Маслов Кирилл</t>
  </si>
  <si>
    <t>23 Марта 1994</t>
  </si>
  <si>
    <t>Дроков Константин</t>
  </si>
  <si>
    <t>8 Сентября 1995</t>
  </si>
  <si>
    <t>Паре Франсис</t>
  </si>
  <si>
    <t>30 Июня 1987</t>
  </si>
  <si>
    <t>Беланже Эрик</t>
  </si>
  <si>
    <t>16 Декабря 1977</t>
  </si>
  <si>
    <t>Шикун Александр</t>
  </si>
  <si>
    <t>3 Августа 1999</t>
  </si>
  <si>
    <t>Дубровский Георгий</t>
  </si>
  <si>
    <t>21 Марта 2000</t>
  </si>
  <si>
    <t>Хасаншин Руслан</t>
  </si>
  <si>
    <t>7 Февраля 1985</t>
  </si>
  <si>
    <t>Генри Джордан</t>
  </si>
  <si>
    <t>11 Февраля 1986</t>
  </si>
  <si>
    <t>Шафаренко Олег</t>
  </si>
  <si>
    <t>31 Октября 1981</t>
  </si>
  <si>
    <t>Сагдэн Брэндон</t>
  </si>
  <si>
    <t>23 Июня 1978</t>
  </si>
  <si>
    <t>Харпер Шейн</t>
  </si>
  <si>
    <t>1 Февраля 1989</t>
  </si>
  <si>
    <t>Готовец Кирилл</t>
  </si>
  <si>
    <t>25 Июня 1991</t>
  </si>
  <si>
    <t>Петтерссон Фредрик</t>
  </si>
  <si>
    <t>10 Июня 1987</t>
  </si>
  <si>
    <t>Кулик Денис</t>
  </si>
  <si>
    <t>9 Мая 1986</t>
  </si>
  <si>
    <t>Козак Лукаш</t>
  </si>
  <si>
    <t>29 Октября 1991</t>
  </si>
  <si>
    <t>Смолин Михаил</t>
  </si>
  <si>
    <t>4 Сентября 1997</t>
  </si>
  <si>
    <t>Кукконен Лассе</t>
  </si>
  <si>
    <t>18 Сентября 1981</t>
  </si>
  <si>
    <t>Упитис Юрис</t>
  </si>
  <si>
    <t>16 Июня 1991</t>
  </si>
  <si>
    <t>Латвия</t>
  </si>
  <si>
    <t>Красоткин Дмитрий</t>
  </si>
  <si>
    <t>28 Августа 1971</t>
  </si>
  <si>
    <t>Ивананс Райтис</t>
  </si>
  <si>
    <t>3 Января 1979</t>
  </si>
  <si>
    <t>Плеханов Андрей</t>
  </si>
  <si>
    <t>12 Июля 1986</t>
  </si>
  <si>
    <t>Голованов Станислав</t>
  </si>
  <si>
    <t>15 Сентября 1983</t>
  </si>
  <si>
    <t>Раутанен Юхо</t>
  </si>
  <si>
    <t>25 Мая 1997</t>
  </si>
  <si>
    <t>Поснов Андрей</t>
  </si>
  <si>
    <t>19 Ноября 1981</t>
  </si>
  <si>
    <t>Герасимов Юрий</t>
  </si>
  <si>
    <t>14 Февраля 1979</t>
  </si>
  <si>
    <t>Яковлев Мартиньш</t>
  </si>
  <si>
    <t>4 Мая 1991</t>
  </si>
  <si>
    <t>Ковалёв Денис</t>
  </si>
  <si>
    <t>29 Апреля 1992</t>
  </si>
  <si>
    <t>Отмахов Владислав</t>
  </si>
  <si>
    <t>29 Мая 1974</t>
  </si>
  <si>
    <t>Артюхин Евгений</t>
  </si>
  <si>
    <t>4 Апреля 1983</t>
  </si>
  <si>
    <t>Штястни Андрей</t>
  </si>
  <si>
    <t>24 Января 1991</t>
  </si>
  <si>
    <t>Паньшин Михаил</t>
  </si>
  <si>
    <t>2 Мая 1983</t>
  </si>
  <si>
    <t>Дроздецкий Александр</t>
  </si>
  <si>
    <t>11 Октября 1981</t>
  </si>
  <si>
    <t>Клементьев Антон</t>
  </si>
  <si>
    <t>25 Марта 1990</t>
  </si>
  <si>
    <t>Алексеев Андрей</t>
  </si>
  <si>
    <t>9 Августа 1988</t>
  </si>
  <si>
    <t>Пеньковский Артём</t>
  </si>
  <si>
    <t>20 Февраля 1995</t>
  </si>
  <si>
    <t>Доника Виталий</t>
  </si>
  <si>
    <t>12 Мая 1982</t>
  </si>
  <si>
    <t>Во Джефф</t>
  </si>
  <si>
    <t>25 Августа 1983</t>
  </si>
  <si>
    <t>Хорватия</t>
  </si>
  <si>
    <t>Гарифулин Артём</t>
  </si>
  <si>
    <t>9 Октября 1990</t>
  </si>
  <si>
    <t>Фёдоров Евгений</t>
  </si>
  <si>
    <t>11 Ноября 1980</t>
  </si>
  <si>
    <t>Марцинко Томаш</t>
  </si>
  <si>
    <t>11 Апреля 1988</t>
  </si>
  <si>
    <t>Ключников Юрий</t>
  </si>
  <si>
    <t>17 Сентября 1983</t>
  </si>
  <si>
    <t>Жайлауов Талгат</t>
  </si>
  <si>
    <t>7 Июля 1985</t>
  </si>
  <si>
    <t>Болдюк Александр</t>
  </si>
  <si>
    <t>26 Июня 1985</t>
  </si>
  <si>
    <t>Филоненко Андрей</t>
  </si>
  <si>
    <t>5 Мая 1995</t>
  </si>
  <si>
    <t>Калинин Александр О.</t>
  </si>
  <si>
    <t>8 Февраля 1998</t>
  </si>
  <si>
    <t>Климонтов Константин</t>
  </si>
  <si>
    <t>15 Октября 1990</t>
  </si>
  <si>
    <t>Кузнецов Александр</t>
  </si>
  <si>
    <t>11 Марта 1992</t>
  </si>
  <si>
    <t>Волков Вячеслав</t>
  </si>
  <si>
    <t>7 Января 1995</t>
  </si>
  <si>
    <t>Лазарев Антон</t>
  </si>
  <si>
    <t>29 Мая 1990</t>
  </si>
  <si>
    <t>Жукенов Дмитрий</t>
  </si>
  <si>
    <t>24 Марта 1997</t>
  </si>
  <si>
    <t>Безруков Иван</t>
  </si>
  <si>
    <t>11 Июня 1997</t>
  </si>
  <si>
    <t>Мамаев Данил</t>
  </si>
  <si>
    <t>18 Марта 1994</t>
  </si>
  <si>
    <t>Аблаев Кирилл</t>
  </si>
  <si>
    <t>1 Марта 1996</t>
  </si>
  <si>
    <t>Беркутов Александр</t>
  </si>
  <si>
    <t>31 Мая 1986</t>
  </si>
  <si>
    <t>Канифадин Дмитрий</t>
  </si>
  <si>
    <t>3 Апреля 1991</t>
  </si>
  <si>
    <t>Тарасов Дмитрий</t>
  </si>
  <si>
    <t>12 Мая 1991</t>
  </si>
  <si>
    <t>Береглазов Алексей</t>
  </si>
  <si>
    <t>20 Апреля 1994</t>
  </si>
  <si>
    <t>Хауден Куинтон</t>
  </si>
  <si>
    <t>21 Января 1992</t>
  </si>
  <si>
    <t>Довгань Виктор</t>
  </si>
  <si>
    <t>27 Февраля 1987</t>
  </si>
  <si>
    <t>Мольков Николай</t>
  </si>
  <si>
    <t>27 Июля 1995</t>
  </si>
  <si>
    <t>Мишенин Дмитрий</t>
  </si>
  <si>
    <t>8 Января 1991</t>
  </si>
  <si>
    <t>Киискинен Туомас</t>
  </si>
  <si>
    <t>7 Октября 1986</t>
  </si>
  <si>
    <t>Яценков Павел</t>
  </si>
  <si>
    <t>18 Июля 1991</t>
  </si>
  <si>
    <t>Демченко Василий</t>
  </si>
  <si>
    <t>16 Марта 1994</t>
  </si>
  <si>
    <t>Шевц Мартин</t>
  </si>
  <si>
    <t>23 Сентября 1981</t>
  </si>
  <si>
    <t>Кутузов Александр</t>
  </si>
  <si>
    <t>23 Ноября 1985</t>
  </si>
  <si>
    <t>Катич Марк</t>
  </si>
  <si>
    <t>9 Мая 1989</t>
  </si>
  <si>
    <t>Юньков Михаил</t>
  </si>
  <si>
    <t>16 Февраля 1986</t>
  </si>
  <si>
    <t>Шулаков Виталий</t>
  </si>
  <si>
    <t>Мелихов Артём</t>
  </si>
  <si>
    <t>20 Июня 1996</t>
  </si>
  <si>
    <t>Хатчинсон Эндрю</t>
  </si>
  <si>
    <t>24 Марта 1980</t>
  </si>
  <si>
    <t>Цыбин Дмитрий</t>
  </si>
  <si>
    <t>16 Июня 1986</t>
  </si>
  <si>
    <t>Лоу Кирби</t>
  </si>
  <si>
    <t>11 Марта 1977</t>
  </si>
  <si>
    <t>Калинин Дмитрий</t>
  </si>
  <si>
    <t>22 Июля 1980</t>
  </si>
  <si>
    <t>Огурешников Сергей</t>
  </si>
  <si>
    <t>4 Апреля 1977</t>
  </si>
  <si>
    <t>Костючёнок Виктор</t>
  </si>
  <si>
    <t>7 Июня 1979</t>
  </si>
  <si>
    <t>Купаринен Матти</t>
  </si>
  <si>
    <t>16 Октября 1984</t>
  </si>
  <si>
    <t>Черник Иван</t>
  </si>
  <si>
    <t>30 Октября 1977</t>
  </si>
  <si>
    <t>Болякин Евгений</t>
  </si>
  <si>
    <t>30 Апреля 1990</t>
  </si>
  <si>
    <t>Лисовец Евгений</t>
  </si>
  <si>
    <t>12 Ноября 1994</t>
  </si>
  <si>
    <t>Карпюк Даниил</t>
  </si>
  <si>
    <t>1 Января 1988</t>
  </si>
  <si>
    <t>Буравчиков Вячеслав</t>
  </si>
  <si>
    <t>22 Мая 1987</t>
  </si>
  <si>
    <t>Романов Георгий</t>
  </si>
  <si>
    <t>15 Декабря 1999</t>
  </si>
  <si>
    <t>Ойстрик Натан</t>
  </si>
  <si>
    <t>17 Декабря 1982</t>
  </si>
  <si>
    <t>Зюзин Андрей</t>
  </si>
  <si>
    <t>21 Января 1978</t>
  </si>
  <si>
    <t>Егоршев Станислав</t>
  </si>
  <si>
    <t>21 Сентября 1987</t>
  </si>
  <si>
    <t>Дельнов Александр</t>
  </si>
  <si>
    <t>14 Января 1994</t>
  </si>
  <si>
    <t>Емелин Сергей</t>
  </si>
  <si>
    <t>1 Мая 1991</t>
  </si>
  <si>
    <t>Панин Григорий</t>
  </si>
  <si>
    <t>24 Ноября 1985</t>
  </si>
  <si>
    <t>Рыбалкин Денис</t>
  </si>
  <si>
    <t>21 Апреля 2000</t>
  </si>
  <si>
    <t>Ерёменко Александр</t>
  </si>
  <si>
    <t>10 Апреля 1980</t>
  </si>
  <si>
    <t>Родман Марцел</t>
  </si>
  <si>
    <t>29 Сентября 1981</t>
  </si>
  <si>
    <t>Словения</t>
  </si>
  <si>
    <t>Никитин Никита</t>
  </si>
  <si>
    <t>Бицадзе Михаил</t>
  </si>
  <si>
    <t>18 Ноября 1999</t>
  </si>
  <si>
    <t>Джериньш Андрис</t>
  </si>
  <si>
    <t>14 Февраля 1988</t>
  </si>
  <si>
    <t>Грабовский Михаил</t>
  </si>
  <si>
    <t>31 Января 1984</t>
  </si>
  <si>
    <t>Геноуэй Колби</t>
  </si>
  <si>
    <t>12 Декабря 1983</t>
  </si>
  <si>
    <t>Волков Алексей</t>
  </si>
  <si>
    <t>15 Марта 1980</t>
  </si>
  <si>
    <t>Харытинский Сергей</t>
  </si>
  <si>
    <t>27 Января 1995</t>
  </si>
  <si>
    <t>Козлов Дмитрий</t>
  </si>
  <si>
    <t>6 Января 1990</t>
  </si>
  <si>
    <t>Корягин Глеб</t>
  </si>
  <si>
    <t>6 Августа 1994</t>
  </si>
  <si>
    <t>Норрена Фредрик</t>
  </si>
  <si>
    <t>29 Ноября 1973</t>
  </si>
  <si>
    <t>Мельничук Алексей</t>
  </si>
  <si>
    <t>29 Июня 1998</t>
  </si>
  <si>
    <t>Кадейкин Александр</t>
  </si>
  <si>
    <t>4 Октября 1993</t>
  </si>
  <si>
    <t>Казакевич Павел</t>
  </si>
  <si>
    <t>28 Октября 1993</t>
  </si>
  <si>
    <t>Фэйрчайлд Кейд</t>
  </si>
  <si>
    <t>15 Января 1989</t>
  </si>
  <si>
    <t>Лупул Джоффри</t>
  </si>
  <si>
    <t>23 Сентября 1983</t>
  </si>
  <si>
    <t>Маколей Кенни</t>
  </si>
  <si>
    <t>29 Апреля 1984</t>
  </si>
  <si>
    <t>Энджелл Ник</t>
  </si>
  <si>
    <t>31 Октября 1979</t>
  </si>
  <si>
    <t>Емец Иван</t>
  </si>
  <si>
    <t>5 Июля 1997</t>
  </si>
  <si>
    <t>Демков Артём</t>
  </si>
  <si>
    <t>26 Сентября 1989</t>
  </si>
  <si>
    <t>Карон Себастьен</t>
  </si>
  <si>
    <t>25 Июня 1980</t>
  </si>
  <si>
    <t>Дефацио Брэндон</t>
  </si>
  <si>
    <t>13 Сентября 1988</t>
  </si>
  <si>
    <t>Каменев Владислав</t>
  </si>
  <si>
    <t>12 Августа 1996</t>
  </si>
  <si>
    <t>Фалтер Мартин</t>
  </si>
  <si>
    <t>27 Ноября 1983</t>
  </si>
  <si>
    <t>Козлов Вячеслав</t>
  </si>
  <si>
    <t>Куклев Михаил</t>
  </si>
  <si>
    <t>24 Августа 1982</t>
  </si>
  <si>
    <t>Грушка Петр</t>
  </si>
  <si>
    <t>3 Января 1990</t>
  </si>
  <si>
    <t>Ничушкин Валерий</t>
  </si>
  <si>
    <t>4 Марта 1995</t>
  </si>
  <si>
    <t>Шафигулин Григорий</t>
  </si>
  <si>
    <t>13 Января 1985</t>
  </si>
  <si>
    <t>Шелепнёв Ян</t>
  </si>
  <si>
    <t>16 Февраля 1993</t>
  </si>
  <si>
    <t>Полунин Александр</t>
  </si>
  <si>
    <t>Доус Найджел</t>
  </si>
  <si>
    <t>9 Февраля 1985</t>
  </si>
  <si>
    <t>Коротков Евгений</t>
  </si>
  <si>
    <t>10 Декабря 1987</t>
  </si>
  <si>
    <t>Зуев Андрей</t>
  </si>
  <si>
    <t>18 Мая 1964</t>
  </si>
  <si>
    <t>Провольнев Владислав</t>
  </si>
  <si>
    <t>3 Апреля 1995</t>
  </si>
  <si>
    <t>Эллиотт Стефан</t>
  </si>
  <si>
    <t>30 Января 1991</t>
  </si>
  <si>
    <t>Наместников Егор</t>
  </si>
  <si>
    <t>5 Апреля 1992</t>
  </si>
  <si>
    <t>Капанен Нико</t>
  </si>
  <si>
    <t>29 Апреля 1978</t>
  </si>
  <si>
    <t>Плотников Сергей</t>
  </si>
  <si>
    <t>3 Июня 1990</t>
  </si>
  <si>
    <t>Алишаускас Нериюс</t>
  </si>
  <si>
    <t>6 Июня 1991</t>
  </si>
  <si>
    <t>Литва</t>
  </si>
  <si>
    <t>Князев Валерий</t>
  </si>
  <si>
    <t>11 Июня 1992</t>
  </si>
  <si>
    <t>Твердохлебов Сергей</t>
  </si>
  <si>
    <t>26 Января 1993</t>
  </si>
  <si>
    <t>Рядинский Александр</t>
  </si>
  <si>
    <t>1 Апреля 1978</t>
  </si>
  <si>
    <t>Рыбалко Максим</t>
  </si>
  <si>
    <t>16 Сентября 1986</t>
  </si>
  <si>
    <t>Грэттон Джош</t>
  </si>
  <si>
    <t>9 Сентября 1982</t>
  </si>
  <si>
    <t>Кокарев Денис</t>
  </si>
  <si>
    <t>17 Июня 1985</t>
  </si>
  <si>
    <t>Якимов Богдан</t>
  </si>
  <si>
    <t>4 Октября 1994</t>
  </si>
  <si>
    <t>Уитни Райан</t>
  </si>
  <si>
    <t>19 Февраля 1983</t>
  </si>
  <si>
    <t>Рейтц Эрик</t>
  </si>
  <si>
    <t>29 Июля 1982</t>
  </si>
  <si>
    <t>Елисеев Николай</t>
  </si>
  <si>
    <t>7 Июля 1994</t>
  </si>
  <si>
    <t>Сигарёв Андрей</t>
  </si>
  <si>
    <t>10 Марта 1993</t>
  </si>
  <si>
    <t>Малевич Владимир</t>
  </si>
  <si>
    <t>2 Июля 1985</t>
  </si>
  <si>
    <t>Доненко Богдан</t>
  </si>
  <si>
    <t>24 Октября 1997</t>
  </si>
  <si>
    <t>Туоккола Пекка</t>
  </si>
  <si>
    <t>22 Октября 1983</t>
  </si>
  <si>
    <t>Попов Егор</t>
  </si>
  <si>
    <t>16 Февраля 1997</t>
  </si>
  <si>
    <t>Петружалек Якуб</t>
  </si>
  <si>
    <t>24 Апреля 1985</t>
  </si>
  <si>
    <t>Усов Никита</t>
  </si>
  <si>
    <t>20 Апреля 1995</t>
  </si>
  <si>
    <t>Петраш Самуэль</t>
  </si>
  <si>
    <t>11 Мая 1995</t>
  </si>
  <si>
    <t>Мертл Томаш</t>
  </si>
  <si>
    <t>11 Марта 1986</t>
  </si>
  <si>
    <t>Яковлев Даниил</t>
  </si>
  <si>
    <t>2 Января 1999</t>
  </si>
  <si>
    <t>Бодров Денис</t>
  </si>
  <si>
    <t>22 Августа 1986</t>
  </si>
  <si>
    <t>Галимов Ансель</t>
  </si>
  <si>
    <t>15 Апреля 1991</t>
  </si>
  <si>
    <t>Сегал Брэндон</t>
  </si>
  <si>
    <t>12 Июля 1983</t>
  </si>
  <si>
    <t>Шигапов Линар</t>
  </si>
  <si>
    <t>19 Ноября 1986</t>
  </si>
  <si>
    <t>Михайлов Герман</t>
  </si>
  <si>
    <t>5 Декабря 1990</t>
  </si>
  <si>
    <t>Сёмин Дмитрий</t>
  </si>
  <si>
    <t>14 Августа 1983</t>
  </si>
  <si>
    <t>Дубровин Евгений</t>
  </si>
  <si>
    <t>27 Января 1986</t>
  </si>
  <si>
    <t>Антонов Андрей</t>
  </si>
  <si>
    <t>27 Апреля 1985</t>
  </si>
  <si>
    <t>Исламов Александр</t>
  </si>
  <si>
    <t>11 Октября 1986</t>
  </si>
  <si>
    <t>Мисюс Юлианс</t>
  </si>
  <si>
    <t>2 Октября 1997</t>
  </si>
  <si>
    <t>Володин Павел</t>
  </si>
  <si>
    <t>19 Февраля 1989</t>
  </si>
  <si>
    <t>Кудряшов Максим</t>
  </si>
  <si>
    <t>6 Января 1992</t>
  </si>
  <si>
    <t>Кузьменко Дмитрий</t>
  </si>
  <si>
    <t>4 Января 1991</t>
  </si>
  <si>
    <t>Сарваров Артур</t>
  </si>
  <si>
    <t>Баранов Илья</t>
  </si>
  <si>
    <t>22 Сентября 1995</t>
  </si>
  <si>
    <t>Врана Петр</t>
  </si>
  <si>
    <t>29 Марта 1985</t>
  </si>
  <si>
    <t>Паренто Пьер-Александр</t>
  </si>
  <si>
    <t>24 Марта 1983</t>
  </si>
  <si>
    <t>Петухов Андрей</t>
  </si>
  <si>
    <t>31 Января 1990</t>
  </si>
  <si>
    <t>Трунёв Максим</t>
  </si>
  <si>
    <t>7 Сентября 1990</t>
  </si>
  <si>
    <t>Жихарев Антон</t>
  </si>
  <si>
    <t>8 Марта 1995</t>
  </si>
  <si>
    <t>Хаатая Юха-Пекка</t>
  </si>
  <si>
    <t>31 Октября 1982</t>
  </si>
  <si>
    <t>Наумов Сергей</t>
  </si>
  <si>
    <t>4 Апреля 1969</t>
  </si>
  <si>
    <t>Дево Андре</t>
  </si>
  <si>
    <t>23 Февраля 1984</t>
  </si>
  <si>
    <t>Лахти Янне</t>
  </si>
  <si>
    <t>20 Июля 1982</t>
  </si>
  <si>
    <t>Конюхов Максим</t>
  </si>
  <si>
    <t>4 Августа 1994</t>
  </si>
  <si>
    <t>Дедунов Павел</t>
  </si>
  <si>
    <t>8 Апреля 1990</t>
  </si>
  <si>
    <t>Эш Роберт</t>
  </si>
  <si>
    <t>22 Января 1978</t>
  </si>
  <si>
    <t>Лукин Павел</t>
  </si>
  <si>
    <t>10 Апреля 1990</t>
  </si>
  <si>
    <t>Фурх Доминик</t>
  </si>
  <si>
    <t>Морозов Сергей</t>
  </si>
  <si>
    <t>2 Января 1997</t>
  </si>
  <si>
    <t>Покровский Валерий</t>
  </si>
  <si>
    <t>17 Мая 1978</t>
  </si>
  <si>
    <t>Савицкий Кирилл</t>
  </si>
  <si>
    <t>9 Марта 1995</t>
  </si>
  <si>
    <t>Шмелёв Сергей</t>
  </si>
  <si>
    <t>28 Августа 1993</t>
  </si>
  <si>
    <t>Чернов Артём</t>
  </si>
  <si>
    <t>28 Апреля 1982</t>
  </si>
  <si>
    <t>Щербина Александр</t>
  </si>
  <si>
    <t>6 Августа 1988</t>
  </si>
  <si>
    <t>Романов Станислав</t>
  </si>
  <si>
    <t>14 Мая 1987</t>
  </si>
  <si>
    <t>Кармашков Артур</t>
  </si>
  <si>
    <t>30 Января 1998</t>
  </si>
  <si>
    <t>Хомицкий Вадим</t>
  </si>
  <si>
    <t>21 Июля 1982</t>
  </si>
  <si>
    <t>Голубцов Вадим</t>
  </si>
  <si>
    <t>2 Января 1988</t>
  </si>
  <si>
    <t>Микуш Петер</t>
  </si>
  <si>
    <t>10 Января 1985</t>
  </si>
  <si>
    <t>Свобода Ярослав</t>
  </si>
  <si>
    <t>1 Июня 1980</t>
  </si>
  <si>
    <t>Раяла Тони</t>
  </si>
  <si>
    <t>29 Марта 1991</t>
  </si>
  <si>
    <t>Бухтеле Ян</t>
  </si>
  <si>
    <t>21 Июля 1990</t>
  </si>
  <si>
    <t>Алёшин Егор</t>
  </si>
  <si>
    <t>6 Февраля 1992</t>
  </si>
  <si>
    <t>Квитченко Максим</t>
  </si>
  <si>
    <t>13 Марта 1990</t>
  </si>
  <si>
    <t>Епишин Михаил</t>
  </si>
  <si>
    <t>23 Марта 1997</t>
  </si>
  <si>
    <t>Акмальдинов Александр</t>
  </si>
  <si>
    <t>23 Июня 1994</t>
  </si>
  <si>
    <t>Бурдасов Антон</t>
  </si>
  <si>
    <t>9 Мая 1991</t>
  </si>
  <si>
    <t>Носов Антон</t>
  </si>
  <si>
    <t>7 Марта 1985</t>
  </si>
  <si>
    <t>Попович Марк</t>
  </si>
  <si>
    <t>11 Октября 1982</t>
  </si>
  <si>
    <t>Карцев Денис</t>
  </si>
  <si>
    <t>25 Апреля 1976</t>
  </si>
  <si>
    <t>Тарнаски Ник</t>
  </si>
  <si>
    <t>25 Ноября 1984</t>
  </si>
  <si>
    <t>Гулявцев Александр</t>
  </si>
  <si>
    <t>3 Мая 1973</t>
  </si>
  <si>
    <t>Мельников Сергей</t>
  </si>
  <si>
    <t>3 Августа 1997</t>
  </si>
  <si>
    <t>Сухачёв Владислав</t>
  </si>
  <si>
    <t>14 Мая 1998</t>
  </si>
  <si>
    <t>Пикар Александр</t>
  </si>
  <si>
    <t>9 Октября 1985</t>
  </si>
  <si>
    <t>Радил Лукаш</t>
  </si>
  <si>
    <t>5 Августа 1990</t>
  </si>
  <si>
    <t>Сахарусов Сергей</t>
  </si>
  <si>
    <t>9 Мая 1994</t>
  </si>
  <si>
    <t>Ван Гуаньхуа</t>
  </si>
  <si>
    <t>7 Мая 1992</t>
  </si>
  <si>
    <t>Семёнов Дмитрий</t>
  </si>
  <si>
    <t>19 Апреля 1982</t>
  </si>
  <si>
    <t>Дыбленко Ярослав</t>
  </si>
  <si>
    <t>28 Декабря 1993</t>
  </si>
  <si>
    <t>Лобанов Илья</t>
  </si>
  <si>
    <t>1 Декабря 1996</t>
  </si>
  <si>
    <t>Борисов Сергей</t>
  </si>
  <si>
    <t>18 Октября 1985</t>
  </si>
  <si>
    <t>Артамонов Егор</t>
  </si>
  <si>
    <t>28 Августа 1989</t>
  </si>
  <si>
    <t>Жариков Дмитрий</t>
  </si>
  <si>
    <t>20 Марта 1992</t>
  </si>
  <si>
    <t>Сычов Виталий</t>
  </si>
  <si>
    <t>18 Апреля 1990</t>
  </si>
  <si>
    <t>Робитайл Рэнди</t>
  </si>
  <si>
    <t>12 Октября 1975</t>
  </si>
  <si>
    <t>Анциферов Алексей</t>
  </si>
  <si>
    <t>4 Марта 1991</t>
  </si>
  <si>
    <t>Индрашис Микс</t>
  </si>
  <si>
    <t>30 Сентября 1990</t>
  </si>
  <si>
    <t>Фостер Адриан</t>
  </si>
  <si>
    <t>15 Января 1982</t>
  </si>
  <si>
    <t>Шавалеев Булат</t>
  </si>
  <si>
    <t>19 Сентября 1992</t>
  </si>
  <si>
    <t>Адамчук Кирилл</t>
  </si>
  <si>
    <t>24 Мая 1994</t>
  </si>
  <si>
    <t>Фостер Кёртис</t>
  </si>
  <si>
    <t>24 Ноября 1981</t>
  </si>
  <si>
    <t>Суворов Дмитрий</t>
  </si>
  <si>
    <t>13 Июня 1991</t>
  </si>
  <si>
    <t>Воробьёв Артём</t>
  </si>
  <si>
    <t>15 Июля 1993</t>
  </si>
  <si>
    <t>Шпилар Габриэль</t>
  </si>
  <si>
    <t>15 Декабря 1980</t>
  </si>
  <si>
    <t>Балдин Кирилл</t>
  </si>
  <si>
    <t>27 Февраля 1998</t>
  </si>
  <si>
    <t>Колкунов Алексей</t>
  </si>
  <si>
    <t>3 Февраля 1977</t>
  </si>
  <si>
    <t>Серебряков Никита</t>
  </si>
  <si>
    <t>1 Ноября 1995</t>
  </si>
  <si>
    <t>Тривино Кори</t>
  </si>
  <si>
    <t>Михеев Артём</t>
  </si>
  <si>
    <t>27 Мая 1995</t>
  </si>
  <si>
    <t>Окерман Юхан</t>
  </si>
  <si>
    <t>20 Ноября 1972</t>
  </si>
  <si>
    <t>Богочанов Артём</t>
  </si>
  <si>
    <t>11 Января 1991</t>
  </si>
  <si>
    <t>Кузьменко Андрей</t>
  </si>
  <si>
    <t>4 Февраля 1996</t>
  </si>
  <si>
    <t>Мокин Никита</t>
  </si>
  <si>
    <t>14 Марта 1992</t>
  </si>
  <si>
    <t>Орлов Михаил</t>
  </si>
  <si>
    <t>21 Сентября 1992</t>
  </si>
  <si>
    <t>Евдокимов Виталий</t>
  </si>
  <si>
    <t>11 Марта 1980</t>
  </si>
  <si>
    <t>Линтнер Рихард</t>
  </si>
  <si>
    <t>15 Ноября 1977</t>
  </si>
  <si>
    <t>Жидких Александр</t>
  </si>
  <si>
    <t>7 Января 1984</t>
  </si>
  <si>
    <t>Карпов Владимир</t>
  </si>
  <si>
    <t>3 Октября 1986</t>
  </si>
  <si>
    <t>Орлов Евгений</t>
  </si>
  <si>
    <t>24 Октября 1990</t>
  </si>
  <si>
    <t>Скворцов Гунарс</t>
  </si>
  <si>
    <t>13 Января 1990</t>
  </si>
  <si>
    <t>Архипов Дмитрий</t>
  </si>
  <si>
    <t>2 Февраля 1993</t>
  </si>
  <si>
    <t>Крысанов Александр</t>
  </si>
  <si>
    <t>2 Января 1981</t>
  </si>
  <si>
    <t>Тополь Сергей</t>
  </si>
  <si>
    <t>15 Февраля 1985</t>
  </si>
  <si>
    <t>Димитракос Николас</t>
  </si>
  <si>
    <t>21 Мая 1979</t>
  </si>
  <si>
    <t>Сорокин Александр</t>
  </si>
  <si>
    <t>5 Июля 1994</t>
  </si>
  <si>
    <t>Спиридонов Максим</t>
  </si>
  <si>
    <t>7 Апреля 1978</t>
  </si>
  <si>
    <t>Рылов Яков</t>
  </si>
  <si>
    <t>15 Января 1985</t>
  </si>
  <si>
    <t>Салмела Ансси</t>
  </si>
  <si>
    <t>13 Августа 1984</t>
  </si>
  <si>
    <t>Гончаров Сергей</t>
  </si>
  <si>
    <t>22 Февраля 1989</t>
  </si>
  <si>
    <t>Мищенко Григорий</t>
  </si>
  <si>
    <t>5 Января 1992</t>
  </si>
  <si>
    <t>Твердовский Олег</t>
  </si>
  <si>
    <t>18 Мая 1976</t>
  </si>
  <si>
    <t>Попов Андрей</t>
  </si>
  <si>
    <t>15 Июля 1988</t>
  </si>
  <si>
    <t>Ткачёв Владимир А.</t>
  </si>
  <si>
    <t>5 Октября 1993</t>
  </si>
  <si>
    <t>Зернов Денис</t>
  </si>
  <si>
    <t>10 Января 1996</t>
  </si>
  <si>
    <t>Песонен Янне</t>
  </si>
  <si>
    <t>11 Мая 1982</t>
  </si>
  <si>
    <t>Бикмуллин Рафаэль</t>
  </si>
  <si>
    <t>12 Июля 1997</t>
  </si>
  <si>
    <t>Казнадей Илья</t>
  </si>
  <si>
    <t>22 Июня 1989</t>
  </si>
  <si>
    <t>Иванов Алексей</t>
  </si>
  <si>
    <t>4 Мая 1988</t>
  </si>
  <si>
    <t>Пивко Либор</t>
  </si>
  <si>
    <t>29 Марта 1980</t>
  </si>
  <si>
    <t>Мингалеев Денис</t>
  </si>
  <si>
    <t>13 Ноября 1994</t>
  </si>
  <si>
    <t>Демагин Сергей</t>
  </si>
  <si>
    <t>19 Июля 1986</t>
  </si>
  <si>
    <t>Емелеев Игорь</t>
  </si>
  <si>
    <t>7 Марта 1981</t>
  </si>
  <si>
    <t>Ефремов Владислав</t>
  </si>
  <si>
    <t>1 Августа 1995</t>
  </si>
  <si>
    <t>Ишмаметьев Алексей</t>
  </si>
  <si>
    <t>17 Июня 1988</t>
  </si>
  <si>
    <t>Михайлис Никита</t>
  </si>
  <si>
    <t>18 Июня 1995</t>
  </si>
  <si>
    <t>Хульт Андре</t>
  </si>
  <si>
    <t>5 Декабря 1987</t>
  </si>
  <si>
    <t>Юксеев Александр</t>
  </si>
  <si>
    <t>5 Марта 1988</t>
  </si>
  <si>
    <t>Тихонов Михаил</t>
  </si>
  <si>
    <t>15 Сентября 1995</t>
  </si>
  <si>
    <t>Ципрусс Айгарс</t>
  </si>
  <si>
    <t>12 Января 1972</t>
  </si>
  <si>
    <t>Новотны Филип</t>
  </si>
  <si>
    <t>6 Мая 1991</t>
  </si>
  <si>
    <t>Лапин Сергей</t>
  </si>
  <si>
    <t>20 Апреля 1996</t>
  </si>
  <si>
    <t>Зайцев Егор</t>
  </si>
  <si>
    <t>3 Мая 1998</t>
  </si>
  <si>
    <t>Кошечкин Василий</t>
  </si>
  <si>
    <t>27 Марта 1983</t>
  </si>
  <si>
    <t>Князев Кирилл</t>
  </si>
  <si>
    <t>9 Июня 1983</t>
  </si>
  <si>
    <t>Йормакка Пекка</t>
  </si>
  <si>
    <t>14 Сентября 1990</t>
  </si>
  <si>
    <t>Азеведо Джастин</t>
  </si>
  <si>
    <t>1 Апреля 1988</t>
  </si>
  <si>
    <t>Богданов Никита</t>
  </si>
  <si>
    <t>13 Февраля 1995</t>
  </si>
  <si>
    <t>Цветков Лев</t>
  </si>
  <si>
    <t>24 Мая 1989</t>
  </si>
  <si>
    <t>Поляков Дмитрий</t>
  </si>
  <si>
    <t>23 Января 1985</t>
  </si>
  <si>
    <t>Ермолаев Вадим</t>
  </si>
  <si>
    <t>14 Февраля 1989</t>
  </si>
  <si>
    <t>Тезиков Алексей</t>
  </si>
  <si>
    <t>22 Июня 1978</t>
  </si>
  <si>
    <t>Афанасенков Дмитрий</t>
  </si>
  <si>
    <t>12 Мая 1980</t>
  </si>
  <si>
    <t>Шакич Марко</t>
  </si>
  <si>
    <t>13 Апреля 1994</t>
  </si>
  <si>
    <t>Дани Янн</t>
  </si>
  <si>
    <t>21 Июня 1981</t>
  </si>
  <si>
    <t>Петров Алексей</t>
  </si>
  <si>
    <t>1 Февраля 1983</t>
  </si>
  <si>
    <t>Белохвостиков Евгений</t>
  </si>
  <si>
    <t>1 Февраля 1992</t>
  </si>
  <si>
    <t>Нискала Янне</t>
  </si>
  <si>
    <t>22 Сентября 1981</t>
  </si>
  <si>
    <t>Пиганович Олег</t>
  </si>
  <si>
    <t>12 Мая 1985</t>
  </si>
  <si>
    <t>Моисеев Дмитрий Ал.</t>
  </si>
  <si>
    <t>12 Июня 1995</t>
  </si>
  <si>
    <t>Шолохов Марсель</t>
  </si>
  <si>
    <t>12 Января 1998</t>
  </si>
  <si>
    <t>Микулович Александр</t>
  </si>
  <si>
    <t>1 Июля 1996</t>
  </si>
  <si>
    <t>Новак Филип</t>
  </si>
  <si>
    <t>7 Мая 1982</t>
  </si>
  <si>
    <t>Рязанцев Александр</t>
  </si>
  <si>
    <t>Ильин Сергей</t>
  </si>
  <si>
    <t>29 Апреля 1994</t>
  </si>
  <si>
    <t>Мякиниеми Эту</t>
  </si>
  <si>
    <t>19 Апреля 1999</t>
  </si>
  <si>
    <t>Хиетанен Юусо</t>
  </si>
  <si>
    <t>14 Июня 1985</t>
  </si>
  <si>
    <t>Шантыка Алексей</t>
  </si>
  <si>
    <t>14 Августа 1995</t>
  </si>
  <si>
    <t>Валеев Ильдар</t>
  </si>
  <si>
    <t>29 Ноября 1991</t>
  </si>
  <si>
    <t>Глазков Иван</t>
  </si>
  <si>
    <t>13 Февраля 1992</t>
  </si>
  <si>
    <t>Сироткин Никита</t>
  </si>
  <si>
    <t>26 Ноября 1993</t>
  </si>
  <si>
    <t>Сирик Филипп</t>
  </si>
  <si>
    <t>3 Февраля 1990</t>
  </si>
  <si>
    <t>Сопин Алексей</t>
  </si>
  <si>
    <t>4 Марта 1987</t>
  </si>
  <si>
    <t>Шашков Глеб</t>
  </si>
  <si>
    <t>13 Апреля 1996</t>
  </si>
  <si>
    <t>Валентенко Павел</t>
  </si>
  <si>
    <t>20 Октября 1987</t>
  </si>
  <si>
    <t>Фейхи Брайан</t>
  </si>
  <si>
    <t>2 Марта 1981</t>
  </si>
  <si>
    <t>Зыков Павел</t>
  </si>
  <si>
    <t>22 Января 1995</t>
  </si>
  <si>
    <t>Горохов Павел</t>
  </si>
  <si>
    <t>2 Марта 1998</t>
  </si>
  <si>
    <t>Кольцов Кирилл</t>
  </si>
  <si>
    <t>Ниеминен Вилле</t>
  </si>
  <si>
    <t>6 Апреля 1977</t>
  </si>
  <si>
    <t>Карпов Максим</t>
  </si>
  <si>
    <t>19 Октября 1991</t>
  </si>
  <si>
    <t>Кочетков Денис</t>
  </si>
  <si>
    <t>27 Марта 1980</t>
  </si>
  <si>
    <t>Карсумс Мартиньш</t>
  </si>
  <si>
    <t>26 Февраля 1986</t>
  </si>
  <si>
    <t>Манукян Артём</t>
  </si>
  <si>
    <t>9 Июня 1998</t>
  </si>
  <si>
    <t>Любушкин Илья</t>
  </si>
  <si>
    <t>6 Апреля 1994</t>
  </si>
  <si>
    <t>Григоренко Игорь</t>
  </si>
  <si>
    <t>9 Апреля 1983</t>
  </si>
  <si>
    <t>Осала Оскар</t>
  </si>
  <si>
    <t>26 Декабря 1987</t>
  </si>
  <si>
    <t>Валикетт Стив</t>
  </si>
  <si>
    <t>20 Августа 1977</t>
  </si>
  <si>
    <t>Гашек Доминик</t>
  </si>
  <si>
    <t>29 Января 1965</t>
  </si>
  <si>
    <t>Шютц Феликс</t>
  </si>
  <si>
    <t>3 Ноября 1987</t>
  </si>
  <si>
    <t>Германия</t>
  </si>
  <si>
    <t>Баландин Максим</t>
  </si>
  <si>
    <t>15 Мая 2000</t>
  </si>
  <si>
    <t>Дятелинка Иван</t>
  </si>
  <si>
    <t>6 Марта 1983</t>
  </si>
  <si>
    <t>Микуш Юрай</t>
  </si>
  <si>
    <t>22 Февраля 1987</t>
  </si>
  <si>
    <t>Францоуз Павел</t>
  </si>
  <si>
    <t>Никоноров Кирилл</t>
  </si>
  <si>
    <t>8 Января 1990</t>
  </si>
  <si>
    <t>Григорьев Кирилл</t>
  </si>
  <si>
    <t>5 Января 1995</t>
  </si>
  <si>
    <t>Орехов Вадим</t>
  </si>
  <si>
    <t>6 Мая 1995</t>
  </si>
  <si>
    <t>Пратт Нолан</t>
  </si>
  <si>
    <t>14 Августа 1975</t>
  </si>
  <si>
    <t>Балан Станислав</t>
  </si>
  <si>
    <t>30 Января 1986</t>
  </si>
  <si>
    <t>Лоптев Дмитрий</t>
  </si>
  <si>
    <t>5 Сентября 1984</t>
  </si>
  <si>
    <t>Валиев Айрат</t>
  </si>
  <si>
    <t>Галкин Евгений</t>
  </si>
  <si>
    <t>27 Ноября 1975</t>
  </si>
  <si>
    <t>Райан Майкл</t>
  </si>
  <si>
    <t>16 Мая 1980</t>
  </si>
  <si>
    <t>Парлетт Блэйк</t>
  </si>
  <si>
    <t>13 Мая 1989</t>
  </si>
  <si>
    <t>Гудачек Юлиус</t>
  </si>
  <si>
    <t>Камалов Никита</t>
  </si>
  <si>
    <t>8 Августа 1995</t>
  </si>
  <si>
    <t>Костицын Андрей</t>
  </si>
  <si>
    <t>3 Февраля 1985</t>
  </si>
  <si>
    <t>Лофквист Сэм</t>
  </si>
  <si>
    <t>15 Марта 1990</t>
  </si>
  <si>
    <t>Мухометов Ильдар</t>
  </si>
  <si>
    <t>21 Сентября 1972</t>
  </si>
  <si>
    <t>Челышев Максим</t>
  </si>
  <si>
    <t>18 Сентября 1991</t>
  </si>
  <si>
    <t>Кандзюба Станислав</t>
  </si>
  <si>
    <t>12 Января 1996</t>
  </si>
  <si>
    <t>Зедник Рихард</t>
  </si>
  <si>
    <t>6 Января 1976</t>
  </si>
  <si>
    <t>Перро Натан</t>
  </si>
  <si>
    <t>8 Декабря 1976</t>
  </si>
  <si>
    <t>Стасюк Денис</t>
  </si>
  <si>
    <t>2 Сентября 1985</t>
  </si>
  <si>
    <t>Капотов Антон</t>
  </si>
  <si>
    <t>30 Июня 1991</t>
  </si>
  <si>
    <t>Крутов Алексей</t>
  </si>
  <si>
    <t>1 Февраля 1984</t>
  </si>
  <si>
    <t>Барзман Кирилл</t>
  </si>
  <si>
    <t>14 Июля 1993</t>
  </si>
  <si>
    <t>Насонов Владислав</t>
  </si>
  <si>
    <t>10 Мая 1997</t>
  </si>
  <si>
    <t>Локтионов Андрей</t>
  </si>
  <si>
    <t>30 Мая 1990</t>
  </si>
  <si>
    <t>Солодухин Вячеслав</t>
  </si>
  <si>
    <t>31 Июля 1988</t>
  </si>
  <si>
    <t>Иванюженков Антон</t>
  </si>
  <si>
    <t>2 Января 1994</t>
  </si>
  <si>
    <t>Сарматин Михаил</t>
  </si>
  <si>
    <t>26 Октября 1972</t>
  </si>
  <si>
    <t>Клоучек Томаш</t>
  </si>
  <si>
    <t>Зеленин Никита</t>
  </si>
  <si>
    <t>30 Марта 1995</t>
  </si>
  <si>
    <t>Сергеенко Георгий</t>
  </si>
  <si>
    <t>Бергфорс Никлас</t>
  </si>
  <si>
    <t>7 Марта 1987</t>
  </si>
  <si>
    <t>Подзиньш Айнарс</t>
  </si>
  <si>
    <t>16 Марта 1992</t>
  </si>
  <si>
    <t>Штястни Ян</t>
  </si>
  <si>
    <t>30 Сентября 1982</t>
  </si>
  <si>
    <t>Вейссманн Эрик</t>
  </si>
  <si>
    <t>27 Мая 1978</t>
  </si>
  <si>
    <t>Биезайс Элвийс</t>
  </si>
  <si>
    <t>Сагадеев Антон</t>
  </si>
  <si>
    <t>6 Сентября 1993</t>
  </si>
  <si>
    <t>Лундмарк Джеми</t>
  </si>
  <si>
    <t>16 Января 1981</t>
  </si>
  <si>
    <t>Шишков Владислав</t>
  </si>
  <si>
    <t>19 Марта 1997</t>
  </si>
  <si>
    <t>Мейя Гинтс</t>
  </si>
  <si>
    <t>4 Сентября 1987</t>
  </si>
  <si>
    <t>Шевченко Дмитрий</t>
  </si>
  <si>
    <t>15 Декабря 1995</t>
  </si>
  <si>
    <t>Лещёв Альберт</t>
  </si>
  <si>
    <t>27 Сентября 1971</t>
  </si>
  <si>
    <t>Шамыгин Дмитрий</t>
  </si>
  <si>
    <t>17 Июня 1987</t>
  </si>
  <si>
    <t>Тетерин Иван</t>
  </si>
  <si>
    <t>2 Декабря 1995</t>
  </si>
  <si>
    <t>Пирнес Эса</t>
  </si>
  <si>
    <t>1 Апреля 1977</t>
  </si>
  <si>
    <t>Коротков Дмитрий</t>
  </si>
  <si>
    <t>26 Мая 1985</t>
  </si>
  <si>
    <t>Вишняков Альберт</t>
  </si>
  <si>
    <t>30 Декабря 1983</t>
  </si>
  <si>
    <t>Малыхин Фёдор</t>
  </si>
  <si>
    <t>13 Ноября 1990</t>
  </si>
  <si>
    <t>Арнасон Тайлер</t>
  </si>
  <si>
    <t>16 Марта 1979</t>
  </si>
  <si>
    <t>Рот Владимир</t>
  </si>
  <si>
    <t>25 Июня 1990</t>
  </si>
  <si>
    <t>Копецки Томаш</t>
  </si>
  <si>
    <t>5 Февраля 1982</t>
  </si>
  <si>
    <t>Бортников Игорь</t>
  </si>
  <si>
    <t>8 Июня 1989</t>
  </si>
  <si>
    <t>Мюттюнен Матиас</t>
  </si>
  <si>
    <t>12 Марта 1990</t>
  </si>
  <si>
    <t>Конрад Бранислав</t>
  </si>
  <si>
    <t>10 Октября 1987</t>
  </si>
  <si>
    <t>Волков Константин</t>
  </si>
  <si>
    <t>Волошин Дмитрий</t>
  </si>
  <si>
    <t>Таркки Туомас</t>
  </si>
  <si>
    <t>28 Февраля 1980</t>
  </si>
  <si>
    <t>Бочаров Станислав</t>
  </si>
  <si>
    <t>20 Июня 1991</t>
  </si>
  <si>
    <t>Варламов Сергей</t>
  </si>
  <si>
    <t>21 Июля 1978</t>
  </si>
  <si>
    <t>Чурляев Михаил</t>
  </si>
  <si>
    <t>22 Октября 1989</t>
  </si>
  <si>
    <t>Закиев Радик</t>
  </si>
  <si>
    <t>23 Декабря 1986</t>
  </si>
  <si>
    <t>Дудик Дмитрий</t>
  </si>
  <si>
    <t>2 Ноября 1977</t>
  </si>
  <si>
    <t>Комаристый Александр</t>
  </si>
  <si>
    <t>2 Октября 1989</t>
  </si>
  <si>
    <t>Иванов Егор</t>
  </si>
  <si>
    <t>30 Июня 1995</t>
  </si>
  <si>
    <t>Хенкель Кристиан</t>
  </si>
  <si>
    <t>7 Ноября 1995</t>
  </si>
  <si>
    <t>Миличич Матия</t>
  </si>
  <si>
    <t>13 Февраля 1996</t>
  </si>
  <si>
    <t>Черепов Денис</t>
  </si>
  <si>
    <t>8 Июня 1996</t>
  </si>
  <si>
    <t>Шварни Иван</t>
  </si>
  <si>
    <t>31 Октября 1984</t>
  </si>
  <si>
    <t>Бумедьенн Юсеф</t>
  </si>
  <si>
    <t>12 Января 1978</t>
  </si>
  <si>
    <t>Макаров Игорь</t>
  </si>
  <si>
    <t>19 Сентября 1987</t>
  </si>
  <si>
    <t>Сковронский Андрей</t>
  </si>
  <si>
    <t>25 Марта 1998</t>
  </si>
  <si>
    <t>Тришин Аким</t>
  </si>
  <si>
    <t>16 Августа 1999</t>
  </si>
  <si>
    <t>Беляев Михаил</t>
  </si>
  <si>
    <t>17 Января 1998</t>
  </si>
  <si>
    <t>Бойко Иван</t>
  </si>
  <si>
    <t>27 Июня 1991</t>
  </si>
  <si>
    <t>Бартечко Любош</t>
  </si>
  <si>
    <t>14 Июля 1976</t>
  </si>
  <si>
    <t>Степанов Александр</t>
  </si>
  <si>
    <t>26 Апреля 1979</t>
  </si>
  <si>
    <t>Энгрен Атте</t>
  </si>
  <si>
    <t>19 Февраля 1988</t>
  </si>
  <si>
    <t>Костичкин Николай</t>
  </si>
  <si>
    <t>24 Марта 1989</t>
  </si>
  <si>
    <t>Точицкий Никита</t>
  </si>
  <si>
    <t>17 Августа 1991</t>
  </si>
  <si>
    <t>Щехура Пол</t>
  </si>
  <si>
    <t>30 Ноября 1985</t>
  </si>
  <si>
    <t>Коусал Роберт</t>
  </si>
  <si>
    <t>7 Октября 1990</t>
  </si>
  <si>
    <t>Романов Александр</t>
  </si>
  <si>
    <t>18 Августа 1980</t>
  </si>
  <si>
    <t>Полещенков Сергей</t>
  </si>
  <si>
    <t>10 Декабря 1997</t>
  </si>
  <si>
    <t>Уайт Патрик</t>
  </si>
  <si>
    <t>20 Января 1989</t>
  </si>
  <si>
    <t>Смрек Петер</t>
  </si>
  <si>
    <t>16 Февраля 1979</t>
  </si>
  <si>
    <t>Кожанов Константин</t>
  </si>
  <si>
    <t>4 Марта 1999</t>
  </si>
  <si>
    <t>Дубелевич Уэйд</t>
  </si>
  <si>
    <t>30 Января 1979</t>
  </si>
  <si>
    <t>Шалапов Егор</t>
  </si>
  <si>
    <t>Короваев Денис</t>
  </si>
  <si>
    <t>Никулин Владислав</t>
  </si>
  <si>
    <t>10 Ноября 1994</t>
  </si>
  <si>
    <t>Елизаров Анатолий</t>
  </si>
  <si>
    <t>14 Июня 1998</t>
  </si>
  <si>
    <t>Черных Дмитрий</t>
  </si>
  <si>
    <t>27 Февраля 1985</t>
  </si>
  <si>
    <t>Трясунов Вячеслав</t>
  </si>
  <si>
    <t>24 Июня 1985</t>
  </si>
  <si>
    <t>Роса Павел</t>
  </si>
  <si>
    <t>7 Июня 1977</t>
  </si>
  <si>
    <t>Шилин Олег</t>
  </si>
  <si>
    <t>Власенков Дмитрий</t>
  </si>
  <si>
    <t>1 Января 1978</t>
  </si>
  <si>
    <t>Донченко Илья</t>
  </si>
  <si>
    <t>27 Ноября 1997</t>
  </si>
  <si>
    <t>Уэллвуд Кайл</t>
  </si>
  <si>
    <t>16 Мая 1983</t>
  </si>
  <si>
    <t>Варг Фредрик</t>
  </si>
  <si>
    <t>3 Мая 1979</t>
  </si>
  <si>
    <t>Логинов Владимир</t>
  </si>
  <si>
    <t>1 Января 1981</t>
  </si>
  <si>
    <t>Киселевич Богдан</t>
  </si>
  <si>
    <t>14 Февраля 1990</t>
  </si>
  <si>
    <t>Каюмов Артур</t>
  </si>
  <si>
    <t>14 Февраля 1998</t>
  </si>
  <si>
    <t>Кузнецов Сергей</t>
  </si>
  <si>
    <t>5 Января 1991</t>
  </si>
  <si>
    <t>Мёллер Оскар</t>
  </si>
  <si>
    <t>22 Января 1989</t>
  </si>
  <si>
    <t>Язьков Никита</t>
  </si>
  <si>
    <t>27 Февраля 1996</t>
  </si>
  <si>
    <t>Бегов Рустам</t>
  </si>
  <si>
    <t>26 Июня 1993</t>
  </si>
  <si>
    <t>Кодола Владислав</t>
  </si>
  <si>
    <t>30 Октября 1996</t>
  </si>
  <si>
    <t>Зозуля Илья</t>
  </si>
  <si>
    <t>11 Января 1997</t>
  </si>
  <si>
    <t>Курбатов Евгений</t>
  </si>
  <si>
    <t>18 Мая 1988</t>
  </si>
  <si>
    <t>Херсли Патрик</t>
  </si>
  <si>
    <t>23 Июня 1986</t>
  </si>
  <si>
    <t>Каштанов Иван</t>
  </si>
  <si>
    <t>24 Февраля 1997</t>
  </si>
  <si>
    <t>Лучников Алексей</t>
  </si>
  <si>
    <t>16 Февраля 1992</t>
  </si>
  <si>
    <t>Булыгин Владислав</t>
  </si>
  <si>
    <t>5 Апреля 1998</t>
  </si>
  <si>
    <t>Родионов Александр С.</t>
  </si>
  <si>
    <t>16 Августа 1995</t>
  </si>
  <si>
    <t>Кузнецов Георгий</t>
  </si>
  <si>
    <t>28 Января 1998</t>
  </si>
  <si>
    <t>Щербатов Элиэзер</t>
  </si>
  <si>
    <t>9 Октября 1991</t>
  </si>
  <si>
    <t>Макаров Константин</t>
  </si>
  <si>
    <t>17 Сентября 1985</t>
  </si>
  <si>
    <t>Ильин Даниил</t>
  </si>
  <si>
    <t>17 Июня 1995</t>
  </si>
  <si>
    <t>Дацюк Павел</t>
  </si>
  <si>
    <t>20 Июля 1978</t>
  </si>
  <si>
    <t>Гуськов Александр</t>
  </si>
  <si>
    <t>26 Ноября 1976</t>
  </si>
  <si>
    <t>Зуборев Сергей</t>
  </si>
  <si>
    <t>7 Апреля 1983</t>
  </si>
  <si>
    <t>Гончар Сергей</t>
  </si>
  <si>
    <t>13 Апреля 1974</t>
  </si>
  <si>
    <t>Щемеров Александр</t>
  </si>
  <si>
    <t>2 Июня 1997</t>
  </si>
  <si>
    <t>Карлссон Хенрик</t>
  </si>
  <si>
    <t>Черепанов Никита</t>
  </si>
  <si>
    <t>19 Ноября 1995</t>
  </si>
  <si>
    <t>Полинин Альберт</t>
  </si>
  <si>
    <t>13 Января 1989</t>
  </si>
  <si>
    <t>Бурделёв Артём</t>
  </si>
  <si>
    <t>11 Февраля 1991</t>
  </si>
  <si>
    <t>Ступников Артём</t>
  </si>
  <si>
    <t>1 Ноября 1997</t>
  </si>
  <si>
    <t>Тимирёв Александр</t>
  </si>
  <si>
    <t>10 Марта 1994</t>
  </si>
  <si>
    <t>Макаров Дмитрий</t>
  </si>
  <si>
    <t>6 Декабря 1983</t>
  </si>
  <si>
    <t>Васильев Алексей</t>
  </si>
  <si>
    <t>1 Сентября 1977</t>
  </si>
  <si>
    <t>20 Сентября 1997</t>
  </si>
  <si>
    <t>Фортэн Жан-Франсуа</t>
  </si>
  <si>
    <t>15 Марта 1979</t>
  </si>
  <si>
    <t>Парфеевец Максим</t>
  </si>
  <si>
    <t>15 Апреля 1992</t>
  </si>
  <si>
    <t>Рамстедт Тему</t>
  </si>
  <si>
    <t>9 Декабря 1987</t>
  </si>
  <si>
    <t>Чайковски Михал</t>
  </si>
  <si>
    <t>6 Мая 1992</t>
  </si>
  <si>
    <t>Курьянов Антон</t>
  </si>
  <si>
    <t>11 Марта 1983</t>
  </si>
  <si>
    <t>Принтз Давид</t>
  </si>
  <si>
    <t>Григоренко Михаил</t>
  </si>
  <si>
    <t>16 Мая 1994</t>
  </si>
  <si>
    <t>Бочаров Иван</t>
  </si>
  <si>
    <t>18 Мая 1995</t>
  </si>
  <si>
    <t>Бойчак Зак</t>
  </si>
  <si>
    <t>4 Октября 1989</t>
  </si>
  <si>
    <t>Орлов Дмитрий</t>
  </si>
  <si>
    <t>23 Июля 1991</t>
  </si>
  <si>
    <t>Брынцев Александр</t>
  </si>
  <si>
    <t>21 Мая 1995</t>
  </si>
  <si>
    <t>Брент Тим</t>
  </si>
  <si>
    <t>10 Марта 1984</t>
  </si>
  <si>
    <t>Креган Александр</t>
  </si>
  <si>
    <t>23 Февраля 1996</t>
  </si>
  <si>
    <t>Пластино Ник</t>
  </si>
  <si>
    <t>20 Февраля 1986</t>
  </si>
  <si>
    <t>Столяров Геннадий</t>
  </si>
  <si>
    <t>20 Августа 1986</t>
  </si>
  <si>
    <t>Ковалёв Алексей</t>
  </si>
  <si>
    <t>24 Февраля 1973</t>
  </si>
  <si>
    <t>Лейно Вилле</t>
  </si>
  <si>
    <t>6 Октября 1983</t>
  </si>
  <si>
    <t>Ханнула Мика</t>
  </si>
  <si>
    <t>2 Апреля 1979</t>
  </si>
  <si>
    <t>Жданов Степан</t>
  </si>
  <si>
    <t>25 Августа 1989</t>
  </si>
  <si>
    <t>Смирнов Андрей А.</t>
  </si>
  <si>
    <t>24 Апреля 1990</t>
  </si>
  <si>
    <t>Паленга Евгений</t>
  </si>
  <si>
    <t>27 Января 1993</t>
  </si>
  <si>
    <t>Нечистовский Павел</t>
  </si>
  <si>
    <t>12 Января 1997</t>
  </si>
  <si>
    <t>Смирнов Никита</t>
  </si>
  <si>
    <t>26 Июня 1987</t>
  </si>
  <si>
    <t>Якуценя Максим</t>
  </si>
  <si>
    <t>14 Февраля 1981</t>
  </si>
  <si>
    <t>Шаров Александр П.</t>
  </si>
  <si>
    <t>23 Июня 1995</t>
  </si>
  <si>
    <t>Шацкий Никита</t>
  </si>
  <si>
    <t>16 Февраля 1995</t>
  </si>
  <si>
    <t>Махановский Павел</t>
  </si>
  <si>
    <t>2 Сентября 1993</t>
  </si>
  <si>
    <t>Хлынцев Иван</t>
  </si>
  <si>
    <t>16 Июня 1981</t>
  </si>
  <si>
    <t>Баклунд Юхан</t>
  </si>
  <si>
    <t>24 Июля 1981</t>
  </si>
  <si>
    <t>Шиафотдинов Камиль</t>
  </si>
  <si>
    <t>3 Октября 1994</t>
  </si>
  <si>
    <t>Квартальнов Данила</t>
  </si>
  <si>
    <t>7 Июля 1997</t>
  </si>
  <si>
    <t>Симаков Алексей</t>
  </si>
  <si>
    <t>7 Апреля 1979</t>
  </si>
  <si>
    <t>Хейккинен Илькка</t>
  </si>
  <si>
    <t>13 Ноября 1984</t>
  </si>
  <si>
    <t>Дойч Адам</t>
  </si>
  <si>
    <t>22 Мая 1995</t>
  </si>
  <si>
    <t>Антоненко Олег</t>
  </si>
  <si>
    <t>1 Июля 1971</t>
  </si>
  <si>
    <t>Павлов Илья</t>
  </si>
  <si>
    <t>27 Августа 1991</t>
  </si>
  <si>
    <t>Желобнюк Вадим</t>
  </si>
  <si>
    <t>Корнилов Кирилл</t>
  </si>
  <si>
    <t>1 Июля 1989</t>
  </si>
  <si>
    <t>Порселанд Матиас</t>
  </si>
  <si>
    <t>12 Июня 1986</t>
  </si>
  <si>
    <t>Ковальчук Илья</t>
  </si>
  <si>
    <t>15 Апреля 1983</t>
  </si>
  <si>
    <t>Тихонов Виктор</t>
  </si>
  <si>
    <t>12 Мая 1988</t>
  </si>
  <si>
    <t>Терещенко Виктор</t>
  </si>
  <si>
    <t>22 Апреля 1995</t>
  </si>
  <si>
    <t>Галузин Владимир</t>
  </si>
  <si>
    <t>Аркалов Илья</t>
  </si>
  <si>
    <t>27 Октября 1993</t>
  </si>
  <si>
    <t>Бойков Александр</t>
  </si>
  <si>
    <t>3 Февраля 1975</t>
  </si>
  <si>
    <t>Стефанович Михаил</t>
  </si>
  <si>
    <t>11 Мая 1989</t>
  </si>
  <si>
    <t>Цимерманис Рихардс</t>
  </si>
  <si>
    <t>22 Марта 1993</t>
  </si>
  <si>
    <t>Ягр Яромир</t>
  </si>
  <si>
    <t>15 Февраля 1972</t>
  </si>
  <si>
    <t>Лаута Артур</t>
  </si>
  <si>
    <t>14 Февраля 1996</t>
  </si>
  <si>
    <t>Самохвалов Никита</t>
  </si>
  <si>
    <t>1 Октября 1997</t>
  </si>
  <si>
    <t>Берников Руслан</t>
  </si>
  <si>
    <t>4 Декабря 1977</t>
  </si>
  <si>
    <t>Башкиров Руслан</t>
  </si>
  <si>
    <t>7 Марта 1989</t>
  </si>
  <si>
    <t>Пруха Петр</t>
  </si>
  <si>
    <t>14 Сентября 1982</t>
  </si>
  <si>
    <t>Шикин Дмитрий</t>
  </si>
  <si>
    <t>28 Августа 1991</t>
  </si>
  <si>
    <t>Злобин Антон</t>
  </si>
  <si>
    <t>22 Февраля 1993</t>
  </si>
  <si>
    <t>Шишка Юрай</t>
  </si>
  <si>
    <t>17 Мая 1996</t>
  </si>
  <si>
    <t>Дадонов Евгений</t>
  </si>
  <si>
    <t>7 Августа 1992</t>
  </si>
  <si>
    <t>Скрынник Александр</t>
  </si>
  <si>
    <t>26 Июля 1991</t>
  </si>
  <si>
    <t>Кулаков Александр</t>
  </si>
  <si>
    <t>15 Мая 1983</t>
  </si>
  <si>
    <t>Кузьмин Глеб</t>
  </si>
  <si>
    <t>Махбод Самсон</t>
  </si>
  <si>
    <t>3 Февраля 1989</t>
  </si>
  <si>
    <t>Пайор Сергей</t>
  </si>
  <si>
    <t>29 Июня 1984</t>
  </si>
  <si>
    <t>Романцев Данил</t>
  </si>
  <si>
    <t>5 Июня 1993</t>
  </si>
  <si>
    <t>Орлов Иван</t>
  </si>
  <si>
    <t>14 Марта 1996</t>
  </si>
  <si>
    <t>Лундстрём Юаким</t>
  </si>
  <si>
    <t>25 Февраля 1984</t>
  </si>
  <si>
    <t>Тарасенко Владимир</t>
  </si>
  <si>
    <t>13 Декабря 1991</t>
  </si>
  <si>
    <t>Прайссинг Том</t>
  </si>
  <si>
    <t>3 Декабря 1978</t>
  </si>
  <si>
    <t>Нетик Томаш</t>
  </si>
  <si>
    <t>Краев Максим</t>
  </si>
  <si>
    <t>21 Сентября 1979</t>
  </si>
  <si>
    <t>Белльмор Бретт</t>
  </si>
  <si>
    <t>25 Июня 1988</t>
  </si>
  <si>
    <t>Граняк Доминик</t>
  </si>
  <si>
    <t>11 Июня 1983</t>
  </si>
  <si>
    <t>Вампола Петр</t>
  </si>
  <si>
    <t>21 Января 1982</t>
  </si>
  <si>
    <t>Жмакин Станислав</t>
  </si>
  <si>
    <t>25 Июня 1982</t>
  </si>
  <si>
    <t>Баринка Михал</t>
  </si>
  <si>
    <t>12 Июня 1984</t>
  </si>
  <si>
    <t>Конобрий Евгений</t>
  </si>
  <si>
    <t>17 Августа 1985</t>
  </si>
  <si>
    <t>Потапов Алексей</t>
  </si>
  <si>
    <t>2 Марта 1989</t>
  </si>
  <si>
    <t>Ситников Виталий</t>
  </si>
  <si>
    <t>20 Октября 1981</t>
  </si>
  <si>
    <t>Пацовски Доминик</t>
  </si>
  <si>
    <t>8 Июня 1990</t>
  </si>
  <si>
    <t>Бутузов Владимир</t>
  </si>
  <si>
    <t>27 Мая 1994</t>
  </si>
  <si>
    <t>Кулагин Александр</t>
  </si>
  <si>
    <t>12 Января 1994</t>
  </si>
  <si>
    <t>Петров Александр</t>
  </si>
  <si>
    <t>27 Сентября 1993</t>
  </si>
  <si>
    <t>Фёдоров Сергей</t>
  </si>
  <si>
    <t>13 Декабря 1969</t>
  </si>
  <si>
    <t>Петрашек Давид</t>
  </si>
  <si>
    <t>1 Февраля 1976</t>
  </si>
  <si>
    <t>Мишарин Георгий</t>
  </si>
  <si>
    <t>11 Мая 1985</t>
  </si>
  <si>
    <t>Кагайкин Сергей</t>
  </si>
  <si>
    <t>10 Ноября 1980</t>
  </si>
  <si>
    <t>Рассказов Кирилл</t>
  </si>
  <si>
    <t>3 Мая 1992</t>
  </si>
  <si>
    <t>Каллен Марк</t>
  </si>
  <si>
    <t>28 Октября 1978</t>
  </si>
  <si>
    <t>Бурстрём Никлас</t>
  </si>
  <si>
    <t>25 Января 1991</t>
  </si>
  <si>
    <t>Шаров Александр А.</t>
  </si>
  <si>
    <t>5 Ноября 1995</t>
  </si>
  <si>
    <t>Осипов Александр</t>
  </si>
  <si>
    <t>Старков Кирилл</t>
  </si>
  <si>
    <t>31 Июля 1987</t>
  </si>
  <si>
    <t>Дания</t>
  </si>
  <si>
    <t>Хлопотов Вадим</t>
  </si>
  <si>
    <t>22 Апреля 1994</t>
  </si>
  <si>
    <t>Свобода Адам</t>
  </si>
  <si>
    <t>26 Января 1978</t>
  </si>
  <si>
    <t>Полозов Кирилл</t>
  </si>
  <si>
    <t>15 Января 1991</t>
  </si>
  <si>
    <t>Тршка Петер</t>
  </si>
  <si>
    <t>1 Июня 1992</t>
  </si>
  <si>
    <t>Брендл Павел</t>
  </si>
  <si>
    <t>23 Марта 1981</t>
  </si>
  <si>
    <t>Обухов Дмитрий</t>
  </si>
  <si>
    <t>9 Июля 1983</t>
  </si>
  <si>
    <t>Рафиков Рушан</t>
  </si>
  <si>
    <t>15 Мая 1995</t>
  </si>
  <si>
    <t>Пёйсти Эту</t>
  </si>
  <si>
    <t>16 Января 1989</t>
  </si>
  <si>
    <t>Уилсон Клэй</t>
  </si>
  <si>
    <t>5 Апреля 1983</t>
  </si>
  <si>
    <t>Корпикари Оскари</t>
  </si>
  <si>
    <t>5 Апреля 1984</t>
  </si>
  <si>
    <t>Спанг Дэн</t>
  </si>
  <si>
    <t>16 Августа 1983</t>
  </si>
  <si>
    <t>Мюррэй Эндрю</t>
  </si>
  <si>
    <t>Мосалёв Денис</t>
  </si>
  <si>
    <t>28 Февраля 1986</t>
  </si>
  <si>
    <t>Черноок Павел</t>
  </si>
  <si>
    <t>28 Сентября 1986</t>
  </si>
  <si>
    <t>Угрюмов Евгений</t>
  </si>
  <si>
    <t>29 Апреля 1996</t>
  </si>
  <si>
    <t>Малюшкин Илья</t>
  </si>
  <si>
    <t>30 Января 1984</t>
  </si>
  <si>
    <t>Морозов Илья</t>
  </si>
  <si>
    <t>20 Января 1999</t>
  </si>
  <si>
    <t>Сопел Брент</t>
  </si>
  <si>
    <t>7 Января 1977</t>
  </si>
  <si>
    <t>Хабада Мартин</t>
  </si>
  <si>
    <t>14 Июня 1977</t>
  </si>
  <si>
    <t>Клименко Глеб</t>
  </si>
  <si>
    <t>28 Июля 1983</t>
  </si>
  <si>
    <t>Краичек Лукаш</t>
  </si>
  <si>
    <t>Меляков Кирилл</t>
  </si>
  <si>
    <t>21 Декабря 1997</t>
  </si>
  <si>
    <t>Куляш Денис</t>
  </si>
  <si>
    <t>31 Мая 1983</t>
  </si>
  <si>
    <t>Дрозд Сергей</t>
  </si>
  <si>
    <t>14 Апреля 1990</t>
  </si>
  <si>
    <t>Есипов Андрей</t>
  </si>
  <si>
    <t>9 Мая 1980</t>
  </si>
  <si>
    <t>Давыдов Никита</t>
  </si>
  <si>
    <t>9 Апреля 1988</t>
  </si>
  <si>
    <t>Бернацкий Сергей</t>
  </si>
  <si>
    <t>1 Марта 1982</t>
  </si>
  <si>
    <t>Бутузов Станислав</t>
  </si>
  <si>
    <t>31 Мая 1996</t>
  </si>
  <si>
    <t>Миронов Андрей С.</t>
  </si>
  <si>
    <t>Касянчук Константин</t>
  </si>
  <si>
    <t>24 Октября 1979</t>
  </si>
  <si>
    <t>Барош Самуэль</t>
  </si>
  <si>
    <t>10 Февраля 1994</t>
  </si>
  <si>
    <t>Копытин Павел</t>
  </si>
  <si>
    <t>17 Марта 1987</t>
  </si>
  <si>
    <t>Складниченко Николай</t>
  </si>
  <si>
    <t>13 Июля 1994</t>
  </si>
  <si>
    <t>Мянтюля Туукка</t>
  </si>
  <si>
    <t>25 Мая 1981</t>
  </si>
  <si>
    <t>Глухов Михаил</t>
  </si>
  <si>
    <t>13 Мая 1988</t>
  </si>
  <si>
    <t>Куликов Дмитрий</t>
  </si>
  <si>
    <t>29 Октября 1990</t>
  </si>
  <si>
    <t>Хосса Марцел</t>
  </si>
  <si>
    <t>12 Октября 1981</t>
  </si>
  <si>
    <t>Чванов Сергей</t>
  </si>
  <si>
    <t>20 Мая 1991</t>
  </si>
  <si>
    <t>Балинскис Увис</t>
  </si>
  <si>
    <t>1 Августа 1996</t>
  </si>
  <si>
    <t>Емелин Алексей</t>
  </si>
  <si>
    <t>25 Апреля 1986</t>
  </si>
  <si>
    <t>Кайгородов Алексей</t>
  </si>
  <si>
    <t>29 Июля 1983</t>
  </si>
  <si>
    <t>Полещук Антон</t>
  </si>
  <si>
    <t>21 Февраля 1987</t>
  </si>
  <si>
    <t>Аалтонен Юхаматти</t>
  </si>
  <si>
    <t>4 Июня 1985</t>
  </si>
  <si>
    <t>Казаковцев Николай</t>
  </si>
  <si>
    <t>23 Марта 1990</t>
  </si>
  <si>
    <t>Скороходов Игорь</t>
  </si>
  <si>
    <t>4 Мая 1986</t>
  </si>
  <si>
    <t>Мусин Илья</t>
  </si>
  <si>
    <t>3 Февраля 1991</t>
  </si>
  <si>
    <t>Мозякин Сергей</t>
  </si>
  <si>
    <t>30 Марта 1981</t>
  </si>
  <si>
    <t>Бадюков Алексей</t>
  </si>
  <si>
    <t>20 Апреля 1978</t>
  </si>
  <si>
    <t>Демидов Михаил</t>
  </si>
  <si>
    <t>20 Июня 1986</t>
  </si>
  <si>
    <t>Торесен Патрик</t>
  </si>
  <si>
    <t>7 Ноября 1983</t>
  </si>
  <si>
    <t>Норвегия</t>
  </si>
  <si>
    <t>Лакиза Артемий</t>
  </si>
  <si>
    <t>2 Июля 1987</t>
  </si>
  <si>
    <t>Сундстрём Юхан</t>
  </si>
  <si>
    <t>Семёнов Алексей</t>
  </si>
  <si>
    <t>10 Апреля 1981</t>
  </si>
  <si>
    <t>Блажиевский Артём</t>
  </si>
  <si>
    <t>20 Марта 1994</t>
  </si>
  <si>
    <t>Гелашвили Георгий</t>
  </si>
  <si>
    <t>30 Августа 1983</t>
  </si>
  <si>
    <t>Коробов Дмитрий</t>
  </si>
  <si>
    <t>12 Марта 1989</t>
  </si>
  <si>
    <t>Павлас Христиан</t>
  </si>
  <si>
    <t>Ларичев Иван</t>
  </si>
  <si>
    <t>29 Ноября 1995</t>
  </si>
  <si>
    <t>Новицкий Вячеслав</t>
  </si>
  <si>
    <t>5 Января 1996</t>
  </si>
  <si>
    <t>Грнка Томаш</t>
  </si>
  <si>
    <t>11 Ноября 1991</t>
  </si>
  <si>
    <t>Биллинс Чад</t>
  </si>
  <si>
    <t>26 Мая 1989</t>
  </si>
  <si>
    <t>Брахманис Эдийс</t>
  </si>
  <si>
    <t>17 Ноября 1983</t>
  </si>
  <si>
    <t>Игумнов Иван</t>
  </si>
  <si>
    <t>29 Июня 1996</t>
  </si>
  <si>
    <t>Мамкин Михаил</t>
  </si>
  <si>
    <t>7 Августа 1990</t>
  </si>
  <si>
    <t>Шураков Денис</t>
  </si>
  <si>
    <t>10 Февраля 1995</t>
  </si>
  <si>
    <t>Пепеляев Алексей</t>
  </si>
  <si>
    <t>16 Июня 1984</t>
  </si>
  <si>
    <t>Кундратек Томаш</t>
  </si>
  <si>
    <t>26 Декабря 1989</t>
  </si>
  <si>
    <t>Гецл Марек</t>
  </si>
  <si>
    <t>30 Декабря 1997</t>
  </si>
  <si>
    <t>Полищук Фёдор</t>
  </si>
  <si>
    <t>4 Июля 1979</t>
  </si>
  <si>
    <t>Свитов Александр</t>
  </si>
  <si>
    <t>3 Ноября 1982</t>
  </si>
  <si>
    <t>Лямин Кирилл</t>
  </si>
  <si>
    <t>13 Января 1986</t>
  </si>
  <si>
    <t>Гайдеик Владимир</t>
  </si>
  <si>
    <t>Нильссон Андерс</t>
  </si>
  <si>
    <t>19 Марта 1990</t>
  </si>
  <si>
    <t>Новиков Александр</t>
  </si>
  <si>
    <t>5 Июня 1988</t>
  </si>
  <si>
    <t>Брылин Сергей</t>
  </si>
  <si>
    <t>13 Января 1974</t>
  </si>
  <si>
    <t>Кемпе Марио</t>
  </si>
  <si>
    <t>19 Сентября 1988</t>
  </si>
  <si>
    <t>Волзер Деррик</t>
  </si>
  <si>
    <t>12 Мая 1978</t>
  </si>
  <si>
    <t>Печура Сергей</t>
  </si>
  <si>
    <t>14 Июня 1987</t>
  </si>
  <si>
    <t>Сигалет Джонатан</t>
  </si>
  <si>
    <t>12 Февраля 1986</t>
  </si>
  <si>
    <t>Арекаев Сергей</t>
  </si>
  <si>
    <t>22 Сентября 1978</t>
  </si>
  <si>
    <t>Беляков Иван</t>
  </si>
  <si>
    <t>9 Марта 1998</t>
  </si>
  <si>
    <t>Иггулден Майк</t>
  </si>
  <si>
    <t>9 Ноября 1982</t>
  </si>
  <si>
    <t>Крепс Камил</t>
  </si>
  <si>
    <t>18 Ноября 1984</t>
  </si>
  <si>
    <t>Абид Рамзи</t>
  </si>
  <si>
    <t>Масальскис Эдгарс</t>
  </si>
  <si>
    <t>31 Марта 1980</t>
  </si>
  <si>
    <t>Сухих Иван</t>
  </si>
  <si>
    <t>1 Марта 1994</t>
  </si>
  <si>
    <t>Пивцакин Никита</t>
  </si>
  <si>
    <t>Озолиньш Сандис</t>
  </si>
  <si>
    <t>3 Августа 1972</t>
  </si>
  <si>
    <t>Широков Максим</t>
  </si>
  <si>
    <t>13 Декабря 1982</t>
  </si>
  <si>
    <t>Ниеми Мика</t>
  </si>
  <si>
    <t>10 Марта 1988</t>
  </si>
  <si>
    <t>Воробьёв Дмитрий</t>
  </si>
  <si>
    <t>Жилин Николай</t>
  </si>
  <si>
    <t>23 Мая 1992</t>
  </si>
  <si>
    <t>Гаврилин Андрей</t>
  </si>
  <si>
    <t>24 Июля 1978</t>
  </si>
  <si>
    <t>Петров Кирилл</t>
  </si>
  <si>
    <t>13 Апреля 1990</t>
  </si>
  <si>
    <t>Федин Илья</t>
  </si>
  <si>
    <t>6 Мая 1989</t>
  </si>
  <si>
    <t>Стольберг Виктор</t>
  </si>
  <si>
    <t>17 Января 1986</t>
  </si>
  <si>
    <t>Бердников Сергей</t>
  </si>
  <si>
    <t>5 Января 1971</t>
  </si>
  <si>
    <t>Швидкий Денис</t>
  </si>
  <si>
    <t>21 Ноября 1980</t>
  </si>
  <si>
    <t>Васильев Александр И.</t>
  </si>
  <si>
    <t>16 Мая 1989</t>
  </si>
  <si>
    <t>Хабаров Макар</t>
  </si>
  <si>
    <t>10 Сентября 1999</t>
  </si>
  <si>
    <t>Михнов Алексей</t>
  </si>
  <si>
    <t>31 Августа 1982</t>
  </si>
  <si>
    <t>Странски Матей</t>
  </si>
  <si>
    <t>11 Июля 1993</t>
  </si>
  <si>
    <t>Батня Оскарс</t>
  </si>
  <si>
    <t>7 Мая 1995</t>
  </si>
  <si>
    <t>Сварс Паулс</t>
  </si>
  <si>
    <t>11 Марта 1998</t>
  </si>
  <si>
    <t>Королёв Евгений</t>
  </si>
  <si>
    <t>Болдырев Иван</t>
  </si>
  <si>
    <t>20 Января 1988</t>
  </si>
  <si>
    <t>Микуш Томаш</t>
  </si>
  <si>
    <t>1 Июля 1993</t>
  </si>
  <si>
    <t>Журавлёв Егор</t>
  </si>
  <si>
    <t>Крамской Никита</t>
  </si>
  <si>
    <t>8 Марта 1994</t>
  </si>
  <si>
    <t>Бывальцев Алексей</t>
  </si>
  <si>
    <t>20 Февраля 1994</t>
  </si>
  <si>
    <t>Баранка Иван</t>
  </si>
  <si>
    <t>19 Мая 1985</t>
  </si>
  <si>
    <t>Путилов Кирилл</t>
  </si>
  <si>
    <t>1 Ноября 1988</t>
  </si>
  <si>
    <t>Петерссон Андре</t>
  </si>
  <si>
    <t>11 Сентября 1990</t>
  </si>
  <si>
    <t>Гаврус Артур</t>
  </si>
  <si>
    <t>3 Января 1994</t>
  </si>
  <si>
    <t>О'Доннелл Брендэн</t>
  </si>
  <si>
    <t>25 Июня 1992</t>
  </si>
  <si>
    <t>Чалпа Улдис</t>
  </si>
  <si>
    <t>4 Сентября 1991</t>
  </si>
  <si>
    <t>Скиннер Бретт</t>
  </si>
  <si>
    <t>28 Июня 1983</t>
  </si>
  <si>
    <t>Юдов Егор</t>
  </si>
  <si>
    <t>Фахрутдинов Марат</t>
  </si>
  <si>
    <t>27 Ноября 1988</t>
  </si>
  <si>
    <t>Нюландер Петер</t>
  </si>
  <si>
    <t>20 Января 1976</t>
  </si>
  <si>
    <t>Китнар Милан</t>
  </si>
  <si>
    <t>19 Мая 1989</t>
  </si>
  <si>
    <t>Савельев Михаил</t>
  </si>
  <si>
    <t>5 Января 1987</t>
  </si>
  <si>
    <t>Малютин Максим</t>
  </si>
  <si>
    <t>16 Сентября 1988</t>
  </si>
  <si>
    <t>Штрбак Мартин</t>
  </si>
  <si>
    <t>15 Января 1975</t>
  </si>
  <si>
    <t>Сушко Вадим</t>
  </si>
  <si>
    <t>27 Апреля 1986</t>
  </si>
  <si>
    <t>Кивистё Томми</t>
  </si>
  <si>
    <t>7 Июня 1991</t>
  </si>
  <si>
    <t>Койстинен Вилле</t>
  </si>
  <si>
    <t>17 Июня 1982</t>
  </si>
  <si>
    <t>Копейкин Алексей</t>
  </si>
  <si>
    <t>29 Августа 1983</t>
  </si>
  <si>
    <t>Билалов Ильшат</t>
  </si>
  <si>
    <t>Толпеко Денис</t>
  </si>
  <si>
    <t>29 Января 1985</t>
  </si>
  <si>
    <t>Шефер Нолан</t>
  </si>
  <si>
    <t>15 Января 1980</t>
  </si>
  <si>
    <t>Стеценко Сергей</t>
  </si>
  <si>
    <t>6 Июня 1995</t>
  </si>
  <si>
    <t>Жердев Николай</t>
  </si>
  <si>
    <t>5 Ноября 1984</t>
  </si>
  <si>
    <t>Ворис Янис</t>
  </si>
  <si>
    <t>20 Января 2000</t>
  </si>
  <si>
    <t>Бурмистров Александр</t>
  </si>
  <si>
    <t>21 Октября 1991</t>
  </si>
  <si>
    <t>Ярославлев Евгений</t>
  </si>
  <si>
    <t>Костин Денис</t>
  </si>
  <si>
    <t>21 Июня 1995</t>
  </si>
  <si>
    <t>Ткачёв Владимир Э.</t>
  </si>
  <si>
    <t>5 Октября 1995</t>
  </si>
  <si>
    <t>Ипатов Вячеслав</t>
  </si>
  <si>
    <t>11 Сентября 1995</t>
  </si>
  <si>
    <t>Тэйлор Дэнни</t>
  </si>
  <si>
    <t>28 Апреля 1986</t>
  </si>
  <si>
    <t>Эллисон Мэтт</t>
  </si>
  <si>
    <t>8 Декабря 1983</t>
  </si>
  <si>
    <t>Павлюков Илья</t>
  </si>
  <si>
    <t>24 Июня 1995</t>
  </si>
  <si>
    <t>Альшевский Ярослав</t>
  </si>
  <si>
    <t>Коновалов Илья</t>
  </si>
  <si>
    <t>13 Июля 1998</t>
  </si>
  <si>
    <t>Иванчик Евгений</t>
  </si>
  <si>
    <t>22 Марта 1994</t>
  </si>
  <si>
    <t>Каблуков Илья</t>
  </si>
  <si>
    <t>18 Января 1988</t>
  </si>
  <si>
    <t>Коваль Виталий</t>
  </si>
  <si>
    <t>Ворошило Артём</t>
  </si>
  <si>
    <t>13 Августа 1988</t>
  </si>
  <si>
    <t>Шибаев Александр</t>
  </si>
  <si>
    <t>18 Апреля 1987</t>
  </si>
  <si>
    <t>Севостьянов Сергей</t>
  </si>
  <si>
    <t>Линг Дэвид</t>
  </si>
  <si>
    <t>9 Января 1975</t>
  </si>
  <si>
    <t>Маккарти Стив</t>
  </si>
  <si>
    <t>3 Февраля 1981</t>
  </si>
  <si>
    <t>Мойжиш Томаш</t>
  </si>
  <si>
    <t>2 Мая 1982</t>
  </si>
  <si>
    <t>Райко Димитрий</t>
  </si>
  <si>
    <t>3 Февраля 1999</t>
  </si>
  <si>
    <t>Чипчура Кайл</t>
  </si>
  <si>
    <t>19 Февраля 1986</t>
  </si>
  <si>
    <t>Бородин Савва</t>
  </si>
  <si>
    <t>6 Декабря 1991</t>
  </si>
  <si>
    <t>Корсо Даниэль</t>
  </si>
  <si>
    <t>3 Апреля 1978</t>
  </si>
  <si>
    <t>Исаев Игорь</t>
  </si>
  <si>
    <t>Мигалик Владимир</t>
  </si>
  <si>
    <t>29 Января 1987</t>
  </si>
  <si>
    <t>Курепанов Денис</t>
  </si>
  <si>
    <t>30 Марта 1988</t>
  </si>
  <si>
    <t>Хартиган Марк</t>
  </si>
  <si>
    <t>15 Октября 1977</t>
  </si>
  <si>
    <t>Бойченко Павел</t>
  </si>
  <si>
    <t>30 Апреля 1975</t>
  </si>
  <si>
    <t>Гловацкий Антон</t>
  </si>
  <si>
    <t>Бабенко Егор</t>
  </si>
  <si>
    <t>5 Февраля 1997</t>
  </si>
  <si>
    <t>Исаев Максим</t>
  </si>
  <si>
    <t>21 Марта 1989</t>
  </si>
  <si>
    <t>Кузьмин Андрей</t>
  </si>
  <si>
    <t>5 Апреля 1981</t>
  </si>
  <si>
    <t>Булянский Артём</t>
  </si>
  <si>
    <t>16 Марта 1985</t>
  </si>
  <si>
    <t>Тимченко Данил</t>
  </si>
  <si>
    <t>Ольховцев Сергей</t>
  </si>
  <si>
    <t>19 Октября 1987</t>
  </si>
  <si>
    <t>Гафиуллин Ильяс</t>
  </si>
  <si>
    <t>15 Февраля 1993</t>
  </si>
  <si>
    <t>Бьоркстранд Патрик</t>
  </si>
  <si>
    <t>1 Июля 1992</t>
  </si>
  <si>
    <t>Таратухин Андрей</t>
  </si>
  <si>
    <t>22 Февраля 1983</t>
  </si>
  <si>
    <t>Кучин Андрей</t>
  </si>
  <si>
    <t>Григоренко Евгений</t>
  </si>
  <si>
    <t>11 Августа 1992</t>
  </si>
  <si>
    <t>Туппурайнен Яни</t>
  </si>
  <si>
    <t>30 Марта 1980</t>
  </si>
  <si>
    <t>Калашников Станислав</t>
  </si>
  <si>
    <t>26 Октября 1991</t>
  </si>
  <si>
    <t>Мусатов Игорь</t>
  </si>
  <si>
    <t>23 Сентября 1987</t>
  </si>
  <si>
    <t>Аляпкин Максим</t>
  </si>
  <si>
    <t>28 Февраля 1993</t>
  </si>
  <si>
    <t>Соловьёв Максим</t>
  </si>
  <si>
    <t>20 Февраля 1979</t>
  </si>
  <si>
    <t>Шкоула Мартин</t>
  </si>
  <si>
    <t>28 Октября 1979</t>
  </si>
  <si>
    <t>Игошев Александр</t>
  </si>
  <si>
    <t>12 Сентября 1997</t>
  </si>
  <si>
    <t>Баландинс Салвис</t>
  </si>
  <si>
    <t>9 Февраля 1996</t>
  </si>
  <si>
    <t>Скабелка Алексей</t>
  </si>
  <si>
    <t>7 Декабря 1992</t>
  </si>
  <si>
    <t>Липсбергс Микс</t>
  </si>
  <si>
    <t>9 Июня 1991</t>
  </si>
  <si>
    <t>Башко Андрей</t>
  </si>
  <si>
    <t>23 Мая 1982</t>
  </si>
  <si>
    <t>Мильчаков Дмитрий</t>
  </si>
  <si>
    <t>2 Марта 1986</t>
  </si>
  <si>
    <t>Гренье Мартен</t>
  </si>
  <si>
    <t>2 Ноября 1980</t>
  </si>
  <si>
    <t>Метальников Леонид</t>
  </si>
  <si>
    <t>25 Апреля 1990</t>
  </si>
  <si>
    <t>Шарипзянов Дамир</t>
  </si>
  <si>
    <t>17 Февраля 1996</t>
  </si>
  <si>
    <t>Шастин Егор</t>
  </si>
  <si>
    <t>10 Сентября 1982</t>
  </si>
  <si>
    <t>Шагг Джастин</t>
  </si>
  <si>
    <t>24 Декабря 1991</t>
  </si>
  <si>
    <t>Шабунов Константин</t>
  </si>
  <si>
    <t>28 Декабря 1994</t>
  </si>
  <si>
    <t>Назаркин Евгений</t>
  </si>
  <si>
    <t>21 Октября 1996</t>
  </si>
  <si>
    <t>Шепеленко Андрей</t>
  </si>
  <si>
    <t>Степанов Стефан</t>
  </si>
  <si>
    <t>23 Сентября 1992</t>
  </si>
  <si>
    <t>Денисов Денис</t>
  </si>
  <si>
    <t>31 Декабря 1981</t>
  </si>
  <si>
    <t>Давыдов Марат</t>
  </si>
  <si>
    <t>20 Июля 1972</t>
  </si>
  <si>
    <t>Барбашев Сергей</t>
  </si>
  <si>
    <t>26 Июля 1992</t>
  </si>
  <si>
    <t>Егоров Алексей</t>
  </si>
  <si>
    <t>22 Октября 1976</t>
  </si>
  <si>
    <t>Ячанов Дмитрий</t>
  </si>
  <si>
    <t>17 Апреля 1972</t>
  </si>
  <si>
    <t>Ниеминен Яни</t>
  </si>
  <si>
    <t>28 Июля 1987</t>
  </si>
  <si>
    <t>Хорошун Сергей</t>
  </si>
  <si>
    <t>27 Июня 1980</t>
  </si>
  <si>
    <t>Порейс Мартиньш</t>
  </si>
  <si>
    <t>6 Июля 1991</t>
  </si>
  <si>
    <t>Галвиньш Гунтис</t>
  </si>
  <si>
    <t>25 Января 1986</t>
  </si>
  <si>
    <t>Мокшанцев Александр</t>
  </si>
  <si>
    <t>17 Февраля 1995</t>
  </si>
  <si>
    <t>Ржепик Михал</t>
  </si>
  <si>
    <t>31 Декабря 1988</t>
  </si>
  <si>
    <t>Пережогин Александр</t>
  </si>
  <si>
    <t>10 Августа 1983</t>
  </si>
  <si>
    <t>Бирюков Евгений</t>
  </si>
  <si>
    <t>19 Апреля 1986</t>
  </si>
  <si>
    <t>Бодуэн Эрик</t>
  </si>
  <si>
    <t>3 Мая 1980</t>
  </si>
  <si>
    <t>Огиенко Егор</t>
  </si>
  <si>
    <t>10 Марта 1996</t>
  </si>
  <si>
    <t>Усенко Александр</t>
  </si>
  <si>
    <t>Галенюк Данила</t>
  </si>
  <si>
    <t>11 Февраля 2000</t>
  </si>
  <si>
    <t>Космачёв Дмитрий</t>
  </si>
  <si>
    <t>7 Июня 1985</t>
  </si>
  <si>
    <t>Хишон Джои</t>
  </si>
  <si>
    <t>20 Октября 1991</t>
  </si>
  <si>
    <t>Икамацких Артём</t>
  </si>
  <si>
    <t>8 Мая 1997</t>
  </si>
  <si>
    <t>Коларик Чад</t>
  </si>
  <si>
    <t>26 Января 1986</t>
  </si>
  <si>
    <t>Бешаров Тимур</t>
  </si>
  <si>
    <t>23 Ноября 1996</t>
  </si>
  <si>
    <t>5 Июля 1985</t>
  </si>
  <si>
    <t>Бойд Дастин</t>
  </si>
  <si>
    <t>16 Июля 1986</t>
  </si>
  <si>
    <t>Олонов Илья</t>
  </si>
  <si>
    <t>2 Августа 1993</t>
  </si>
  <si>
    <t>Дюков Роман</t>
  </si>
  <si>
    <t>29 Сентября 1995</t>
  </si>
  <si>
    <t>Глазков Игорь</t>
  </si>
  <si>
    <t>1 Сентября 1989</t>
  </si>
  <si>
    <t>Тарасов Данил</t>
  </si>
  <si>
    <t>2 Марта 1995</t>
  </si>
  <si>
    <t>Кудрна Ярослав</t>
  </si>
  <si>
    <t>5 Декабря 1975</t>
  </si>
  <si>
    <t>Тврдонь Марек</t>
  </si>
  <si>
    <t>31 Января 1993</t>
  </si>
  <si>
    <t>Карамнов Виталий</t>
  </si>
  <si>
    <t>8 Августа 1989</t>
  </si>
  <si>
    <t>Желдаков Григорий</t>
  </si>
  <si>
    <t>11 Февраля 1992</t>
  </si>
  <si>
    <t>15 Августа 1983</t>
  </si>
  <si>
    <t>Будкин Александр</t>
  </si>
  <si>
    <t>8 Сентября 1986</t>
  </si>
  <si>
    <t>Плэтт Джефф</t>
  </si>
  <si>
    <t>10 Июля 1985</t>
  </si>
  <si>
    <t>Коньков Роман</t>
  </si>
  <si>
    <t>4 Марта 1993</t>
  </si>
  <si>
    <t>Лакос Андре</t>
  </si>
  <si>
    <t>29 Июля 1979</t>
  </si>
  <si>
    <t>Австрия</t>
  </si>
  <si>
    <t>Лашак Ян</t>
  </si>
  <si>
    <t>10 Апреля 1979</t>
  </si>
  <si>
    <t>Наумов Владислав</t>
  </si>
  <si>
    <t>26 Ноября 1996</t>
  </si>
  <si>
    <t>Колена Милан</t>
  </si>
  <si>
    <t>12 Мая 1994</t>
  </si>
  <si>
    <t>Штайнох Мартин</t>
  </si>
  <si>
    <t>15 Сентября 1990</t>
  </si>
  <si>
    <t>Балмочных Максим</t>
  </si>
  <si>
    <t>7 Марта 1979</t>
  </si>
  <si>
    <t>Зозон Богдан</t>
  </si>
  <si>
    <t>16 Января 1993</t>
  </si>
  <si>
    <t>Хелльстрём Александр</t>
  </si>
  <si>
    <t>17 Апреля 1987</t>
  </si>
  <si>
    <t>Иванов Андрей</t>
  </si>
  <si>
    <t>10 Марта 1981</t>
  </si>
  <si>
    <t>Корешков Александр</t>
  </si>
  <si>
    <t>28 Октября 1968</t>
  </si>
  <si>
    <t>Царегородцев Евгений</t>
  </si>
  <si>
    <t>3 Февраля 1983</t>
  </si>
  <si>
    <t>Таффе Джефф</t>
  </si>
  <si>
    <t>19 Февраля 1981</t>
  </si>
  <si>
    <t>Беляков Сергей</t>
  </si>
  <si>
    <t>Коньков Сергей</t>
  </si>
  <si>
    <t>30 Мая 1982</t>
  </si>
  <si>
    <t>Дюрягин Денис</t>
  </si>
  <si>
    <t>10 Мая 1995</t>
  </si>
  <si>
    <t>Шевченко Эрикс</t>
  </si>
  <si>
    <t>28 Апреля 1991</t>
  </si>
  <si>
    <t>Альшевский Станислав</t>
  </si>
  <si>
    <t>Щегольков Вадим</t>
  </si>
  <si>
    <t>19 Апреля 1994</t>
  </si>
  <si>
    <t>Кудроч Кристиан</t>
  </si>
  <si>
    <t>21 Мая 1981</t>
  </si>
  <si>
    <t>Дронов Григорий</t>
  </si>
  <si>
    <t>10 Января 1998</t>
  </si>
  <si>
    <t>Кацуба Станислав</t>
  </si>
  <si>
    <t>8 Мая 1991</t>
  </si>
  <si>
    <t>Кокшаров Юрий</t>
  </si>
  <si>
    <t>1 Ноября 1985</t>
  </si>
  <si>
    <t>Лоцанс Робертс</t>
  </si>
  <si>
    <t>3 Марта 1996</t>
  </si>
  <si>
    <t>Ильенко Артём</t>
  </si>
  <si>
    <t>30 Апреля 1996</t>
  </si>
  <si>
    <t>Громов Никита</t>
  </si>
  <si>
    <t>1 Мая 1998</t>
  </si>
  <si>
    <t>Гребенщиков Святослав</t>
  </si>
  <si>
    <t>1 Июня 1994</t>
  </si>
  <si>
    <t>Салак Александр</t>
  </si>
  <si>
    <t>Горечишников Максим</t>
  </si>
  <si>
    <t>Коротеев Денис</t>
  </si>
  <si>
    <t>9 Декабря 1983</t>
  </si>
  <si>
    <t>Чиодо Энди</t>
  </si>
  <si>
    <t>25 Апреля 1983</t>
  </si>
  <si>
    <t>Арефьев Даниил</t>
  </si>
  <si>
    <t>5 Февраля 1994</t>
  </si>
  <si>
    <t>30 Ноября 1988</t>
  </si>
  <si>
    <t>Зимин Николай</t>
  </si>
  <si>
    <t>25 Мая 1983</t>
  </si>
  <si>
    <t>Секера Андрей</t>
  </si>
  <si>
    <t>8 Июня 1986</t>
  </si>
  <si>
    <t>Фролов Александр</t>
  </si>
  <si>
    <t>19 Июня 1982</t>
  </si>
  <si>
    <t>Комаров Никита</t>
  </si>
  <si>
    <t>28 Июня 1988</t>
  </si>
  <si>
    <t>Галимов Эмиль</t>
  </si>
  <si>
    <t>9 Мая 1992</t>
  </si>
  <si>
    <t>Макаров Денис</t>
  </si>
  <si>
    <t>3 Августа 1983</t>
  </si>
  <si>
    <t>Лэмпмэн Брайс</t>
  </si>
  <si>
    <t>Радчук Дмитрий</t>
  </si>
  <si>
    <t>26 Мая 1990</t>
  </si>
  <si>
    <t>Попович Юлиан</t>
  </si>
  <si>
    <t>15 Июня 1990</t>
  </si>
  <si>
    <t>Когалев Александр</t>
  </si>
  <si>
    <t>22 Мая 1994</t>
  </si>
  <si>
    <t>Бабенко Юрий</t>
  </si>
  <si>
    <t>2 Января 1978</t>
  </si>
  <si>
    <t>Попов Дмитрий</t>
  </si>
  <si>
    <t>25 Мая 1990</t>
  </si>
  <si>
    <t>Галама Марко</t>
  </si>
  <si>
    <t>2 Января 1996</t>
  </si>
  <si>
    <t>Лаюнен Вилле</t>
  </si>
  <si>
    <t>8 Марта 1988</t>
  </si>
  <si>
    <t>Гордиюк Виктор</t>
  </si>
  <si>
    <t>11 Апреля 1970</t>
  </si>
  <si>
    <t>Локхарт Лукас</t>
  </si>
  <si>
    <t>1 Ноября 1992</t>
  </si>
  <si>
    <t>Зубенко Алексей</t>
  </si>
  <si>
    <t>20 Марта 1990</t>
  </si>
  <si>
    <t>Храмков Александр</t>
  </si>
  <si>
    <t>3 Марта 1988</t>
  </si>
  <si>
    <t>Калюжный Алексей</t>
  </si>
  <si>
    <t>13 Июня 1977</t>
  </si>
  <si>
    <t>Мелихерчик Марцел</t>
  </si>
  <si>
    <t>20 Декабря 1986</t>
  </si>
  <si>
    <t>Баранов Егор</t>
  </si>
  <si>
    <t>27 Декабря 1998</t>
  </si>
  <si>
    <t>Коршунов Андрей</t>
  </si>
  <si>
    <t>10 Мая 1983</t>
  </si>
  <si>
    <t>Шинкарь Александр</t>
  </si>
  <si>
    <t>3 Июля 1981</t>
  </si>
  <si>
    <t>Гюнге Рихард</t>
  </si>
  <si>
    <t>1 Февраля 1987</t>
  </si>
  <si>
    <t>Гюмер Франк</t>
  </si>
  <si>
    <t>7 Июня 1996</t>
  </si>
  <si>
    <t>Романовский Александр</t>
  </si>
  <si>
    <t>8 Июня 1987</t>
  </si>
  <si>
    <t>Мищенко Иван</t>
  </si>
  <si>
    <t>22 Июля 1995</t>
  </si>
  <si>
    <t>Макеев Алексей</t>
  </si>
  <si>
    <t>25 Ноября 1991</t>
  </si>
  <si>
    <t>Осипов Максим</t>
  </si>
  <si>
    <t>15 Апреля 1980</t>
  </si>
  <si>
    <t>Луома Микко</t>
  </si>
  <si>
    <t>22 Июня 1976</t>
  </si>
  <si>
    <t>Марьямс Артём</t>
  </si>
  <si>
    <t>19 Июля 1980</t>
  </si>
  <si>
    <t>Артамкин Алексей</t>
  </si>
  <si>
    <t>13 Мая 1997</t>
  </si>
  <si>
    <t>Лажо Мирослав</t>
  </si>
  <si>
    <t>18 Октября 1977</t>
  </si>
  <si>
    <t>Трощинский Алексей</t>
  </si>
  <si>
    <t>9 Октября 1973</t>
  </si>
  <si>
    <t>Лехтеря Йори</t>
  </si>
  <si>
    <t>23 Декабря 1987</t>
  </si>
  <si>
    <t>Саллинен Ере</t>
  </si>
  <si>
    <t>26 Октября 1990</t>
  </si>
  <si>
    <t>Саллинен Томи</t>
  </si>
  <si>
    <t>11 Февраля 1989</t>
  </si>
  <si>
    <t>Мёрфи Кори</t>
  </si>
  <si>
    <t>13 Февраля 1978</t>
  </si>
  <si>
    <t>Арбузов Владислав</t>
  </si>
  <si>
    <t>Брюклер Бернд</t>
  </si>
  <si>
    <t>26 Сентября 1981</t>
  </si>
  <si>
    <t>Захаров Константин</t>
  </si>
  <si>
    <t>2 Мая 1985</t>
  </si>
  <si>
    <t>Антропов Егор</t>
  </si>
  <si>
    <t>8 Мая 1992</t>
  </si>
  <si>
    <t>Хедстрём Джонатан</t>
  </si>
  <si>
    <t>27 Декабря 1977</t>
  </si>
  <si>
    <t>Букартс Рихардс</t>
  </si>
  <si>
    <t>31 Декабря 1995</t>
  </si>
  <si>
    <t>Ячник Павел</t>
  </si>
  <si>
    <t>8 Мая 1993</t>
  </si>
  <si>
    <t>Савченко Роман</t>
  </si>
  <si>
    <t>28 Июля 1988</t>
  </si>
  <si>
    <t>Картаев Владислав</t>
  </si>
  <si>
    <t>10 Февраля 1992</t>
  </si>
  <si>
    <t>Ярвинен Мика</t>
  </si>
  <si>
    <t>15 Ноября 1988</t>
  </si>
  <si>
    <t>Щадилов Игорь</t>
  </si>
  <si>
    <t>7 Июня 1980</t>
  </si>
  <si>
    <t>Насыбуллин Даниэль</t>
  </si>
  <si>
    <t>2 Июня 1986</t>
  </si>
  <si>
    <t>Скачков Евгений</t>
  </si>
  <si>
    <t>14 Июля 1984</t>
  </si>
  <si>
    <t>Болдижар Давид</t>
  </si>
  <si>
    <t>6 Января 1999</t>
  </si>
  <si>
    <t>Селезнёв Яков</t>
  </si>
  <si>
    <t>4 Августа 1989</t>
  </si>
  <si>
    <t>Заседа Матвей</t>
  </si>
  <si>
    <t>9 Июня 1999</t>
  </si>
  <si>
    <t>Хацей Арсений</t>
  </si>
  <si>
    <t>28 Января 1994</t>
  </si>
  <si>
    <t>Амброжейчик Дмитрий</t>
  </si>
  <si>
    <t>26 Марта 1995</t>
  </si>
  <si>
    <t>Енсен Еспер Б.</t>
  </si>
  <si>
    <t>30 Июля 1991</t>
  </si>
  <si>
    <t>Загидулин Артём</t>
  </si>
  <si>
    <t>Шипов Илья</t>
  </si>
  <si>
    <t>7 Октября 1993</t>
  </si>
  <si>
    <t>Чернквист Даниэль</t>
  </si>
  <si>
    <t>14 Октября 1976</t>
  </si>
  <si>
    <t>Шаршок Ярослав</t>
  </si>
  <si>
    <t>17 Мая 1990</t>
  </si>
  <si>
    <t>Кинрейд Джеффри</t>
  </si>
  <si>
    <t>29 Июля 1985</t>
  </si>
  <si>
    <t>Кристек Ярослав</t>
  </si>
  <si>
    <t>16 Марта 1980</t>
  </si>
  <si>
    <t>Воробьёв Владимир</t>
  </si>
  <si>
    <t>2 Ноября 1972</t>
  </si>
  <si>
    <t>Швецов Александр</t>
  </si>
  <si>
    <t>29 Сентября 1988</t>
  </si>
  <si>
    <t>Вороной Кирилл</t>
  </si>
  <si>
    <t>29 Июля 1993</t>
  </si>
  <si>
    <t>Шёгрен Маттиас</t>
  </si>
  <si>
    <t>27 Ноября 1987</t>
  </si>
  <si>
    <t>Павлов Виталий</t>
  </si>
  <si>
    <t>17 Июня 1989</t>
  </si>
  <si>
    <t>Фетисов Вячеслав</t>
  </si>
  <si>
    <t>20 Апреля 1958</t>
  </si>
  <si>
    <t>Шиндел Якуб</t>
  </si>
  <si>
    <t>24 Января 1986</t>
  </si>
  <si>
    <t>Железков Артём</t>
  </si>
  <si>
    <t>18 Января 1996</t>
  </si>
  <si>
    <t>Левитский Борис</t>
  </si>
  <si>
    <t>10 Марта 1997</t>
  </si>
  <si>
    <t>Галиев Станислав</t>
  </si>
  <si>
    <t>17 Января 1992</t>
  </si>
  <si>
    <t>Саари Сантери</t>
  </si>
  <si>
    <t>18 Октября 1994</t>
  </si>
  <si>
    <t>Халь Рику</t>
  </si>
  <si>
    <t>1 Ноября 1980</t>
  </si>
  <si>
    <t>Константинов Евгений</t>
  </si>
  <si>
    <t>29 Марта 1981</t>
  </si>
  <si>
    <t>Игер Бен</t>
  </si>
  <si>
    <t>22 Января 1984</t>
  </si>
  <si>
    <t>Тополь Максим</t>
  </si>
  <si>
    <t>8 Февраля 1989</t>
  </si>
  <si>
    <t>Кознев Алексей</t>
  </si>
  <si>
    <t>3 Октября 1975</t>
  </si>
  <si>
    <t>Муштуков Эрвин</t>
  </si>
  <si>
    <t>7 Апреля 1984</t>
  </si>
  <si>
    <t>Бэйлен Ник</t>
  </si>
  <si>
    <t>12 Декабря 1989</t>
  </si>
  <si>
    <t>Шафигуллин Булат</t>
  </si>
  <si>
    <t>29 Декабря 1999</t>
  </si>
  <si>
    <t>Перри Тодд</t>
  </si>
  <si>
    <t>13 Декабря 1986</t>
  </si>
  <si>
    <t>Янкович Иван</t>
  </si>
  <si>
    <t>24 Января 1995</t>
  </si>
  <si>
    <t>Хешка Шон</t>
  </si>
  <si>
    <t>30 Июля 1985</t>
  </si>
  <si>
    <t>Мальцев Михаил</t>
  </si>
  <si>
    <t>12 Марта 1998</t>
  </si>
  <si>
    <t>Муратов Евгений</t>
  </si>
  <si>
    <t>28 Января 1981</t>
  </si>
  <si>
    <t>Огородников Сергей</t>
  </si>
  <si>
    <t>21 Января 1986</t>
  </si>
  <si>
    <t>Кухтинов Роман</t>
  </si>
  <si>
    <t>1 Декабря 1975</t>
  </si>
  <si>
    <t>Синявский Павел</t>
  </si>
  <si>
    <t>3 Января 1998</t>
  </si>
  <si>
    <t>Синягин Денис</t>
  </si>
  <si>
    <t>3 Февраля 1994</t>
  </si>
  <si>
    <t>Шпирко Растислав</t>
  </si>
  <si>
    <t>21 Июня 1984</t>
  </si>
  <si>
    <t>Забавин Константин</t>
  </si>
  <si>
    <t>Брызгалов Илья</t>
  </si>
  <si>
    <t>22 Июня 1980</t>
  </si>
  <si>
    <t>Каутто Яни</t>
  </si>
  <si>
    <t>25 Октября 1989</t>
  </si>
  <si>
    <t>Веряев Данил</t>
  </si>
  <si>
    <t>Ниживий Александр</t>
  </si>
  <si>
    <t>16 Сентября 1976</t>
  </si>
  <si>
    <t>Калугин Владимир</t>
  </si>
  <si>
    <t>Сазонов Александр</t>
  </si>
  <si>
    <t>29 Ноября 1980</t>
  </si>
  <si>
    <t>Веске Райан</t>
  </si>
  <si>
    <t>7 Апреля 1982</t>
  </si>
  <si>
    <t>Подзиньш Зигурдс</t>
  </si>
  <si>
    <t>18 Июня 1996</t>
  </si>
  <si>
    <t>Капризов Кирилл</t>
  </si>
  <si>
    <t>26 Апреля 1997</t>
  </si>
  <si>
    <t>Климентьев Сергей</t>
  </si>
  <si>
    <t>5 Апреля 1975</t>
  </si>
  <si>
    <t>Ларин Иван</t>
  </si>
  <si>
    <t>28 Января 1991</t>
  </si>
  <si>
    <t>Ложкин Никита</t>
  </si>
  <si>
    <t>13 Октября 1991</t>
  </si>
  <si>
    <t>Дубинин Артём</t>
  </si>
  <si>
    <t>30 Марта 1989</t>
  </si>
  <si>
    <t>Ярвинен Йоонас</t>
  </si>
  <si>
    <t>5 Января 1989</t>
  </si>
  <si>
    <t>Раенко Анатолий</t>
  </si>
  <si>
    <t>18 Июля 1986</t>
  </si>
  <si>
    <t>Яшин Алексей</t>
  </si>
  <si>
    <t>5 Ноября 1973</t>
  </si>
  <si>
    <t>Штепанек Якуб</t>
  </si>
  <si>
    <t>Туляков Ярослав</t>
  </si>
  <si>
    <t>7 Апреля 1990</t>
  </si>
  <si>
    <t>Шталс Юрис</t>
  </si>
  <si>
    <t>8 Апреля 1982</t>
  </si>
  <si>
    <t>Волченков Антон</t>
  </si>
  <si>
    <t>25 Февраля 1982</t>
  </si>
  <si>
    <t>Зиазов Айрат</t>
  </si>
  <si>
    <t>Панюков Кирилл</t>
  </si>
  <si>
    <t>22 Мая 1997</t>
  </si>
  <si>
    <t>Депре Симон</t>
  </si>
  <si>
    <t>27 Июля 1991</t>
  </si>
  <si>
    <t>Белоконь Сергей</t>
  </si>
  <si>
    <t>25 Августа 1988</t>
  </si>
  <si>
    <t>Серкин Григорий</t>
  </si>
  <si>
    <t>14 Сентября 1991</t>
  </si>
  <si>
    <t>Верещагин Иван</t>
  </si>
  <si>
    <t>19 Января 1995</t>
  </si>
  <si>
    <t>Головков Георгс</t>
  </si>
  <si>
    <t>12 Июля 1995</t>
  </si>
  <si>
    <t>Бусыгин Евгений</t>
  </si>
  <si>
    <t>9 Сентября 1987</t>
  </si>
  <si>
    <t>Атюшов Виталий</t>
  </si>
  <si>
    <t>Гербер Мартин</t>
  </si>
  <si>
    <t>3 Сентября 1974</t>
  </si>
  <si>
    <t>Швейцария</t>
  </si>
  <si>
    <t>Сергеев Денис</t>
  </si>
  <si>
    <t>24 Августа 1983</t>
  </si>
  <si>
    <t>Фильппула Илари</t>
  </si>
  <si>
    <t>5 Ноября 1981</t>
  </si>
  <si>
    <t>Кривда Виталий</t>
  </si>
  <si>
    <t>13 Декабря 1992</t>
  </si>
  <si>
    <t>Николаев Сергей</t>
  </si>
  <si>
    <t>8 Июня 1972</t>
  </si>
  <si>
    <t>Коларж Ян</t>
  </si>
  <si>
    <t>21 Марта 1981</t>
  </si>
  <si>
    <t>Макинтайр Дрю</t>
  </si>
  <si>
    <t>24 Июня 1983</t>
  </si>
  <si>
    <t>Ступин Сергей</t>
  </si>
  <si>
    <t>14 Сентября 1979</t>
  </si>
  <si>
    <t>Даллмэн Кевин</t>
  </si>
  <si>
    <t>Шалдыбин Евгений</t>
  </si>
  <si>
    <t>29 Июля 1975</t>
  </si>
  <si>
    <t>Прайзингер Мирослав</t>
  </si>
  <si>
    <t>Вяливаара Юрки</t>
  </si>
  <si>
    <t>30 Мая 1976</t>
  </si>
  <si>
    <t>Нильссон Роберт</t>
  </si>
  <si>
    <t>Старцев Кирилл</t>
  </si>
  <si>
    <t>21 Сентября 1989</t>
  </si>
  <si>
    <t>Хедман Виктор</t>
  </si>
  <si>
    <t>18 Декабря 1990</t>
  </si>
  <si>
    <t>Волков Артём</t>
  </si>
  <si>
    <t>28 Января 1985</t>
  </si>
  <si>
    <t>Цыганов Егор</t>
  </si>
  <si>
    <t>17 Июля 1991</t>
  </si>
  <si>
    <t>Доронин Павел</t>
  </si>
  <si>
    <t>21 Августа 1988</t>
  </si>
  <si>
    <t>Гарнетт Майкл</t>
  </si>
  <si>
    <t>25 Ноября 1982</t>
  </si>
  <si>
    <t>Потапов Максим</t>
  </si>
  <si>
    <t>25 Мая 1980</t>
  </si>
  <si>
    <t>Силланпя Севери</t>
  </si>
  <si>
    <t>7 Февраля 1988</t>
  </si>
  <si>
    <t>Заливин Александр</t>
  </si>
  <si>
    <t>15 Июля 1990</t>
  </si>
  <si>
    <t>Шведов Игорь</t>
  </si>
  <si>
    <t>6 Марта 1987</t>
  </si>
  <si>
    <t>Ниинимяки Ессе</t>
  </si>
  <si>
    <t>19 Августа 1983</t>
  </si>
  <si>
    <t>Шевчук Михаил</t>
  </si>
  <si>
    <t>19 Сентября 1994</t>
  </si>
  <si>
    <t>Валицкий Исаак</t>
  </si>
  <si>
    <t>28 Февраля 1995</t>
  </si>
  <si>
    <t>Иванников Евгений</t>
  </si>
  <si>
    <t>29 Апреля 1991</t>
  </si>
  <si>
    <t>Белухин Евгений</t>
  </si>
  <si>
    <t>20 Августа 1983</t>
  </si>
  <si>
    <t>Муравьёв Юрий</t>
  </si>
  <si>
    <t>19 Апреля 1998</t>
  </si>
  <si>
    <t>Хохлов Илья</t>
  </si>
  <si>
    <t>20 Октября 1994</t>
  </si>
  <si>
    <t>Калинин Сергей П.</t>
  </si>
  <si>
    <t>17 Марта 1991</t>
  </si>
  <si>
    <t>Секссмит Тайсон</t>
  </si>
  <si>
    <t>19 Марта 1989</t>
  </si>
  <si>
    <t>Жульдиков Никита</t>
  </si>
  <si>
    <t>16 Августа 1996</t>
  </si>
  <si>
    <t>Широков Алексей</t>
  </si>
  <si>
    <t>20 Февраля 1981</t>
  </si>
  <si>
    <t>Мастрюков Алексей</t>
  </si>
  <si>
    <t>15 Сентября 1992</t>
  </si>
  <si>
    <t>Самарин Дмитрий</t>
  </si>
  <si>
    <t>4 Октября 1984</t>
  </si>
  <si>
    <t>Петров Марк</t>
  </si>
  <si>
    <t>Бардин Николай</t>
  </si>
  <si>
    <t>23 Января 1976</t>
  </si>
  <si>
    <t>Китаров Александр</t>
  </si>
  <si>
    <t>18 Июня 1987</t>
  </si>
  <si>
    <t>Бочкарёв Валерий</t>
  </si>
  <si>
    <t>19 Ноября 1997</t>
  </si>
  <si>
    <t>Миронов Андрей А.</t>
  </si>
  <si>
    <t>29 Июля 1994</t>
  </si>
  <si>
    <t>Воробьёв Павел</t>
  </si>
  <si>
    <t>5 Мая 1982</t>
  </si>
  <si>
    <t>Лессио Лукас</t>
  </si>
  <si>
    <t>23 Января 1993</t>
  </si>
  <si>
    <t>Толузаков Филипп</t>
  </si>
  <si>
    <t>10 Января 1989</t>
  </si>
  <si>
    <t>Карабань Данила</t>
  </si>
  <si>
    <t>26 Июля 1996</t>
  </si>
  <si>
    <t>Федотенко Руслан</t>
  </si>
  <si>
    <t>18 Января 1979</t>
  </si>
  <si>
    <t>Шин Александр</t>
  </si>
  <si>
    <t>21 Ноября 1985</t>
  </si>
  <si>
    <t>Березин Дмитрий</t>
  </si>
  <si>
    <t>1 Декабря 1992</t>
  </si>
  <si>
    <t>Лемтюгов Николай</t>
  </si>
  <si>
    <t>15 Января 1986</t>
  </si>
  <si>
    <t>Гудлевскис Кристерс</t>
  </si>
  <si>
    <t>31 Июля 1992</t>
  </si>
  <si>
    <t>Корнеев Константин</t>
  </si>
  <si>
    <t>5 Июня 1984</t>
  </si>
  <si>
    <t>Лайне Тему</t>
  </si>
  <si>
    <t>9 Августа 1982</t>
  </si>
  <si>
    <t>Зырянов Глеб</t>
  </si>
  <si>
    <t>16 Апреля 1992</t>
  </si>
  <si>
    <t>Чернов Михаил</t>
  </si>
  <si>
    <t>11 Ноября 1978</t>
  </si>
  <si>
    <t>Кривоножкин Максим</t>
  </si>
  <si>
    <t>18 Февраля 1984</t>
  </si>
  <si>
    <t>Гру Дэнни</t>
  </si>
  <si>
    <t>23 Июня 1981</t>
  </si>
  <si>
    <t>Селуянов Александр</t>
  </si>
  <si>
    <t>24 Марта 1982</t>
  </si>
  <si>
    <t>Устинский Игорь</t>
  </si>
  <si>
    <t>14 Июня 1994</t>
  </si>
  <si>
    <t>Рыбницкий Евгений</t>
  </si>
  <si>
    <t>8 Июля 1989</t>
  </si>
  <si>
    <t>Беляев Максим</t>
  </si>
  <si>
    <t>24 Августа 1979</t>
  </si>
  <si>
    <t>Корабейников Андрей</t>
  </si>
  <si>
    <t>1 Апреля 1987</t>
  </si>
  <si>
    <t>Букарев Семён</t>
  </si>
  <si>
    <t>21 Февраля 1997</t>
  </si>
  <si>
    <t>Энкузенс Наурис</t>
  </si>
  <si>
    <t>18 Апреля 1989</t>
  </si>
  <si>
    <t>Шахрайчук Вадим</t>
  </si>
  <si>
    <t>12 Июня 1974</t>
  </si>
  <si>
    <t>Полохов Кирилл</t>
  </si>
  <si>
    <t>23 Марта 1998</t>
  </si>
  <si>
    <t>Королёв Сергей</t>
  </si>
  <si>
    <t>28 Декабря 1973</t>
  </si>
  <si>
    <t>Безина Горан</t>
  </si>
  <si>
    <t>21 Марта 1980</t>
  </si>
  <si>
    <t>Пуяц Георгий</t>
  </si>
  <si>
    <t>11 Июня 1981</t>
  </si>
  <si>
    <t>Ханьяров Артур</t>
  </si>
  <si>
    <t>29 Сентября 1993</t>
  </si>
  <si>
    <t>Рубцов Герман</t>
  </si>
  <si>
    <t>27 Июня 1998</t>
  </si>
  <si>
    <t>Зиле Кристапс</t>
  </si>
  <si>
    <t>24 Декабря 1997</t>
  </si>
  <si>
    <t>Гайсберс Саймон</t>
  </si>
  <si>
    <t>7 Мая 1987</t>
  </si>
  <si>
    <t>Тодд Дэйн</t>
  </si>
  <si>
    <t>10 Января 1987</t>
  </si>
  <si>
    <t>Санников Степан</t>
  </si>
  <si>
    <t>25 Сентября 1990</t>
  </si>
  <si>
    <t>Коварж Ян</t>
  </si>
  <si>
    <t>Шинкевич Илья</t>
  </si>
  <si>
    <t>Николишин Андрей</t>
  </si>
  <si>
    <t>25 Марта 1973</t>
  </si>
  <si>
    <t>Белл Брендэн</t>
  </si>
  <si>
    <t>31 Марта 1983</t>
  </si>
  <si>
    <t>Лакутюр Даниэль</t>
  </si>
  <si>
    <t>18 Апреля 1977</t>
  </si>
  <si>
    <t>Юдин Дмитрий</t>
  </si>
  <si>
    <t>31 Июля 1995</t>
  </si>
  <si>
    <t>Гренков Андрей</t>
  </si>
  <si>
    <t>31 Мая 1990</t>
  </si>
  <si>
    <t>Шуинар Эрик</t>
  </si>
  <si>
    <t>8 Июля 1980</t>
  </si>
  <si>
    <t>Кожокин Егор</t>
  </si>
  <si>
    <t>14 Ноября 1994</t>
  </si>
  <si>
    <t>Спайло Арэн</t>
  </si>
  <si>
    <t>Огурцов Дмитрий</t>
  </si>
  <si>
    <t>20 Июня 1994</t>
  </si>
  <si>
    <t>Репин Владимир</t>
  </si>
  <si>
    <t>19 Июля 1989</t>
  </si>
  <si>
    <t>Хагман Никлас</t>
  </si>
  <si>
    <t>5 Декабря 1979</t>
  </si>
  <si>
    <t>Гурьянов Георгий</t>
  </si>
  <si>
    <t>26 Июня 1990</t>
  </si>
  <si>
    <t>Джильяти Стефано</t>
  </si>
  <si>
    <t>7 Октября 1987</t>
  </si>
  <si>
    <t>Италия</t>
  </si>
  <si>
    <t>Файзуллин Данил</t>
  </si>
  <si>
    <t>3 Декабря 1993</t>
  </si>
  <si>
    <t>Акимов Сергей</t>
  </si>
  <si>
    <t>15 Октября 1976</t>
  </si>
  <si>
    <t>Смуров Сергей</t>
  </si>
  <si>
    <t>26 Июля 1993</t>
  </si>
  <si>
    <t>Шэн Павел</t>
  </si>
  <si>
    <t>14 Августа 1999</t>
  </si>
  <si>
    <t>Митякин Евгений</t>
  </si>
  <si>
    <t>Беднарж Ярослав</t>
  </si>
  <si>
    <t>9 Ноября 1976</t>
  </si>
  <si>
    <t>Рундблад Давид</t>
  </si>
  <si>
    <t>8 Октября 1990</t>
  </si>
  <si>
    <t>Тодыков Антон</t>
  </si>
  <si>
    <t>24 Сентября 1992</t>
  </si>
  <si>
    <t>Зюзин Дмитрий</t>
  </si>
  <si>
    <t>21 Октября 1987</t>
  </si>
  <si>
    <t>Сетдиков Никита</t>
  </si>
  <si>
    <t>Швырёв Игорь</t>
  </si>
  <si>
    <t>10 Июля 1998</t>
  </si>
  <si>
    <t>Кириллов Дмитрий</t>
  </si>
  <si>
    <t>30 Июля 1990</t>
  </si>
  <si>
    <t>Томкин Максим</t>
  </si>
  <si>
    <t>Шелег Сергей</t>
  </si>
  <si>
    <t>24 Мая 1990</t>
  </si>
  <si>
    <t>Тарасов Вадим</t>
  </si>
  <si>
    <t>31 Декабря 1976</t>
  </si>
  <si>
    <t>Гундерсон Райан</t>
  </si>
  <si>
    <t>16 Августа 1985</t>
  </si>
  <si>
    <t>Кон Ладислав</t>
  </si>
  <si>
    <t>4 Марта 1975</t>
  </si>
  <si>
    <t>Аболс Родриго</t>
  </si>
  <si>
    <t>Михалёв Андрей</t>
  </si>
  <si>
    <t>23 Февраля 1978</t>
  </si>
  <si>
    <t>Черепенин Александр</t>
  </si>
  <si>
    <t>24 Августа 1987</t>
  </si>
  <si>
    <t>1 Марта 1995</t>
  </si>
  <si>
    <t>Мустафин Артур</t>
  </si>
  <si>
    <t>Глызин Максим</t>
  </si>
  <si>
    <t>Беляев Кирилл</t>
  </si>
  <si>
    <t>18 Июля 1997</t>
  </si>
  <si>
    <t>Добрышкин Юрий</t>
  </si>
  <si>
    <t>19 Июля 1979</t>
  </si>
  <si>
    <t>Рязанцев Георгий</t>
  </si>
  <si>
    <t>18 Февраля 1986</t>
  </si>
  <si>
    <t>Гусев Никита</t>
  </si>
  <si>
    <t>8 Июля 1992</t>
  </si>
  <si>
    <t>Михнов Андрей</t>
  </si>
  <si>
    <t>26 Ноября 1983</t>
  </si>
  <si>
    <t>Болтанов Артур</t>
  </si>
  <si>
    <t>9 Августа 1996</t>
  </si>
  <si>
    <t>Бодров Евгений</t>
  </si>
  <si>
    <t>8 Января 1988</t>
  </si>
  <si>
    <t>Уокер Люк</t>
  </si>
  <si>
    <t>19 Февраля 1990</t>
  </si>
  <si>
    <t>Жафяров Дамир</t>
  </si>
  <si>
    <t>17 Марта 1994</t>
  </si>
  <si>
    <t>Татичек Петр</t>
  </si>
  <si>
    <t>22 Сентября 1983</t>
  </si>
  <si>
    <t>Костромитин Дмитрий</t>
  </si>
  <si>
    <t>22 Января 1990</t>
  </si>
  <si>
    <t>Двуреченский Никита</t>
  </si>
  <si>
    <t>Дорофеев Сергей</t>
  </si>
  <si>
    <t>26 Августа 1986</t>
  </si>
  <si>
    <t>Лужа Патрик</t>
  </si>
  <si>
    <t>27 Июля 1994</t>
  </si>
  <si>
    <t>Рантаескола Юлиус</t>
  </si>
  <si>
    <t>Козлов Виктор</t>
  </si>
  <si>
    <t>14 Февраля 1975</t>
  </si>
  <si>
    <t>Зинченко Станислав</t>
  </si>
  <si>
    <t>5 Июля 1995</t>
  </si>
  <si>
    <t>Левандовский Эдуард</t>
  </si>
  <si>
    <t>Свенссон Маркус</t>
  </si>
  <si>
    <t>9 Июля 1984</t>
  </si>
  <si>
    <t>Хартманис Томс</t>
  </si>
  <si>
    <t>12 Декабря 1987</t>
  </si>
  <si>
    <t>Холлоуэй Бад</t>
  </si>
  <si>
    <t>1 Марта 1988</t>
  </si>
  <si>
    <t>Торченюк Александр</t>
  </si>
  <si>
    <t>25 Мая 1991</t>
  </si>
  <si>
    <t>Лихотников Артём</t>
  </si>
  <si>
    <t>11 Мая 1994</t>
  </si>
  <si>
    <t>Пьянов Валентин</t>
  </si>
  <si>
    <t>21 Июля 1991</t>
  </si>
  <si>
    <t>7 Февраля 1975</t>
  </si>
  <si>
    <t>Висневский Джеймс</t>
  </si>
  <si>
    <t>21 Февраля 1984</t>
  </si>
  <si>
    <t>Лукин Дмитрий</t>
  </si>
  <si>
    <t>21 Октября 1992</t>
  </si>
  <si>
    <t>Петопрсты Денис</t>
  </si>
  <si>
    <t>5 Ноября 1997</t>
  </si>
  <si>
    <t>Канарейкин Леонид</t>
  </si>
  <si>
    <t>21 Августа 1976</t>
  </si>
  <si>
    <t>Эберт Ник</t>
  </si>
  <si>
    <t>Большаков Сергей</t>
  </si>
  <si>
    <t>2 Июня 1996</t>
  </si>
  <si>
    <t>Медведев Евгений</t>
  </si>
  <si>
    <t>27 Августа 1982</t>
  </si>
  <si>
    <t>Цуккарелло Матс</t>
  </si>
  <si>
    <t>1 Сентября 1987</t>
  </si>
  <si>
    <t>Коренев Илья</t>
  </si>
  <si>
    <t>Яковлев Алексей</t>
  </si>
  <si>
    <t>4 Июня 1995</t>
  </si>
  <si>
    <t>Кузьмин Денис</t>
  </si>
  <si>
    <t>7 Апреля 1989</t>
  </si>
  <si>
    <t>Камаев Игорь</t>
  </si>
  <si>
    <t>24 Февраля 1979</t>
  </si>
  <si>
    <t>Красиков Алексей</t>
  </si>
  <si>
    <t>14 Декабря 1995</t>
  </si>
  <si>
    <t>Коциан Ондржей</t>
  </si>
  <si>
    <t>20 Марта 1991</t>
  </si>
  <si>
    <t>Зубов Сергей</t>
  </si>
  <si>
    <t>22 Июля 1970</t>
  </si>
  <si>
    <t>Григалс Густавс</t>
  </si>
  <si>
    <t>22 Июля 1998</t>
  </si>
  <si>
    <t>Максимкин Иван</t>
  </si>
  <si>
    <t>Петрухно Денис</t>
  </si>
  <si>
    <t>18 Сентября 1989</t>
  </si>
  <si>
    <t>Жуков Валерий</t>
  </si>
  <si>
    <t>8 Февраля 1988</t>
  </si>
  <si>
    <t>Житков Павел</t>
  </si>
  <si>
    <t>4 Июня 1984</t>
  </si>
  <si>
    <t>Мозес Стив</t>
  </si>
  <si>
    <t>9 Августа 1989</t>
  </si>
  <si>
    <t>Чиглинцев Александр</t>
  </si>
  <si>
    <t>27 Февраля 1990</t>
  </si>
  <si>
    <t>Подлубошнов Павел</t>
  </si>
  <si>
    <t>20 Апреля 1997</t>
  </si>
  <si>
    <t>Черны Томаш</t>
  </si>
  <si>
    <t>15 Августа 1997</t>
  </si>
  <si>
    <t>Анисимов Артём</t>
  </si>
  <si>
    <t>24 Мая 1988</t>
  </si>
  <si>
    <t>Перетягин Денис</t>
  </si>
  <si>
    <t>30 Мая 1991</t>
  </si>
  <si>
    <t>Юшков Максим</t>
  </si>
  <si>
    <t>4 Апреля 1985</t>
  </si>
  <si>
    <t>Регин Петер</t>
  </si>
  <si>
    <t>16 Апреля 1986</t>
  </si>
  <si>
    <t>Семёнов Кирилл</t>
  </si>
  <si>
    <t>27 Октября 1994</t>
  </si>
  <si>
    <t>Зиновьев Илья</t>
  </si>
  <si>
    <t>15 Марта 1996</t>
  </si>
  <si>
    <t>Мраз Рихард</t>
  </si>
  <si>
    <t>19 Февраля 1993</t>
  </si>
  <si>
    <t>Гункес Иржи</t>
  </si>
  <si>
    <t>31 Июля 1984</t>
  </si>
  <si>
    <t>Васильев Валерий С.</t>
  </si>
  <si>
    <t>31 Мая 1994</t>
  </si>
  <si>
    <t>Брейчак Ян</t>
  </si>
  <si>
    <t>29 Июня 1989</t>
  </si>
  <si>
    <t>Уилсон Кайл</t>
  </si>
  <si>
    <t>15 Декабря 1984</t>
  </si>
  <si>
    <t>Мирасти Джон</t>
  </si>
  <si>
    <t>4 Июня 1982</t>
  </si>
  <si>
    <t>Лепистё Сами</t>
  </si>
  <si>
    <t>17 Октября 1984</t>
  </si>
  <si>
    <t>Развадовский Павел</t>
  </si>
  <si>
    <t>7 Августа 1989</t>
  </si>
  <si>
    <t>Турбин Павел</t>
  </si>
  <si>
    <t>24 Февраля 1990</t>
  </si>
  <si>
    <t>Гарон Мэтью</t>
  </si>
  <si>
    <t>9 Января 1978</t>
  </si>
  <si>
    <t>Гайдученко Сергей</t>
  </si>
  <si>
    <t>6 Июня 1989</t>
  </si>
  <si>
    <t>Шишканов Тимофей</t>
  </si>
  <si>
    <t>10 Июня 1983</t>
  </si>
  <si>
    <t>Выглазов Никита</t>
  </si>
  <si>
    <t>20 Октября 1985</t>
  </si>
  <si>
    <t>Охтамаа Атте</t>
  </si>
  <si>
    <t>6 Ноября 1987</t>
  </si>
  <si>
    <t>Скугарев Александр</t>
  </si>
  <si>
    <t>13 Марта 1975</t>
  </si>
  <si>
    <t>Варфоломеев Павел</t>
  </si>
  <si>
    <t>15 Апреля 1995</t>
  </si>
  <si>
    <t>Беспалов Дмитрий</t>
  </si>
  <si>
    <t>26 Января 1995</t>
  </si>
  <si>
    <t>Лашофф Мэтт</t>
  </si>
  <si>
    <t>29 Сентября 1986</t>
  </si>
  <si>
    <t>Палушай Аарон</t>
  </si>
  <si>
    <t>7 Сентября 1989</t>
  </si>
  <si>
    <t>Мамашев Ренат</t>
  </si>
  <si>
    <t>Касутин Иван</t>
  </si>
  <si>
    <t>17 Октября 1986</t>
  </si>
  <si>
    <t>Василевский Алексей</t>
  </si>
  <si>
    <t>21 Января 1993</t>
  </si>
  <si>
    <t>Василевский Андрей</t>
  </si>
  <si>
    <t>25 Июля 1994</t>
  </si>
  <si>
    <t>Хелльберг Магнус</t>
  </si>
  <si>
    <t>4 Апреля 1991</t>
  </si>
  <si>
    <t>Many studies have been carried out on stock price trend prediction, but most of them focused on the public market data and did not utilize the trading behaviors owing to the unavailability of real transaction records data. In fact, trading behaviors can better reflect the market movements, and the fusion of trading information and market information can further improve the prediction accuracy. In this paper, we propose a deep neural network model using the desensitized transaction records and public market information to predict stock price trend. Considering the correlation between stocks, our method utilizes the knowledge graph and graph embeddings techniques to select the relevant stocks of the target for constructing the market and trading information. Given the considerable number of investors and the complexity of transaction records data, the investors are clustered to reduce the dimensions of the trading feature matrices, and then the matrices are fed into the convolutional neural network to unearth the investment patterns. Eventually, the attention-based bidirectional long short-term memory network can predict the stock price trends for financial decision support. The experiments on the price movement direction and trend prediction show that our method achieves the best performance in comparison with other prediction baselines.</t>
  </si>
  <si>
    <t>нач</t>
  </si>
  <si>
    <t>кон</t>
  </si>
  <si>
    <t>Столбец1</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</si>
  <si>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</si>
  <si>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</si>
  <si>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</si>
  <si>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</si>
  <si>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</si>
  <si>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</si>
  <si>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</si>
  <si>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</si>
  <si>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</si>
  <si>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</si>
  <si>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Месяц заказа</t>
  </si>
  <si>
    <t>День нед</t>
  </si>
  <si>
    <t>год заказа</t>
  </si>
  <si>
    <t>Ном нед</t>
  </si>
  <si>
    <t>скидка зел чай</t>
  </si>
  <si>
    <t>Столбец2</t>
  </si>
  <si>
    <t>GT-04</t>
  </si>
  <si>
    <t>Зеленый чай</t>
  </si>
  <si>
    <t>Зеленый чай крупнолистовой 2</t>
  </si>
  <si>
    <t>0,5 кг</t>
  </si>
  <si>
    <t>BT-06</t>
  </si>
  <si>
    <t xml:space="preserve">Красный чай </t>
  </si>
  <si>
    <t>Красный чай крупный</t>
  </si>
  <si>
    <t>1 кг</t>
  </si>
  <si>
    <t>BT-42</t>
  </si>
  <si>
    <t>Пуэр рассыпной</t>
  </si>
  <si>
    <t>GT-41</t>
  </si>
  <si>
    <t>Улун</t>
  </si>
  <si>
    <t>GT-42A</t>
  </si>
  <si>
    <t>Улун рассыпной</t>
  </si>
  <si>
    <t>GT-01</t>
  </si>
  <si>
    <t>Зеленый чай мелкий</t>
  </si>
  <si>
    <t>GT-24</t>
  </si>
  <si>
    <t>Добавки</t>
  </si>
  <si>
    <t>Имбирь</t>
  </si>
  <si>
    <t>GT-18</t>
  </si>
  <si>
    <t>Жасминовый чай</t>
  </si>
  <si>
    <t>Жасминовый чай крупный</t>
  </si>
  <si>
    <t>GT-09</t>
  </si>
  <si>
    <t>Зеленый чай крупнолистовой 1</t>
  </si>
  <si>
    <t>GT-28</t>
  </si>
  <si>
    <t>Связанный чай</t>
  </si>
  <si>
    <t xml:space="preserve">Цветок с ароматом жасмина  </t>
  </si>
  <si>
    <t>BT-46</t>
  </si>
  <si>
    <t>BT-36</t>
  </si>
  <si>
    <t>Пуэр дворцовый 2</t>
  </si>
  <si>
    <t>GT-20</t>
  </si>
  <si>
    <t>Жасминовый чай мелкий</t>
  </si>
  <si>
    <t>BT-05</t>
  </si>
  <si>
    <t>Красный чай мелкий</t>
  </si>
  <si>
    <t>GT-02</t>
  </si>
  <si>
    <t>Зеленый чай Премиум</t>
  </si>
  <si>
    <t>GT-44</t>
  </si>
  <si>
    <t>Улун выдержанный</t>
  </si>
  <si>
    <t>GT-13</t>
  </si>
  <si>
    <t>Белый чай</t>
  </si>
  <si>
    <t>GT-26</t>
  </si>
  <si>
    <t>Лайм</t>
  </si>
  <si>
    <t>BT-04</t>
  </si>
  <si>
    <t>Молочный красный 2</t>
  </si>
  <si>
    <t>GT-23</t>
  </si>
  <si>
    <t>Жасмин</t>
  </si>
  <si>
    <t>BT-43</t>
  </si>
  <si>
    <t>Шен пуэр</t>
  </si>
  <si>
    <t>Улун премиум</t>
  </si>
  <si>
    <t>GT-16</t>
  </si>
  <si>
    <t>Почки</t>
  </si>
  <si>
    <t>GT-22</t>
  </si>
  <si>
    <t>Роза</t>
  </si>
  <si>
    <t>GT-27</t>
  </si>
  <si>
    <t>Цветок с ароматом молока</t>
  </si>
  <si>
    <t>BT-45</t>
  </si>
  <si>
    <t>Молочный пуэр</t>
  </si>
  <si>
    <t>GT-31</t>
  </si>
  <si>
    <t xml:space="preserve">Пуэр дворцовый 1       </t>
  </si>
  <si>
    <t>BT-38</t>
  </si>
  <si>
    <t>BT-07</t>
  </si>
  <si>
    <t>Молочный красный 1</t>
  </si>
  <si>
    <t>GT-30</t>
  </si>
  <si>
    <t>BT-37</t>
  </si>
  <si>
    <t>Пуэр рассыпной премиум</t>
  </si>
  <si>
    <t>BT-40</t>
  </si>
  <si>
    <t>Пуэр дворцовый 1</t>
  </si>
  <si>
    <t>BT-10</t>
  </si>
  <si>
    <t>Фруктовый чай</t>
  </si>
  <si>
    <t>Апельсиновый</t>
  </si>
  <si>
    <t>BT-44</t>
  </si>
  <si>
    <t>GT-14</t>
  </si>
  <si>
    <t>Белый чай Премиум</t>
  </si>
  <si>
    <t>GT-12</t>
  </si>
  <si>
    <t>Желтый чай</t>
  </si>
  <si>
    <t>GT-29</t>
  </si>
  <si>
    <t xml:space="preserve">Цветок с ароматом персика </t>
  </si>
  <si>
    <t>BT-09</t>
  </si>
  <si>
    <t>Лимонный</t>
  </si>
  <si>
    <t>Дата сделки</t>
  </si>
  <si>
    <t>Тип сделки</t>
  </si>
  <si>
    <t>Количество</t>
  </si>
  <si>
    <t>Количество_net</t>
  </si>
  <si>
    <t>Стоимость</t>
  </si>
  <si>
    <t>Продажа</t>
  </si>
  <si>
    <t>Покупка</t>
  </si>
  <si>
    <t>Столбец7</t>
  </si>
  <si>
    <t>Месяц</t>
  </si>
  <si>
    <t>21-30</t>
  </si>
  <si>
    <t>День</t>
  </si>
  <si>
    <t>Год</t>
  </si>
  <si>
    <t>Номер нед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</si>
</sst>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8" formatCode="#,##0.00\ &quot;₽&quot;;[Red]\-#,##0.00\ &quot;₽&quot;"/>
    <numFmt numFmtId="164" formatCode="0.0000"/>
    <numFmt numFmtId="165" formatCode="0.0"/>
  </numFmts>
  <fonts count="8" x14ac:knownFonts="1">
    <font>
      <sz val="11"/>
      <color theme="1"/>
      <name val="Arial"/>
    </font>
    <font>
      <sz val="11"/>
      <color theme="1"/>
      <name val="Calibri"/>
    </font>
    <font>
      <sz val="11"/>
      <color theme="1"/>
      <name val="Calibri"/>
    </font>
    <font>
      <b/>
      <sz val="11"/>
      <color theme="1"/>
      <name val="Calibri"/>
    </font>
    <font>
      <sz val="11"/>
      <color theme="1"/>
      <name val="Arial"/>
    </font>
    <font>
      <sz val="11"/>
      <name val="Arial"/>
    </font>
    <font>
      <i/>
      <sz val="11"/>
      <color theme="1"/>
      <name val="Calibri"/>
    </font>
    <font>
      <sz val="8"/>
      <name val="Arial"/>
    </font>
  </fonts>
  <fills count="4">
    <fill>
      <patternFill patternType="none"/>
    </fill>
    <fill>
      <patternFill patternType="gray125"/>
    </fill>
    <fill>
      <patternFill patternType="solid">
        <fgColor rgb="FFC0C0C0"/>
        <bgColor rgb="FFC0C0C0"/>
      </patternFill>
    </fill>
    <fill>
      <patternFill patternType="solid">
        <fgColor rgb="FFFFFF00"/>
        <bgColor rgb="FFFFFF00"/>
      </patternFill>
    </fill>
  </fills>
  <borders count="22">
    <border>
      <left/>
      <right/>
      <top/>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medium">
        <color rgb="FF000000"/>
      </top>
      <bottom style="thin">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47">
    <xf numFmtId="0" fontId="0" fillId="0" borderId="0" xfId="0" applyFont="1" applyAlignment="1"/>
    <xf numFmtId="0" fontId="1" fillId="0" borderId="0" xfId="0" applyFont="1"/>
    <xf numFmtId="0" fontId="2" fillId="0" borderId="1" xfId="0" applyFont="1" applyBorder="1"/>
    <xf numFmtId="0" fontId="2" fillId="2" borderId="2" xfId="0" applyFont="1" applyFill="1" applyBorder="1"/>
    <xf numFmtId="0" fontId="3" fillId="0" borderId="0" xfId="0" applyFont="1"/>
    <xf numFmtId="0" fontId="3" fillId="0" borderId="4" xfId="0" applyFont="1" applyBorder="1" applyAlignment="1">
      <alignment horizontal="center" vertical="top"/>
    </xf>
    <xf numFmtId="0" fontId="4" fillId="0" borderId="4" xfId="0" applyFont="1" applyBorder="1" applyAlignment="1">
      <alignment vertical="center" wrapText="1"/>
    </xf>
    <xf numFmtId="0" fontId="2" fillId="0" borderId="4" xfId="0" applyFont="1" applyBorder="1" applyAlignment="1">
      <alignment vertical="center" wrapText="1"/>
    </xf>
    <xf numFmtId="0" fontId="2" fillId="2" borderId="1" xfId="0" applyFont="1" applyFill="1" applyBorder="1"/>
    <xf numFmtId="8" fontId="2" fillId="0" borderId="1" xfId="0" applyNumberFormat="1" applyFont="1" applyBorder="1"/>
    <xf numFmtId="164" fontId="2" fillId="0" borderId="1" xfId="0" applyNumberFormat="1" applyFont="1" applyBorder="1"/>
    <xf numFmtId="9" fontId="2" fillId="0" borderId="0" xfId="0" applyNumberFormat="1" applyFont="1"/>
    <xf numFmtId="0" fontId="2" fillId="0" borderId="0" xfId="0" applyFont="1"/>
    <xf numFmtId="14" fontId="2" fillId="0" borderId="0" xfId="0" applyNumberFormat="1" applyFont="1" applyAlignment="1">
      <alignment horizontal="left"/>
    </xf>
    <xf numFmtId="14" fontId="3" fillId="0" borderId="7" xfId="0" applyNumberFormat="1" applyFont="1" applyBorder="1" applyAlignment="1">
      <alignment horizontal="center" vertical="top"/>
    </xf>
    <xf numFmtId="0" fontId="3" fillId="0" borderId="6" xfId="0" applyFont="1" applyBorder="1" applyAlignment="1">
      <alignment horizontal="center" vertical="top"/>
    </xf>
    <xf numFmtId="1" fontId="3" fillId="0" borderId="6" xfId="0" applyNumberFormat="1" applyFont="1" applyBorder="1" applyAlignment="1">
      <alignment horizontal="center" vertical="top"/>
    </xf>
    <xf numFmtId="0" fontId="2" fillId="0" borderId="4" xfId="0" applyFont="1" applyBorder="1" applyAlignment="1">
      <alignment vertical="center"/>
    </xf>
    <xf numFmtId="14" fontId="3" fillId="0" borderId="8" xfId="0" applyNumberFormat="1" applyFont="1" applyBorder="1" applyAlignment="1">
      <alignment horizontal="center" vertical="top"/>
    </xf>
    <xf numFmtId="2" fontId="2" fillId="0" borderId="0" xfId="0" applyNumberFormat="1" applyFont="1"/>
    <xf numFmtId="1" fontId="2" fillId="0" borderId="0" xfId="0" applyNumberFormat="1" applyFont="1"/>
    <xf numFmtId="0" fontId="1" fillId="0" borderId="0" xfId="0" applyFont="1"/>
    <xf numFmtId="0" fontId="6" fillId="0" borderId="9" xfId="0" applyFont="1" applyBorder="1" applyAlignment="1">
      <alignment horizontal="center"/>
    </xf>
    <xf numFmtId="0" fontId="2" fillId="0" borderId="10" xfId="0" applyFont="1" applyBorder="1"/>
    <xf numFmtId="14" fontId="2" fillId="0" borderId="0" xfId="0" applyNumberFormat="1" applyFont="1"/>
    <xf numFmtId="14" fontId="2" fillId="0" borderId="0" xfId="0" applyNumberFormat="1" applyFont="1"/>
    <xf numFmtId="0" fontId="3" fillId="0" borderId="4" xfId="0" applyFont="1" applyBorder="1" applyAlignment="1">
      <alignment horizontal="center" vertical="top"/>
    </xf>
    <xf numFmtId="0" fontId="3" fillId="0" borderId="5" xfId="0" applyFont="1" applyBorder="1" applyAlignment="1">
      <alignment horizontal="center" vertical="top"/>
    </xf>
    <xf numFmtId="0" fontId="2" fillId="0" borderId="0" xfId="0" applyFont="1"/>
    <xf numFmtId="0" fontId="2" fillId="3" borderId="11" xfId="0" applyFont="1" applyFill="1" applyBorder="1"/>
    <xf numFmtId="0" fontId="2" fillId="3" borderId="12" xfId="0" applyFont="1" applyFill="1" applyBorder="1"/>
    <xf numFmtId="0" fontId="3" fillId="0" borderId="3" xfId="0" applyFont="1" applyBorder="1" applyAlignment="1">
      <alignment vertical="center" wrapText="1"/>
    </xf>
    <xf numFmtId="0" fontId="5" fillId="0" borderId="5" xfId="0" applyFont="1" applyBorder="1"/>
    <xf numFmtId="0" fontId="5" fillId="0" borderId="6" xfId="0" applyFont="1" applyBorder="1"/>
    <xf numFmtId="0" fontId="6" fillId="0" borderId="9" xfId="0" applyFont="1" applyBorder="1" applyAlignment="1">
      <alignment horizontal="center"/>
    </xf>
    <xf numFmtId="0" fontId="5" fillId="0" borderId="9" xfId="0" applyFont="1" applyBorder="1"/>
    <xf numFmtId="8" fontId="0" fillId="0" borderId="0" xfId="0" applyNumberFormat="1" applyFont="1" applyAlignment="1"/>
    <xf numFmtId="165" fontId="2" fillId="0" borderId="0" xfId="0" applyNumberFormat="1" applyFo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0" fontId="0" fillId="0" borderId="18" xfId="0" applyFont="1" applyBorder="1" applyAlignment="1"/>
    <xf numFmtId="0" fontId="0" fillId="0" borderId="19" xfId="0" applyFont="1" applyBorder="1" applyAlignment="1"/>
    <xf numFmtId="0" fontId="0" fillId="0" borderId="20" xfId="0" applyFont="1" applyBorder="1" applyAlignment="1"/>
    <xf numFmtId="0" fontId="0" fillId="0" borderId="21" xfId="0" applyFont="1" applyBorder="1" applyAlignment="1"/>
  </cellXfs>
  <cellStyles count="1">
    <cellStyle name="Обычный"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DBE5F1"/>
          <bgColor rgb="FFDBE5F1"/>
        </patternFill>
      </fill>
    </dxf>
    <dxf>
      <fill>
        <patternFill patternType="solid">
          <fgColor rgb="FFB8CCE4"/>
          <bgColor rgb="FFB8CCE4"/>
        </patternFill>
      </fill>
    </dxf>
    <dxf>
      <fill>
        <patternFill patternType="solid">
          <fgColor theme="9"/>
          <bgColor theme="9"/>
        </patternFill>
      </fill>
    </dxf>
    <dxf>
      <fill>
        <patternFill patternType="solid">
          <fgColor rgb="FFDBE5F1"/>
          <bgColor rgb="FFDBE5F1"/>
        </patternFill>
      </fill>
    </dxf>
    <dxf>
      <fill>
        <patternFill patternType="solid">
          <fgColor rgb="FFB8CCE4"/>
          <bgColor rgb="FFB8CCE4"/>
        </patternFill>
      </fill>
    </dxf>
    <dxf>
      <fill>
        <patternFill patternType="solid">
          <fgColor theme="9"/>
          <bgColor theme="9"/>
        </patternFill>
      </fill>
    </dxf>
    <dxf>
      <fill>
        <patternFill patternType="solid">
          <fgColor rgb="FFDBE5F1"/>
          <bgColor rgb="FFDBE5F1"/>
        </patternFill>
      </fill>
    </dxf>
    <dxf>
      <fill>
        <patternFill patternType="solid">
          <fgColor rgb="FFB8CCE4"/>
          <bgColor rgb="FFB8CCE4"/>
        </patternFill>
      </fill>
    </dxf>
    <dxf>
      <fill>
        <patternFill patternType="solid">
          <fgColor theme="9"/>
          <bgColor theme="9"/>
        </patternFill>
      </fill>
    </dxf>
    <dxf>
      <fill>
        <patternFill patternType="solid">
          <fgColor rgb="FFDBE5F1"/>
          <bgColor rgb="FFDBE5F1"/>
        </patternFill>
      </fill>
    </dxf>
    <dxf>
      <fill>
        <patternFill patternType="solid">
          <fgColor rgb="FFB8CCE4"/>
          <bgColor rgb="FFB8CCE4"/>
        </patternFill>
      </fill>
    </dxf>
    <dxf>
      <fill>
        <patternFill patternType="solid">
          <fgColor theme="9"/>
          <bgColor theme="9"/>
        </patternFill>
      </fill>
    </dxf>
  </dxfs>
  <tableStyles count="4">
    <tableStyle name="Акции-style" pivot="0" count="3" xr9:uid="{00000000-0011-0000-FFFF-FFFF00000000}">
      <tableStyleElement type="headerRow" dxfId="17"/>
      <tableStyleElement type="firstRowStripe" dxfId="16"/>
      <tableStyleElement type="secondRowStripe" dxfId="15"/>
    </tableStyle>
    <tableStyle name="КХЛ-style" pivot="0" count="3" xr9:uid="{00000000-0011-0000-FFFF-FFFF01000000}">
      <tableStyleElement type="headerRow" dxfId="14"/>
      <tableStyleElement type="firstRowStripe" dxfId="13"/>
      <tableStyleElement type="secondRowStripe" dxfId="12"/>
    </tableStyle>
    <tableStyle name="Продажи-style" pivot="0" count="3" xr9:uid="{00000000-0011-0000-FFFF-FFFF02000000}">
      <tableStyleElement type="headerRow" dxfId="11"/>
      <tableStyleElement type="firstRowStripe" dxfId="10"/>
      <tableStyleElement type="secondRowStripe" dxfId="9"/>
    </tableStyle>
    <tableStyle name="Сделки-style" pivot="0" count="3" xr9:uid="{00000000-0011-0000-FFFF-FFFF03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1"/>
  <c:style val="2"/>
  <c:chart>
    <c:title>
      <c:tx>
        <c:rich>
          <a:bodyPr/>
          <a:lstStyle/>
          <a:p>
            <a:pPr lvl="0">
              <a:defRPr sz="1400" b="0" i="0">
                <a:solidFill>
                  <a:srgbClr val="757575"/>
                </a:solidFill>
                <a:latin typeface="+mn-lt"/>
              </a:defRPr>
            </a:pPr>
            <a:r>
              <a:rPr lang="ru-RU" sz="1400" b="0" i="0">
                <a:solidFill>
                  <a:srgbClr val="757575"/>
                </a:solidFill>
                <a:latin typeface="+mn-lt"/>
              </a:rPr>
              <a:t>Денежный поток</a:t>
            </a:r>
          </a:p>
        </c:rich>
      </c:tx>
      <c:overlay val="0"/>
    </c:title>
    <c:autoTitleDeleted val="0"/>
    <c:plotArea>
      <c:layout/>
      <c:barChart>
        <c:barDir val="col"/>
        <c:grouping val="clustered"/>
        <c:varyColors val="1"/>
        <c:ser>
          <c:idx val="0"/>
          <c:order val="0"/>
          <c:tx>
            <c:v>Денежный поток</c:v>
          </c:tx>
          <c:spPr>
            <a:solidFill>
              <a:srgbClr val="4F81BD"/>
            </a:solidFill>
            <a:ln cmpd="sng">
              <a:solidFill>
                <a:srgbClr val="000000"/>
              </a:solidFill>
            </a:ln>
          </c:spPr>
          <c:invertIfNegative val="1"/>
          <c:cat>
            <c:numRef>
              <c:f>Сделки!$D$2:$D$411</c:f>
              <c:numCache>
                <c:formatCode>m/d/yy</c:formatCode>
                <c:ptCount val="410"/>
                <c:pt idx="0">
                  <c:v>42011</c:v>
                </c:pt>
                <c:pt idx="1">
                  <c:v>42016</c:v>
                </c:pt>
                <c:pt idx="2">
                  <c:v>42019</c:v>
                </c:pt>
                <c:pt idx="3">
                  <c:v>42020</c:v>
                </c:pt>
                <c:pt idx="4">
                  <c:v>42024</c:v>
                </c:pt>
                <c:pt idx="5">
                  <c:v>42024</c:v>
                </c:pt>
                <c:pt idx="6">
                  <c:v>42025</c:v>
                </c:pt>
                <c:pt idx="7">
                  <c:v>42030</c:v>
                </c:pt>
                <c:pt idx="8">
                  <c:v>42031</c:v>
                </c:pt>
                <c:pt idx="9">
                  <c:v>42032</c:v>
                </c:pt>
                <c:pt idx="10">
                  <c:v>42041</c:v>
                </c:pt>
                <c:pt idx="11">
                  <c:v>42054</c:v>
                </c:pt>
                <c:pt idx="12">
                  <c:v>42055</c:v>
                </c:pt>
                <c:pt idx="13">
                  <c:v>42059</c:v>
                </c:pt>
                <c:pt idx="14">
                  <c:v>42068</c:v>
                </c:pt>
                <c:pt idx="15">
                  <c:v>42069</c:v>
                </c:pt>
                <c:pt idx="16">
                  <c:v>42075</c:v>
                </c:pt>
                <c:pt idx="17">
                  <c:v>42079</c:v>
                </c:pt>
                <c:pt idx="18">
                  <c:v>42079</c:v>
                </c:pt>
                <c:pt idx="19">
                  <c:v>42093</c:v>
                </c:pt>
                <c:pt idx="20">
                  <c:v>42100</c:v>
                </c:pt>
                <c:pt idx="21">
                  <c:v>42101</c:v>
                </c:pt>
                <c:pt idx="22">
                  <c:v>42107</c:v>
                </c:pt>
                <c:pt idx="23">
                  <c:v>42110</c:v>
                </c:pt>
                <c:pt idx="24">
                  <c:v>42125</c:v>
                </c:pt>
                <c:pt idx="25">
                  <c:v>42130</c:v>
                </c:pt>
                <c:pt idx="26">
                  <c:v>42137</c:v>
                </c:pt>
                <c:pt idx="27">
                  <c:v>42138</c:v>
                </c:pt>
                <c:pt idx="28">
                  <c:v>42139</c:v>
                </c:pt>
                <c:pt idx="29">
                  <c:v>42144</c:v>
                </c:pt>
                <c:pt idx="30">
                  <c:v>42151</c:v>
                </c:pt>
                <c:pt idx="31">
                  <c:v>42151</c:v>
                </c:pt>
                <c:pt idx="32">
                  <c:v>42152</c:v>
                </c:pt>
                <c:pt idx="33">
                  <c:v>42156</c:v>
                </c:pt>
                <c:pt idx="34">
                  <c:v>42158</c:v>
                </c:pt>
                <c:pt idx="35">
                  <c:v>42158</c:v>
                </c:pt>
                <c:pt idx="36">
                  <c:v>42171</c:v>
                </c:pt>
                <c:pt idx="37">
                  <c:v>42173</c:v>
                </c:pt>
                <c:pt idx="38">
                  <c:v>42179</c:v>
                </c:pt>
                <c:pt idx="39">
                  <c:v>42187</c:v>
                </c:pt>
                <c:pt idx="40">
                  <c:v>42191</c:v>
                </c:pt>
                <c:pt idx="41">
                  <c:v>42191</c:v>
                </c:pt>
                <c:pt idx="42">
                  <c:v>42192</c:v>
                </c:pt>
                <c:pt idx="43">
                  <c:v>42205</c:v>
                </c:pt>
                <c:pt idx="44">
                  <c:v>42206</c:v>
                </c:pt>
                <c:pt idx="45">
                  <c:v>42209</c:v>
                </c:pt>
                <c:pt idx="46">
                  <c:v>42216</c:v>
                </c:pt>
                <c:pt idx="47">
                  <c:v>42220</c:v>
                </c:pt>
                <c:pt idx="48">
                  <c:v>42221</c:v>
                </c:pt>
                <c:pt idx="49">
                  <c:v>42221</c:v>
                </c:pt>
                <c:pt idx="50">
                  <c:v>42222</c:v>
                </c:pt>
                <c:pt idx="51">
                  <c:v>42226</c:v>
                </c:pt>
                <c:pt idx="52">
                  <c:v>42234</c:v>
                </c:pt>
                <c:pt idx="53">
                  <c:v>42236</c:v>
                </c:pt>
                <c:pt idx="54">
                  <c:v>42237</c:v>
                </c:pt>
                <c:pt idx="55">
                  <c:v>42249</c:v>
                </c:pt>
                <c:pt idx="56">
                  <c:v>42251</c:v>
                </c:pt>
                <c:pt idx="57">
                  <c:v>42256</c:v>
                </c:pt>
                <c:pt idx="58">
                  <c:v>42261</c:v>
                </c:pt>
                <c:pt idx="59">
                  <c:v>42264</c:v>
                </c:pt>
                <c:pt idx="60">
                  <c:v>42277</c:v>
                </c:pt>
                <c:pt idx="61">
                  <c:v>42293</c:v>
                </c:pt>
                <c:pt idx="62">
                  <c:v>42296</c:v>
                </c:pt>
                <c:pt idx="63">
                  <c:v>42297</c:v>
                </c:pt>
                <c:pt idx="64">
                  <c:v>42299</c:v>
                </c:pt>
                <c:pt idx="65">
                  <c:v>42303</c:v>
                </c:pt>
                <c:pt idx="66">
                  <c:v>42310</c:v>
                </c:pt>
                <c:pt idx="67">
                  <c:v>42326</c:v>
                </c:pt>
                <c:pt idx="68">
                  <c:v>42326</c:v>
                </c:pt>
                <c:pt idx="69">
                  <c:v>42331</c:v>
                </c:pt>
                <c:pt idx="70">
                  <c:v>42339</c:v>
                </c:pt>
                <c:pt idx="71">
                  <c:v>42339</c:v>
                </c:pt>
                <c:pt idx="72">
                  <c:v>42345</c:v>
                </c:pt>
                <c:pt idx="73">
                  <c:v>42345</c:v>
                </c:pt>
                <c:pt idx="74">
                  <c:v>42346</c:v>
                </c:pt>
                <c:pt idx="75">
                  <c:v>42362</c:v>
                </c:pt>
                <c:pt idx="76">
                  <c:v>42375</c:v>
                </c:pt>
                <c:pt idx="77">
                  <c:v>42376</c:v>
                </c:pt>
                <c:pt idx="78">
                  <c:v>42377</c:v>
                </c:pt>
                <c:pt idx="79">
                  <c:v>42380</c:v>
                </c:pt>
                <c:pt idx="80">
                  <c:v>42382</c:v>
                </c:pt>
                <c:pt idx="81">
                  <c:v>42384</c:v>
                </c:pt>
                <c:pt idx="82">
                  <c:v>42403</c:v>
                </c:pt>
                <c:pt idx="83">
                  <c:v>42408</c:v>
                </c:pt>
                <c:pt idx="84">
                  <c:v>42411</c:v>
                </c:pt>
                <c:pt idx="85">
                  <c:v>42412</c:v>
                </c:pt>
                <c:pt idx="86">
                  <c:v>42416</c:v>
                </c:pt>
                <c:pt idx="87">
                  <c:v>42417</c:v>
                </c:pt>
                <c:pt idx="88">
                  <c:v>42418</c:v>
                </c:pt>
                <c:pt idx="89">
                  <c:v>42419</c:v>
                </c:pt>
                <c:pt idx="90">
                  <c:v>42422</c:v>
                </c:pt>
                <c:pt idx="91">
                  <c:v>42432</c:v>
                </c:pt>
                <c:pt idx="92">
                  <c:v>42436</c:v>
                </c:pt>
                <c:pt idx="93">
                  <c:v>42439</c:v>
                </c:pt>
                <c:pt idx="94">
                  <c:v>42446</c:v>
                </c:pt>
                <c:pt idx="95">
                  <c:v>42446</c:v>
                </c:pt>
                <c:pt idx="96">
                  <c:v>42447</c:v>
                </c:pt>
                <c:pt idx="97">
                  <c:v>42451</c:v>
                </c:pt>
                <c:pt idx="98">
                  <c:v>42453</c:v>
                </c:pt>
                <c:pt idx="99">
                  <c:v>42453</c:v>
                </c:pt>
                <c:pt idx="100">
                  <c:v>42457</c:v>
                </c:pt>
                <c:pt idx="101">
                  <c:v>42457</c:v>
                </c:pt>
                <c:pt idx="102">
                  <c:v>42468</c:v>
                </c:pt>
                <c:pt idx="103">
                  <c:v>42474</c:v>
                </c:pt>
                <c:pt idx="104">
                  <c:v>42475</c:v>
                </c:pt>
                <c:pt idx="105">
                  <c:v>42482</c:v>
                </c:pt>
                <c:pt idx="106">
                  <c:v>42489</c:v>
                </c:pt>
                <c:pt idx="107">
                  <c:v>42502</c:v>
                </c:pt>
                <c:pt idx="108">
                  <c:v>42507</c:v>
                </c:pt>
                <c:pt idx="109">
                  <c:v>42508</c:v>
                </c:pt>
                <c:pt idx="110">
                  <c:v>42509</c:v>
                </c:pt>
                <c:pt idx="111">
                  <c:v>42515</c:v>
                </c:pt>
                <c:pt idx="112">
                  <c:v>42516</c:v>
                </c:pt>
                <c:pt idx="113">
                  <c:v>42523</c:v>
                </c:pt>
                <c:pt idx="114">
                  <c:v>42529</c:v>
                </c:pt>
                <c:pt idx="115">
                  <c:v>42529</c:v>
                </c:pt>
                <c:pt idx="116">
                  <c:v>42545</c:v>
                </c:pt>
                <c:pt idx="117">
                  <c:v>42552</c:v>
                </c:pt>
                <c:pt idx="118">
                  <c:v>42552</c:v>
                </c:pt>
                <c:pt idx="119">
                  <c:v>42556</c:v>
                </c:pt>
                <c:pt idx="120">
                  <c:v>42559</c:v>
                </c:pt>
                <c:pt idx="121">
                  <c:v>42587</c:v>
                </c:pt>
                <c:pt idx="122">
                  <c:v>42590</c:v>
                </c:pt>
                <c:pt idx="123">
                  <c:v>42599</c:v>
                </c:pt>
                <c:pt idx="124">
                  <c:v>42600</c:v>
                </c:pt>
                <c:pt idx="125">
                  <c:v>42606</c:v>
                </c:pt>
                <c:pt idx="126">
                  <c:v>42608</c:v>
                </c:pt>
                <c:pt idx="127">
                  <c:v>42612</c:v>
                </c:pt>
                <c:pt idx="128">
                  <c:v>42619</c:v>
                </c:pt>
                <c:pt idx="129">
                  <c:v>42625</c:v>
                </c:pt>
                <c:pt idx="130">
                  <c:v>42626</c:v>
                </c:pt>
                <c:pt idx="131">
                  <c:v>42627</c:v>
                </c:pt>
                <c:pt idx="132">
                  <c:v>42628</c:v>
                </c:pt>
                <c:pt idx="133">
                  <c:v>42633</c:v>
                </c:pt>
                <c:pt idx="134">
                  <c:v>42634</c:v>
                </c:pt>
                <c:pt idx="135">
                  <c:v>42636</c:v>
                </c:pt>
                <c:pt idx="136">
                  <c:v>42639</c:v>
                </c:pt>
                <c:pt idx="137">
                  <c:v>42643</c:v>
                </c:pt>
                <c:pt idx="138">
                  <c:v>42648</c:v>
                </c:pt>
                <c:pt idx="139">
                  <c:v>42664</c:v>
                </c:pt>
                <c:pt idx="140">
                  <c:v>42669</c:v>
                </c:pt>
                <c:pt idx="141">
                  <c:v>42670</c:v>
                </c:pt>
                <c:pt idx="142">
                  <c:v>42671</c:v>
                </c:pt>
                <c:pt idx="143">
                  <c:v>42675</c:v>
                </c:pt>
                <c:pt idx="144">
                  <c:v>42682</c:v>
                </c:pt>
                <c:pt idx="145">
                  <c:v>42684</c:v>
                </c:pt>
                <c:pt idx="146">
                  <c:v>42688</c:v>
                </c:pt>
                <c:pt idx="147">
                  <c:v>42688</c:v>
                </c:pt>
                <c:pt idx="148">
                  <c:v>42709</c:v>
                </c:pt>
                <c:pt idx="149">
                  <c:v>42709</c:v>
                </c:pt>
                <c:pt idx="150">
                  <c:v>42726</c:v>
                </c:pt>
                <c:pt idx="151">
                  <c:v>42760</c:v>
                </c:pt>
                <c:pt idx="152">
                  <c:v>42762</c:v>
                </c:pt>
                <c:pt idx="153">
                  <c:v>42766</c:v>
                </c:pt>
                <c:pt idx="154">
                  <c:v>42767</c:v>
                </c:pt>
                <c:pt idx="155">
                  <c:v>42767</c:v>
                </c:pt>
                <c:pt idx="156">
                  <c:v>42776</c:v>
                </c:pt>
                <c:pt idx="157">
                  <c:v>42783</c:v>
                </c:pt>
                <c:pt idx="158">
                  <c:v>42802</c:v>
                </c:pt>
                <c:pt idx="159">
                  <c:v>42809</c:v>
                </c:pt>
                <c:pt idx="160">
                  <c:v>42811</c:v>
                </c:pt>
                <c:pt idx="161">
                  <c:v>42814</c:v>
                </c:pt>
                <c:pt idx="162">
                  <c:v>42830</c:v>
                </c:pt>
                <c:pt idx="163">
                  <c:v>42836</c:v>
                </c:pt>
                <c:pt idx="164">
                  <c:v>42842</c:v>
                </c:pt>
                <c:pt idx="165">
                  <c:v>42842</c:v>
                </c:pt>
                <c:pt idx="166">
                  <c:v>42850</c:v>
                </c:pt>
                <c:pt idx="167">
                  <c:v>42853</c:v>
                </c:pt>
                <c:pt idx="168">
                  <c:v>42856</c:v>
                </c:pt>
                <c:pt idx="169">
                  <c:v>42857</c:v>
                </c:pt>
                <c:pt idx="170">
                  <c:v>42857</c:v>
                </c:pt>
                <c:pt idx="171">
                  <c:v>42857</c:v>
                </c:pt>
                <c:pt idx="172">
                  <c:v>42859</c:v>
                </c:pt>
                <c:pt idx="173">
                  <c:v>42860</c:v>
                </c:pt>
                <c:pt idx="174">
                  <c:v>42880</c:v>
                </c:pt>
                <c:pt idx="175">
                  <c:v>42895</c:v>
                </c:pt>
                <c:pt idx="176">
                  <c:v>42898</c:v>
                </c:pt>
                <c:pt idx="177">
                  <c:v>42905</c:v>
                </c:pt>
                <c:pt idx="178">
                  <c:v>42912</c:v>
                </c:pt>
                <c:pt idx="179">
                  <c:v>42914</c:v>
                </c:pt>
                <c:pt idx="180">
                  <c:v>42921</c:v>
                </c:pt>
                <c:pt idx="181">
                  <c:v>42922</c:v>
                </c:pt>
                <c:pt idx="182">
                  <c:v>42923</c:v>
                </c:pt>
                <c:pt idx="183">
                  <c:v>42928</c:v>
                </c:pt>
                <c:pt idx="184">
                  <c:v>42929</c:v>
                </c:pt>
                <c:pt idx="185">
                  <c:v>42942</c:v>
                </c:pt>
                <c:pt idx="186">
                  <c:v>42951</c:v>
                </c:pt>
                <c:pt idx="187">
                  <c:v>42965</c:v>
                </c:pt>
                <c:pt idx="188">
                  <c:v>42970</c:v>
                </c:pt>
                <c:pt idx="189">
                  <c:v>42971</c:v>
                </c:pt>
                <c:pt idx="190">
                  <c:v>42976</c:v>
                </c:pt>
                <c:pt idx="191">
                  <c:v>42990</c:v>
                </c:pt>
                <c:pt idx="192">
                  <c:v>42996</c:v>
                </c:pt>
                <c:pt idx="193">
                  <c:v>43000</c:v>
                </c:pt>
                <c:pt idx="194">
                  <c:v>43010</c:v>
                </c:pt>
                <c:pt idx="195">
                  <c:v>43019</c:v>
                </c:pt>
                <c:pt idx="196">
                  <c:v>43021</c:v>
                </c:pt>
                <c:pt idx="197">
                  <c:v>43028</c:v>
                </c:pt>
                <c:pt idx="198">
                  <c:v>43033</c:v>
                </c:pt>
                <c:pt idx="199">
                  <c:v>43033</c:v>
                </c:pt>
                <c:pt idx="200">
                  <c:v>43035</c:v>
                </c:pt>
                <c:pt idx="201">
                  <c:v>43038</c:v>
                </c:pt>
                <c:pt idx="202">
                  <c:v>43048</c:v>
                </c:pt>
                <c:pt idx="203">
                  <c:v>43048</c:v>
                </c:pt>
                <c:pt idx="204">
                  <c:v>43061</c:v>
                </c:pt>
                <c:pt idx="205">
                  <c:v>43063</c:v>
                </c:pt>
                <c:pt idx="206">
                  <c:v>43063</c:v>
                </c:pt>
                <c:pt idx="207">
                  <c:v>43075</c:v>
                </c:pt>
                <c:pt idx="208">
                  <c:v>43077</c:v>
                </c:pt>
                <c:pt idx="209">
                  <c:v>43083</c:v>
                </c:pt>
                <c:pt idx="210">
                  <c:v>43102</c:v>
                </c:pt>
                <c:pt idx="211">
                  <c:v>43109</c:v>
                </c:pt>
                <c:pt idx="212">
                  <c:v>43111</c:v>
                </c:pt>
                <c:pt idx="213">
                  <c:v>43112</c:v>
                </c:pt>
                <c:pt idx="214">
                  <c:v>43122</c:v>
                </c:pt>
                <c:pt idx="215">
                  <c:v>43125</c:v>
                </c:pt>
                <c:pt idx="216">
                  <c:v>43126</c:v>
                </c:pt>
                <c:pt idx="217">
                  <c:v>43126</c:v>
                </c:pt>
                <c:pt idx="218">
                  <c:v>43129</c:v>
                </c:pt>
                <c:pt idx="219">
                  <c:v>43131</c:v>
                </c:pt>
                <c:pt idx="220">
                  <c:v>43136</c:v>
                </c:pt>
                <c:pt idx="221">
                  <c:v>43137</c:v>
                </c:pt>
                <c:pt idx="222">
                  <c:v>43138</c:v>
                </c:pt>
                <c:pt idx="223">
                  <c:v>43139</c:v>
                </c:pt>
                <c:pt idx="224">
                  <c:v>43140</c:v>
                </c:pt>
                <c:pt idx="225">
                  <c:v>43140</c:v>
                </c:pt>
                <c:pt idx="226">
                  <c:v>43146</c:v>
                </c:pt>
                <c:pt idx="227">
                  <c:v>43147</c:v>
                </c:pt>
                <c:pt idx="228">
                  <c:v>43171</c:v>
                </c:pt>
                <c:pt idx="229">
                  <c:v>43179</c:v>
                </c:pt>
                <c:pt idx="230">
                  <c:v>43181</c:v>
                </c:pt>
                <c:pt idx="231">
                  <c:v>43181</c:v>
                </c:pt>
                <c:pt idx="232">
                  <c:v>43186</c:v>
                </c:pt>
                <c:pt idx="233">
                  <c:v>43188</c:v>
                </c:pt>
                <c:pt idx="234">
                  <c:v>43192</c:v>
                </c:pt>
                <c:pt idx="235">
                  <c:v>43196</c:v>
                </c:pt>
                <c:pt idx="236">
                  <c:v>43199</c:v>
                </c:pt>
                <c:pt idx="237">
                  <c:v>43200</c:v>
                </c:pt>
                <c:pt idx="238">
                  <c:v>43202</c:v>
                </c:pt>
                <c:pt idx="239">
                  <c:v>43209</c:v>
                </c:pt>
                <c:pt idx="240">
                  <c:v>43209</c:v>
                </c:pt>
                <c:pt idx="241">
                  <c:v>43220</c:v>
                </c:pt>
                <c:pt idx="242">
                  <c:v>43235</c:v>
                </c:pt>
                <c:pt idx="243">
                  <c:v>43235</c:v>
                </c:pt>
                <c:pt idx="244">
                  <c:v>43237</c:v>
                </c:pt>
                <c:pt idx="245">
                  <c:v>43238</c:v>
                </c:pt>
                <c:pt idx="246">
                  <c:v>43238</c:v>
                </c:pt>
                <c:pt idx="247">
                  <c:v>43238</c:v>
                </c:pt>
                <c:pt idx="248">
                  <c:v>43250</c:v>
                </c:pt>
                <c:pt idx="249">
                  <c:v>43255</c:v>
                </c:pt>
                <c:pt idx="250">
                  <c:v>43262</c:v>
                </c:pt>
                <c:pt idx="251">
                  <c:v>43266</c:v>
                </c:pt>
                <c:pt idx="252">
                  <c:v>43271</c:v>
                </c:pt>
                <c:pt idx="253">
                  <c:v>43279</c:v>
                </c:pt>
                <c:pt idx="254">
                  <c:v>43286</c:v>
                </c:pt>
                <c:pt idx="255">
                  <c:v>43290</c:v>
                </c:pt>
                <c:pt idx="256">
                  <c:v>43291</c:v>
                </c:pt>
                <c:pt idx="257">
                  <c:v>43292</c:v>
                </c:pt>
                <c:pt idx="258">
                  <c:v>43301</c:v>
                </c:pt>
                <c:pt idx="259">
                  <c:v>43301</c:v>
                </c:pt>
                <c:pt idx="260">
                  <c:v>43304</c:v>
                </c:pt>
                <c:pt idx="261">
                  <c:v>43304</c:v>
                </c:pt>
                <c:pt idx="262">
                  <c:v>43306</c:v>
                </c:pt>
                <c:pt idx="263">
                  <c:v>43321</c:v>
                </c:pt>
                <c:pt idx="264">
                  <c:v>43322</c:v>
                </c:pt>
                <c:pt idx="265">
                  <c:v>43328</c:v>
                </c:pt>
                <c:pt idx="266">
                  <c:v>43342</c:v>
                </c:pt>
                <c:pt idx="267">
                  <c:v>43347</c:v>
                </c:pt>
                <c:pt idx="268">
                  <c:v>43350</c:v>
                </c:pt>
                <c:pt idx="269">
                  <c:v>43354</c:v>
                </c:pt>
                <c:pt idx="270">
                  <c:v>43355</c:v>
                </c:pt>
                <c:pt idx="271">
                  <c:v>43357</c:v>
                </c:pt>
                <c:pt idx="272">
                  <c:v>43360</c:v>
                </c:pt>
                <c:pt idx="273">
                  <c:v>43362</c:v>
                </c:pt>
                <c:pt idx="274">
                  <c:v>43371</c:v>
                </c:pt>
                <c:pt idx="275">
                  <c:v>43374</c:v>
                </c:pt>
                <c:pt idx="276">
                  <c:v>43374</c:v>
                </c:pt>
                <c:pt idx="277">
                  <c:v>43382</c:v>
                </c:pt>
                <c:pt idx="278">
                  <c:v>43384</c:v>
                </c:pt>
                <c:pt idx="279">
                  <c:v>43389</c:v>
                </c:pt>
                <c:pt idx="280">
                  <c:v>43390</c:v>
                </c:pt>
                <c:pt idx="281">
                  <c:v>43391</c:v>
                </c:pt>
                <c:pt idx="282">
                  <c:v>43391</c:v>
                </c:pt>
                <c:pt idx="283">
                  <c:v>43391</c:v>
                </c:pt>
                <c:pt idx="284">
                  <c:v>43398</c:v>
                </c:pt>
                <c:pt idx="285">
                  <c:v>43404</c:v>
                </c:pt>
                <c:pt idx="286">
                  <c:v>43405</c:v>
                </c:pt>
                <c:pt idx="287">
                  <c:v>43410</c:v>
                </c:pt>
                <c:pt idx="288">
                  <c:v>43412</c:v>
                </c:pt>
                <c:pt idx="289">
                  <c:v>43416</c:v>
                </c:pt>
                <c:pt idx="290">
                  <c:v>43424</c:v>
                </c:pt>
                <c:pt idx="291">
                  <c:v>43427</c:v>
                </c:pt>
                <c:pt idx="292">
                  <c:v>43438</c:v>
                </c:pt>
                <c:pt idx="293">
                  <c:v>43441</c:v>
                </c:pt>
                <c:pt idx="294">
                  <c:v>43445</c:v>
                </c:pt>
                <c:pt idx="295">
                  <c:v>43448</c:v>
                </c:pt>
                <c:pt idx="296">
                  <c:v>43455</c:v>
                </c:pt>
                <c:pt idx="297">
                  <c:v>43465</c:v>
                </c:pt>
                <c:pt idx="298">
                  <c:v>43468</c:v>
                </c:pt>
                <c:pt idx="299">
                  <c:v>43469</c:v>
                </c:pt>
                <c:pt idx="300">
                  <c:v>43474</c:v>
                </c:pt>
                <c:pt idx="301">
                  <c:v>43476</c:v>
                </c:pt>
                <c:pt idx="302">
                  <c:v>43483</c:v>
                </c:pt>
                <c:pt idx="303">
                  <c:v>43483</c:v>
                </c:pt>
                <c:pt idx="304">
                  <c:v>43493</c:v>
                </c:pt>
                <c:pt idx="305">
                  <c:v>43502</c:v>
                </c:pt>
                <c:pt idx="306">
                  <c:v>43502</c:v>
                </c:pt>
                <c:pt idx="307">
                  <c:v>43503</c:v>
                </c:pt>
                <c:pt idx="308">
                  <c:v>43504</c:v>
                </c:pt>
                <c:pt idx="309">
                  <c:v>43504</c:v>
                </c:pt>
                <c:pt idx="310">
                  <c:v>43509</c:v>
                </c:pt>
                <c:pt idx="311">
                  <c:v>43509</c:v>
                </c:pt>
                <c:pt idx="312">
                  <c:v>43515</c:v>
                </c:pt>
                <c:pt idx="313">
                  <c:v>43518</c:v>
                </c:pt>
                <c:pt idx="314">
                  <c:v>43524</c:v>
                </c:pt>
                <c:pt idx="315">
                  <c:v>43531</c:v>
                </c:pt>
                <c:pt idx="316">
                  <c:v>43538</c:v>
                </c:pt>
                <c:pt idx="317">
                  <c:v>43542</c:v>
                </c:pt>
                <c:pt idx="318">
                  <c:v>43543</c:v>
                </c:pt>
                <c:pt idx="319">
                  <c:v>43551</c:v>
                </c:pt>
                <c:pt idx="320">
                  <c:v>43558</c:v>
                </c:pt>
                <c:pt idx="321">
                  <c:v>43559</c:v>
                </c:pt>
                <c:pt idx="322">
                  <c:v>43563</c:v>
                </c:pt>
                <c:pt idx="323">
                  <c:v>43566</c:v>
                </c:pt>
                <c:pt idx="324">
                  <c:v>43573</c:v>
                </c:pt>
                <c:pt idx="325">
                  <c:v>43579</c:v>
                </c:pt>
                <c:pt idx="326">
                  <c:v>43579</c:v>
                </c:pt>
                <c:pt idx="327">
                  <c:v>43580</c:v>
                </c:pt>
                <c:pt idx="328">
                  <c:v>43580</c:v>
                </c:pt>
                <c:pt idx="329">
                  <c:v>43581</c:v>
                </c:pt>
                <c:pt idx="330">
                  <c:v>43587</c:v>
                </c:pt>
                <c:pt idx="331">
                  <c:v>43599</c:v>
                </c:pt>
                <c:pt idx="332">
                  <c:v>43602</c:v>
                </c:pt>
                <c:pt idx="333">
                  <c:v>43608</c:v>
                </c:pt>
                <c:pt idx="334">
                  <c:v>43615</c:v>
                </c:pt>
                <c:pt idx="335">
                  <c:v>43622</c:v>
                </c:pt>
                <c:pt idx="336">
                  <c:v>43630</c:v>
                </c:pt>
                <c:pt idx="337">
                  <c:v>43633</c:v>
                </c:pt>
                <c:pt idx="338">
                  <c:v>43637</c:v>
                </c:pt>
                <c:pt idx="339">
                  <c:v>43642</c:v>
                </c:pt>
                <c:pt idx="340">
                  <c:v>43647</c:v>
                </c:pt>
                <c:pt idx="341">
                  <c:v>43656</c:v>
                </c:pt>
                <c:pt idx="342">
                  <c:v>43657</c:v>
                </c:pt>
                <c:pt idx="343">
                  <c:v>43658</c:v>
                </c:pt>
                <c:pt idx="344">
                  <c:v>43683</c:v>
                </c:pt>
                <c:pt idx="345">
                  <c:v>43683</c:v>
                </c:pt>
                <c:pt idx="346">
                  <c:v>43683</c:v>
                </c:pt>
                <c:pt idx="347">
                  <c:v>43684</c:v>
                </c:pt>
                <c:pt idx="348">
                  <c:v>43690</c:v>
                </c:pt>
                <c:pt idx="349">
                  <c:v>43691</c:v>
                </c:pt>
                <c:pt idx="350">
                  <c:v>43692</c:v>
                </c:pt>
                <c:pt idx="351">
                  <c:v>43699</c:v>
                </c:pt>
                <c:pt idx="352">
                  <c:v>43704</c:v>
                </c:pt>
                <c:pt idx="353">
                  <c:v>43704</c:v>
                </c:pt>
                <c:pt idx="354">
                  <c:v>43707</c:v>
                </c:pt>
                <c:pt idx="355">
                  <c:v>43707</c:v>
                </c:pt>
                <c:pt idx="356">
                  <c:v>43712</c:v>
                </c:pt>
                <c:pt idx="357">
                  <c:v>43714</c:v>
                </c:pt>
                <c:pt idx="358">
                  <c:v>43717</c:v>
                </c:pt>
                <c:pt idx="359">
                  <c:v>43719</c:v>
                </c:pt>
                <c:pt idx="360">
                  <c:v>43724</c:v>
                </c:pt>
                <c:pt idx="361">
                  <c:v>43727</c:v>
                </c:pt>
                <c:pt idx="362">
                  <c:v>43739</c:v>
                </c:pt>
                <c:pt idx="363">
                  <c:v>43739</c:v>
                </c:pt>
                <c:pt idx="364">
                  <c:v>43746</c:v>
                </c:pt>
                <c:pt idx="365">
                  <c:v>43753</c:v>
                </c:pt>
                <c:pt idx="366">
                  <c:v>43759</c:v>
                </c:pt>
                <c:pt idx="367">
                  <c:v>43760</c:v>
                </c:pt>
                <c:pt idx="368">
                  <c:v>43768</c:v>
                </c:pt>
                <c:pt idx="369">
                  <c:v>43773</c:v>
                </c:pt>
                <c:pt idx="370">
                  <c:v>43773</c:v>
                </c:pt>
                <c:pt idx="371">
                  <c:v>43775</c:v>
                </c:pt>
                <c:pt idx="372">
                  <c:v>43777</c:v>
                </c:pt>
                <c:pt idx="373">
                  <c:v>43794</c:v>
                </c:pt>
                <c:pt idx="374">
                  <c:v>43804</c:v>
                </c:pt>
                <c:pt idx="375">
                  <c:v>43805</c:v>
                </c:pt>
                <c:pt idx="376">
                  <c:v>43816</c:v>
                </c:pt>
                <c:pt idx="377">
                  <c:v>43819</c:v>
                </c:pt>
                <c:pt idx="378">
                  <c:v>43822</c:v>
                </c:pt>
                <c:pt idx="379">
                  <c:v>43823</c:v>
                </c:pt>
                <c:pt idx="380">
                  <c:v>43830</c:v>
                </c:pt>
                <c:pt idx="381">
                  <c:v>43847</c:v>
                </c:pt>
                <c:pt idx="382">
                  <c:v>43857</c:v>
                </c:pt>
                <c:pt idx="383">
                  <c:v>43857</c:v>
                </c:pt>
                <c:pt idx="384">
                  <c:v>43860</c:v>
                </c:pt>
                <c:pt idx="385">
                  <c:v>43868</c:v>
                </c:pt>
                <c:pt idx="386">
                  <c:v>43875</c:v>
                </c:pt>
                <c:pt idx="387">
                  <c:v>43881</c:v>
                </c:pt>
                <c:pt idx="388">
                  <c:v>43886</c:v>
                </c:pt>
                <c:pt idx="389">
                  <c:v>43887</c:v>
                </c:pt>
                <c:pt idx="390">
                  <c:v>43893</c:v>
                </c:pt>
                <c:pt idx="391">
                  <c:v>43896</c:v>
                </c:pt>
                <c:pt idx="392">
                  <c:v>43901</c:v>
                </c:pt>
                <c:pt idx="393">
                  <c:v>43903</c:v>
                </c:pt>
                <c:pt idx="394">
                  <c:v>43910</c:v>
                </c:pt>
                <c:pt idx="395">
                  <c:v>43914</c:v>
                </c:pt>
                <c:pt idx="396">
                  <c:v>43917</c:v>
                </c:pt>
                <c:pt idx="397">
                  <c:v>43920</c:v>
                </c:pt>
                <c:pt idx="398">
                  <c:v>43920</c:v>
                </c:pt>
                <c:pt idx="399">
                  <c:v>43928</c:v>
                </c:pt>
                <c:pt idx="400">
                  <c:v>43929</c:v>
                </c:pt>
                <c:pt idx="401">
                  <c:v>43935</c:v>
                </c:pt>
                <c:pt idx="402">
                  <c:v>43944</c:v>
                </c:pt>
                <c:pt idx="403">
                  <c:v>43949</c:v>
                </c:pt>
                <c:pt idx="404">
                  <c:v>43949</c:v>
                </c:pt>
                <c:pt idx="405">
                  <c:v>43951</c:v>
                </c:pt>
                <c:pt idx="406">
                  <c:v>43951</c:v>
                </c:pt>
                <c:pt idx="407">
                  <c:v>43963</c:v>
                </c:pt>
                <c:pt idx="408">
                  <c:v>43964</c:v>
                </c:pt>
                <c:pt idx="409">
                  <c:v>43970</c:v>
                </c:pt>
              </c:numCache>
            </c:numRef>
          </c:cat>
          <c:val>
            <c:numRef>
              <c:f>Сделки!$H$2:$H$411</c:f>
              <c:numCache>
                <c:formatCode>General</c:formatCode>
                <c:ptCount val="410"/>
                <c:pt idx="0">
                  <c:v>-5050.8</c:v>
                </c:pt>
                <c:pt idx="1">
                  <c:v>874.8</c:v>
                </c:pt>
                <c:pt idx="2">
                  <c:v>6868.8</c:v>
                </c:pt>
                <c:pt idx="3">
                  <c:v>-1012.2</c:v>
                </c:pt>
                <c:pt idx="4">
                  <c:v>-5015.5</c:v>
                </c:pt>
                <c:pt idx="5">
                  <c:v>-2149.5</c:v>
                </c:pt>
                <c:pt idx="6">
                  <c:v>1870.7</c:v>
                </c:pt>
                <c:pt idx="7">
                  <c:v>5086.4000000000005</c:v>
                </c:pt>
                <c:pt idx="8">
                  <c:v>7222.6</c:v>
                </c:pt>
                <c:pt idx="9">
                  <c:v>-3793.4</c:v>
                </c:pt>
                <c:pt idx="10">
                  <c:v>5152</c:v>
                </c:pt>
                <c:pt idx="11">
                  <c:v>2138.5</c:v>
                </c:pt>
                <c:pt idx="12">
                  <c:v>-3294</c:v>
                </c:pt>
                <c:pt idx="13">
                  <c:v>4487.4000000000005</c:v>
                </c:pt>
                <c:pt idx="14">
                  <c:v>1357.6</c:v>
                </c:pt>
                <c:pt idx="15">
                  <c:v>-5630.4</c:v>
                </c:pt>
                <c:pt idx="16">
                  <c:v>3209.1</c:v>
                </c:pt>
                <c:pt idx="17">
                  <c:v>-4999.5999999999995</c:v>
                </c:pt>
                <c:pt idx="18">
                  <c:v>-7585.5999999999995</c:v>
                </c:pt>
                <c:pt idx="19">
                  <c:v>-180.7</c:v>
                </c:pt>
                <c:pt idx="20">
                  <c:v>-1060.8</c:v>
                </c:pt>
                <c:pt idx="21">
                  <c:v>-707.6</c:v>
                </c:pt>
                <c:pt idx="22">
                  <c:v>5162</c:v>
                </c:pt>
                <c:pt idx="23">
                  <c:v>7445.6</c:v>
                </c:pt>
                <c:pt idx="24">
                  <c:v>8337.7999999999993</c:v>
                </c:pt>
                <c:pt idx="25">
                  <c:v>5709</c:v>
                </c:pt>
                <c:pt idx="26">
                  <c:v>1033.8</c:v>
                </c:pt>
                <c:pt idx="27">
                  <c:v>3044.7</c:v>
                </c:pt>
                <c:pt idx="28">
                  <c:v>2677.5</c:v>
                </c:pt>
                <c:pt idx="29">
                  <c:v>-3056.6</c:v>
                </c:pt>
                <c:pt idx="30">
                  <c:v>2878.3999999999996</c:v>
                </c:pt>
                <c:pt idx="31">
                  <c:v>1978.8999999999999</c:v>
                </c:pt>
                <c:pt idx="32">
                  <c:v>1827</c:v>
                </c:pt>
                <c:pt idx="33">
                  <c:v>-3887.1000000000004</c:v>
                </c:pt>
                <c:pt idx="34">
                  <c:v>-364.6</c:v>
                </c:pt>
                <c:pt idx="35">
                  <c:v>-1276.1000000000001</c:v>
                </c:pt>
                <c:pt idx="36">
                  <c:v>-4043.3999999999996</c:v>
                </c:pt>
                <c:pt idx="37">
                  <c:v>-4144.5999999999995</c:v>
                </c:pt>
                <c:pt idx="38">
                  <c:v>-3767.4</c:v>
                </c:pt>
                <c:pt idx="39">
                  <c:v>-4568.2</c:v>
                </c:pt>
                <c:pt idx="40">
                  <c:v>-8248.5</c:v>
                </c:pt>
                <c:pt idx="41">
                  <c:v>7195.5</c:v>
                </c:pt>
                <c:pt idx="42">
                  <c:v>2846.3999999999996</c:v>
                </c:pt>
                <c:pt idx="43">
                  <c:v>-3576</c:v>
                </c:pt>
                <c:pt idx="44">
                  <c:v>5150.4000000000005</c:v>
                </c:pt>
                <c:pt idx="45">
                  <c:v>-2256.7999999999997</c:v>
                </c:pt>
                <c:pt idx="46">
                  <c:v>1907.4</c:v>
                </c:pt>
                <c:pt idx="47">
                  <c:v>-6665.1</c:v>
                </c:pt>
                <c:pt idx="48">
                  <c:v>4064.1000000000004</c:v>
                </c:pt>
                <c:pt idx="49">
                  <c:v>-8481.6</c:v>
                </c:pt>
                <c:pt idx="50">
                  <c:v>5922.8</c:v>
                </c:pt>
                <c:pt idx="51">
                  <c:v>3812.5999999999995</c:v>
                </c:pt>
                <c:pt idx="52">
                  <c:v>-3687.6</c:v>
                </c:pt>
                <c:pt idx="53">
                  <c:v>5735.8</c:v>
                </c:pt>
                <c:pt idx="54">
                  <c:v>4578</c:v>
                </c:pt>
                <c:pt idx="55">
                  <c:v>-4622.8</c:v>
                </c:pt>
                <c:pt idx="56">
                  <c:v>-7632.7999999999993</c:v>
                </c:pt>
                <c:pt idx="57">
                  <c:v>1164.0999999999999</c:v>
                </c:pt>
                <c:pt idx="58">
                  <c:v>7026.6</c:v>
                </c:pt>
                <c:pt idx="59">
                  <c:v>-516</c:v>
                </c:pt>
                <c:pt idx="60">
                  <c:v>2133.3000000000002</c:v>
                </c:pt>
                <c:pt idx="61">
                  <c:v>6486.6</c:v>
                </c:pt>
                <c:pt idx="62">
                  <c:v>-3415.9999999999995</c:v>
                </c:pt>
                <c:pt idx="63">
                  <c:v>8251.2000000000007</c:v>
                </c:pt>
                <c:pt idx="64">
                  <c:v>7060.6</c:v>
                </c:pt>
                <c:pt idx="65">
                  <c:v>1670</c:v>
                </c:pt>
                <c:pt idx="66">
                  <c:v>-7355.4</c:v>
                </c:pt>
                <c:pt idx="67">
                  <c:v>-6219.5</c:v>
                </c:pt>
                <c:pt idx="68">
                  <c:v>-1066.2</c:v>
                </c:pt>
                <c:pt idx="69">
                  <c:v>1448</c:v>
                </c:pt>
                <c:pt idx="70">
                  <c:v>7037.5999999999995</c:v>
                </c:pt>
                <c:pt idx="71">
                  <c:v>3148.4</c:v>
                </c:pt>
                <c:pt idx="72">
                  <c:v>-3528.3</c:v>
                </c:pt>
                <c:pt idx="73">
                  <c:v>9099.2999999999993</c:v>
                </c:pt>
                <c:pt idx="74">
                  <c:v>-2996.8</c:v>
                </c:pt>
                <c:pt idx="75">
                  <c:v>-7675.2</c:v>
                </c:pt>
                <c:pt idx="76">
                  <c:v>-8460</c:v>
                </c:pt>
                <c:pt idx="77">
                  <c:v>6879.6</c:v>
                </c:pt>
                <c:pt idx="78">
                  <c:v>-6623.4</c:v>
                </c:pt>
                <c:pt idx="79">
                  <c:v>2912.1</c:v>
                </c:pt>
                <c:pt idx="80">
                  <c:v>7722</c:v>
                </c:pt>
                <c:pt idx="81">
                  <c:v>-2859.2000000000003</c:v>
                </c:pt>
                <c:pt idx="82">
                  <c:v>-5850.9000000000005</c:v>
                </c:pt>
                <c:pt idx="83">
                  <c:v>803.5</c:v>
                </c:pt>
                <c:pt idx="84">
                  <c:v>-5802.9999999999991</c:v>
                </c:pt>
                <c:pt idx="85">
                  <c:v>-5324.8</c:v>
                </c:pt>
                <c:pt idx="86">
                  <c:v>8236.7999999999993</c:v>
                </c:pt>
                <c:pt idx="87">
                  <c:v>-351.4</c:v>
                </c:pt>
                <c:pt idx="88">
                  <c:v>-1893.1000000000001</c:v>
                </c:pt>
                <c:pt idx="89">
                  <c:v>-1544.4</c:v>
                </c:pt>
                <c:pt idx="90">
                  <c:v>-2934.2000000000003</c:v>
                </c:pt>
                <c:pt idx="91">
                  <c:v>-2959.7</c:v>
                </c:pt>
                <c:pt idx="92">
                  <c:v>5025.7</c:v>
                </c:pt>
                <c:pt idx="93">
                  <c:v>1922.8</c:v>
                </c:pt>
                <c:pt idx="94">
                  <c:v>-4123.8999999999996</c:v>
                </c:pt>
                <c:pt idx="95">
                  <c:v>-1972.3</c:v>
                </c:pt>
                <c:pt idx="96">
                  <c:v>181.20000000000002</c:v>
                </c:pt>
                <c:pt idx="97">
                  <c:v>-8047.5999999999995</c:v>
                </c:pt>
                <c:pt idx="98">
                  <c:v>-1075.8</c:v>
                </c:pt>
                <c:pt idx="99">
                  <c:v>1075.8</c:v>
                </c:pt>
                <c:pt idx="100">
                  <c:v>-2706</c:v>
                </c:pt>
                <c:pt idx="101">
                  <c:v>-7576.7999999999993</c:v>
                </c:pt>
                <c:pt idx="102">
                  <c:v>965.49999999999989</c:v>
                </c:pt>
                <c:pt idx="103">
                  <c:v>-3714.5</c:v>
                </c:pt>
                <c:pt idx="104">
                  <c:v>2335.2000000000003</c:v>
                </c:pt>
                <c:pt idx="105">
                  <c:v>1185.6000000000001</c:v>
                </c:pt>
                <c:pt idx="106">
                  <c:v>1096</c:v>
                </c:pt>
                <c:pt idx="107">
                  <c:v>3087</c:v>
                </c:pt>
                <c:pt idx="108">
                  <c:v>-8254.6999999999989</c:v>
                </c:pt>
                <c:pt idx="109">
                  <c:v>891.59999999999991</c:v>
                </c:pt>
                <c:pt idx="110">
                  <c:v>5099.1000000000004</c:v>
                </c:pt>
                <c:pt idx="111">
                  <c:v>-8732.1</c:v>
                </c:pt>
                <c:pt idx="112">
                  <c:v>2481.6</c:v>
                </c:pt>
                <c:pt idx="113">
                  <c:v>-4138.2</c:v>
                </c:pt>
                <c:pt idx="114">
                  <c:v>-10944</c:v>
                </c:pt>
                <c:pt idx="115">
                  <c:v>-7524</c:v>
                </c:pt>
                <c:pt idx="116">
                  <c:v>-3131.8</c:v>
                </c:pt>
                <c:pt idx="117">
                  <c:v>-11470.9</c:v>
                </c:pt>
                <c:pt idx="118">
                  <c:v>-10768.6</c:v>
                </c:pt>
                <c:pt idx="119">
                  <c:v>10718</c:v>
                </c:pt>
                <c:pt idx="120">
                  <c:v>3107</c:v>
                </c:pt>
                <c:pt idx="121">
                  <c:v>-2172.6</c:v>
                </c:pt>
                <c:pt idx="122">
                  <c:v>-4298.3999999999996</c:v>
                </c:pt>
                <c:pt idx="123">
                  <c:v>-1434</c:v>
                </c:pt>
                <c:pt idx="124">
                  <c:v>5510.8</c:v>
                </c:pt>
                <c:pt idx="125">
                  <c:v>-9452</c:v>
                </c:pt>
                <c:pt idx="126">
                  <c:v>11985</c:v>
                </c:pt>
                <c:pt idx="127">
                  <c:v>-3147.3</c:v>
                </c:pt>
                <c:pt idx="128">
                  <c:v>1703.1</c:v>
                </c:pt>
                <c:pt idx="129">
                  <c:v>-6887.5</c:v>
                </c:pt>
                <c:pt idx="130">
                  <c:v>-11397.400000000001</c:v>
                </c:pt>
                <c:pt idx="131">
                  <c:v>11555</c:v>
                </c:pt>
                <c:pt idx="132">
                  <c:v>-1653.4</c:v>
                </c:pt>
                <c:pt idx="133">
                  <c:v>-8158.5</c:v>
                </c:pt>
                <c:pt idx="134">
                  <c:v>-11390.4</c:v>
                </c:pt>
                <c:pt idx="135">
                  <c:v>9009.8000000000011</c:v>
                </c:pt>
                <c:pt idx="136">
                  <c:v>-10441.200000000001</c:v>
                </c:pt>
                <c:pt idx="137">
                  <c:v>7854</c:v>
                </c:pt>
                <c:pt idx="138">
                  <c:v>-7966.2</c:v>
                </c:pt>
                <c:pt idx="139">
                  <c:v>-2282</c:v>
                </c:pt>
                <c:pt idx="140">
                  <c:v>2871.7</c:v>
                </c:pt>
                <c:pt idx="141">
                  <c:v>6876.7999999999993</c:v>
                </c:pt>
                <c:pt idx="142">
                  <c:v>-3755.3</c:v>
                </c:pt>
                <c:pt idx="143">
                  <c:v>-9769.5</c:v>
                </c:pt>
                <c:pt idx="144">
                  <c:v>6230</c:v>
                </c:pt>
                <c:pt idx="145">
                  <c:v>4594.8</c:v>
                </c:pt>
                <c:pt idx="146">
                  <c:v>-7276.5</c:v>
                </c:pt>
                <c:pt idx="147">
                  <c:v>-2286.9</c:v>
                </c:pt>
                <c:pt idx="148">
                  <c:v>-2071</c:v>
                </c:pt>
                <c:pt idx="149">
                  <c:v>-8698.2000000000007</c:v>
                </c:pt>
                <c:pt idx="150">
                  <c:v>4115.3999999999996</c:v>
                </c:pt>
                <c:pt idx="151">
                  <c:v>-11554.199999999999</c:v>
                </c:pt>
                <c:pt idx="152">
                  <c:v>8354.5</c:v>
                </c:pt>
                <c:pt idx="153">
                  <c:v>9383.4</c:v>
                </c:pt>
                <c:pt idx="154">
                  <c:v>-1198</c:v>
                </c:pt>
                <c:pt idx="155">
                  <c:v>5990</c:v>
                </c:pt>
                <c:pt idx="156">
                  <c:v>6048</c:v>
                </c:pt>
                <c:pt idx="157">
                  <c:v>-9394.3000000000011</c:v>
                </c:pt>
                <c:pt idx="158">
                  <c:v>-8582</c:v>
                </c:pt>
                <c:pt idx="159">
                  <c:v>-4930</c:v>
                </c:pt>
                <c:pt idx="160">
                  <c:v>-5618.9</c:v>
                </c:pt>
                <c:pt idx="161">
                  <c:v>9512.1</c:v>
                </c:pt>
                <c:pt idx="162">
                  <c:v>-10500.6</c:v>
                </c:pt>
                <c:pt idx="163">
                  <c:v>7616.7</c:v>
                </c:pt>
                <c:pt idx="164">
                  <c:v>-8863.2000000000007</c:v>
                </c:pt>
                <c:pt idx="165">
                  <c:v>6155</c:v>
                </c:pt>
                <c:pt idx="166">
                  <c:v>-11325.599999999999</c:v>
                </c:pt>
                <c:pt idx="167">
                  <c:v>-4484.5999999999995</c:v>
                </c:pt>
                <c:pt idx="168">
                  <c:v>3432</c:v>
                </c:pt>
                <c:pt idx="169">
                  <c:v>-7179.3</c:v>
                </c:pt>
                <c:pt idx="170">
                  <c:v>-9838.2999999999993</c:v>
                </c:pt>
                <c:pt idx="171">
                  <c:v>-2659</c:v>
                </c:pt>
                <c:pt idx="172">
                  <c:v>4743</c:v>
                </c:pt>
                <c:pt idx="173">
                  <c:v>10869.1</c:v>
                </c:pt>
                <c:pt idx="174">
                  <c:v>2180.8000000000002</c:v>
                </c:pt>
                <c:pt idx="175">
                  <c:v>10293.4</c:v>
                </c:pt>
                <c:pt idx="176">
                  <c:v>13597.5</c:v>
                </c:pt>
                <c:pt idx="177">
                  <c:v>-12995</c:v>
                </c:pt>
                <c:pt idx="178">
                  <c:v>2217.6</c:v>
                </c:pt>
                <c:pt idx="179">
                  <c:v>5624</c:v>
                </c:pt>
                <c:pt idx="180">
                  <c:v>2210.4</c:v>
                </c:pt>
                <c:pt idx="181">
                  <c:v>10650.9</c:v>
                </c:pt>
                <c:pt idx="182">
                  <c:v>10484.200000000001</c:v>
                </c:pt>
                <c:pt idx="183">
                  <c:v>-3338.4</c:v>
                </c:pt>
                <c:pt idx="184">
                  <c:v>-5242.1000000000004</c:v>
                </c:pt>
                <c:pt idx="185">
                  <c:v>-548.40000000000009</c:v>
                </c:pt>
                <c:pt idx="186">
                  <c:v>5902.5999999999995</c:v>
                </c:pt>
                <c:pt idx="187">
                  <c:v>9411.5</c:v>
                </c:pt>
                <c:pt idx="188">
                  <c:v>805.2</c:v>
                </c:pt>
                <c:pt idx="189">
                  <c:v>-9615.6</c:v>
                </c:pt>
                <c:pt idx="190">
                  <c:v>7844.5</c:v>
                </c:pt>
                <c:pt idx="191">
                  <c:v>-3481.2000000000003</c:v>
                </c:pt>
                <c:pt idx="192">
                  <c:v>-10726.3</c:v>
                </c:pt>
                <c:pt idx="193">
                  <c:v>7789.5</c:v>
                </c:pt>
                <c:pt idx="194">
                  <c:v>-884.09999999999991</c:v>
                </c:pt>
                <c:pt idx="195">
                  <c:v>3219.7</c:v>
                </c:pt>
                <c:pt idx="196">
                  <c:v>-1177.6000000000001</c:v>
                </c:pt>
                <c:pt idx="197">
                  <c:v>5938</c:v>
                </c:pt>
                <c:pt idx="198">
                  <c:v>6218.0999999999995</c:v>
                </c:pt>
                <c:pt idx="199">
                  <c:v>-2368.8000000000002</c:v>
                </c:pt>
                <c:pt idx="200">
                  <c:v>10830</c:v>
                </c:pt>
                <c:pt idx="201">
                  <c:v>563.20000000000005</c:v>
                </c:pt>
                <c:pt idx="202">
                  <c:v>10578.3</c:v>
                </c:pt>
                <c:pt idx="203">
                  <c:v>-285.89999999999998</c:v>
                </c:pt>
                <c:pt idx="204">
                  <c:v>-5978.7</c:v>
                </c:pt>
                <c:pt idx="205">
                  <c:v>6018.6</c:v>
                </c:pt>
                <c:pt idx="206">
                  <c:v>-2292.8000000000002</c:v>
                </c:pt>
                <c:pt idx="207">
                  <c:v>-8834</c:v>
                </c:pt>
                <c:pt idx="208">
                  <c:v>-2061.6</c:v>
                </c:pt>
                <c:pt idx="209">
                  <c:v>-6148.8</c:v>
                </c:pt>
                <c:pt idx="210">
                  <c:v>-2275.2000000000003</c:v>
                </c:pt>
                <c:pt idx="211">
                  <c:v>-2796</c:v>
                </c:pt>
                <c:pt idx="212">
                  <c:v>-822.9</c:v>
                </c:pt>
                <c:pt idx="213">
                  <c:v>-3295.2000000000003</c:v>
                </c:pt>
                <c:pt idx="214">
                  <c:v>-9144.3000000000011</c:v>
                </c:pt>
                <c:pt idx="215">
                  <c:v>-12717</c:v>
                </c:pt>
                <c:pt idx="216">
                  <c:v>-10515.400000000001</c:v>
                </c:pt>
                <c:pt idx="217">
                  <c:v>7957.6</c:v>
                </c:pt>
                <c:pt idx="218">
                  <c:v>2833</c:v>
                </c:pt>
                <c:pt idx="219">
                  <c:v>9226.8000000000011</c:v>
                </c:pt>
                <c:pt idx="220">
                  <c:v>11088</c:v>
                </c:pt>
                <c:pt idx="221">
                  <c:v>6947.2</c:v>
                </c:pt>
                <c:pt idx="222">
                  <c:v>5790.4</c:v>
                </c:pt>
                <c:pt idx="223">
                  <c:v>7308</c:v>
                </c:pt>
                <c:pt idx="224">
                  <c:v>-11923.2</c:v>
                </c:pt>
                <c:pt idx="225">
                  <c:v>-4924.8</c:v>
                </c:pt>
                <c:pt idx="226">
                  <c:v>4334.3999999999996</c:v>
                </c:pt>
                <c:pt idx="227">
                  <c:v>-3808</c:v>
                </c:pt>
                <c:pt idx="228">
                  <c:v>-5137.2</c:v>
                </c:pt>
                <c:pt idx="229">
                  <c:v>-11621.400000000001</c:v>
                </c:pt>
                <c:pt idx="230">
                  <c:v>11314.800000000001</c:v>
                </c:pt>
                <c:pt idx="231">
                  <c:v>-9967.8000000000011</c:v>
                </c:pt>
                <c:pt idx="232">
                  <c:v>-1081.2</c:v>
                </c:pt>
                <c:pt idx="233">
                  <c:v>13386.8</c:v>
                </c:pt>
                <c:pt idx="234">
                  <c:v>-1342</c:v>
                </c:pt>
                <c:pt idx="235">
                  <c:v>-5196.5</c:v>
                </c:pt>
                <c:pt idx="236">
                  <c:v>9628.5</c:v>
                </c:pt>
                <c:pt idx="237">
                  <c:v>7533</c:v>
                </c:pt>
                <c:pt idx="238">
                  <c:v>-5081.3999999999996</c:v>
                </c:pt>
                <c:pt idx="239">
                  <c:v>1733.4</c:v>
                </c:pt>
                <c:pt idx="240">
                  <c:v>-3755.7000000000003</c:v>
                </c:pt>
                <c:pt idx="241">
                  <c:v>14072.8</c:v>
                </c:pt>
                <c:pt idx="242">
                  <c:v>-7701.2</c:v>
                </c:pt>
                <c:pt idx="243">
                  <c:v>-2962</c:v>
                </c:pt>
                <c:pt idx="244">
                  <c:v>7276.8</c:v>
                </c:pt>
                <c:pt idx="245">
                  <c:v>6394.5</c:v>
                </c:pt>
                <c:pt idx="246">
                  <c:v>8526</c:v>
                </c:pt>
                <c:pt idx="247">
                  <c:v>3654</c:v>
                </c:pt>
                <c:pt idx="248">
                  <c:v>13424.400000000001</c:v>
                </c:pt>
                <c:pt idx="249">
                  <c:v>-11628</c:v>
                </c:pt>
                <c:pt idx="250">
                  <c:v>343.2</c:v>
                </c:pt>
                <c:pt idx="251">
                  <c:v>10876.800000000001</c:v>
                </c:pt>
                <c:pt idx="252">
                  <c:v>-8702.0999999999985</c:v>
                </c:pt>
                <c:pt idx="253">
                  <c:v>-1950</c:v>
                </c:pt>
                <c:pt idx="254">
                  <c:v>9966</c:v>
                </c:pt>
                <c:pt idx="255">
                  <c:v>-5068.5</c:v>
                </c:pt>
                <c:pt idx="256">
                  <c:v>-6712</c:v>
                </c:pt>
                <c:pt idx="257">
                  <c:v>6334.6</c:v>
                </c:pt>
                <c:pt idx="258">
                  <c:v>-11481.800000000001</c:v>
                </c:pt>
                <c:pt idx="259">
                  <c:v>-6078.6</c:v>
                </c:pt>
                <c:pt idx="260">
                  <c:v>-4045.2000000000003</c:v>
                </c:pt>
                <c:pt idx="261">
                  <c:v>-9101.7000000000007</c:v>
                </c:pt>
                <c:pt idx="262">
                  <c:v>-1716</c:v>
                </c:pt>
                <c:pt idx="263">
                  <c:v>13201.5</c:v>
                </c:pt>
                <c:pt idx="264">
                  <c:v>14761.999999999998</c:v>
                </c:pt>
                <c:pt idx="265">
                  <c:v>-16459.2</c:v>
                </c:pt>
                <c:pt idx="266">
                  <c:v>-3540</c:v>
                </c:pt>
                <c:pt idx="267">
                  <c:v>721</c:v>
                </c:pt>
                <c:pt idx="268">
                  <c:v>5019</c:v>
                </c:pt>
                <c:pt idx="269">
                  <c:v>17708.599999999999</c:v>
                </c:pt>
                <c:pt idx="270">
                  <c:v>12754</c:v>
                </c:pt>
                <c:pt idx="271">
                  <c:v>11217</c:v>
                </c:pt>
                <c:pt idx="272">
                  <c:v>-11553.7</c:v>
                </c:pt>
                <c:pt idx="273">
                  <c:v>4123.9000000000005</c:v>
                </c:pt>
                <c:pt idx="274">
                  <c:v>-3080</c:v>
                </c:pt>
                <c:pt idx="275">
                  <c:v>-8185.7999999999993</c:v>
                </c:pt>
                <c:pt idx="276">
                  <c:v>17151.199999999997</c:v>
                </c:pt>
                <c:pt idx="277">
                  <c:v>-9726.5999999999985</c:v>
                </c:pt>
                <c:pt idx="278">
                  <c:v>6840</c:v>
                </c:pt>
                <c:pt idx="279">
                  <c:v>-2667.7</c:v>
                </c:pt>
                <c:pt idx="280">
                  <c:v>0</c:v>
                </c:pt>
                <c:pt idx="281">
                  <c:v>12009.6</c:v>
                </c:pt>
                <c:pt idx="282">
                  <c:v>-12009.6</c:v>
                </c:pt>
                <c:pt idx="283">
                  <c:v>12384.9</c:v>
                </c:pt>
                <c:pt idx="284">
                  <c:v>17103.3</c:v>
                </c:pt>
                <c:pt idx="285">
                  <c:v>-9396.4</c:v>
                </c:pt>
                <c:pt idx="286">
                  <c:v>13686.300000000001</c:v>
                </c:pt>
                <c:pt idx="287">
                  <c:v>-9949.5</c:v>
                </c:pt>
                <c:pt idx="288">
                  <c:v>-3844</c:v>
                </c:pt>
                <c:pt idx="289">
                  <c:v>-15879.9</c:v>
                </c:pt>
                <c:pt idx="290">
                  <c:v>3064.4999999999995</c:v>
                </c:pt>
                <c:pt idx="291">
                  <c:v>17400</c:v>
                </c:pt>
                <c:pt idx="292">
                  <c:v>-17529.600000000002</c:v>
                </c:pt>
                <c:pt idx="293">
                  <c:v>5321.9999999999991</c:v>
                </c:pt>
                <c:pt idx="294">
                  <c:v>-1096.8000000000002</c:v>
                </c:pt>
                <c:pt idx="295">
                  <c:v>-12529.999999999998</c:v>
                </c:pt>
                <c:pt idx="296">
                  <c:v>5252.7999999999993</c:v>
                </c:pt>
                <c:pt idx="297">
                  <c:v>4240.8</c:v>
                </c:pt>
                <c:pt idx="298">
                  <c:v>329.09999999999997</c:v>
                </c:pt>
                <c:pt idx="299">
                  <c:v>8552.5</c:v>
                </c:pt>
                <c:pt idx="300">
                  <c:v>12199.2</c:v>
                </c:pt>
                <c:pt idx="301">
                  <c:v>-3200.4</c:v>
                </c:pt>
                <c:pt idx="302">
                  <c:v>5276.5999999999995</c:v>
                </c:pt>
                <c:pt idx="303">
                  <c:v>6030.4</c:v>
                </c:pt>
                <c:pt idx="304">
                  <c:v>-12529</c:v>
                </c:pt>
                <c:pt idx="305">
                  <c:v>-16671.100000000002</c:v>
                </c:pt>
                <c:pt idx="306">
                  <c:v>-12406.400000000001</c:v>
                </c:pt>
                <c:pt idx="307">
                  <c:v>2719.5</c:v>
                </c:pt>
                <c:pt idx="308">
                  <c:v>-1959.5</c:v>
                </c:pt>
                <c:pt idx="309">
                  <c:v>-18811.199999999997</c:v>
                </c:pt>
                <c:pt idx="310">
                  <c:v>15444</c:v>
                </c:pt>
                <c:pt idx="311">
                  <c:v>6336</c:v>
                </c:pt>
                <c:pt idx="312">
                  <c:v>-2790.2</c:v>
                </c:pt>
                <c:pt idx="313">
                  <c:v>-10940.400000000001</c:v>
                </c:pt>
                <c:pt idx="314">
                  <c:v>16850.399999999998</c:v>
                </c:pt>
                <c:pt idx="315">
                  <c:v>2375.4</c:v>
                </c:pt>
                <c:pt idx="316">
                  <c:v>2403</c:v>
                </c:pt>
                <c:pt idx="317">
                  <c:v>379.7</c:v>
                </c:pt>
                <c:pt idx="318">
                  <c:v>1145.1000000000001</c:v>
                </c:pt>
                <c:pt idx="319">
                  <c:v>14246.2</c:v>
                </c:pt>
                <c:pt idx="320">
                  <c:v>16865.2</c:v>
                </c:pt>
                <c:pt idx="321">
                  <c:v>-8013.5999999999995</c:v>
                </c:pt>
                <c:pt idx="322">
                  <c:v>-10682</c:v>
                </c:pt>
                <c:pt idx="323">
                  <c:v>-4171.2</c:v>
                </c:pt>
                <c:pt idx="324">
                  <c:v>5968.7</c:v>
                </c:pt>
                <c:pt idx="325">
                  <c:v>15239.199999999999</c:v>
                </c:pt>
                <c:pt idx="326">
                  <c:v>-6024.7999999999993</c:v>
                </c:pt>
                <c:pt idx="327">
                  <c:v>2215.8000000000002</c:v>
                </c:pt>
                <c:pt idx="328">
                  <c:v>15510.6</c:v>
                </c:pt>
                <c:pt idx="329">
                  <c:v>16447.2</c:v>
                </c:pt>
                <c:pt idx="330">
                  <c:v>12542.6</c:v>
                </c:pt>
                <c:pt idx="331">
                  <c:v>16542</c:v>
                </c:pt>
                <c:pt idx="332">
                  <c:v>-16420.8</c:v>
                </c:pt>
                <c:pt idx="333">
                  <c:v>0</c:v>
                </c:pt>
                <c:pt idx="334">
                  <c:v>5381.5999999999995</c:v>
                </c:pt>
                <c:pt idx="335">
                  <c:v>5675.5999999999995</c:v>
                </c:pt>
                <c:pt idx="336">
                  <c:v>11721.800000000001</c:v>
                </c:pt>
                <c:pt idx="337">
                  <c:v>-15865.2</c:v>
                </c:pt>
                <c:pt idx="338">
                  <c:v>17926.7</c:v>
                </c:pt>
                <c:pt idx="339">
                  <c:v>-4966.8</c:v>
                </c:pt>
                <c:pt idx="340">
                  <c:v>5148</c:v>
                </c:pt>
                <c:pt idx="341">
                  <c:v>17584.900000000001</c:v>
                </c:pt>
                <c:pt idx="342">
                  <c:v>-21168</c:v>
                </c:pt>
                <c:pt idx="343">
                  <c:v>6337.5</c:v>
                </c:pt>
                <c:pt idx="344">
                  <c:v>-9312.6</c:v>
                </c:pt>
                <c:pt idx="345">
                  <c:v>-1693.1999999999998</c:v>
                </c:pt>
                <c:pt idx="346">
                  <c:v>-20741.7</c:v>
                </c:pt>
                <c:pt idx="347">
                  <c:v>9701.4</c:v>
                </c:pt>
                <c:pt idx="348">
                  <c:v>-21001.4</c:v>
                </c:pt>
                <c:pt idx="349">
                  <c:v>-16572</c:v>
                </c:pt>
                <c:pt idx="350">
                  <c:v>18422.8</c:v>
                </c:pt>
                <c:pt idx="351">
                  <c:v>21345</c:v>
                </c:pt>
                <c:pt idx="352">
                  <c:v>13510.4</c:v>
                </c:pt>
                <c:pt idx="353">
                  <c:v>-1266.5999999999999</c:v>
                </c:pt>
                <c:pt idx="354">
                  <c:v>7691.4</c:v>
                </c:pt>
                <c:pt idx="355">
                  <c:v>-14100.9</c:v>
                </c:pt>
                <c:pt idx="356">
                  <c:v>-13876.499999999998</c:v>
                </c:pt>
                <c:pt idx="357">
                  <c:v>-1738</c:v>
                </c:pt>
                <c:pt idx="358">
                  <c:v>11687.2</c:v>
                </c:pt>
                <c:pt idx="359">
                  <c:v>20727</c:v>
                </c:pt>
                <c:pt idx="360">
                  <c:v>8807.4</c:v>
                </c:pt>
                <c:pt idx="361">
                  <c:v>9042.6</c:v>
                </c:pt>
                <c:pt idx="362">
                  <c:v>1207.2</c:v>
                </c:pt>
                <c:pt idx="363">
                  <c:v>5231.2</c:v>
                </c:pt>
                <c:pt idx="364">
                  <c:v>9088.7999999999993</c:v>
                </c:pt>
                <c:pt idx="365">
                  <c:v>3846</c:v>
                </c:pt>
                <c:pt idx="366">
                  <c:v>17006</c:v>
                </c:pt>
                <c:pt idx="367">
                  <c:v>-17562.8</c:v>
                </c:pt>
                <c:pt idx="368">
                  <c:v>-3360.7999999999997</c:v>
                </c:pt>
                <c:pt idx="369">
                  <c:v>-3688.2</c:v>
                </c:pt>
                <c:pt idx="370">
                  <c:v>-18441</c:v>
                </c:pt>
                <c:pt idx="371">
                  <c:v>-19952.8</c:v>
                </c:pt>
                <c:pt idx="372">
                  <c:v>11747.9</c:v>
                </c:pt>
                <c:pt idx="373">
                  <c:v>-14140.5</c:v>
                </c:pt>
                <c:pt idx="374">
                  <c:v>-15573.599999999999</c:v>
                </c:pt>
                <c:pt idx="375">
                  <c:v>11901.6</c:v>
                </c:pt>
                <c:pt idx="376">
                  <c:v>15215</c:v>
                </c:pt>
                <c:pt idx="377">
                  <c:v>-7259.2</c:v>
                </c:pt>
                <c:pt idx="378">
                  <c:v>-3617.6</c:v>
                </c:pt>
                <c:pt idx="379">
                  <c:v>7702.7000000000007</c:v>
                </c:pt>
                <c:pt idx="380">
                  <c:v>4974.2</c:v>
                </c:pt>
                <c:pt idx="381">
                  <c:v>7084.8</c:v>
                </c:pt>
                <c:pt idx="382">
                  <c:v>-10236</c:v>
                </c:pt>
                <c:pt idx="383">
                  <c:v>-8956.5</c:v>
                </c:pt>
                <c:pt idx="384">
                  <c:v>868.19999999999993</c:v>
                </c:pt>
                <c:pt idx="385">
                  <c:v>-5484.7</c:v>
                </c:pt>
                <c:pt idx="386">
                  <c:v>-15654.7</c:v>
                </c:pt>
                <c:pt idx="387">
                  <c:v>-5100</c:v>
                </c:pt>
                <c:pt idx="388">
                  <c:v>-14367.599999999999</c:v>
                </c:pt>
                <c:pt idx="389">
                  <c:v>-17725.5</c:v>
                </c:pt>
                <c:pt idx="390">
                  <c:v>-8935.1999999999989</c:v>
                </c:pt>
                <c:pt idx="391">
                  <c:v>-2632</c:v>
                </c:pt>
                <c:pt idx="392">
                  <c:v>-6433.4</c:v>
                </c:pt>
                <c:pt idx="393">
                  <c:v>-7112.5999999999995</c:v>
                </c:pt>
                <c:pt idx="394">
                  <c:v>12258</c:v>
                </c:pt>
                <c:pt idx="395">
                  <c:v>13545.599999999999</c:v>
                </c:pt>
                <c:pt idx="396">
                  <c:v>6122</c:v>
                </c:pt>
                <c:pt idx="397">
                  <c:v>6960.8</c:v>
                </c:pt>
                <c:pt idx="398">
                  <c:v>-10124.799999999999</c:v>
                </c:pt>
                <c:pt idx="399">
                  <c:v>7074.9</c:v>
                </c:pt>
                <c:pt idx="400">
                  <c:v>702.6</c:v>
                </c:pt>
                <c:pt idx="401">
                  <c:v>0</c:v>
                </c:pt>
                <c:pt idx="402">
                  <c:v>728</c:v>
                </c:pt>
                <c:pt idx="403">
                  <c:v>359.3</c:v>
                </c:pt>
                <c:pt idx="404">
                  <c:v>-10779</c:v>
                </c:pt>
                <c:pt idx="405">
                  <c:v>9744.7999999999993</c:v>
                </c:pt>
                <c:pt idx="406">
                  <c:v>-7870.7999999999993</c:v>
                </c:pt>
                <c:pt idx="407">
                  <c:v>8875.1999999999989</c:v>
                </c:pt>
                <c:pt idx="408">
                  <c:v>-16811.900000000001</c:v>
                </c:pt>
                <c:pt idx="409">
                  <c:v>-8857.5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0FF-5249-A112-02739F8C1492}"/>
            </c:ext>
          </c:extLst>
        </c:ser>
        <c:dLbls>
          <c:showLegendKey val="0"/>
          <c:showVal val="0"/>
          <c:showCatName val="0"/>
          <c:showSerName val="0"/>
          <c:showPercent val="0"/>
          <c:showBubbleSize val="0"/>
        </c:dLbls>
        <c:gapWidth val="150"/>
        <c:axId val="570848678"/>
        <c:axId val="667926825"/>
      </c:barChart>
      <c:dateAx>
        <c:axId val="570848678"/>
        <c:scaling>
          <c:orientation val="minMax"/>
        </c:scaling>
        <c:delete val="0"/>
        <c:axPos val="b"/>
        <c:title>
          <c:tx>
            <c:rich>
              <a:bodyPr/>
              <a:lstStyle/>
              <a:p>
                <a:pPr lvl="0">
                  <a:defRPr b="0">
                    <a:solidFill>
                      <a:srgbClr val="000000"/>
                    </a:solidFill>
                    <a:latin typeface="+mn-lt"/>
                  </a:defRPr>
                </a:pPr>
                <a:endParaRPr lang="ru-RU"/>
              </a:p>
            </c:rich>
          </c:tx>
          <c:overlay val="0"/>
        </c:title>
        <c:numFmt formatCode="m/d/yy" sourceLinked="1"/>
        <c:majorTickMark val="none"/>
        <c:minorTickMark val="none"/>
        <c:tickLblPos val="nextTo"/>
        <c:txPr>
          <a:bodyPr/>
          <a:lstStyle/>
          <a:p>
            <a:pPr lvl="0">
              <a:defRPr sz="900" b="0" i="0">
                <a:solidFill>
                  <a:srgbClr val="000000"/>
                </a:solidFill>
                <a:latin typeface="+mn-lt"/>
              </a:defRPr>
            </a:pPr>
            <a:endParaRPr lang="ru-RU"/>
          </a:p>
        </c:txPr>
        <c:crossAx val="667926825"/>
        <c:crosses val="autoZero"/>
        <c:auto val="1"/>
        <c:lblOffset val="100"/>
        <c:baseTimeUnit val="days"/>
      </c:dateAx>
      <c:valAx>
        <c:axId val="66792682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ru-RU"/>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ru-RU"/>
          </a:p>
        </c:txPr>
        <c:crossAx val="570848678"/>
        <c:crosses val="autoZero"/>
        <c:crossBetween val="between"/>
      </c:valAx>
    </c:plotArea>
    <c:legend>
      <c:legendPos val="b"/>
      <c:overlay val="0"/>
      <c:txPr>
        <a:bodyPr/>
        <a:lstStyle/>
        <a:p>
          <a:pPr lvl="0" rtl="0">
            <a:defRPr sz="900" b="0" i="0">
              <a:solidFill>
                <a:srgbClr val="1A1A1A"/>
              </a:solidFill>
              <a:latin typeface="+mn-lt"/>
            </a:defRPr>
          </a:pPr>
          <a:endParaRPr lang="ru-RU"/>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5</xdr:col>
      <xdr:colOff>646739</xdr:colOff>
      <xdr:row>29</xdr:row>
      <xdr:rowOff>160084</xdr:rowOff>
    </xdr:from>
    <xdr:ext cx="5180320" cy="3361765"/>
    <xdr:graphicFrame macro="">
      <xdr:nvGraphicFramePr>
        <xdr:cNvPr id="190742922" name="Chart 1">
          <a:extLst>
            <a:ext uri="{FF2B5EF4-FFF2-40B4-BE49-F238E27FC236}">
              <a16:creationId xmlns:a16="http://schemas.microsoft.com/office/drawing/2014/main" id="{00000000-0008-0000-0000-00008A815E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66.724081365741" createdVersion="7" refreshedVersion="7" minRefreshableVersion="3" recordCount="410" xr:uid="{231AD38B-14B7-6347-9A47-B884C10D93F1}">
  <cacheSource type="worksheet">
    <worksheetSource name="Table_4"/>
  </cacheSource>
  <cacheFields count="7">
    <cacheField name="Дата сделки" numFmtId="14">
      <sharedItems containsSemiMixedTypes="0" containsNonDate="0" containsDate="1" containsString="0" minDate="2015-01-07T00:00:00" maxDate="2020-05-20T00:00:00" count="359">
        <d v="2015-01-07T00:00:00"/>
        <d v="2015-01-12T00:00:00"/>
        <d v="2015-01-15T00:00:00"/>
        <d v="2015-01-16T00:00:00"/>
        <d v="2015-01-20T00:00:00"/>
        <d v="2015-01-21T00:00:00"/>
        <d v="2015-01-26T00:00:00"/>
        <d v="2015-01-27T00:00:00"/>
        <d v="2015-01-28T00:00:00"/>
        <d v="2015-02-06T00:00:00"/>
        <d v="2015-02-19T00:00:00"/>
        <d v="2015-02-20T00:00:00"/>
        <d v="2015-02-24T00:00:00"/>
        <d v="2015-03-05T00:00:00"/>
        <d v="2015-03-06T00:00:00"/>
        <d v="2015-03-12T00:00:00"/>
        <d v="2015-03-16T00:00:00"/>
        <d v="2015-03-30T00:00:00"/>
        <d v="2015-04-06T00:00:00"/>
        <d v="2015-04-07T00:00:00"/>
        <d v="2015-04-13T00:00:00"/>
        <d v="2015-04-16T00:00:00"/>
        <d v="2015-05-01T00:00:00"/>
        <d v="2015-05-06T00:00:00"/>
        <d v="2015-05-13T00:00:00"/>
        <d v="2015-05-14T00:00:00"/>
        <d v="2015-05-15T00:00:00"/>
        <d v="2015-05-20T00:00:00"/>
        <d v="2015-05-27T00:00:00"/>
        <d v="2015-05-28T00:00:00"/>
        <d v="2015-06-01T00:00:00"/>
        <d v="2015-06-03T00:00:00"/>
        <d v="2015-06-16T00:00:00"/>
        <d v="2015-06-18T00:00:00"/>
        <d v="2015-06-24T00:00:00"/>
        <d v="2015-07-02T00:00:00"/>
        <d v="2015-07-06T00:00:00"/>
        <d v="2015-07-07T00:00:00"/>
        <d v="2015-07-20T00:00:00"/>
        <d v="2015-07-21T00:00:00"/>
        <d v="2015-07-24T00:00:00"/>
        <d v="2015-07-31T00:00:00"/>
        <d v="2015-08-04T00:00:00"/>
        <d v="2015-08-05T00:00:00"/>
        <d v="2015-08-06T00:00:00"/>
        <d v="2015-08-10T00:00:00"/>
        <d v="2015-08-18T00:00:00"/>
        <d v="2015-08-20T00:00:00"/>
        <d v="2015-08-21T00:00:00"/>
        <d v="2015-09-02T00:00:00"/>
        <d v="2015-09-04T00:00:00"/>
        <d v="2015-09-09T00:00:00"/>
        <d v="2015-09-14T00:00:00"/>
        <d v="2015-09-17T00:00:00"/>
        <d v="2015-09-30T00:00:00"/>
        <d v="2015-10-16T00:00:00"/>
        <d v="2015-10-19T00:00:00"/>
        <d v="2015-10-20T00:00:00"/>
        <d v="2015-10-22T00:00:00"/>
        <d v="2015-10-26T00:00:00"/>
        <d v="2015-11-02T00:00:00"/>
        <d v="2015-11-18T00:00:00"/>
        <d v="2015-11-23T00:00:00"/>
        <d v="2015-12-01T00:00:00"/>
        <d v="2015-12-07T00:00:00"/>
        <d v="2015-12-08T00:00:00"/>
        <d v="2015-12-24T00:00:00"/>
        <d v="2016-01-06T00:00:00"/>
        <d v="2016-01-07T00:00:00"/>
        <d v="2016-01-08T00:00:00"/>
        <d v="2016-01-11T00:00:00"/>
        <d v="2016-01-13T00:00:00"/>
        <d v="2016-01-15T00:00:00"/>
        <d v="2016-02-03T00:00:00"/>
        <d v="2016-02-08T00:00:00"/>
        <d v="2016-02-11T00:00:00"/>
        <d v="2016-02-12T00:00:00"/>
        <d v="2016-02-16T00:00:00"/>
        <d v="2016-02-17T00:00:00"/>
        <d v="2016-02-18T00:00:00"/>
        <d v="2016-02-19T00:00:00"/>
        <d v="2016-02-22T00:00:00"/>
        <d v="2016-03-03T00:00:00"/>
        <d v="2016-03-07T00:00:00"/>
        <d v="2016-03-10T00:00:00"/>
        <d v="2016-03-17T00:00:00"/>
        <d v="2016-03-18T00:00:00"/>
        <d v="2016-03-22T00:00:00"/>
        <d v="2016-03-24T00:00:00"/>
        <d v="2016-03-28T00:00:00"/>
        <d v="2016-04-08T00:00:00"/>
        <d v="2016-04-14T00:00:00"/>
        <d v="2016-04-15T00:00:00"/>
        <d v="2016-04-22T00:00:00"/>
        <d v="2016-04-29T00:00:00"/>
        <d v="2016-05-12T00:00:00"/>
        <d v="2016-05-17T00:00:00"/>
        <d v="2016-05-18T00:00:00"/>
        <d v="2016-05-19T00:00:00"/>
        <d v="2016-05-25T00:00:00"/>
        <d v="2016-05-26T00:00:00"/>
        <d v="2016-06-02T00:00:00"/>
        <d v="2016-06-08T00:00:00"/>
        <d v="2016-06-24T00:00:00"/>
        <d v="2016-07-01T00:00:00"/>
        <d v="2016-07-05T00:00:00"/>
        <d v="2016-07-08T00:00:00"/>
        <d v="2016-08-05T00:00:00"/>
        <d v="2016-08-08T00:00:00"/>
        <d v="2016-08-17T00:00:00"/>
        <d v="2016-08-18T00:00:00"/>
        <d v="2016-08-24T00:00:00"/>
        <d v="2016-08-26T00:00:00"/>
        <d v="2016-08-30T00:00:00"/>
        <d v="2016-09-06T00:00:00"/>
        <d v="2016-09-12T00:00:00"/>
        <d v="2016-09-13T00:00:00"/>
        <d v="2016-09-14T00:00:00"/>
        <d v="2016-09-15T00:00:00"/>
        <d v="2016-09-20T00:00:00"/>
        <d v="2016-09-21T00:00:00"/>
        <d v="2016-09-23T00:00:00"/>
        <d v="2016-09-26T00:00:00"/>
        <d v="2016-09-30T00:00:00"/>
        <d v="2016-10-05T00:00:00"/>
        <d v="2016-10-21T00:00:00"/>
        <d v="2016-10-26T00:00:00"/>
        <d v="2016-10-27T00:00:00"/>
        <d v="2016-10-28T00:00:00"/>
        <d v="2016-11-01T00:00:00"/>
        <d v="2016-11-08T00:00:00"/>
        <d v="2016-11-10T00:00:00"/>
        <d v="2016-11-14T00:00:00"/>
        <d v="2016-12-05T00:00:00"/>
        <d v="2016-12-22T00:00:00"/>
        <d v="2017-01-25T00:00:00"/>
        <d v="2017-01-27T00:00:00"/>
        <d v="2017-01-31T00:00:00"/>
        <d v="2017-02-01T00:00:00"/>
        <d v="2017-02-10T00:00:00"/>
        <d v="2017-02-17T00:00:00"/>
        <d v="2017-03-08T00:00:00"/>
        <d v="2017-03-15T00:00:00"/>
        <d v="2017-03-17T00:00:00"/>
        <d v="2017-03-20T00:00:00"/>
        <d v="2017-04-05T00:00:00"/>
        <d v="2017-04-11T00:00:00"/>
        <d v="2017-04-17T00:00:00"/>
        <d v="2017-04-25T00:00:00"/>
        <d v="2017-04-28T00:00:00"/>
        <d v="2017-05-01T00:00:00"/>
        <d v="2017-05-02T00:00:00"/>
        <d v="2017-05-04T00:00:00"/>
        <d v="2017-05-05T00:00:00"/>
        <d v="2017-05-25T00:00:00"/>
        <d v="2017-06-09T00:00:00"/>
        <d v="2017-06-12T00:00:00"/>
        <d v="2017-06-19T00:00:00"/>
        <d v="2017-06-26T00:00:00"/>
        <d v="2017-06-28T00:00:00"/>
        <d v="2017-07-05T00:00:00"/>
        <d v="2017-07-06T00:00:00"/>
        <d v="2017-07-07T00:00:00"/>
        <d v="2017-07-12T00:00:00"/>
        <d v="2017-07-13T00:00:00"/>
        <d v="2017-07-26T00:00:00"/>
        <d v="2017-08-04T00:00:00"/>
        <d v="2017-08-18T00:00:00"/>
        <d v="2017-08-23T00:00:00"/>
        <d v="2017-08-24T00:00:00"/>
        <d v="2017-08-29T00:00:00"/>
        <d v="2017-09-12T00:00:00"/>
        <d v="2017-09-18T00:00:00"/>
        <d v="2017-09-22T00:00:00"/>
        <d v="2017-10-02T00:00:00"/>
        <d v="2017-10-11T00:00:00"/>
        <d v="2017-10-13T00:00:00"/>
        <d v="2017-10-20T00:00:00"/>
        <d v="2017-10-25T00:00:00"/>
        <d v="2017-10-27T00:00:00"/>
        <d v="2017-10-30T00:00:00"/>
        <d v="2017-11-09T00:00:00"/>
        <d v="2017-11-22T00:00:00"/>
        <d v="2017-11-24T00:00:00"/>
        <d v="2017-12-06T00:00:00"/>
        <d v="2017-12-08T00:00:00"/>
        <d v="2017-12-14T00:00:00"/>
        <d v="2018-01-02T00:00:00"/>
        <d v="2018-01-09T00:00:00"/>
        <d v="2018-01-11T00:00:00"/>
        <d v="2018-01-12T00:00:00"/>
        <d v="2018-01-22T00:00:00"/>
        <d v="2018-01-25T00:00:00"/>
        <d v="2018-01-26T00:00:00"/>
        <d v="2018-01-29T00:00:00"/>
        <d v="2018-01-31T00:00:00"/>
        <d v="2018-02-05T00:00:00"/>
        <d v="2018-02-06T00:00:00"/>
        <d v="2018-02-07T00:00:00"/>
        <d v="2018-02-08T00:00:00"/>
        <d v="2018-02-09T00:00:00"/>
        <d v="2018-02-15T00:00:00"/>
        <d v="2018-02-16T00:00:00"/>
        <d v="2018-03-12T00:00:00"/>
        <d v="2018-03-20T00:00:00"/>
        <d v="2018-03-22T00:00:00"/>
        <d v="2018-03-27T00:00:00"/>
        <d v="2018-03-29T00:00:00"/>
        <d v="2018-04-02T00:00:00"/>
        <d v="2018-04-06T00:00:00"/>
        <d v="2018-04-09T00:00:00"/>
        <d v="2018-04-10T00:00:00"/>
        <d v="2018-04-12T00:00:00"/>
        <d v="2018-04-19T00:00:00"/>
        <d v="2018-04-30T00:00:00"/>
        <d v="2018-05-15T00:00:00"/>
        <d v="2018-05-17T00:00:00"/>
        <d v="2018-05-18T00:00:00"/>
        <d v="2018-05-30T00:00:00"/>
        <d v="2018-06-04T00:00:00"/>
        <d v="2018-06-11T00:00:00"/>
        <d v="2018-06-15T00:00:00"/>
        <d v="2018-06-20T00:00:00"/>
        <d v="2018-06-28T00:00:00"/>
        <d v="2018-07-05T00:00:00"/>
        <d v="2018-07-09T00:00:00"/>
        <d v="2018-07-10T00:00:00"/>
        <d v="2018-07-11T00:00:00"/>
        <d v="2018-07-20T00:00:00"/>
        <d v="2018-07-23T00:00:00"/>
        <d v="2018-07-25T00:00:00"/>
        <d v="2018-08-09T00:00:00"/>
        <d v="2018-08-10T00:00:00"/>
        <d v="2018-08-16T00:00:00"/>
        <d v="2018-08-30T00:00:00"/>
        <d v="2018-09-04T00:00:00"/>
        <d v="2018-09-07T00:00:00"/>
        <d v="2018-09-11T00:00:00"/>
        <d v="2018-09-12T00:00:00"/>
        <d v="2018-09-14T00:00:00"/>
        <d v="2018-09-17T00:00:00"/>
        <d v="2018-09-19T00:00:00"/>
        <d v="2018-09-28T00:00:00"/>
        <d v="2018-10-01T00:00:00"/>
        <d v="2018-10-09T00:00:00"/>
        <d v="2018-10-11T00:00:00"/>
        <d v="2018-10-16T00:00:00"/>
        <d v="2018-10-17T00:00:00"/>
        <d v="2018-10-18T00:00:00"/>
        <d v="2018-10-25T00:00:00"/>
        <d v="2018-10-31T00:00:00"/>
        <d v="2018-11-01T00:00:00"/>
        <d v="2018-11-06T00:00:00"/>
        <d v="2018-11-08T00:00:00"/>
        <d v="2018-11-12T00:00:00"/>
        <d v="2018-11-20T00:00:00"/>
        <d v="2018-11-23T00:00:00"/>
        <d v="2018-12-04T00:00:00"/>
        <d v="2018-12-07T00:00:00"/>
        <d v="2018-12-11T00:00:00"/>
        <d v="2018-12-14T00:00:00"/>
        <d v="2018-12-21T00:00:00"/>
        <d v="2018-12-31T00:00:00"/>
        <d v="2019-01-03T00:00:00"/>
        <d v="2019-01-04T00:00:00"/>
        <d v="2019-01-09T00:00:00"/>
        <d v="2019-01-11T00:00:00"/>
        <d v="2019-01-18T00:00:00"/>
        <d v="2019-01-28T00:00:00"/>
        <d v="2019-02-06T00:00:00"/>
        <d v="2019-02-07T00:00:00"/>
        <d v="2019-02-08T00:00:00"/>
        <d v="2019-02-13T00:00:00"/>
        <d v="2019-02-19T00:00:00"/>
        <d v="2019-02-22T00:00:00"/>
        <d v="2019-02-28T00:00:00"/>
        <d v="2019-03-07T00:00:00"/>
        <d v="2019-03-14T00:00:00"/>
        <d v="2019-03-18T00:00:00"/>
        <d v="2019-03-19T00:00:00"/>
        <d v="2019-03-27T00:00:00"/>
        <d v="2019-04-03T00:00:00"/>
        <d v="2019-04-04T00:00:00"/>
        <d v="2019-04-08T00:00:00"/>
        <d v="2019-04-11T00:00:00"/>
        <d v="2019-04-18T00:00:00"/>
        <d v="2019-04-24T00:00:00"/>
        <d v="2019-04-25T00:00:00"/>
        <d v="2019-04-26T00:00:00"/>
        <d v="2019-05-02T00:00:00"/>
        <d v="2019-05-14T00:00:00"/>
        <d v="2019-05-17T00:00:00"/>
        <d v="2019-05-23T00:00:00"/>
        <d v="2019-05-30T00:00:00"/>
        <d v="2019-06-06T00:00:00"/>
        <d v="2019-06-14T00:00:00"/>
        <d v="2019-06-17T00:00:00"/>
        <d v="2019-06-21T00:00:00"/>
        <d v="2019-06-26T00:00:00"/>
        <d v="2019-07-01T00:00:00"/>
        <d v="2019-07-10T00:00:00"/>
        <d v="2019-07-11T00:00:00"/>
        <d v="2019-07-12T00:00:00"/>
        <d v="2019-08-06T00:00:00"/>
        <d v="2019-08-07T00:00:00"/>
        <d v="2019-08-13T00:00:00"/>
        <d v="2019-08-14T00:00:00"/>
        <d v="2019-08-15T00:00:00"/>
        <d v="2019-08-22T00:00:00"/>
        <d v="2019-08-27T00:00:00"/>
        <d v="2019-08-30T00:00:00"/>
        <d v="2019-09-04T00:00:00"/>
        <d v="2019-09-06T00:00:00"/>
        <d v="2019-09-09T00:00:00"/>
        <d v="2019-09-11T00:00:00"/>
        <d v="2019-09-16T00:00:00"/>
        <d v="2019-09-19T00:00:00"/>
        <d v="2019-10-01T00:00:00"/>
        <d v="2019-10-08T00:00:00"/>
        <d v="2019-10-15T00:00:00"/>
        <d v="2019-10-21T00:00:00"/>
        <d v="2019-10-22T00:00:00"/>
        <d v="2019-10-30T00:00:00"/>
        <d v="2019-11-04T00:00:00"/>
        <d v="2019-11-06T00:00:00"/>
        <d v="2019-11-08T00:00:00"/>
        <d v="2019-11-25T00:00:00"/>
        <d v="2019-12-05T00:00:00"/>
        <d v="2019-12-06T00:00:00"/>
        <d v="2019-12-17T00:00:00"/>
        <d v="2019-12-20T00:00:00"/>
        <d v="2019-12-23T00:00:00"/>
        <d v="2019-12-24T00:00:00"/>
        <d v="2019-12-31T00:00:00"/>
        <d v="2020-01-17T00:00:00"/>
        <d v="2020-01-27T00:00:00"/>
        <d v="2020-01-30T00:00:00"/>
        <d v="2020-02-07T00:00:00"/>
        <d v="2020-02-14T00:00:00"/>
        <d v="2020-02-20T00:00:00"/>
        <d v="2020-02-25T00:00:00"/>
        <d v="2020-02-26T00:00:00"/>
        <d v="2020-03-03T00:00:00"/>
        <d v="2020-03-06T00:00:00"/>
        <d v="2020-03-11T00:00:00"/>
        <d v="2020-03-13T00:00:00"/>
        <d v="2020-03-20T00:00:00"/>
        <d v="2020-03-24T00:00:00"/>
        <d v="2020-03-27T00:00:00"/>
        <d v="2020-03-30T00:00:00"/>
        <d v="2020-04-07T00:00:00"/>
        <d v="2020-04-08T00:00:00"/>
        <d v="2020-04-14T00:00:00"/>
        <d v="2020-04-23T00:00:00"/>
        <d v="2020-04-28T00:00:00"/>
        <d v="2020-04-30T00:00:00"/>
        <d v="2020-05-12T00:00:00"/>
        <d v="2020-05-13T00:00:00"/>
        <d v="2020-05-19T00:00:00"/>
      </sharedItems>
      <fieldGroup par="6" base="0">
        <rangePr groupBy="months" startDate="2015-01-07T00:00:00" endDate="2020-05-20T00:00:00"/>
        <groupItems count="14">
          <s v="&lt;07.01.2015"/>
          <s v="янв"/>
          <s v="февр"/>
          <s v="март"/>
          <s v="апр"/>
          <s v="май"/>
          <s v="июнь"/>
          <s v="июль"/>
          <s v="авг"/>
          <s v="сент"/>
          <s v="окт"/>
          <s v="нояб"/>
          <s v="дек"/>
          <s v="&gt;20.05.2020"/>
        </groupItems>
      </fieldGroup>
    </cacheField>
    <cacheField name="Тип сделки" numFmtId="0">
      <sharedItems/>
    </cacheField>
    <cacheField name="Количество" numFmtId="0">
      <sharedItems containsSemiMixedTypes="0" containsString="0" containsNumber="1" containsInteger="1" minValue="0" maxValue="500"/>
    </cacheField>
    <cacheField name="Количество_net" numFmtId="0">
      <sharedItems containsSemiMixedTypes="0" containsString="0" containsNumber="1" containsInteger="1" minValue="-490" maxValue="500" count="98">
        <n v="-360"/>
        <n v="60"/>
        <n v="480"/>
        <n v="-70"/>
        <n v="-350"/>
        <n v="-150"/>
        <n v="130"/>
        <n v="340"/>
        <n v="490"/>
        <n v="-260"/>
        <n v="350"/>
        <n v="-200"/>
        <n v="270"/>
        <n v="80"/>
        <n v="-340"/>
        <n v="190"/>
        <n v="-290"/>
        <n v="-440"/>
        <n v="-10"/>
        <n v="-60"/>
        <n v="-40"/>
        <n v="290"/>
        <n v="410"/>
        <n v="470"/>
        <n v="330"/>
        <n v="170"/>
        <n v="150"/>
        <n v="-170"/>
        <n v="160"/>
        <n v="110"/>
        <n v="100"/>
        <n v="-210"/>
        <n v="-20"/>
        <n v="-230"/>
        <n v="-470"/>
        <n v="-130"/>
        <n v="-390"/>
        <n v="230"/>
        <n v="-480"/>
        <n v="220"/>
        <n v="280"/>
        <n v="-280"/>
        <n v="70"/>
        <n v="420"/>
        <n v="-30"/>
        <n v="380"/>
        <n v="430"/>
        <n v="-190"/>
        <n v="-160"/>
        <n v="-410"/>
        <n v="390"/>
        <n v="-380"/>
        <n v="440"/>
        <n v="-330"/>
        <n v="50"/>
        <n v="-320"/>
        <n v="-110"/>
        <n v="-90"/>
        <n v="10"/>
        <n v="-420"/>
        <n v="120"/>
        <n v="140"/>
        <n v="-370"/>
        <n v="40"/>
        <n v="-180"/>
        <n v="-140"/>
        <n v="-490"/>
        <n v="-460"/>
        <n v="460"/>
        <n v="-400"/>
        <n v="500"/>
        <n v="-100"/>
        <n v="320"/>
        <n v="-450"/>
        <n v="210"/>
        <n v="-50"/>
        <n v="250"/>
        <n v="240"/>
        <n v="-430"/>
        <n v="310"/>
        <n v="-270"/>
        <n v="180"/>
        <n v="370"/>
        <n v="200"/>
        <n v="-120"/>
        <n v="30"/>
        <n v="-80"/>
        <n v="20"/>
        <n v="-240"/>
        <n v="260"/>
        <n v="300"/>
        <n v="-310"/>
        <n v="0"/>
        <n v="90"/>
        <n v="450"/>
        <n v="-220"/>
        <n v="-300"/>
        <n v="-250"/>
      </sharedItems>
    </cacheField>
    <cacheField name="Стоимость" numFmtId="0">
      <sharedItems containsSemiMixedTypes="0" containsString="0" containsNumber="1" minValue="-21168" maxValue="21345"/>
    </cacheField>
    <cacheField name="Кварталы" numFmtId="0" databaseField="0">
      <fieldGroup base="0">
        <rangePr groupBy="quarters" startDate="2015-01-07T00:00:00" endDate="2020-05-20T00:00:00"/>
        <groupItems count="6">
          <s v="&lt;07.01.2015"/>
          <s v="Кв-л1"/>
          <s v="Кв-л2"/>
          <s v="Кв-л3"/>
          <s v="Кв-л4"/>
          <s v="&gt;20.05.2020"/>
        </groupItems>
      </fieldGroup>
    </cacheField>
    <cacheField name="Годы" numFmtId="0" databaseField="0">
      <fieldGroup base="0">
        <rangePr groupBy="years" startDate="2015-01-07T00:00:00" endDate="2020-05-20T00:00:00"/>
        <groupItems count="8">
          <s v="&lt;07.01.2015"/>
          <s v="2015"/>
          <s v="2016"/>
          <s v="2017"/>
          <s v="2018"/>
          <s v="2019"/>
          <s v="2020"/>
          <s v="&gt;20.05.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0">
  <r>
    <x v="0"/>
    <s v="Продажа"/>
    <n v="360"/>
    <x v="0"/>
    <n v="-5050.8"/>
  </r>
  <r>
    <x v="1"/>
    <s v="Покупка"/>
    <n v="60"/>
    <x v="1"/>
    <n v="874.8"/>
  </r>
  <r>
    <x v="2"/>
    <s v="Покупка"/>
    <n v="480"/>
    <x v="2"/>
    <n v="6868.8"/>
  </r>
  <r>
    <x v="3"/>
    <s v="Продажа"/>
    <n v="70"/>
    <x v="3"/>
    <n v="-1012.2"/>
  </r>
  <r>
    <x v="4"/>
    <s v="Продажа"/>
    <n v="350"/>
    <x v="4"/>
    <n v="-5015.5"/>
  </r>
  <r>
    <x v="4"/>
    <s v="Продажа"/>
    <n v="150"/>
    <x v="5"/>
    <n v="-2149.5"/>
  </r>
  <r>
    <x v="5"/>
    <s v="Покупка"/>
    <n v="130"/>
    <x v="6"/>
    <n v="1870.7"/>
  </r>
  <r>
    <x v="6"/>
    <s v="Покупка"/>
    <n v="340"/>
    <x v="7"/>
    <n v="5086.4000000000005"/>
  </r>
  <r>
    <x v="7"/>
    <s v="Покупка"/>
    <n v="490"/>
    <x v="8"/>
    <n v="7222.6"/>
  </r>
  <r>
    <x v="8"/>
    <s v="Продажа"/>
    <n v="260"/>
    <x v="9"/>
    <n v="-3793.4"/>
  </r>
  <r>
    <x v="9"/>
    <s v="Покупка"/>
    <n v="350"/>
    <x v="10"/>
    <n v="5152"/>
  </r>
  <r>
    <x v="10"/>
    <s v="Покупка"/>
    <n v="130"/>
    <x v="6"/>
    <n v="2138.5"/>
  </r>
  <r>
    <x v="11"/>
    <s v="Продажа"/>
    <n v="200"/>
    <x v="11"/>
    <n v="-3294"/>
  </r>
  <r>
    <x v="12"/>
    <s v="Покупка"/>
    <n v="270"/>
    <x v="12"/>
    <n v="4487.4000000000005"/>
  </r>
  <r>
    <x v="13"/>
    <s v="Покупка"/>
    <n v="80"/>
    <x v="13"/>
    <n v="1357.6"/>
  </r>
  <r>
    <x v="14"/>
    <s v="Продажа"/>
    <n v="340"/>
    <x v="14"/>
    <n v="-5630.4"/>
  </r>
  <r>
    <x v="15"/>
    <s v="Покупка"/>
    <n v="190"/>
    <x v="15"/>
    <n v="3209.1"/>
  </r>
  <r>
    <x v="16"/>
    <s v="Продажа"/>
    <n v="290"/>
    <x v="16"/>
    <n v="-4999.5999999999995"/>
  </r>
  <r>
    <x v="16"/>
    <s v="Продажа"/>
    <n v="440"/>
    <x v="17"/>
    <n v="-7585.5999999999995"/>
  </r>
  <r>
    <x v="17"/>
    <s v="Продажа"/>
    <n v="10"/>
    <x v="18"/>
    <n v="-180.7"/>
  </r>
  <r>
    <x v="18"/>
    <s v="Продажа"/>
    <n v="60"/>
    <x v="19"/>
    <n v="-1060.8"/>
  </r>
  <r>
    <x v="19"/>
    <s v="Продажа"/>
    <n v="40"/>
    <x v="20"/>
    <n v="-707.6"/>
  </r>
  <r>
    <x v="20"/>
    <s v="Покупка"/>
    <n v="290"/>
    <x v="21"/>
    <n v="5162"/>
  </r>
  <r>
    <x v="21"/>
    <s v="Покупка"/>
    <n v="410"/>
    <x v="22"/>
    <n v="7445.6"/>
  </r>
  <r>
    <x v="22"/>
    <s v="Покупка"/>
    <n v="470"/>
    <x v="23"/>
    <n v="8337.7999999999993"/>
  </r>
  <r>
    <x v="23"/>
    <s v="Покупка"/>
    <n v="330"/>
    <x v="24"/>
    <n v="5709"/>
  </r>
  <r>
    <x v="24"/>
    <s v="Покупка"/>
    <n v="60"/>
    <x v="1"/>
    <n v="1033.8"/>
  </r>
  <r>
    <x v="25"/>
    <s v="Покупка"/>
    <n v="170"/>
    <x v="25"/>
    <n v="3044.7"/>
  </r>
  <r>
    <x v="26"/>
    <s v="Покупка"/>
    <n v="150"/>
    <x v="26"/>
    <n v="2677.5"/>
  </r>
  <r>
    <x v="27"/>
    <s v="Продажа"/>
    <n v="170"/>
    <x v="27"/>
    <n v="-3056.6"/>
  </r>
  <r>
    <x v="28"/>
    <s v="Покупка"/>
    <n v="160"/>
    <x v="28"/>
    <n v="2878.3999999999996"/>
  </r>
  <r>
    <x v="28"/>
    <s v="Покупка"/>
    <n v="110"/>
    <x v="29"/>
    <n v="1978.8999999999999"/>
  </r>
  <r>
    <x v="29"/>
    <s v="Покупка"/>
    <n v="100"/>
    <x v="30"/>
    <n v="1827"/>
  </r>
  <r>
    <x v="30"/>
    <s v="Продажа"/>
    <n v="210"/>
    <x v="31"/>
    <n v="-3887.1000000000004"/>
  </r>
  <r>
    <x v="31"/>
    <s v="Продажа"/>
    <n v="20"/>
    <x v="32"/>
    <n v="-364.6"/>
  </r>
  <r>
    <x v="31"/>
    <s v="Продажа"/>
    <n v="70"/>
    <x v="3"/>
    <n v="-1276.1000000000001"/>
  </r>
  <r>
    <x v="32"/>
    <s v="Продажа"/>
    <n v="230"/>
    <x v="33"/>
    <n v="-4043.3999999999996"/>
  </r>
  <r>
    <x v="33"/>
    <s v="Продажа"/>
    <n v="230"/>
    <x v="33"/>
    <n v="-4144.5999999999995"/>
  </r>
  <r>
    <x v="34"/>
    <s v="Продажа"/>
    <n v="210"/>
    <x v="31"/>
    <n v="-3767.4"/>
  </r>
  <r>
    <x v="35"/>
    <s v="Продажа"/>
    <n v="260"/>
    <x v="9"/>
    <n v="-4568.2"/>
  </r>
  <r>
    <x v="36"/>
    <s v="Продажа"/>
    <n v="470"/>
    <x v="34"/>
    <n v="-8248.5"/>
  </r>
  <r>
    <x v="36"/>
    <s v="Покупка"/>
    <n v="410"/>
    <x v="22"/>
    <n v="7195.5"/>
  </r>
  <r>
    <x v="37"/>
    <s v="Покупка"/>
    <n v="160"/>
    <x v="28"/>
    <n v="2846.3999999999996"/>
  </r>
  <r>
    <x v="38"/>
    <s v="Продажа"/>
    <n v="200"/>
    <x v="11"/>
    <n v="-3576"/>
  </r>
  <r>
    <x v="39"/>
    <s v="Покупка"/>
    <n v="290"/>
    <x v="21"/>
    <n v="5150.4000000000005"/>
  </r>
  <r>
    <x v="40"/>
    <s v="Продажа"/>
    <n v="130"/>
    <x v="35"/>
    <n v="-2256.7999999999997"/>
  </r>
  <r>
    <x v="41"/>
    <s v="Покупка"/>
    <n v="110"/>
    <x v="29"/>
    <n v="1907.4"/>
  </r>
  <r>
    <x v="42"/>
    <s v="Продажа"/>
    <n v="390"/>
    <x v="36"/>
    <n v="-6665.1"/>
  </r>
  <r>
    <x v="43"/>
    <s v="Покупка"/>
    <n v="230"/>
    <x v="37"/>
    <n v="4064.1000000000004"/>
  </r>
  <r>
    <x v="43"/>
    <s v="Продажа"/>
    <n v="480"/>
    <x v="38"/>
    <n v="-8481.6"/>
  </r>
  <r>
    <x v="44"/>
    <s v="Покупка"/>
    <n v="340"/>
    <x v="7"/>
    <n v="5922.8"/>
  </r>
  <r>
    <x v="45"/>
    <s v="Покупка"/>
    <n v="220"/>
    <x v="39"/>
    <n v="3812.5999999999995"/>
  </r>
  <r>
    <x v="46"/>
    <s v="Продажа"/>
    <n v="210"/>
    <x v="31"/>
    <n v="-3687.6"/>
  </r>
  <r>
    <x v="47"/>
    <s v="Покупка"/>
    <n v="340"/>
    <x v="7"/>
    <n v="5735.8"/>
  </r>
  <r>
    <x v="48"/>
    <s v="Покупка"/>
    <n v="280"/>
    <x v="40"/>
    <n v="4578"/>
  </r>
  <r>
    <x v="49"/>
    <s v="Продажа"/>
    <n v="280"/>
    <x v="41"/>
    <n v="-4622.8"/>
  </r>
  <r>
    <x v="50"/>
    <s v="Продажа"/>
    <n v="470"/>
    <x v="34"/>
    <n v="-7632.7999999999993"/>
  </r>
  <r>
    <x v="51"/>
    <s v="Покупка"/>
    <n v="70"/>
    <x v="42"/>
    <n v="1164.0999999999999"/>
  </r>
  <r>
    <x v="52"/>
    <s v="Покупка"/>
    <n v="420"/>
    <x v="43"/>
    <n v="7026.6"/>
  </r>
  <r>
    <x v="53"/>
    <s v="Продажа"/>
    <n v="30"/>
    <x v="44"/>
    <n v="-516"/>
  </r>
  <r>
    <x v="54"/>
    <s v="Покупка"/>
    <n v="130"/>
    <x v="6"/>
    <n v="2133.3000000000002"/>
  </r>
  <r>
    <x v="55"/>
    <s v="Покупка"/>
    <n v="380"/>
    <x v="45"/>
    <n v="6486.6"/>
  </r>
  <r>
    <x v="56"/>
    <s v="Продажа"/>
    <n v="200"/>
    <x v="11"/>
    <n v="-3415.9999999999995"/>
  </r>
  <r>
    <x v="57"/>
    <s v="Покупка"/>
    <n v="480"/>
    <x v="2"/>
    <n v="8251.2000000000007"/>
  </r>
  <r>
    <x v="58"/>
    <s v="Покупка"/>
    <n v="430"/>
    <x v="46"/>
    <n v="7060.6"/>
  </r>
  <r>
    <x v="59"/>
    <s v="Покупка"/>
    <n v="100"/>
    <x v="30"/>
    <n v="1670"/>
  </r>
  <r>
    <x v="60"/>
    <s v="Продажа"/>
    <n v="390"/>
    <x v="36"/>
    <n v="-7355.4"/>
  </r>
  <r>
    <x v="61"/>
    <s v="Продажа"/>
    <n v="350"/>
    <x v="4"/>
    <n v="-6219.5"/>
  </r>
  <r>
    <x v="61"/>
    <s v="Продажа"/>
    <n v="60"/>
    <x v="19"/>
    <n v="-1066.2"/>
  </r>
  <r>
    <x v="62"/>
    <s v="Покупка"/>
    <n v="80"/>
    <x v="13"/>
    <n v="1448"/>
  </r>
  <r>
    <x v="63"/>
    <s v="Покупка"/>
    <n v="380"/>
    <x v="45"/>
    <n v="7037.5999999999995"/>
  </r>
  <r>
    <x v="63"/>
    <s v="Покупка"/>
    <n v="170"/>
    <x v="25"/>
    <n v="3148.4"/>
  </r>
  <r>
    <x v="64"/>
    <s v="Продажа"/>
    <n v="190"/>
    <x v="47"/>
    <n v="-3528.3"/>
  </r>
  <r>
    <x v="64"/>
    <s v="Покупка"/>
    <n v="490"/>
    <x v="8"/>
    <n v="9099.2999999999993"/>
  </r>
  <r>
    <x v="65"/>
    <s v="Продажа"/>
    <n v="160"/>
    <x v="48"/>
    <n v="-2996.8"/>
  </r>
  <r>
    <x v="66"/>
    <s v="Продажа"/>
    <n v="410"/>
    <x v="49"/>
    <n v="-7675.2"/>
  </r>
  <r>
    <x v="67"/>
    <s v="Продажа"/>
    <n v="470"/>
    <x v="34"/>
    <n v="-8460"/>
  </r>
  <r>
    <x v="68"/>
    <s v="Покупка"/>
    <n v="390"/>
    <x v="50"/>
    <n v="6879.6"/>
  </r>
  <r>
    <x v="69"/>
    <s v="Продажа"/>
    <n v="380"/>
    <x v="51"/>
    <n v="-6623.4"/>
  </r>
  <r>
    <x v="70"/>
    <s v="Покупка"/>
    <n v="170"/>
    <x v="25"/>
    <n v="2912.1"/>
  </r>
  <r>
    <x v="71"/>
    <s v="Покупка"/>
    <n v="440"/>
    <x v="52"/>
    <n v="7722"/>
  </r>
  <r>
    <x v="72"/>
    <s v="Продажа"/>
    <n v="160"/>
    <x v="48"/>
    <n v="-2859.2000000000003"/>
  </r>
  <r>
    <x v="73"/>
    <s v="Продажа"/>
    <n v="330"/>
    <x v="53"/>
    <n v="-5850.9000000000005"/>
  </r>
  <r>
    <x v="74"/>
    <s v="Покупка"/>
    <n v="50"/>
    <x v="54"/>
    <n v="803.5"/>
  </r>
  <r>
    <x v="75"/>
    <s v="Продажа"/>
    <n v="350"/>
    <x v="4"/>
    <n v="-5802.9999999999991"/>
  </r>
  <r>
    <x v="76"/>
    <s v="Продажа"/>
    <n v="320"/>
    <x v="55"/>
    <n v="-5324.8"/>
  </r>
  <r>
    <x v="77"/>
    <s v="Покупка"/>
    <n v="480"/>
    <x v="2"/>
    <n v="8236.7999999999993"/>
  </r>
  <r>
    <x v="78"/>
    <s v="Продажа"/>
    <n v="20"/>
    <x v="32"/>
    <n v="-351.4"/>
  </r>
  <r>
    <x v="79"/>
    <s v="Продажа"/>
    <n v="110"/>
    <x v="56"/>
    <n v="-1893.1000000000001"/>
  </r>
  <r>
    <x v="80"/>
    <s v="Продажа"/>
    <n v="90"/>
    <x v="57"/>
    <n v="-1544.4"/>
  </r>
  <r>
    <x v="81"/>
    <s v="Продажа"/>
    <n v="170"/>
    <x v="27"/>
    <n v="-2934.2000000000003"/>
  </r>
  <r>
    <x v="82"/>
    <s v="Продажа"/>
    <n v="170"/>
    <x v="27"/>
    <n v="-2959.7"/>
  </r>
  <r>
    <x v="83"/>
    <s v="Покупка"/>
    <n v="290"/>
    <x v="21"/>
    <n v="5025.7"/>
  </r>
  <r>
    <x v="84"/>
    <s v="Покупка"/>
    <n v="110"/>
    <x v="29"/>
    <n v="1922.8"/>
  </r>
  <r>
    <x v="85"/>
    <s v="Продажа"/>
    <n v="230"/>
    <x v="33"/>
    <n v="-4123.8999999999996"/>
  </r>
  <r>
    <x v="85"/>
    <s v="Продажа"/>
    <n v="110"/>
    <x v="56"/>
    <n v="-1972.3"/>
  </r>
  <r>
    <x v="86"/>
    <s v="Покупка"/>
    <n v="10"/>
    <x v="58"/>
    <n v="181.20000000000002"/>
  </r>
  <r>
    <x v="87"/>
    <s v="Продажа"/>
    <n v="440"/>
    <x v="17"/>
    <n v="-8047.5999999999995"/>
  </r>
  <r>
    <x v="88"/>
    <s v="Продажа"/>
    <n v="60"/>
    <x v="19"/>
    <n v="-1075.8"/>
  </r>
  <r>
    <x v="88"/>
    <s v="Покупка"/>
    <n v="60"/>
    <x v="1"/>
    <n v="1075.8"/>
  </r>
  <r>
    <x v="89"/>
    <s v="Продажа"/>
    <n v="150"/>
    <x v="5"/>
    <n v="-2706"/>
  </r>
  <r>
    <x v="89"/>
    <s v="Продажа"/>
    <n v="420"/>
    <x v="59"/>
    <n v="-7576.7999999999993"/>
  </r>
  <r>
    <x v="90"/>
    <s v="Покупка"/>
    <n v="50"/>
    <x v="54"/>
    <n v="965.49999999999989"/>
  </r>
  <r>
    <x v="91"/>
    <s v="Продажа"/>
    <n v="190"/>
    <x v="47"/>
    <n v="-3714.5"/>
  </r>
  <r>
    <x v="92"/>
    <s v="Покупка"/>
    <n v="120"/>
    <x v="60"/>
    <n v="2335.2000000000003"/>
  </r>
  <r>
    <x v="93"/>
    <s v="Покупка"/>
    <n v="60"/>
    <x v="1"/>
    <n v="1185.6000000000001"/>
  </r>
  <r>
    <x v="94"/>
    <s v="Покупка"/>
    <n v="50"/>
    <x v="54"/>
    <n v="1096"/>
  </r>
  <r>
    <x v="95"/>
    <s v="Покупка"/>
    <n v="140"/>
    <x v="61"/>
    <n v="3087"/>
  </r>
  <r>
    <x v="96"/>
    <s v="Продажа"/>
    <n v="370"/>
    <x v="62"/>
    <n v="-8254.6999999999989"/>
  </r>
  <r>
    <x v="97"/>
    <s v="Покупка"/>
    <n v="40"/>
    <x v="63"/>
    <n v="891.59999999999991"/>
  </r>
  <r>
    <x v="98"/>
    <s v="Покупка"/>
    <n v="230"/>
    <x v="37"/>
    <n v="5099.1000000000004"/>
  </r>
  <r>
    <x v="99"/>
    <s v="Продажа"/>
    <n v="390"/>
    <x v="36"/>
    <n v="-8732.1"/>
  </r>
  <r>
    <x v="100"/>
    <s v="Покупка"/>
    <n v="110"/>
    <x v="29"/>
    <n v="2481.6"/>
  </r>
  <r>
    <x v="101"/>
    <s v="Продажа"/>
    <n v="180"/>
    <x v="64"/>
    <n v="-4138.2"/>
  </r>
  <r>
    <x v="102"/>
    <s v="Продажа"/>
    <n v="480"/>
    <x v="38"/>
    <n v="-10944"/>
  </r>
  <r>
    <x v="102"/>
    <s v="Продажа"/>
    <n v="330"/>
    <x v="53"/>
    <n v="-7524"/>
  </r>
  <r>
    <x v="103"/>
    <s v="Продажа"/>
    <n v="140"/>
    <x v="65"/>
    <n v="-3131.8"/>
  </r>
  <r>
    <x v="104"/>
    <s v="Продажа"/>
    <n v="490"/>
    <x v="66"/>
    <n v="-11470.9"/>
  </r>
  <r>
    <x v="104"/>
    <s v="Продажа"/>
    <n v="460"/>
    <x v="67"/>
    <n v="-10768.6"/>
  </r>
  <r>
    <x v="105"/>
    <s v="Покупка"/>
    <n v="460"/>
    <x v="68"/>
    <n v="10718"/>
  </r>
  <r>
    <x v="106"/>
    <s v="Покупка"/>
    <n v="130"/>
    <x v="6"/>
    <n v="3107"/>
  </r>
  <r>
    <x v="107"/>
    <s v="Продажа"/>
    <n v="90"/>
    <x v="57"/>
    <n v="-2172.6"/>
  </r>
  <r>
    <x v="108"/>
    <s v="Продажа"/>
    <n v="180"/>
    <x v="64"/>
    <n v="-4298.3999999999996"/>
  </r>
  <r>
    <x v="109"/>
    <s v="Продажа"/>
    <n v="60"/>
    <x v="19"/>
    <n v="-1434"/>
  </r>
  <r>
    <x v="110"/>
    <s v="Покупка"/>
    <n v="230"/>
    <x v="37"/>
    <n v="5510.8"/>
  </r>
  <r>
    <x v="111"/>
    <s v="Продажа"/>
    <n v="400"/>
    <x v="69"/>
    <n v="-9452"/>
  </r>
  <r>
    <x v="112"/>
    <s v="Покупка"/>
    <n v="500"/>
    <x v="70"/>
    <n v="11985"/>
  </r>
  <r>
    <x v="113"/>
    <s v="Продажа"/>
    <n v="130"/>
    <x v="35"/>
    <n v="-3147.3"/>
  </r>
  <r>
    <x v="114"/>
    <s v="Покупка"/>
    <n v="70"/>
    <x v="42"/>
    <n v="1703.1"/>
  </r>
  <r>
    <x v="115"/>
    <s v="Продажа"/>
    <n v="290"/>
    <x v="16"/>
    <n v="-6887.5"/>
  </r>
  <r>
    <x v="116"/>
    <s v="Продажа"/>
    <n v="490"/>
    <x v="66"/>
    <n v="-11397.400000000001"/>
  </r>
  <r>
    <x v="117"/>
    <s v="Покупка"/>
    <n v="500"/>
    <x v="70"/>
    <n v="11555"/>
  </r>
  <r>
    <x v="118"/>
    <s v="Продажа"/>
    <n v="70"/>
    <x v="3"/>
    <n v="-1653.4"/>
  </r>
  <r>
    <x v="119"/>
    <s v="Продажа"/>
    <n v="350"/>
    <x v="4"/>
    <n v="-8158.5"/>
  </r>
  <r>
    <x v="120"/>
    <s v="Продажа"/>
    <n v="480"/>
    <x v="38"/>
    <n v="-11390.4"/>
  </r>
  <r>
    <x v="121"/>
    <s v="Покупка"/>
    <n v="380"/>
    <x v="45"/>
    <n v="9009.8000000000011"/>
  </r>
  <r>
    <x v="122"/>
    <s v="Продажа"/>
    <n v="440"/>
    <x v="17"/>
    <n v="-10441.200000000001"/>
  </r>
  <r>
    <x v="123"/>
    <s v="Покупка"/>
    <n v="330"/>
    <x v="24"/>
    <n v="7854"/>
  </r>
  <r>
    <x v="124"/>
    <s v="Продажа"/>
    <n v="340"/>
    <x v="14"/>
    <n v="-7966.2"/>
  </r>
  <r>
    <x v="125"/>
    <s v="Продажа"/>
    <n v="100"/>
    <x v="71"/>
    <n v="-2282"/>
  </r>
  <r>
    <x v="126"/>
    <s v="Покупка"/>
    <n v="130"/>
    <x v="6"/>
    <n v="2871.7"/>
  </r>
  <r>
    <x v="127"/>
    <s v="Покупка"/>
    <n v="320"/>
    <x v="72"/>
    <n v="6876.7999999999993"/>
  </r>
  <r>
    <x v="128"/>
    <s v="Продажа"/>
    <n v="170"/>
    <x v="27"/>
    <n v="-3755.3"/>
  </r>
  <r>
    <x v="129"/>
    <s v="Продажа"/>
    <n v="450"/>
    <x v="73"/>
    <n v="-9769.5"/>
  </r>
  <r>
    <x v="130"/>
    <s v="Покупка"/>
    <n v="280"/>
    <x v="40"/>
    <n v="6230"/>
  </r>
  <r>
    <x v="131"/>
    <s v="Покупка"/>
    <n v="210"/>
    <x v="74"/>
    <n v="4594.8"/>
  </r>
  <r>
    <x v="132"/>
    <s v="Продажа"/>
    <n v="350"/>
    <x v="4"/>
    <n v="-7276.5"/>
  </r>
  <r>
    <x v="132"/>
    <s v="Продажа"/>
    <n v="110"/>
    <x v="56"/>
    <n v="-2286.9"/>
  </r>
  <r>
    <x v="133"/>
    <s v="Продажа"/>
    <n v="100"/>
    <x v="71"/>
    <n v="-2071"/>
  </r>
  <r>
    <x v="133"/>
    <s v="Продажа"/>
    <n v="420"/>
    <x v="59"/>
    <n v="-8698.2000000000007"/>
  </r>
  <r>
    <x v="134"/>
    <s v="Покупка"/>
    <n v="190"/>
    <x v="15"/>
    <n v="4115.3999999999996"/>
  </r>
  <r>
    <x v="135"/>
    <s v="Продажа"/>
    <n v="490"/>
    <x v="66"/>
    <n v="-11554.199999999999"/>
  </r>
  <r>
    <x v="136"/>
    <s v="Покупка"/>
    <n v="350"/>
    <x v="10"/>
    <n v="8354.5"/>
  </r>
  <r>
    <x v="137"/>
    <s v="Покупка"/>
    <n v="390"/>
    <x v="50"/>
    <n v="9383.4"/>
  </r>
  <r>
    <x v="138"/>
    <s v="Продажа"/>
    <n v="50"/>
    <x v="75"/>
    <n v="-1198"/>
  </r>
  <r>
    <x v="138"/>
    <s v="Покупка"/>
    <n v="250"/>
    <x v="76"/>
    <n v="5990"/>
  </r>
  <r>
    <x v="139"/>
    <s v="Покупка"/>
    <n v="240"/>
    <x v="77"/>
    <n v="6048"/>
  </r>
  <r>
    <x v="140"/>
    <s v="Продажа"/>
    <n v="370"/>
    <x v="62"/>
    <n v="-9394.3000000000011"/>
  </r>
  <r>
    <x v="141"/>
    <s v="Продажа"/>
    <n v="350"/>
    <x v="4"/>
    <n v="-8582"/>
  </r>
  <r>
    <x v="142"/>
    <s v="Продажа"/>
    <n v="200"/>
    <x v="11"/>
    <n v="-4930"/>
  </r>
  <r>
    <x v="143"/>
    <s v="Продажа"/>
    <n v="230"/>
    <x v="33"/>
    <n v="-5618.9"/>
  </r>
  <r>
    <x v="144"/>
    <s v="Покупка"/>
    <n v="390"/>
    <x v="50"/>
    <n v="9512.1"/>
  </r>
  <r>
    <x v="145"/>
    <s v="Продажа"/>
    <n v="430"/>
    <x v="78"/>
    <n v="-10500.6"/>
  </r>
  <r>
    <x v="146"/>
    <s v="Покупка"/>
    <n v="310"/>
    <x v="79"/>
    <n v="7616.7"/>
  </r>
  <r>
    <x v="147"/>
    <s v="Продажа"/>
    <n v="360"/>
    <x v="0"/>
    <n v="-8863.2000000000007"/>
  </r>
  <r>
    <x v="147"/>
    <s v="Покупка"/>
    <n v="250"/>
    <x v="76"/>
    <n v="6155"/>
  </r>
  <r>
    <x v="148"/>
    <s v="Продажа"/>
    <n v="440"/>
    <x v="17"/>
    <n v="-11325.599999999999"/>
  </r>
  <r>
    <x v="149"/>
    <s v="Продажа"/>
    <n v="170"/>
    <x v="27"/>
    <n v="-4484.5999999999995"/>
  </r>
  <r>
    <x v="150"/>
    <s v="Покупка"/>
    <n v="130"/>
    <x v="6"/>
    <n v="3432"/>
  </r>
  <r>
    <x v="151"/>
    <s v="Продажа"/>
    <n v="270"/>
    <x v="80"/>
    <n v="-7179.3"/>
  </r>
  <r>
    <x v="151"/>
    <s v="Продажа"/>
    <n v="370"/>
    <x v="62"/>
    <n v="-9838.2999999999993"/>
  </r>
  <r>
    <x v="151"/>
    <s v="Продажа"/>
    <n v="100"/>
    <x v="71"/>
    <n v="-2659"/>
  </r>
  <r>
    <x v="152"/>
    <s v="Покупка"/>
    <n v="180"/>
    <x v="81"/>
    <n v="4743"/>
  </r>
  <r>
    <x v="153"/>
    <s v="Покупка"/>
    <n v="410"/>
    <x v="22"/>
    <n v="10869.1"/>
  </r>
  <r>
    <x v="154"/>
    <s v="Покупка"/>
    <n v="80"/>
    <x v="13"/>
    <n v="2180.8000000000002"/>
  </r>
  <r>
    <x v="155"/>
    <s v="Покупка"/>
    <n v="370"/>
    <x v="82"/>
    <n v="10293.4"/>
  </r>
  <r>
    <x v="156"/>
    <s v="Покупка"/>
    <n v="490"/>
    <x v="8"/>
    <n v="13597.5"/>
  </r>
  <r>
    <x v="157"/>
    <s v="Продажа"/>
    <n v="460"/>
    <x v="67"/>
    <n v="-12995"/>
  </r>
  <r>
    <x v="158"/>
    <s v="Покупка"/>
    <n v="80"/>
    <x v="13"/>
    <n v="2217.6"/>
  </r>
  <r>
    <x v="159"/>
    <s v="Покупка"/>
    <n v="200"/>
    <x v="83"/>
    <n v="5624"/>
  </r>
  <r>
    <x v="160"/>
    <s v="Покупка"/>
    <n v="80"/>
    <x v="13"/>
    <n v="2210.4"/>
  </r>
  <r>
    <x v="161"/>
    <s v="Покупка"/>
    <n v="390"/>
    <x v="50"/>
    <n v="10650.9"/>
  </r>
  <r>
    <x v="162"/>
    <s v="Покупка"/>
    <n v="380"/>
    <x v="45"/>
    <n v="10484.200000000001"/>
  </r>
  <r>
    <x v="163"/>
    <s v="Продажа"/>
    <n v="120"/>
    <x v="84"/>
    <n v="-3338.4"/>
  </r>
  <r>
    <x v="164"/>
    <s v="Продажа"/>
    <n v="190"/>
    <x v="47"/>
    <n v="-5242.1000000000004"/>
  </r>
  <r>
    <x v="165"/>
    <s v="Продажа"/>
    <n v="20"/>
    <x v="32"/>
    <n v="-548.40000000000009"/>
  </r>
  <r>
    <x v="166"/>
    <s v="Покупка"/>
    <n v="220"/>
    <x v="39"/>
    <n v="5902.5999999999995"/>
  </r>
  <r>
    <x v="167"/>
    <s v="Покупка"/>
    <n v="350"/>
    <x v="10"/>
    <n v="9411.5"/>
  </r>
  <r>
    <x v="168"/>
    <s v="Покупка"/>
    <n v="30"/>
    <x v="85"/>
    <n v="805.2"/>
  </r>
  <r>
    <x v="169"/>
    <s v="Продажа"/>
    <n v="360"/>
    <x v="0"/>
    <n v="-9615.6"/>
  </r>
  <r>
    <x v="170"/>
    <s v="Покупка"/>
    <n v="290"/>
    <x v="21"/>
    <n v="7844.5"/>
  </r>
  <r>
    <x v="171"/>
    <s v="Продажа"/>
    <n v="120"/>
    <x v="84"/>
    <n v="-3481.2000000000003"/>
  </r>
  <r>
    <x v="172"/>
    <s v="Продажа"/>
    <n v="370"/>
    <x v="62"/>
    <n v="-10726.3"/>
  </r>
  <r>
    <x v="173"/>
    <s v="Покупка"/>
    <n v="270"/>
    <x v="12"/>
    <n v="7789.5"/>
  </r>
  <r>
    <x v="174"/>
    <s v="Продажа"/>
    <n v="30"/>
    <x v="44"/>
    <n v="-884.09999999999991"/>
  </r>
  <r>
    <x v="175"/>
    <s v="Покупка"/>
    <n v="110"/>
    <x v="29"/>
    <n v="3219.7"/>
  </r>
  <r>
    <x v="176"/>
    <s v="Продажа"/>
    <n v="40"/>
    <x v="20"/>
    <n v="-1177.6000000000001"/>
  </r>
  <r>
    <x v="177"/>
    <s v="Покупка"/>
    <n v="200"/>
    <x v="83"/>
    <n v="5938"/>
  </r>
  <r>
    <x v="178"/>
    <s v="Покупка"/>
    <n v="210"/>
    <x v="74"/>
    <n v="6218.0999999999995"/>
  </r>
  <r>
    <x v="178"/>
    <s v="Продажа"/>
    <n v="80"/>
    <x v="86"/>
    <n v="-2368.8000000000002"/>
  </r>
  <r>
    <x v="179"/>
    <s v="Покупка"/>
    <n v="380"/>
    <x v="45"/>
    <n v="10830"/>
  </r>
  <r>
    <x v="180"/>
    <s v="Покупка"/>
    <n v="20"/>
    <x v="87"/>
    <n v="563.20000000000005"/>
  </r>
  <r>
    <x v="181"/>
    <s v="Покупка"/>
    <n v="370"/>
    <x v="82"/>
    <n v="10578.3"/>
  </r>
  <r>
    <x v="181"/>
    <s v="Продажа"/>
    <n v="10"/>
    <x v="18"/>
    <n v="-285.89999999999998"/>
  </r>
  <r>
    <x v="182"/>
    <s v="Продажа"/>
    <n v="210"/>
    <x v="31"/>
    <n v="-5978.7"/>
  </r>
  <r>
    <x v="183"/>
    <s v="Покупка"/>
    <n v="210"/>
    <x v="74"/>
    <n v="6018.6"/>
  </r>
  <r>
    <x v="183"/>
    <s v="Продажа"/>
    <n v="80"/>
    <x v="86"/>
    <n v="-2292.8000000000002"/>
  </r>
  <r>
    <x v="184"/>
    <s v="Продажа"/>
    <n v="350"/>
    <x v="4"/>
    <n v="-8834"/>
  </r>
  <r>
    <x v="185"/>
    <s v="Продажа"/>
    <n v="80"/>
    <x v="86"/>
    <n v="-2061.6"/>
  </r>
  <r>
    <x v="186"/>
    <s v="Продажа"/>
    <n v="240"/>
    <x v="88"/>
    <n v="-6148.8"/>
  </r>
  <r>
    <x v="187"/>
    <s v="Продажа"/>
    <n v="90"/>
    <x v="57"/>
    <n v="-2275.2000000000003"/>
  </r>
  <r>
    <x v="188"/>
    <s v="Продажа"/>
    <n v="100"/>
    <x v="71"/>
    <n v="-2796"/>
  </r>
  <r>
    <x v="189"/>
    <s v="Продажа"/>
    <n v="30"/>
    <x v="44"/>
    <n v="-822.9"/>
  </r>
  <r>
    <x v="190"/>
    <s v="Продажа"/>
    <n v="120"/>
    <x v="84"/>
    <n v="-3295.2000000000003"/>
  </r>
  <r>
    <x v="191"/>
    <s v="Продажа"/>
    <n v="330"/>
    <x v="53"/>
    <n v="-9144.3000000000011"/>
  </r>
  <r>
    <x v="192"/>
    <s v="Продажа"/>
    <n v="450"/>
    <x v="73"/>
    <n v="-12717"/>
  </r>
  <r>
    <x v="193"/>
    <s v="Продажа"/>
    <n v="370"/>
    <x v="62"/>
    <n v="-10515.400000000001"/>
  </r>
  <r>
    <x v="193"/>
    <s v="Покупка"/>
    <n v="280"/>
    <x v="40"/>
    <n v="7957.6"/>
  </r>
  <r>
    <x v="194"/>
    <s v="Покупка"/>
    <n v="100"/>
    <x v="30"/>
    <n v="2833"/>
  </r>
  <r>
    <x v="195"/>
    <s v="Покупка"/>
    <n v="330"/>
    <x v="24"/>
    <n v="9226.8000000000011"/>
  </r>
  <r>
    <x v="196"/>
    <s v="Покупка"/>
    <n v="420"/>
    <x v="43"/>
    <n v="11088"/>
  </r>
  <r>
    <x v="197"/>
    <s v="Покупка"/>
    <n v="260"/>
    <x v="89"/>
    <n v="6947.2"/>
  </r>
  <r>
    <x v="198"/>
    <s v="Покупка"/>
    <n v="220"/>
    <x v="39"/>
    <n v="5790.4"/>
  </r>
  <r>
    <x v="199"/>
    <s v="Покупка"/>
    <n v="290"/>
    <x v="21"/>
    <n v="7308"/>
  </r>
  <r>
    <x v="200"/>
    <s v="Продажа"/>
    <n v="460"/>
    <x v="67"/>
    <n v="-11923.2"/>
  </r>
  <r>
    <x v="200"/>
    <s v="Продажа"/>
    <n v="190"/>
    <x v="47"/>
    <n v="-4924.8"/>
  </r>
  <r>
    <x v="201"/>
    <s v="Покупка"/>
    <n v="160"/>
    <x v="28"/>
    <n v="4334.3999999999996"/>
  </r>
  <r>
    <x v="202"/>
    <s v="Продажа"/>
    <n v="140"/>
    <x v="65"/>
    <n v="-3808"/>
  </r>
  <r>
    <x v="203"/>
    <s v="Продажа"/>
    <n v="180"/>
    <x v="64"/>
    <n v="-5137.2"/>
  </r>
  <r>
    <x v="204"/>
    <s v="Продажа"/>
    <n v="420"/>
    <x v="59"/>
    <n v="-11621.400000000001"/>
  </r>
  <r>
    <x v="205"/>
    <s v="Покупка"/>
    <n v="420"/>
    <x v="43"/>
    <n v="11314.800000000001"/>
  </r>
  <r>
    <x v="205"/>
    <s v="Продажа"/>
    <n v="370"/>
    <x v="62"/>
    <n v="-9967.8000000000011"/>
  </r>
  <r>
    <x v="206"/>
    <s v="Продажа"/>
    <n v="40"/>
    <x v="20"/>
    <n v="-1081.2"/>
  </r>
  <r>
    <x v="207"/>
    <s v="Покупка"/>
    <n v="490"/>
    <x v="8"/>
    <n v="13386.8"/>
  </r>
  <r>
    <x v="208"/>
    <s v="Продажа"/>
    <n v="50"/>
    <x v="75"/>
    <n v="-1342"/>
  </r>
  <r>
    <x v="209"/>
    <s v="Продажа"/>
    <n v="190"/>
    <x v="47"/>
    <n v="-5196.5"/>
  </r>
  <r>
    <x v="210"/>
    <s v="Покупка"/>
    <n v="350"/>
    <x v="10"/>
    <n v="9628.5"/>
  </r>
  <r>
    <x v="211"/>
    <s v="Покупка"/>
    <n v="270"/>
    <x v="12"/>
    <n v="7533"/>
  </r>
  <r>
    <x v="212"/>
    <s v="Продажа"/>
    <n v="180"/>
    <x v="64"/>
    <n v="-5081.3999999999996"/>
  </r>
  <r>
    <x v="213"/>
    <s v="Покупка"/>
    <n v="60"/>
    <x v="1"/>
    <n v="1733.4"/>
  </r>
  <r>
    <x v="213"/>
    <s v="Продажа"/>
    <n v="130"/>
    <x v="35"/>
    <n v="-3755.7000000000003"/>
  </r>
  <r>
    <x v="214"/>
    <s v="Покупка"/>
    <n v="490"/>
    <x v="8"/>
    <n v="14072.8"/>
  </r>
  <r>
    <x v="215"/>
    <s v="Продажа"/>
    <n v="260"/>
    <x v="9"/>
    <n v="-7701.2"/>
  </r>
  <r>
    <x v="215"/>
    <s v="Продажа"/>
    <n v="100"/>
    <x v="71"/>
    <n v="-2962"/>
  </r>
  <r>
    <x v="216"/>
    <s v="Покупка"/>
    <n v="240"/>
    <x v="77"/>
    <n v="7276.8"/>
  </r>
  <r>
    <x v="217"/>
    <s v="Покупка"/>
    <n v="210"/>
    <x v="74"/>
    <n v="6394.5"/>
  </r>
  <r>
    <x v="217"/>
    <s v="Покупка"/>
    <n v="280"/>
    <x v="40"/>
    <n v="8526"/>
  </r>
  <r>
    <x v="217"/>
    <s v="Покупка"/>
    <n v="120"/>
    <x v="60"/>
    <n v="3654"/>
  </r>
  <r>
    <x v="218"/>
    <s v="Покупка"/>
    <n v="440"/>
    <x v="52"/>
    <n v="13424.400000000001"/>
  </r>
  <r>
    <x v="219"/>
    <s v="Продажа"/>
    <n v="380"/>
    <x v="51"/>
    <n v="-11628"/>
  </r>
  <r>
    <x v="220"/>
    <s v="Покупка"/>
    <n v="10"/>
    <x v="58"/>
    <n v="343.2"/>
  </r>
  <r>
    <x v="221"/>
    <s v="Покупка"/>
    <n v="330"/>
    <x v="24"/>
    <n v="10876.800000000001"/>
  </r>
  <r>
    <x v="222"/>
    <s v="Продажа"/>
    <n v="270"/>
    <x v="80"/>
    <n v="-8702.0999999999985"/>
  </r>
  <r>
    <x v="223"/>
    <s v="Продажа"/>
    <n v="60"/>
    <x v="19"/>
    <n v="-1950"/>
  </r>
  <r>
    <x v="224"/>
    <s v="Покупка"/>
    <n v="300"/>
    <x v="90"/>
    <n v="9966"/>
  </r>
  <r>
    <x v="225"/>
    <s v="Продажа"/>
    <n v="150"/>
    <x v="5"/>
    <n v="-5068.5"/>
  </r>
  <r>
    <x v="226"/>
    <s v="Продажа"/>
    <n v="200"/>
    <x v="11"/>
    <n v="-6712"/>
  </r>
  <r>
    <x v="227"/>
    <s v="Покупка"/>
    <n v="190"/>
    <x v="15"/>
    <n v="6334.6"/>
  </r>
  <r>
    <x v="228"/>
    <s v="Продажа"/>
    <n v="340"/>
    <x v="14"/>
    <n v="-11481.800000000001"/>
  </r>
  <r>
    <x v="228"/>
    <s v="Продажа"/>
    <n v="180"/>
    <x v="64"/>
    <n v="-6078.6"/>
  </r>
  <r>
    <x v="229"/>
    <s v="Продажа"/>
    <n v="120"/>
    <x v="84"/>
    <n v="-4045.2000000000003"/>
  </r>
  <r>
    <x v="229"/>
    <s v="Продажа"/>
    <n v="270"/>
    <x v="80"/>
    <n v="-9101.7000000000007"/>
  </r>
  <r>
    <x v="230"/>
    <s v="Продажа"/>
    <n v="50"/>
    <x v="75"/>
    <n v="-1716"/>
  </r>
  <r>
    <x v="231"/>
    <s v="Покупка"/>
    <n v="390"/>
    <x v="50"/>
    <n v="13201.5"/>
  </r>
  <r>
    <x v="232"/>
    <s v="Покупка"/>
    <n v="440"/>
    <x v="52"/>
    <n v="14761.999999999998"/>
  </r>
  <r>
    <x v="233"/>
    <s v="Продажа"/>
    <n v="480"/>
    <x v="38"/>
    <n v="-16459.2"/>
  </r>
  <r>
    <x v="234"/>
    <s v="Продажа"/>
    <n v="100"/>
    <x v="71"/>
    <n v="-3540"/>
  </r>
  <r>
    <x v="235"/>
    <s v="Покупка"/>
    <n v="20"/>
    <x v="87"/>
    <n v="721"/>
  </r>
  <r>
    <x v="236"/>
    <s v="Покупка"/>
    <n v="140"/>
    <x v="61"/>
    <n v="5019"/>
  </r>
  <r>
    <x v="237"/>
    <s v="Покупка"/>
    <n v="490"/>
    <x v="8"/>
    <n v="17708.599999999999"/>
  </r>
  <r>
    <x v="238"/>
    <s v="Покупка"/>
    <n v="350"/>
    <x v="10"/>
    <n v="12754"/>
  </r>
  <r>
    <x v="239"/>
    <s v="Покупка"/>
    <n v="300"/>
    <x v="90"/>
    <n v="11217"/>
  </r>
  <r>
    <x v="240"/>
    <s v="Продажа"/>
    <n v="310"/>
    <x v="91"/>
    <n v="-11553.7"/>
  </r>
  <r>
    <x v="241"/>
    <s v="Покупка"/>
    <n v="110"/>
    <x v="29"/>
    <n v="4123.9000000000005"/>
  </r>
  <r>
    <x v="242"/>
    <s v="Продажа"/>
    <n v="80"/>
    <x v="86"/>
    <n v="-3080"/>
  </r>
  <r>
    <x v="243"/>
    <s v="Продажа"/>
    <n v="210"/>
    <x v="31"/>
    <n v="-8185.7999999999993"/>
  </r>
  <r>
    <x v="243"/>
    <s v="Покупка"/>
    <n v="440"/>
    <x v="52"/>
    <n v="17151.199999999997"/>
  </r>
  <r>
    <x v="244"/>
    <s v="Продажа"/>
    <n v="260"/>
    <x v="9"/>
    <n v="-9726.5999999999985"/>
  </r>
  <r>
    <x v="245"/>
    <s v="Покупка"/>
    <n v="190"/>
    <x v="15"/>
    <n v="6840"/>
  </r>
  <r>
    <x v="246"/>
    <s v="Продажа"/>
    <n v="70"/>
    <x v="3"/>
    <n v="-2667.7"/>
  </r>
  <r>
    <x v="247"/>
    <s v="Покупка"/>
    <n v="0"/>
    <x v="92"/>
    <n v="0"/>
  </r>
  <r>
    <x v="248"/>
    <s v="Покупка"/>
    <n v="320"/>
    <x v="72"/>
    <n v="12009.6"/>
  </r>
  <r>
    <x v="248"/>
    <s v="Продажа"/>
    <n v="320"/>
    <x v="55"/>
    <n v="-12009.6"/>
  </r>
  <r>
    <x v="248"/>
    <s v="Покупка"/>
    <n v="330"/>
    <x v="24"/>
    <n v="12384.9"/>
  </r>
  <r>
    <x v="249"/>
    <s v="Покупка"/>
    <n v="470"/>
    <x v="23"/>
    <n v="17103.3"/>
  </r>
  <r>
    <x v="250"/>
    <s v="Продажа"/>
    <n v="260"/>
    <x v="9"/>
    <n v="-9396.4"/>
  </r>
  <r>
    <x v="251"/>
    <s v="Покупка"/>
    <n v="370"/>
    <x v="82"/>
    <n v="13686.300000000001"/>
  </r>
  <r>
    <x v="252"/>
    <s v="Продажа"/>
    <n v="270"/>
    <x v="80"/>
    <n v="-9949.5"/>
  </r>
  <r>
    <x v="253"/>
    <s v="Продажа"/>
    <n v="100"/>
    <x v="71"/>
    <n v="-3844"/>
  </r>
  <r>
    <x v="254"/>
    <s v="Продажа"/>
    <n v="430"/>
    <x v="78"/>
    <n v="-15879.9"/>
  </r>
  <r>
    <x v="255"/>
    <s v="Покупка"/>
    <n v="90"/>
    <x v="93"/>
    <n v="3064.4999999999995"/>
  </r>
  <r>
    <x v="256"/>
    <s v="Покупка"/>
    <n v="500"/>
    <x v="70"/>
    <n v="17400"/>
  </r>
  <r>
    <x v="257"/>
    <s v="Продажа"/>
    <n v="480"/>
    <x v="38"/>
    <n v="-17529.600000000002"/>
  </r>
  <r>
    <x v="258"/>
    <s v="Покупка"/>
    <n v="150"/>
    <x v="26"/>
    <n v="5321.9999999999991"/>
  </r>
  <r>
    <x v="259"/>
    <s v="Продажа"/>
    <n v="30"/>
    <x v="44"/>
    <n v="-1096.8000000000002"/>
  </r>
  <r>
    <x v="260"/>
    <s v="Продажа"/>
    <n v="350"/>
    <x v="4"/>
    <n v="-12529.999999999998"/>
  </r>
  <r>
    <x v="261"/>
    <s v="Покупка"/>
    <n v="160"/>
    <x v="28"/>
    <n v="5252.7999999999993"/>
  </r>
  <r>
    <x v="262"/>
    <s v="Покупка"/>
    <n v="120"/>
    <x v="60"/>
    <n v="4240.8"/>
  </r>
  <r>
    <x v="263"/>
    <s v="Покупка"/>
    <n v="10"/>
    <x v="58"/>
    <n v="329.09999999999997"/>
  </r>
  <r>
    <x v="264"/>
    <s v="Покупка"/>
    <n v="250"/>
    <x v="76"/>
    <n v="8552.5"/>
  </r>
  <r>
    <x v="265"/>
    <s v="Покупка"/>
    <n v="340"/>
    <x v="7"/>
    <n v="12199.2"/>
  </r>
  <r>
    <x v="266"/>
    <s v="Продажа"/>
    <n v="90"/>
    <x v="57"/>
    <n v="-3200.4"/>
  </r>
  <r>
    <x v="267"/>
    <s v="Покупка"/>
    <n v="140"/>
    <x v="61"/>
    <n v="5276.5999999999995"/>
  </r>
  <r>
    <x v="267"/>
    <s v="Покупка"/>
    <n v="160"/>
    <x v="28"/>
    <n v="6030.4"/>
  </r>
  <r>
    <x v="268"/>
    <s v="Продажа"/>
    <n v="340"/>
    <x v="14"/>
    <n v="-12529"/>
  </r>
  <r>
    <x v="269"/>
    <s v="Продажа"/>
    <n v="430"/>
    <x v="78"/>
    <n v="-16671.100000000002"/>
  </r>
  <r>
    <x v="269"/>
    <s v="Продажа"/>
    <n v="320"/>
    <x v="55"/>
    <n v="-12406.400000000001"/>
  </r>
  <r>
    <x v="270"/>
    <s v="Покупка"/>
    <n v="70"/>
    <x v="42"/>
    <n v="2719.5"/>
  </r>
  <r>
    <x v="271"/>
    <s v="Продажа"/>
    <n v="50"/>
    <x v="75"/>
    <n v="-1959.5"/>
  </r>
  <r>
    <x v="271"/>
    <s v="Продажа"/>
    <n v="480"/>
    <x v="38"/>
    <n v="-18811.199999999997"/>
  </r>
  <r>
    <x v="272"/>
    <s v="Покупка"/>
    <n v="390"/>
    <x v="50"/>
    <n v="15444"/>
  </r>
  <r>
    <x v="272"/>
    <s v="Покупка"/>
    <n v="160"/>
    <x v="28"/>
    <n v="6336"/>
  </r>
  <r>
    <x v="273"/>
    <s v="Продажа"/>
    <n v="70"/>
    <x v="3"/>
    <n v="-2790.2"/>
  </r>
  <r>
    <x v="274"/>
    <s v="Продажа"/>
    <n v="270"/>
    <x v="80"/>
    <n v="-10940.400000000001"/>
  </r>
  <r>
    <x v="275"/>
    <s v="Покупка"/>
    <n v="420"/>
    <x v="43"/>
    <n v="16850.399999999998"/>
  </r>
  <r>
    <x v="276"/>
    <s v="Покупка"/>
    <n v="60"/>
    <x v="1"/>
    <n v="2375.4"/>
  </r>
  <r>
    <x v="277"/>
    <s v="Покупка"/>
    <n v="60"/>
    <x v="1"/>
    <n v="2403"/>
  </r>
  <r>
    <x v="278"/>
    <s v="Покупка"/>
    <n v="10"/>
    <x v="58"/>
    <n v="379.7"/>
  </r>
  <r>
    <x v="279"/>
    <s v="Покупка"/>
    <n v="30"/>
    <x v="85"/>
    <n v="1145.1000000000001"/>
  </r>
  <r>
    <x v="280"/>
    <s v="Покупка"/>
    <n v="380"/>
    <x v="45"/>
    <n v="14246.2"/>
  </r>
  <r>
    <x v="281"/>
    <s v="Покупка"/>
    <n v="440"/>
    <x v="52"/>
    <n v="16865.2"/>
  </r>
  <r>
    <x v="282"/>
    <s v="Продажа"/>
    <n v="210"/>
    <x v="31"/>
    <n v="-8013.5999999999995"/>
  </r>
  <r>
    <x v="283"/>
    <s v="Продажа"/>
    <n v="280"/>
    <x v="41"/>
    <n v="-10682"/>
  </r>
  <r>
    <x v="284"/>
    <s v="Продажа"/>
    <n v="110"/>
    <x v="56"/>
    <n v="-4171.2"/>
  </r>
  <r>
    <x v="285"/>
    <s v="Покупка"/>
    <n v="170"/>
    <x v="25"/>
    <n v="5968.7"/>
  </r>
  <r>
    <x v="286"/>
    <s v="Покупка"/>
    <n v="430"/>
    <x v="46"/>
    <n v="15239.199999999999"/>
  </r>
  <r>
    <x v="286"/>
    <s v="Продажа"/>
    <n v="170"/>
    <x v="27"/>
    <n v="-6024.7999999999993"/>
  </r>
  <r>
    <x v="287"/>
    <s v="Покупка"/>
    <n v="60"/>
    <x v="1"/>
    <n v="2215.8000000000002"/>
  </r>
  <r>
    <x v="287"/>
    <s v="Покупка"/>
    <n v="420"/>
    <x v="43"/>
    <n v="15510.6"/>
  </r>
  <r>
    <x v="288"/>
    <s v="Покупка"/>
    <n v="440"/>
    <x v="52"/>
    <n v="16447.2"/>
  </r>
  <r>
    <x v="289"/>
    <s v="Покупка"/>
    <n v="340"/>
    <x v="7"/>
    <n v="12542.6"/>
  </r>
  <r>
    <x v="290"/>
    <s v="Покупка"/>
    <n v="450"/>
    <x v="94"/>
    <n v="16542"/>
  </r>
  <r>
    <x v="291"/>
    <s v="Продажа"/>
    <n v="440"/>
    <x v="17"/>
    <n v="-16420.8"/>
  </r>
  <r>
    <x v="292"/>
    <s v="Покупка"/>
    <n v="0"/>
    <x v="92"/>
    <n v="0"/>
  </r>
  <r>
    <x v="293"/>
    <s v="Покупка"/>
    <n v="140"/>
    <x v="61"/>
    <n v="5381.5999999999995"/>
  </r>
  <r>
    <x v="294"/>
    <s v="Покупка"/>
    <n v="140"/>
    <x v="61"/>
    <n v="5675.5999999999995"/>
  </r>
  <r>
    <x v="295"/>
    <s v="Покупка"/>
    <n v="290"/>
    <x v="21"/>
    <n v="11721.800000000001"/>
  </r>
  <r>
    <x v="296"/>
    <s v="Продажа"/>
    <n v="390"/>
    <x v="36"/>
    <n v="-15865.2"/>
  </r>
  <r>
    <x v="297"/>
    <s v="Покупка"/>
    <n v="430"/>
    <x v="46"/>
    <n v="17926.7"/>
  </r>
  <r>
    <x v="298"/>
    <s v="Продажа"/>
    <n v="120"/>
    <x v="84"/>
    <n v="-4966.8"/>
  </r>
  <r>
    <x v="299"/>
    <s v="Покупка"/>
    <n v="120"/>
    <x v="60"/>
    <n v="5148"/>
  </r>
  <r>
    <x v="300"/>
    <s v="Покупка"/>
    <n v="410"/>
    <x v="22"/>
    <n v="17584.900000000001"/>
  </r>
  <r>
    <x v="301"/>
    <s v="Продажа"/>
    <n v="490"/>
    <x v="66"/>
    <n v="-21168"/>
  </r>
  <r>
    <x v="302"/>
    <s v="Покупка"/>
    <n v="150"/>
    <x v="26"/>
    <n v="6337.5"/>
  </r>
  <r>
    <x v="303"/>
    <s v="Продажа"/>
    <n v="220"/>
    <x v="95"/>
    <n v="-9312.6"/>
  </r>
  <r>
    <x v="303"/>
    <s v="Продажа"/>
    <n v="40"/>
    <x v="20"/>
    <n v="-1693.1999999999998"/>
  </r>
  <r>
    <x v="303"/>
    <s v="Продажа"/>
    <n v="490"/>
    <x v="66"/>
    <n v="-20741.7"/>
  </r>
  <r>
    <x v="304"/>
    <s v="Покупка"/>
    <n v="230"/>
    <x v="37"/>
    <n v="9701.4"/>
  </r>
  <r>
    <x v="305"/>
    <s v="Продажа"/>
    <n v="490"/>
    <x v="66"/>
    <n v="-21001.4"/>
  </r>
  <r>
    <x v="306"/>
    <s v="Продажа"/>
    <n v="400"/>
    <x v="69"/>
    <n v="-16572"/>
  </r>
  <r>
    <x v="307"/>
    <s v="Покупка"/>
    <n v="440"/>
    <x v="52"/>
    <n v="18422.8"/>
  </r>
  <r>
    <x v="308"/>
    <s v="Покупка"/>
    <n v="500"/>
    <x v="70"/>
    <n v="21345"/>
  </r>
  <r>
    <x v="309"/>
    <s v="Покупка"/>
    <n v="320"/>
    <x v="72"/>
    <n v="13510.4"/>
  </r>
  <r>
    <x v="309"/>
    <s v="Продажа"/>
    <n v="30"/>
    <x v="44"/>
    <n v="-1266.5999999999999"/>
  </r>
  <r>
    <x v="310"/>
    <s v="Покупка"/>
    <n v="180"/>
    <x v="81"/>
    <n v="7691.4"/>
  </r>
  <r>
    <x v="310"/>
    <s v="Продажа"/>
    <n v="330"/>
    <x v="53"/>
    <n v="-14100.9"/>
  </r>
  <r>
    <x v="311"/>
    <s v="Продажа"/>
    <n v="330"/>
    <x v="53"/>
    <n v="-13876.499999999998"/>
  </r>
  <r>
    <x v="312"/>
    <s v="Продажа"/>
    <n v="40"/>
    <x v="20"/>
    <n v="-1738"/>
  </r>
  <r>
    <x v="313"/>
    <s v="Покупка"/>
    <n v="280"/>
    <x v="40"/>
    <n v="11687.2"/>
  </r>
  <r>
    <x v="314"/>
    <s v="Покупка"/>
    <n v="490"/>
    <x v="8"/>
    <n v="20727"/>
  </r>
  <r>
    <x v="315"/>
    <s v="Покупка"/>
    <n v="210"/>
    <x v="74"/>
    <n v="8807.4"/>
  </r>
  <r>
    <x v="316"/>
    <s v="Покупка"/>
    <n v="210"/>
    <x v="74"/>
    <n v="9042.6"/>
  </r>
  <r>
    <x v="317"/>
    <s v="Покупка"/>
    <n v="30"/>
    <x v="85"/>
    <n v="1207.2"/>
  </r>
  <r>
    <x v="317"/>
    <s v="Покупка"/>
    <n v="130"/>
    <x v="6"/>
    <n v="5231.2"/>
  </r>
  <r>
    <x v="318"/>
    <s v="Покупка"/>
    <n v="240"/>
    <x v="77"/>
    <n v="9088.7999999999993"/>
  </r>
  <r>
    <x v="319"/>
    <s v="Покупка"/>
    <n v="100"/>
    <x v="30"/>
    <n v="3846"/>
  </r>
  <r>
    <x v="320"/>
    <s v="Покупка"/>
    <n v="440"/>
    <x v="52"/>
    <n v="17006"/>
  </r>
  <r>
    <x v="321"/>
    <s v="Продажа"/>
    <n v="460"/>
    <x v="67"/>
    <n v="-17562.8"/>
  </r>
  <r>
    <x v="322"/>
    <s v="Продажа"/>
    <n v="80"/>
    <x v="86"/>
    <n v="-3360.7999999999997"/>
  </r>
  <r>
    <x v="323"/>
    <s v="Продажа"/>
    <n v="90"/>
    <x v="57"/>
    <n v="-3688.2"/>
  </r>
  <r>
    <x v="323"/>
    <s v="Продажа"/>
    <n v="450"/>
    <x v="73"/>
    <n v="-18441"/>
  </r>
  <r>
    <x v="324"/>
    <s v="Продажа"/>
    <n v="490"/>
    <x v="66"/>
    <n v="-19952.8"/>
  </r>
  <r>
    <x v="325"/>
    <s v="Покупка"/>
    <n v="290"/>
    <x v="21"/>
    <n v="11747.9"/>
  </r>
  <r>
    <x v="326"/>
    <s v="Продажа"/>
    <n v="330"/>
    <x v="53"/>
    <n v="-14140.5"/>
  </r>
  <r>
    <x v="327"/>
    <s v="Продажа"/>
    <n v="360"/>
    <x v="0"/>
    <n v="-15573.599999999999"/>
  </r>
  <r>
    <x v="328"/>
    <s v="Покупка"/>
    <n v="270"/>
    <x v="12"/>
    <n v="11901.6"/>
  </r>
  <r>
    <x v="329"/>
    <s v="Покупка"/>
    <n v="340"/>
    <x v="7"/>
    <n v="15215"/>
  </r>
  <r>
    <x v="330"/>
    <s v="Продажа"/>
    <n v="160"/>
    <x v="48"/>
    <n v="-7259.2"/>
  </r>
  <r>
    <x v="331"/>
    <s v="Продажа"/>
    <n v="80"/>
    <x v="86"/>
    <n v="-3617.6"/>
  </r>
  <r>
    <x v="332"/>
    <s v="Покупка"/>
    <n v="170"/>
    <x v="25"/>
    <n v="7702.7000000000007"/>
  </r>
  <r>
    <x v="333"/>
    <s v="Покупка"/>
    <n v="110"/>
    <x v="29"/>
    <n v="4974.2"/>
  </r>
  <r>
    <x v="334"/>
    <s v="Покупка"/>
    <n v="160"/>
    <x v="28"/>
    <n v="7084.8"/>
  </r>
  <r>
    <x v="335"/>
    <s v="Продажа"/>
    <n v="240"/>
    <x v="88"/>
    <n v="-10236"/>
  </r>
  <r>
    <x v="335"/>
    <s v="Продажа"/>
    <n v="210"/>
    <x v="31"/>
    <n v="-8956.5"/>
  </r>
  <r>
    <x v="336"/>
    <s v="Покупка"/>
    <n v="20"/>
    <x v="87"/>
    <n v="868.19999999999993"/>
  </r>
  <r>
    <x v="337"/>
    <s v="Продажа"/>
    <n v="130"/>
    <x v="35"/>
    <n v="-5484.7"/>
  </r>
  <r>
    <x v="338"/>
    <s v="Продажа"/>
    <n v="370"/>
    <x v="62"/>
    <n v="-15654.7"/>
  </r>
  <r>
    <x v="339"/>
    <s v="Продажа"/>
    <n v="120"/>
    <x v="84"/>
    <n v="-5100"/>
  </r>
  <r>
    <x v="340"/>
    <s v="Продажа"/>
    <n v="360"/>
    <x v="0"/>
    <n v="-14367.599999999999"/>
  </r>
  <r>
    <x v="341"/>
    <s v="Продажа"/>
    <n v="450"/>
    <x v="73"/>
    <n v="-17725.5"/>
  </r>
  <r>
    <x v="342"/>
    <s v="Продажа"/>
    <n v="240"/>
    <x v="88"/>
    <n v="-8935.1999999999989"/>
  </r>
  <r>
    <x v="343"/>
    <s v="Продажа"/>
    <n v="70"/>
    <x v="3"/>
    <n v="-2632"/>
  </r>
  <r>
    <x v="344"/>
    <s v="Продажа"/>
    <n v="190"/>
    <x v="47"/>
    <n v="-6433.4"/>
  </r>
  <r>
    <x v="345"/>
    <s v="Продажа"/>
    <n v="220"/>
    <x v="95"/>
    <n v="-7112.5999999999995"/>
  </r>
  <r>
    <x v="346"/>
    <s v="Покупка"/>
    <n v="450"/>
    <x v="94"/>
    <n v="12258"/>
  </r>
  <r>
    <x v="347"/>
    <s v="Покупка"/>
    <n v="480"/>
    <x v="2"/>
    <n v="13545.599999999999"/>
  </r>
  <r>
    <x v="348"/>
    <s v="Покупка"/>
    <n v="200"/>
    <x v="83"/>
    <n v="6122"/>
  </r>
  <r>
    <x v="349"/>
    <s v="Покупка"/>
    <n v="220"/>
    <x v="39"/>
    <n v="6960.8"/>
  </r>
  <r>
    <x v="349"/>
    <s v="Продажа"/>
    <n v="320"/>
    <x v="55"/>
    <n v="-10124.799999999999"/>
  </r>
  <r>
    <x v="350"/>
    <s v="Покупка"/>
    <n v="210"/>
    <x v="74"/>
    <n v="7074.9"/>
  </r>
  <r>
    <x v="351"/>
    <s v="Покупка"/>
    <n v="20"/>
    <x v="87"/>
    <n v="702.6"/>
  </r>
  <r>
    <x v="352"/>
    <s v="Покупка"/>
    <n v="0"/>
    <x v="92"/>
    <n v="0"/>
  </r>
  <r>
    <x v="353"/>
    <s v="Покупка"/>
    <n v="20"/>
    <x v="87"/>
    <n v="728"/>
  </r>
  <r>
    <x v="354"/>
    <s v="Покупка"/>
    <n v="10"/>
    <x v="58"/>
    <n v="359.3"/>
  </r>
  <r>
    <x v="354"/>
    <s v="Продажа"/>
    <n v="300"/>
    <x v="96"/>
    <n v="-10779"/>
  </r>
  <r>
    <x v="355"/>
    <s v="Покупка"/>
    <n v="260"/>
    <x v="89"/>
    <n v="9744.7999999999993"/>
  </r>
  <r>
    <x v="355"/>
    <s v="Продажа"/>
    <n v="210"/>
    <x v="31"/>
    <n v="-7870.7999999999993"/>
  </r>
  <r>
    <x v="356"/>
    <s v="Покупка"/>
    <n v="240"/>
    <x v="77"/>
    <n v="8875.1999999999989"/>
  </r>
  <r>
    <x v="357"/>
    <s v="Продажа"/>
    <n v="470"/>
    <x v="34"/>
    <n v="-16811.900000000001"/>
  </r>
  <r>
    <x v="358"/>
    <s v="Продажа"/>
    <n v="250"/>
    <x v="97"/>
    <n v="-885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E0B83F-04DE-814E-B9E0-4039A3314E16}" name="Сводная таблица3" cacheId="20" applyNumberFormats="0" applyBorderFormats="0" applyFontFormats="0" applyPatternFormats="0" applyAlignmentFormats="0" applyWidthHeightFormats="1" dataCaption="Значения" updatedVersion="7" minRefreshableVersion="3" useAutoFormatting="1" itemPrintTitles="1" createdVersion="7" indent="0" outline="1" outlineData="1" multipleFieldFilters="0">
  <location ref="A42:C59" firstHeaderRow="1" firstDataRow="1" firstDataCol="0"/>
  <pivotFields count="7">
    <pivotField numFmtId="14" showAll="0"/>
    <pivotField showAll="0"/>
    <pivotField showAll="0"/>
    <pivotField showAll="0"/>
    <pivotField showAll="0"/>
    <pivotField showAll="0" defaultSubtotal="0"/>
    <pivotField showAll="0" defaultSubtota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143C17-C212-8444-BCC7-74CBBD100019}" name="Сводная таблица2" cacheId="20" applyNumberFormats="0" applyBorderFormats="0" applyFontFormats="0" applyPatternFormats="0" applyAlignmentFormats="0" applyWidthHeightFormats="1" dataCaption="Значения" updatedVersion="7" minRefreshableVersion="3" useAutoFormatting="1" rowGrandTotals="0" colGrandTotals="0" itemPrintTitles="1" createdVersion="7" indent="0" outline="1" outlineData="1" multipleFieldFilters="0">
  <location ref="J10:L27" firstHeaderRow="1" firstDataRow="1" firstDataCol="0"/>
  <pivotFields count="7">
    <pivotField numFmtId="14" showAll="0" defaultSubtotal="0">
      <items count="14">
        <item x="0"/>
        <item x="1"/>
        <item x="2"/>
        <item x="3"/>
        <item x="4"/>
        <item x="5"/>
        <item x="6"/>
        <item x="7"/>
        <item x="8"/>
        <item x="9"/>
        <item x="10"/>
        <item x="11"/>
        <item x="12"/>
        <item x="13"/>
      </items>
    </pivotField>
    <pivotField showAll="0"/>
    <pivotField showAll="0"/>
    <pivotField showAll="0">
      <items count="99">
        <item x="66"/>
        <item x="38"/>
        <item x="34"/>
        <item x="67"/>
        <item x="73"/>
        <item x="17"/>
        <item x="78"/>
        <item x="59"/>
        <item x="49"/>
        <item x="69"/>
        <item x="36"/>
        <item x="51"/>
        <item x="62"/>
        <item x="0"/>
        <item x="4"/>
        <item x="14"/>
        <item x="53"/>
        <item x="55"/>
        <item x="91"/>
        <item x="96"/>
        <item x="16"/>
        <item x="41"/>
        <item x="80"/>
        <item x="9"/>
        <item x="97"/>
        <item x="88"/>
        <item x="33"/>
        <item x="95"/>
        <item x="31"/>
        <item x="11"/>
        <item x="47"/>
        <item x="64"/>
        <item x="27"/>
        <item x="48"/>
        <item x="5"/>
        <item x="65"/>
        <item x="35"/>
        <item x="84"/>
        <item x="56"/>
        <item x="71"/>
        <item x="57"/>
        <item x="86"/>
        <item x="3"/>
        <item x="19"/>
        <item x="75"/>
        <item x="20"/>
        <item x="44"/>
        <item x="32"/>
        <item x="18"/>
        <item x="92"/>
        <item x="58"/>
        <item x="87"/>
        <item x="85"/>
        <item x="63"/>
        <item x="54"/>
        <item x="1"/>
        <item x="42"/>
        <item x="13"/>
        <item x="93"/>
        <item x="30"/>
        <item x="29"/>
        <item x="60"/>
        <item x="6"/>
        <item x="61"/>
        <item x="26"/>
        <item x="28"/>
        <item x="25"/>
        <item x="81"/>
        <item x="15"/>
        <item x="83"/>
        <item x="74"/>
        <item x="39"/>
        <item x="37"/>
        <item x="77"/>
        <item x="76"/>
        <item x="89"/>
        <item x="12"/>
        <item x="40"/>
        <item x="21"/>
        <item x="90"/>
        <item x="79"/>
        <item x="72"/>
        <item x="24"/>
        <item x="7"/>
        <item x="10"/>
        <item x="82"/>
        <item x="45"/>
        <item x="50"/>
        <item x="22"/>
        <item x="43"/>
        <item x="46"/>
        <item x="52"/>
        <item x="94"/>
        <item x="68"/>
        <item x="23"/>
        <item x="2"/>
        <item x="8"/>
        <item x="70"/>
        <item t="default"/>
      </items>
    </pivotField>
    <pivotField showAll="0"/>
    <pivotField showAll="0">
      <items count="7">
        <item sd="0" x="0"/>
        <item x="1"/>
        <item sd="0" x="2"/>
        <item sd="0" x="3"/>
        <item sd="0" x="4"/>
        <item sd="0" x="5"/>
        <item t="default"/>
      </items>
    </pivotField>
    <pivotField numFmtId="14" showAll="0">
      <items count="9">
        <item sd="0" x="0"/>
        <item x="1"/>
        <item sd="0" x="2"/>
        <item sd="0" x="3"/>
        <item sd="0" x="4"/>
        <item sd="0" x="5"/>
        <item sd="0" x="6"/>
        <item sd="0" x="7"/>
        <item t="default"/>
      </items>
    </pivotField>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E1:J1353">
  <tableColumns count="6">
    <tableColumn id="1" xr3:uid="{00000000-0010-0000-0000-000001000000}" name="Date"/>
    <tableColumn id="2" xr3:uid="{00000000-0010-0000-0000-000002000000}" name="Close"/>
    <tableColumn id="3" xr3:uid="{00000000-0010-0000-0000-000003000000}" name="Volume"/>
    <tableColumn id="4" xr3:uid="{00000000-0010-0000-0000-000004000000}" name="Stockname"/>
    <tableColumn id="5" xr3:uid="{00000000-0010-0000-0000-000005000000}" name="Доходность"/>
    <tableColumn id="6" xr3:uid="{8EA81189-2EA5-2347-AC9F-0C7EEC146F69}" name="Столбец1" dataDxfId="5"/>
  </tableColumns>
  <tableStyleInfo name="Акции-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E5:L1224">
  <autoFilter ref="E5:L1224" xr:uid="{00000000-000C-0000-FFFF-FFFF01000000}"/>
  <tableColumns count="8">
    <tableColumn id="1" xr3:uid="{00000000-0010-0000-0100-000001000000}" name="Номер"/>
    <tableColumn id="2" xr3:uid="{00000000-0010-0000-0100-000002000000}" name="Фамилия, имя"/>
    <tableColumn id="3" xr3:uid="{00000000-0010-0000-0100-000003000000}" name="Амплуа"/>
    <tableColumn id="4" xr3:uid="{00000000-0010-0000-0100-000004000000}" name="Дата рождения"/>
    <tableColumn id="5" xr3:uid="{00000000-0010-0000-0100-000005000000}" name="Возраст"/>
    <tableColumn id="6" xr3:uid="{00000000-0010-0000-0100-000006000000}" name="Гражданство"/>
    <tableColumn id="7" xr3:uid="{00000000-0010-0000-0100-000007000000}" name="Зарплата"/>
    <tableColumn id="8" xr3:uid="{00000000-0010-0000-0100-000008000000}" name="год р"/>
  </tableColumns>
  <tableStyleInfo name="КХЛ-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C3:S414">
  <tableColumns count="17">
    <tableColumn id="1" xr3:uid="{00000000-0010-0000-0200-000001000000}" name="Столбец1"/>
    <tableColumn id="2" xr3:uid="{00000000-0010-0000-0200-000002000000}" name="Артикул"/>
    <tableColumn id="3" xr3:uid="{00000000-0010-0000-0200-000003000000}" name="Категория"/>
    <tableColumn id="4" xr3:uid="{00000000-0010-0000-0200-000004000000}" name="Наименование"/>
    <tableColumn id="5" xr3:uid="{00000000-0010-0000-0200-000005000000}" name="цена за 1кг"/>
    <tableColumn id="6" xr3:uid="{00000000-0010-0000-0200-000006000000}" name="мин фасовка, кг"/>
    <tableColumn id="7" xr3:uid="{00000000-0010-0000-0200-000007000000}" name="Заказанное количество, кг"/>
    <tableColumn id="8" xr3:uid="{00000000-0010-0000-0200-000008000000}" name="Итого"/>
    <tableColumn id="9" xr3:uid="{00000000-0010-0000-0200-000009000000}" name="Скидка"/>
    <tableColumn id="10" xr3:uid="{00000000-0010-0000-0200-00000A000000}" name="Итого со скидкой"/>
    <tableColumn id="11" xr3:uid="{00000000-0010-0000-0200-00000B000000}" name="Дата заказа"/>
    <tableColumn id="12" xr3:uid="{00000000-0010-0000-0200-00000C000000}" name="Месяц заказа"/>
    <tableColumn id="13" xr3:uid="{00000000-0010-0000-0200-00000D000000}" name="День нед"/>
    <tableColumn id="14" xr3:uid="{00000000-0010-0000-0200-00000E000000}" name="год заказа"/>
    <tableColumn id="15" xr3:uid="{00000000-0010-0000-0200-00000F000000}" name="Ном нед"/>
    <tableColumn id="16" xr3:uid="{00000000-0010-0000-0200-000010000000}" name="скидка зел чай"/>
    <tableColumn id="17" xr3:uid="{00000000-0010-0000-0200-000011000000}" name="Столбец2"/>
  </tableColumns>
  <tableStyleInfo name="Продажи-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64A4E7-8916-7840-9E77-FA12C9AA0640}" name="Table_36" displayName="Table_36" ref="C3:S414">
  <tableColumns count="17">
    <tableColumn id="1" xr3:uid="{09063F48-B416-F94C-92DD-38AB78D4BEC5}" name="Столбец1"/>
    <tableColumn id="2" xr3:uid="{CC92ADC9-8BCB-9840-886F-6E2B22C66D55}" name="Артикул"/>
    <tableColumn id="3" xr3:uid="{2B77A872-4D6A-5D41-8361-08B3A626B2A0}" name="Категория"/>
    <tableColumn id="4" xr3:uid="{F1663421-5695-3847-89C6-89C571442264}" name="Наименование"/>
    <tableColumn id="5" xr3:uid="{7BEAA4FA-790B-3949-96E5-F6BB0D322A3D}" name="цена за 1кг"/>
    <tableColumn id="6" xr3:uid="{509B7AEF-EB1E-7E4F-8305-E4501A95249D}" name="мин фасовка, кг"/>
    <tableColumn id="7" xr3:uid="{0F37E1F8-A246-2944-B227-AB362A7B3797}" name="Заказанное количество, кг"/>
    <tableColumn id="8" xr3:uid="{C87AE916-F02E-0542-B7C0-81DED1DC4B9D}" name="Итого"/>
    <tableColumn id="9" xr3:uid="{C35AEE28-7ED1-A44B-B370-37FD692A1FA8}" name="Скидка"/>
    <tableColumn id="10" xr3:uid="{34CCE8F1-536C-9945-82C5-2934973A5FB7}" name="Итого со скидкой"/>
    <tableColumn id="11" xr3:uid="{C94D308C-6478-4047-83EE-E6BACE3C8437}" name="Дата заказа"/>
    <tableColumn id="12" xr3:uid="{FDC003C7-8284-9D4F-927C-3166BD20F11F}" name="Месяц" dataDxfId="4">
      <calculatedColumnFormula>MONTH(Table_36[[#This Row],[Дата заказа]])</calculatedColumnFormula>
    </tableColumn>
    <tableColumn id="13" xr3:uid="{B1644C51-E508-8F4A-9FF6-9C0C56D3D140}" name="День нед" dataDxfId="3">
      <calculatedColumnFormula>WEEKDAY(Table_36[[#This Row],[Дата заказа]])</calculatedColumnFormula>
    </tableColumn>
    <tableColumn id="14" xr3:uid="{6C6665C9-D2BF-C249-8EDC-11DFF4953363}" name="День" dataDxfId="2">
      <calculatedColumnFormula>DAY(Table_36[[#This Row],[Дата заказа]])</calculatedColumnFormula>
    </tableColumn>
    <tableColumn id="15" xr3:uid="{E693460B-8C40-054A-AF7F-A97ECB4DB754}" name="Год" dataDxfId="1">
      <calculatedColumnFormula>YEAR(Table_36[[#This Row],[Дата заказа]])</calculatedColumnFormula>
    </tableColumn>
    <tableColumn id="16" xr3:uid="{2A28DCB7-B8F8-8641-80A7-12569196FCD7}" name="Номер нед" dataDxfId="0">
      <calculatedColumnFormula>_xlfn.ISOWEEKNUM(Table_36[[#This Row],[Дата заказа]])</calculatedColumnFormula>
    </tableColumn>
    <tableColumn id="17" xr3:uid="{D3CA90CD-2EB2-324E-8D76-0ADAA5CF327C}" name="Столбец7"/>
  </tableColumns>
  <tableStyleInfo name="TableStyleMedium7"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D1:H411">
  <tableColumns count="5">
    <tableColumn id="1" xr3:uid="{00000000-0010-0000-0300-000001000000}" name="Дата сделки"/>
    <tableColumn id="2" xr3:uid="{00000000-0010-0000-0300-000002000000}" name="Тип сделки"/>
    <tableColumn id="3" xr3:uid="{00000000-0010-0000-0300-000003000000}" name="Количество"/>
    <tableColumn id="4" xr3:uid="{00000000-0010-0000-0300-000004000000}" name="Количество_net"/>
    <tableColumn id="5" xr3:uid="{00000000-0010-0000-0300-000005000000}" name="Стоимость"/>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38" zoomScale="119" workbookViewId="0">
      <selection activeCell="A42" sqref="A42"/>
    </sheetView>
  </sheetViews>
  <sheetFormatPr baseColWidth="10" defaultColWidth="12.6640625" defaultRowHeight="15" customHeight="1" x14ac:dyDescent="0.15"/>
  <cols>
    <col min="1" max="1" width="21.83203125" customWidth="1"/>
    <col min="2" max="2" width="7.6640625" customWidth="1"/>
    <col min="3" max="3" width="43.6640625" customWidth="1"/>
    <col min="4" max="4" width="13.6640625" customWidth="1"/>
    <col min="5" max="5" width="23.33203125" customWidth="1"/>
    <col min="6" max="6" width="19.5" customWidth="1"/>
    <col min="7" max="26" width="7.6640625" customWidth="1"/>
  </cols>
  <sheetData>
    <row r="1" spans="1:4" x14ac:dyDescent="0.2">
      <c r="B1" s="1" t="s">
        <v>0</v>
      </c>
      <c r="C1" s="2" t="s">
        <v>1</v>
      </c>
    </row>
    <row r="2" spans="1:4" x14ac:dyDescent="0.2">
      <c r="B2" s="1" t="s">
        <v>2</v>
      </c>
      <c r="C2" s="2" t="s">
        <v>3</v>
      </c>
    </row>
    <row r="3" spans="1:4" x14ac:dyDescent="0.2">
      <c r="B3" s="1" t="s">
        <v>4</v>
      </c>
      <c r="C3" s="3">
        <v>72</v>
      </c>
    </row>
    <row r="4" spans="1:4" x14ac:dyDescent="0.2">
      <c r="A4" s="4" t="s">
        <v>5</v>
      </c>
      <c r="B4" s="4" t="s">
        <v>6</v>
      </c>
      <c r="C4" s="4" t="s">
        <v>7</v>
      </c>
      <c r="D4" s="4" t="s">
        <v>8</v>
      </c>
    </row>
    <row r="5" spans="1:4" x14ac:dyDescent="0.2">
      <c r="A5" s="31" t="s">
        <v>9</v>
      </c>
      <c r="B5" s="5">
        <v>1</v>
      </c>
      <c r="C5" s="6" t="s">
        <v>10</v>
      </c>
      <c r="D5" s="2">
        <f>Акции!P1</f>
        <v>45.71</v>
      </c>
    </row>
    <row r="6" spans="1:4" x14ac:dyDescent="0.2">
      <c r="A6" s="32"/>
      <c r="B6" s="5">
        <v>2</v>
      </c>
      <c r="D6" s="2">
        <f>Акции!P2</f>
        <v>27.2</v>
      </c>
    </row>
    <row r="7" spans="1:4" ht="32" x14ac:dyDescent="0.2">
      <c r="A7" s="32"/>
      <c r="B7" s="5">
        <v>3</v>
      </c>
      <c r="C7" s="7" t="s">
        <v>11</v>
      </c>
      <c r="D7" s="2">
        <f>Акции!P3</f>
        <v>9.1216790248020499E-3</v>
      </c>
    </row>
    <row r="8" spans="1:4" ht="16" x14ac:dyDescent="0.2">
      <c r="A8" s="32"/>
      <c r="B8" s="5">
        <v>4</v>
      </c>
      <c r="C8" s="7" t="s">
        <v>12</v>
      </c>
      <c r="D8" s="2">
        <f>Акции!P4</f>
        <v>-2.1148253441975851E-2</v>
      </c>
    </row>
    <row r="9" spans="1:4" ht="16" x14ac:dyDescent="0.2">
      <c r="A9" s="32"/>
      <c r="B9" s="5">
        <v>5</v>
      </c>
      <c r="C9" s="7" t="s">
        <v>13</v>
      </c>
      <c r="D9" s="2">
        <f>Акции!P5</f>
        <v>4887009.6852302309</v>
      </c>
    </row>
    <row r="10" spans="1:4" ht="16" x14ac:dyDescent="0.2">
      <c r="A10" s="33"/>
      <c r="B10" s="5">
        <v>6</v>
      </c>
      <c r="C10" s="7" t="s">
        <v>14</v>
      </c>
      <c r="D10" s="2">
        <f>Акции!P6</f>
        <v>23882863663534.082</v>
      </c>
    </row>
    <row r="11" spans="1:4" ht="16" x14ac:dyDescent="0.2">
      <c r="A11" s="31" t="s">
        <v>15</v>
      </c>
      <c r="B11" s="5">
        <v>7</v>
      </c>
      <c r="C11" s="7" t="s">
        <v>16</v>
      </c>
      <c r="D11" s="2">
        <f>КХЛ!S6</f>
        <v>655</v>
      </c>
    </row>
    <row r="12" spans="1:4" ht="32" x14ac:dyDescent="0.2">
      <c r="A12" s="32"/>
      <c r="B12" s="5">
        <v>8</v>
      </c>
      <c r="C12" s="7" t="s">
        <v>17</v>
      </c>
      <c r="D12" s="2">
        <f>КХЛ!S7</f>
        <v>33</v>
      </c>
    </row>
    <row r="13" spans="1:4" ht="32" x14ac:dyDescent="0.2">
      <c r="A13" s="32"/>
      <c r="B13" s="5">
        <v>9</v>
      </c>
      <c r="C13" s="7" t="s">
        <v>18</v>
      </c>
      <c r="D13" s="2">
        <f>КХЛ!S8</f>
        <v>1189906451</v>
      </c>
    </row>
    <row r="14" spans="1:4" ht="48" x14ac:dyDescent="0.2">
      <c r="A14" s="32"/>
      <c r="B14" s="5">
        <v>10</v>
      </c>
      <c r="C14" s="7" t="s">
        <v>19</v>
      </c>
      <c r="D14" s="2">
        <f>КХЛ!S9</f>
        <v>0</v>
      </c>
    </row>
    <row r="15" spans="1:4" ht="16" x14ac:dyDescent="0.2">
      <c r="A15" s="32"/>
      <c r="B15" s="5">
        <v>11</v>
      </c>
      <c r="C15" s="7" t="s">
        <v>20</v>
      </c>
      <c r="D15" s="2">
        <f>КХЛ!S10</f>
        <v>17</v>
      </c>
    </row>
    <row r="16" spans="1:4" ht="32" x14ac:dyDescent="0.2">
      <c r="A16" s="33"/>
      <c r="B16" s="5">
        <v>12</v>
      </c>
      <c r="C16" s="7" t="s">
        <v>21</v>
      </c>
      <c r="D16" s="2">
        <f>КХЛ!S11</f>
        <v>1327</v>
      </c>
    </row>
    <row r="17" spans="1:4" ht="16" x14ac:dyDescent="0.2">
      <c r="A17" s="31" t="s">
        <v>22</v>
      </c>
      <c r="B17" s="5">
        <v>13</v>
      </c>
      <c r="C17" s="7" t="s">
        <v>23</v>
      </c>
      <c r="D17" s="2">
        <f>Текст!C10</f>
        <v>1358</v>
      </c>
    </row>
    <row r="18" spans="1:4" ht="32" x14ac:dyDescent="0.2">
      <c r="A18" s="32"/>
      <c r="B18" s="5">
        <v>14</v>
      </c>
      <c r="C18" s="7" t="s">
        <v>24</v>
      </c>
      <c r="D18" s="2" t="str">
        <f>Текст!C11</f>
        <v>ased bi</v>
      </c>
    </row>
    <row r="19" spans="1:4" ht="32" x14ac:dyDescent="0.2">
      <c r="A19" s="32"/>
      <c r="B19" s="5">
        <v>15</v>
      </c>
      <c r="C19" s="7" t="s">
        <v>25</v>
      </c>
      <c r="D19" s="2">
        <f>Текст!C12</f>
        <v>43</v>
      </c>
    </row>
    <row r="20" spans="1:4" ht="16" x14ac:dyDescent="0.2">
      <c r="A20" s="32"/>
      <c r="B20" s="5">
        <v>16</v>
      </c>
      <c r="C20" s="7" t="s">
        <v>26</v>
      </c>
      <c r="D20" s="2">
        <f>Текст!C13</f>
        <v>1159</v>
      </c>
    </row>
    <row r="21" spans="1:4" ht="15.75" customHeight="1" x14ac:dyDescent="0.2">
      <c r="A21" s="32"/>
      <c r="B21" s="5">
        <v>17</v>
      </c>
      <c r="C21" s="7" t="s">
        <v>27</v>
      </c>
      <c r="D21" s="2">
        <f>Текст!C14</f>
        <v>16</v>
      </c>
    </row>
    <row r="22" spans="1:4" ht="15.75" customHeight="1" x14ac:dyDescent="0.2">
      <c r="A22" s="33"/>
      <c r="B22" s="5">
        <v>18</v>
      </c>
      <c r="C22" s="7" t="s">
        <v>28</v>
      </c>
      <c r="D22" s="2">
        <f>Текст!C15</f>
        <v>825</v>
      </c>
    </row>
    <row r="23" spans="1:4" ht="15.75" customHeight="1" x14ac:dyDescent="0.2">
      <c r="A23" s="31" t="s">
        <v>29</v>
      </c>
      <c r="B23" s="5">
        <v>19</v>
      </c>
      <c r="C23" s="7" t="s">
        <v>30</v>
      </c>
      <c r="D23" s="2">
        <f>Продажи!V3</f>
        <v>29</v>
      </c>
    </row>
    <row r="24" spans="1:4" ht="15.75" customHeight="1" x14ac:dyDescent="0.2">
      <c r="A24" s="32"/>
      <c r="B24" s="5">
        <v>20</v>
      </c>
      <c r="C24" s="7" t="s">
        <v>31</v>
      </c>
      <c r="D24" s="2">
        <f>Продажи!V4</f>
        <v>3.125E-2</v>
      </c>
    </row>
    <row r="25" spans="1:4" ht="15.75" customHeight="1" x14ac:dyDescent="0.2">
      <c r="A25" s="32"/>
      <c r="B25" s="5">
        <v>21</v>
      </c>
      <c r="C25" s="7" t="s">
        <v>32</v>
      </c>
      <c r="D25" s="2">
        <f>Продажи!V5</f>
        <v>7296066</v>
      </c>
    </row>
    <row r="26" spans="1:4" ht="15.75" customHeight="1" x14ac:dyDescent="0.2">
      <c r="A26" s="32"/>
      <c r="B26" s="5">
        <v>22</v>
      </c>
      <c r="C26" s="7" t="s">
        <v>33</v>
      </c>
      <c r="D26" s="2">
        <f>Продажи!V6</f>
        <v>25877.877259259261</v>
      </c>
    </row>
    <row r="27" spans="1:4" ht="15.75" customHeight="1" x14ac:dyDescent="0.2">
      <c r="A27" s="32"/>
      <c r="B27" s="5">
        <v>23</v>
      </c>
      <c r="C27" s="7" t="s">
        <v>34</v>
      </c>
      <c r="D27" s="2">
        <f>Продажи!V7</f>
        <v>20</v>
      </c>
    </row>
    <row r="28" spans="1:4" ht="15.75" customHeight="1" x14ac:dyDescent="0.2">
      <c r="A28" s="33"/>
      <c r="B28" s="5">
        <v>24</v>
      </c>
      <c r="C28" s="7" t="s">
        <v>35</v>
      </c>
      <c r="D28" s="2">
        <f>Продажи!V8</f>
        <v>4.8175182481751842E-3</v>
      </c>
    </row>
    <row r="29" spans="1:4" ht="15.75" customHeight="1" x14ac:dyDescent="0.2">
      <c r="A29" s="31" t="s">
        <v>36</v>
      </c>
      <c r="B29" s="5">
        <v>25</v>
      </c>
      <c r="C29" s="7" t="s">
        <v>37</v>
      </c>
      <c r="D29" s="2">
        <f>Массив!D39</f>
        <v>185</v>
      </c>
    </row>
    <row r="30" spans="1:4" ht="15.75" customHeight="1" x14ac:dyDescent="0.2">
      <c r="A30" s="32"/>
      <c r="B30" s="5">
        <v>26</v>
      </c>
      <c r="C30" s="7" t="s">
        <v>38</v>
      </c>
      <c r="D30" s="2">
        <f>Массив!D40</f>
        <v>13</v>
      </c>
    </row>
    <row r="31" spans="1:4" ht="15.75" customHeight="1" x14ac:dyDescent="0.2">
      <c r="A31" s="32"/>
      <c r="B31" s="5">
        <v>27</v>
      </c>
      <c r="C31" s="7" t="s">
        <v>39</v>
      </c>
      <c r="D31" s="2">
        <f>Массив!D41</f>
        <v>79204</v>
      </c>
    </row>
    <row r="32" spans="1:4" ht="15.75" customHeight="1" x14ac:dyDescent="0.2">
      <c r="A32" s="32"/>
      <c r="B32" s="5">
        <v>28</v>
      </c>
      <c r="C32" s="7" t="s">
        <v>40</v>
      </c>
      <c r="D32" s="2">
        <f>Массив!D42</f>
        <v>29</v>
      </c>
    </row>
    <row r="33" spans="1:6" ht="15.75" customHeight="1" x14ac:dyDescent="0.2">
      <c r="A33" s="32"/>
      <c r="B33" s="5">
        <v>29</v>
      </c>
      <c r="C33" s="7" t="s">
        <v>41</v>
      </c>
      <c r="D33" s="2">
        <f>Массив!D43</f>
        <v>514</v>
      </c>
    </row>
    <row r="34" spans="1:6" ht="15.75" customHeight="1" x14ac:dyDescent="0.2">
      <c r="A34" s="33"/>
      <c r="B34" s="5">
        <v>30</v>
      </c>
      <c r="C34" s="7" t="s">
        <v>42</v>
      </c>
      <c r="D34" s="2">
        <f>Массив!D44</f>
        <v>49054</v>
      </c>
    </row>
    <row r="35" spans="1:6" ht="15.75" customHeight="1" x14ac:dyDescent="0.2">
      <c r="A35" s="31" t="s">
        <v>43</v>
      </c>
      <c r="B35" s="5">
        <v>31</v>
      </c>
      <c r="C35" s="7" t="s">
        <v>44</v>
      </c>
      <c r="D35" s="2">
        <f>SUM(Сделки!$G$2:$G$411)</f>
        <v>0</v>
      </c>
    </row>
    <row r="36" spans="1:6" ht="15.75" customHeight="1" x14ac:dyDescent="0.2">
      <c r="A36" s="32"/>
      <c r="B36" s="5">
        <v>32</v>
      </c>
      <c r="C36" s="7" t="s">
        <v>45</v>
      </c>
      <c r="D36" s="8"/>
    </row>
    <row r="37" spans="1:6" ht="15.75" customHeight="1" x14ac:dyDescent="0.2">
      <c r="A37" s="32"/>
      <c r="B37" s="5">
        <v>33</v>
      </c>
      <c r="C37" s="7" t="s">
        <v>46</v>
      </c>
      <c r="D37" s="2">
        <f>SUM(Сделки!$H$2:$H$411)</f>
        <v>22536.600000000028</v>
      </c>
    </row>
    <row r="38" spans="1:6" ht="96" customHeight="1" x14ac:dyDescent="0.2">
      <c r="A38" s="32"/>
      <c r="B38" s="5">
        <v>34</v>
      </c>
      <c r="C38" s="7" t="s">
        <v>47</v>
      </c>
      <c r="D38" s="9">
        <f t="array" ref="D38">NPV(5,84,Сделки!D2)</f>
        <v>1180.9722222222222</v>
      </c>
    </row>
    <row r="39" spans="1:6" ht="64" customHeight="1" x14ac:dyDescent="0.2">
      <c r="A39" s="32"/>
      <c r="B39" s="5">
        <v>35</v>
      </c>
      <c r="C39" s="7" t="s">
        <v>48</v>
      </c>
      <c r="D39" s="10">
        <v>0.23</v>
      </c>
      <c r="E39" s="11">
        <f>IRR(Сделки!$H$2:$H$411)</f>
        <v>0.22571801812643466</v>
      </c>
    </row>
    <row r="40" spans="1:6" ht="15.75" customHeight="1" x14ac:dyDescent="0.2">
      <c r="A40" s="33"/>
      <c r="B40" s="5">
        <v>36</v>
      </c>
      <c r="C40" s="7" t="s">
        <v>49</v>
      </c>
      <c r="D40" s="8"/>
    </row>
    <row r="41" spans="1:6" ht="15.75" customHeight="1" x14ac:dyDescent="0.15"/>
    <row r="42" spans="1:6" ht="15.75" customHeight="1" x14ac:dyDescent="0.2">
      <c r="A42" s="38"/>
      <c r="B42" s="39"/>
      <c r="C42" s="40"/>
      <c r="D42" s="12" t="s">
        <v>50</v>
      </c>
      <c r="E42" s="1" t="s">
        <v>51</v>
      </c>
      <c r="F42" s="1" t="s">
        <v>52</v>
      </c>
    </row>
    <row r="43" spans="1:6" ht="15.75" customHeight="1" x14ac:dyDescent="0.2">
      <c r="A43" s="41"/>
      <c r="B43" s="42"/>
      <c r="C43" s="43"/>
      <c r="D43" s="13">
        <v>42011</v>
      </c>
      <c r="E43" s="12">
        <v>-360</v>
      </c>
      <c r="F43" s="12">
        <v>-5050.8</v>
      </c>
    </row>
    <row r="44" spans="1:6" ht="15.75" customHeight="1" x14ac:dyDescent="0.2">
      <c r="A44" s="41"/>
      <c r="B44" s="42"/>
      <c r="C44" s="43"/>
      <c r="D44" s="13">
        <v>42016</v>
      </c>
      <c r="E44" s="12">
        <v>60</v>
      </c>
      <c r="F44" s="12">
        <v>874.8</v>
      </c>
    </row>
    <row r="45" spans="1:6" ht="15.75" customHeight="1" x14ac:dyDescent="0.2">
      <c r="A45" s="41"/>
      <c r="B45" s="42"/>
      <c r="C45" s="43"/>
      <c r="D45" s="13">
        <v>42019</v>
      </c>
      <c r="E45" s="12">
        <v>480</v>
      </c>
      <c r="F45" s="12">
        <v>6868.8</v>
      </c>
    </row>
    <row r="46" spans="1:6" ht="15.75" customHeight="1" x14ac:dyDescent="0.2">
      <c r="A46" s="41"/>
      <c r="B46" s="42"/>
      <c r="C46" s="43"/>
      <c r="D46" s="13">
        <v>42020</v>
      </c>
      <c r="E46" s="12">
        <v>-70</v>
      </c>
      <c r="F46" s="12">
        <v>-1012.2</v>
      </c>
    </row>
    <row r="47" spans="1:6" ht="15.75" customHeight="1" x14ac:dyDescent="0.2">
      <c r="A47" s="41"/>
      <c r="B47" s="42"/>
      <c r="C47" s="43"/>
      <c r="D47" s="13">
        <v>42024</v>
      </c>
      <c r="E47" s="12">
        <v>-500</v>
      </c>
      <c r="F47" s="12">
        <v>-7165</v>
      </c>
    </row>
    <row r="48" spans="1:6" ht="15.75" customHeight="1" x14ac:dyDescent="0.2">
      <c r="A48" s="41"/>
      <c r="B48" s="42"/>
      <c r="C48" s="43"/>
      <c r="D48" s="13">
        <v>42025</v>
      </c>
      <c r="E48" s="12">
        <v>130</v>
      </c>
      <c r="F48" s="12">
        <v>1870.7</v>
      </c>
    </row>
    <row r="49" spans="1:6" ht="15.75" customHeight="1" x14ac:dyDescent="0.2">
      <c r="A49" s="41"/>
      <c r="B49" s="42"/>
      <c r="C49" s="43"/>
      <c r="D49" s="13">
        <v>42030</v>
      </c>
      <c r="E49" s="12">
        <v>340</v>
      </c>
      <c r="F49" s="12">
        <v>5086.4000000000005</v>
      </c>
    </row>
    <row r="50" spans="1:6" ht="15.75" customHeight="1" x14ac:dyDescent="0.2">
      <c r="A50" s="41"/>
      <c r="B50" s="42"/>
      <c r="C50" s="43"/>
      <c r="D50" s="13">
        <v>42031</v>
      </c>
      <c r="E50" s="12">
        <v>490</v>
      </c>
      <c r="F50" s="12">
        <v>7222.6</v>
      </c>
    </row>
    <row r="51" spans="1:6" ht="15.75" customHeight="1" x14ac:dyDescent="0.2">
      <c r="A51" s="41"/>
      <c r="B51" s="42"/>
      <c r="C51" s="43"/>
      <c r="D51" s="13">
        <v>42032</v>
      </c>
      <c r="E51" s="12">
        <v>-260</v>
      </c>
      <c r="F51" s="12">
        <v>-3793.4</v>
      </c>
    </row>
    <row r="52" spans="1:6" ht="15.75" customHeight="1" x14ac:dyDescent="0.2">
      <c r="A52" s="41"/>
      <c r="B52" s="42"/>
      <c r="C52" s="43"/>
      <c r="D52" s="13">
        <v>42041</v>
      </c>
      <c r="E52" s="12">
        <v>350</v>
      </c>
      <c r="F52" s="12">
        <v>5152</v>
      </c>
    </row>
    <row r="53" spans="1:6" ht="15.75" customHeight="1" x14ac:dyDescent="0.2">
      <c r="A53" s="41"/>
      <c r="B53" s="42"/>
      <c r="C53" s="43"/>
      <c r="D53" s="13">
        <v>42054</v>
      </c>
      <c r="E53" s="12">
        <v>130</v>
      </c>
      <c r="F53" s="12">
        <v>2138.5</v>
      </c>
    </row>
    <row r="54" spans="1:6" ht="15.75" customHeight="1" x14ac:dyDescent="0.2">
      <c r="A54" s="41"/>
      <c r="B54" s="42"/>
      <c r="C54" s="43"/>
      <c r="D54" s="13">
        <v>42055</v>
      </c>
      <c r="E54" s="12">
        <v>-200</v>
      </c>
      <c r="F54" s="12">
        <v>-3294</v>
      </c>
    </row>
    <row r="55" spans="1:6" ht="15.75" customHeight="1" x14ac:dyDescent="0.2">
      <c r="A55" s="41"/>
      <c r="B55" s="42"/>
      <c r="C55" s="43"/>
      <c r="D55" s="13">
        <v>42059</v>
      </c>
      <c r="E55" s="12">
        <v>270</v>
      </c>
      <c r="F55" s="12">
        <v>4487.4000000000005</v>
      </c>
    </row>
    <row r="56" spans="1:6" ht="15.75" customHeight="1" x14ac:dyDescent="0.2">
      <c r="A56" s="41"/>
      <c r="B56" s="42"/>
      <c r="C56" s="43"/>
      <c r="D56" s="13">
        <v>42068</v>
      </c>
      <c r="E56" s="12">
        <v>80</v>
      </c>
      <c r="F56" s="12">
        <v>1357.6</v>
      </c>
    </row>
    <row r="57" spans="1:6" ht="15.75" customHeight="1" x14ac:dyDescent="0.2">
      <c r="A57" s="41"/>
      <c r="B57" s="42"/>
      <c r="C57" s="43"/>
      <c r="D57" s="13">
        <v>42069</v>
      </c>
      <c r="E57" s="12">
        <v>-340</v>
      </c>
      <c r="F57" s="12">
        <v>-5630.4</v>
      </c>
    </row>
    <row r="58" spans="1:6" ht="15.75" customHeight="1" x14ac:dyDescent="0.2">
      <c r="A58" s="41"/>
      <c r="B58" s="42"/>
      <c r="C58" s="43"/>
      <c r="D58" s="13">
        <v>42075</v>
      </c>
      <c r="E58" s="12">
        <v>190</v>
      </c>
      <c r="F58" s="12">
        <v>3209.1</v>
      </c>
    </row>
    <row r="59" spans="1:6" ht="15.75" customHeight="1" x14ac:dyDescent="0.2">
      <c r="A59" s="44"/>
      <c r="B59" s="45"/>
      <c r="C59" s="46"/>
      <c r="D59" s="13">
        <v>42079</v>
      </c>
      <c r="E59" s="12">
        <v>-730</v>
      </c>
      <c r="F59" s="12">
        <v>-12585.199999999999</v>
      </c>
    </row>
    <row r="60" spans="1:6" ht="15.75" customHeight="1" x14ac:dyDescent="0.2">
      <c r="D60" s="13">
        <v>42093</v>
      </c>
      <c r="E60" s="12">
        <v>-10</v>
      </c>
      <c r="F60" s="12">
        <v>-180.7</v>
      </c>
    </row>
    <row r="61" spans="1:6" ht="15.75" customHeight="1" x14ac:dyDescent="0.2">
      <c r="D61" s="13">
        <v>42100</v>
      </c>
      <c r="E61" s="12">
        <v>-60</v>
      </c>
      <c r="F61" s="12">
        <v>-1060.8</v>
      </c>
    </row>
    <row r="62" spans="1:6" ht="15.75" customHeight="1" x14ac:dyDescent="0.2">
      <c r="D62" s="13">
        <v>42101</v>
      </c>
      <c r="E62" s="12">
        <v>-40</v>
      </c>
      <c r="F62" s="12">
        <v>-707.6</v>
      </c>
    </row>
    <row r="63" spans="1:6" ht="15.75" customHeight="1" x14ac:dyDescent="0.2">
      <c r="D63" s="13">
        <v>42107</v>
      </c>
      <c r="E63" s="12">
        <v>290</v>
      </c>
      <c r="F63" s="12">
        <v>5162</v>
      </c>
    </row>
    <row r="64" spans="1:6" ht="15.75" customHeight="1" x14ac:dyDescent="0.2">
      <c r="D64" s="13">
        <v>42110</v>
      </c>
      <c r="E64" s="12">
        <v>410</v>
      </c>
      <c r="F64" s="12">
        <v>7445.6</v>
      </c>
    </row>
    <row r="65" spans="4:6" ht="15.75" customHeight="1" x14ac:dyDescent="0.2">
      <c r="D65" s="13">
        <v>42125</v>
      </c>
      <c r="E65" s="12">
        <v>470</v>
      </c>
      <c r="F65" s="12">
        <v>8337.7999999999993</v>
      </c>
    </row>
    <row r="66" spans="4:6" ht="15.75" customHeight="1" x14ac:dyDescent="0.2">
      <c r="D66" s="13">
        <v>42130</v>
      </c>
      <c r="E66" s="12">
        <v>330</v>
      </c>
      <c r="F66" s="12">
        <v>5709</v>
      </c>
    </row>
    <row r="67" spans="4:6" ht="15.75" customHeight="1" x14ac:dyDescent="0.2">
      <c r="D67" s="13">
        <v>42137</v>
      </c>
      <c r="E67" s="12">
        <v>60</v>
      </c>
      <c r="F67" s="12">
        <v>1033.8</v>
      </c>
    </row>
    <row r="68" spans="4:6" ht="15.75" customHeight="1" x14ac:dyDescent="0.2">
      <c r="D68" s="13">
        <v>42138</v>
      </c>
      <c r="E68" s="12">
        <v>170</v>
      </c>
      <c r="F68" s="12">
        <v>3044.7</v>
      </c>
    </row>
    <row r="69" spans="4:6" ht="15.75" customHeight="1" x14ac:dyDescent="0.2">
      <c r="D69" s="13">
        <v>42139</v>
      </c>
      <c r="E69" s="12">
        <v>150</v>
      </c>
      <c r="F69" s="12">
        <v>2677.5</v>
      </c>
    </row>
    <row r="70" spans="4:6" ht="15.75" customHeight="1" x14ac:dyDescent="0.2">
      <c r="D70" s="13">
        <v>42144</v>
      </c>
      <c r="E70" s="12">
        <v>-170</v>
      </c>
      <c r="F70" s="12">
        <v>-3056.6</v>
      </c>
    </row>
    <row r="71" spans="4:6" ht="15.75" customHeight="1" x14ac:dyDescent="0.2">
      <c r="D71" s="13">
        <v>42151</v>
      </c>
      <c r="E71" s="12">
        <v>270</v>
      </c>
      <c r="F71" s="12">
        <v>4857.2999999999993</v>
      </c>
    </row>
    <row r="72" spans="4:6" ht="15.75" customHeight="1" x14ac:dyDescent="0.2">
      <c r="D72" s="13">
        <v>42152</v>
      </c>
      <c r="E72" s="12">
        <v>100</v>
      </c>
      <c r="F72" s="12">
        <v>1827</v>
      </c>
    </row>
    <row r="73" spans="4:6" ht="15.75" customHeight="1" x14ac:dyDescent="0.2">
      <c r="D73" s="13">
        <v>42156</v>
      </c>
      <c r="E73" s="12">
        <v>-210</v>
      </c>
      <c r="F73" s="12">
        <v>-3887.1000000000004</v>
      </c>
    </row>
    <row r="74" spans="4:6" ht="15.75" customHeight="1" x14ac:dyDescent="0.2">
      <c r="D74" s="13">
        <v>42158</v>
      </c>
      <c r="E74" s="12">
        <v>-90</v>
      </c>
      <c r="F74" s="12">
        <v>-1640.7000000000003</v>
      </c>
    </row>
    <row r="75" spans="4:6" ht="15.75" customHeight="1" x14ac:dyDescent="0.2">
      <c r="D75" s="13">
        <v>42171</v>
      </c>
      <c r="E75" s="12">
        <v>-230</v>
      </c>
      <c r="F75" s="12">
        <v>-4043.3999999999996</v>
      </c>
    </row>
    <row r="76" spans="4:6" ht="15.75" customHeight="1" x14ac:dyDescent="0.2">
      <c r="D76" s="13">
        <v>42173</v>
      </c>
      <c r="E76" s="12">
        <v>-230</v>
      </c>
      <c r="F76" s="12">
        <v>-4144.5999999999995</v>
      </c>
    </row>
    <row r="77" spans="4:6" ht="15.75" customHeight="1" x14ac:dyDescent="0.2">
      <c r="D77" s="13">
        <v>42179</v>
      </c>
      <c r="E77" s="12">
        <v>-210</v>
      </c>
      <c r="F77" s="12">
        <v>-3767.4</v>
      </c>
    </row>
    <row r="78" spans="4:6" ht="15.75" customHeight="1" x14ac:dyDescent="0.2">
      <c r="D78" s="13">
        <v>42187</v>
      </c>
      <c r="E78" s="12">
        <v>-260</v>
      </c>
      <c r="F78" s="12">
        <v>-4568.2</v>
      </c>
    </row>
    <row r="79" spans="4:6" ht="15.75" customHeight="1" x14ac:dyDescent="0.2">
      <c r="D79" s="13">
        <v>42191</v>
      </c>
      <c r="E79" s="12">
        <v>-60</v>
      </c>
      <c r="F79" s="12">
        <v>-1053</v>
      </c>
    </row>
    <row r="80" spans="4:6" ht="15.75" customHeight="1" x14ac:dyDescent="0.2">
      <c r="D80" s="13">
        <v>42192</v>
      </c>
      <c r="E80" s="12">
        <v>160</v>
      </c>
      <c r="F80" s="12">
        <v>2846.3999999999996</v>
      </c>
    </row>
    <row r="81" spans="4:6" ht="15.75" customHeight="1" x14ac:dyDescent="0.2">
      <c r="D81" s="13">
        <v>42205</v>
      </c>
      <c r="E81" s="12">
        <v>-200</v>
      </c>
      <c r="F81" s="12">
        <v>-3576</v>
      </c>
    </row>
    <row r="82" spans="4:6" ht="15.75" customHeight="1" x14ac:dyDescent="0.2">
      <c r="D82" s="13">
        <v>42206</v>
      </c>
      <c r="E82" s="12">
        <v>290</v>
      </c>
      <c r="F82" s="12">
        <v>5150.4000000000005</v>
      </c>
    </row>
    <row r="83" spans="4:6" ht="15.75" customHeight="1" x14ac:dyDescent="0.2">
      <c r="D83" s="13">
        <v>42209</v>
      </c>
      <c r="E83" s="12">
        <v>-130</v>
      </c>
      <c r="F83" s="12">
        <v>-2256.7999999999997</v>
      </c>
    </row>
    <row r="84" spans="4:6" ht="15.75" customHeight="1" x14ac:dyDescent="0.2">
      <c r="D84" s="13">
        <v>42216</v>
      </c>
      <c r="E84" s="12">
        <v>110</v>
      </c>
      <c r="F84" s="12">
        <v>1907.4</v>
      </c>
    </row>
    <row r="85" spans="4:6" ht="15.75" customHeight="1" x14ac:dyDescent="0.2">
      <c r="D85" s="13">
        <v>42220</v>
      </c>
      <c r="E85" s="12">
        <v>-390</v>
      </c>
      <c r="F85" s="12">
        <v>-6665.1</v>
      </c>
    </row>
    <row r="86" spans="4:6" ht="15.75" customHeight="1" x14ac:dyDescent="0.2">
      <c r="D86" s="13">
        <v>42221</v>
      </c>
      <c r="E86" s="12">
        <v>-250</v>
      </c>
      <c r="F86" s="12">
        <v>-4417.5</v>
      </c>
    </row>
    <row r="87" spans="4:6" ht="15.75" customHeight="1" x14ac:dyDescent="0.2">
      <c r="D87" s="13">
        <v>42222</v>
      </c>
      <c r="E87" s="12">
        <v>340</v>
      </c>
      <c r="F87" s="12">
        <v>5922.8</v>
      </c>
    </row>
    <row r="88" spans="4:6" ht="15.75" customHeight="1" x14ac:dyDescent="0.2">
      <c r="D88" s="13">
        <v>42226</v>
      </c>
      <c r="E88" s="12">
        <v>220</v>
      </c>
      <c r="F88" s="12">
        <v>3812.5999999999995</v>
      </c>
    </row>
    <row r="89" spans="4:6" ht="15.75" customHeight="1" x14ac:dyDescent="0.2">
      <c r="D89" s="13">
        <v>42234</v>
      </c>
      <c r="E89" s="12">
        <v>-210</v>
      </c>
      <c r="F89" s="12">
        <v>-3687.6</v>
      </c>
    </row>
    <row r="90" spans="4:6" ht="15.75" customHeight="1" x14ac:dyDescent="0.2">
      <c r="D90" s="13">
        <v>42236</v>
      </c>
      <c r="E90" s="12">
        <v>340</v>
      </c>
      <c r="F90" s="12">
        <v>5735.8</v>
      </c>
    </row>
    <row r="91" spans="4:6" ht="15.75" customHeight="1" x14ac:dyDescent="0.2">
      <c r="D91" s="13">
        <v>42237</v>
      </c>
      <c r="E91" s="12">
        <v>280</v>
      </c>
      <c r="F91" s="12">
        <v>4578</v>
      </c>
    </row>
    <row r="92" spans="4:6" ht="15.75" customHeight="1" x14ac:dyDescent="0.2">
      <c r="D92" s="13">
        <v>42249</v>
      </c>
      <c r="E92" s="12">
        <v>-280</v>
      </c>
      <c r="F92" s="12">
        <v>-4622.8</v>
      </c>
    </row>
    <row r="93" spans="4:6" ht="15.75" customHeight="1" x14ac:dyDescent="0.2">
      <c r="D93" s="13">
        <v>42251</v>
      </c>
      <c r="E93" s="12">
        <v>-470</v>
      </c>
      <c r="F93" s="12">
        <v>-7632.7999999999993</v>
      </c>
    </row>
    <row r="94" spans="4:6" ht="15.75" customHeight="1" x14ac:dyDescent="0.2">
      <c r="D94" s="13">
        <v>42256</v>
      </c>
      <c r="E94" s="12">
        <v>70</v>
      </c>
      <c r="F94" s="12">
        <v>1164.0999999999999</v>
      </c>
    </row>
    <row r="95" spans="4:6" ht="15.75" customHeight="1" x14ac:dyDescent="0.2">
      <c r="D95" s="13">
        <v>42261</v>
      </c>
      <c r="E95" s="12">
        <v>420</v>
      </c>
      <c r="F95" s="12">
        <v>7026.6</v>
      </c>
    </row>
    <row r="96" spans="4:6" ht="15.75" customHeight="1" x14ac:dyDescent="0.2">
      <c r="D96" s="13">
        <v>42264</v>
      </c>
      <c r="E96" s="12">
        <v>-30</v>
      </c>
      <c r="F96" s="12">
        <v>-516</v>
      </c>
    </row>
    <row r="97" spans="4:6" ht="15.75" customHeight="1" x14ac:dyDescent="0.2">
      <c r="D97" s="13">
        <v>42277</v>
      </c>
      <c r="E97" s="12">
        <v>130</v>
      </c>
      <c r="F97" s="12">
        <v>2133.3000000000002</v>
      </c>
    </row>
    <row r="98" spans="4:6" ht="15.75" customHeight="1" x14ac:dyDescent="0.2">
      <c r="D98" s="13">
        <v>42293</v>
      </c>
      <c r="E98" s="12">
        <v>380</v>
      </c>
      <c r="F98" s="12">
        <v>6486.6</v>
      </c>
    </row>
    <row r="99" spans="4:6" ht="15.75" customHeight="1" x14ac:dyDescent="0.2">
      <c r="D99" s="13">
        <v>42296</v>
      </c>
      <c r="E99" s="12">
        <v>-200</v>
      </c>
      <c r="F99" s="12">
        <v>-3415.9999999999995</v>
      </c>
    </row>
    <row r="100" spans="4:6" ht="15.75" customHeight="1" x14ac:dyDescent="0.2">
      <c r="D100" s="13">
        <v>42297</v>
      </c>
      <c r="E100" s="12">
        <v>480</v>
      </c>
      <c r="F100" s="12">
        <v>8251.2000000000007</v>
      </c>
    </row>
    <row r="101" spans="4:6" ht="15.75" customHeight="1" x14ac:dyDescent="0.2">
      <c r="D101" s="13">
        <v>42299</v>
      </c>
      <c r="E101" s="12">
        <v>430</v>
      </c>
      <c r="F101" s="12">
        <v>7060.6</v>
      </c>
    </row>
    <row r="102" spans="4:6" ht="15.75" customHeight="1" x14ac:dyDescent="0.2">
      <c r="D102" s="13">
        <v>42303</v>
      </c>
      <c r="E102" s="12">
        <v>100</v>
      </c>
      <c r="F102" s="12">
        <v>1670</v>
      </c>
    </row>
    <row r="103" spans="4:6" ht="15.75" customHeight="1" x14ac:dyDescent="0.2">
      <c r="D103" s="13">
        <v>42310</v>
      </c>
      <c r="E103" s="12">
        <v>-390</v>
      </c>
      <c r="F103" s="12">
        <v>-7355.4</v>
      </c>
    </row>
    <row r="104" spans="4:6" ht="15.75" customHeight="1" x14ac:dyDescent="0.2">
      <c r="D104" s="13">
        <v>42326</v>
      </c>
      <c r="E104" s="12">
        <v>-410</v>
      </c>
      <c r="F104" s="12">
        <v>-7285.7</v>
      </c>
    </row>
    <row r="105" spans="4:6" ht="15.75" customHeight="1" x14ac:dyDescent="0.2">
      <c r="D105" s="13">
        <v>42331</v>
      </c>
      <c r="E105" s="12">
        <v>80</v>
      </c>
      <c r="F105" s="12">
        <v>1448</v>
      </c>
    </row>
    <row r="106" spans="4:6" ht="15.75" customHeight="1" x14ac:dyDescent="0.2">
      <c r="D106" s="13">
        <v>42339</v>
      </c>
      <c r="E106" s="12">
        <v>550</v>
      </c>
      <c r="F106" s="12">
        <v>10186</v>
      </c>
    </row>
    <row r="107" spans="4:6" ht="15.75" customHeight="1" x14ac:dyDescent="0.2">
      <c r="D107" s="13">
        <v>42345</v>
      </c>
      <c r="E107" s="12">
        <v>300</v>
      </c>
      <c r="F107" s="12">
        <v>5570.9999999999991</v>
      </c>
    </row>
    <row r="108" spans="4:6" ht="15.75" customHeight="1" x14ac:dyDescent="0.2">
      <c r="D108" s="13">
        <v>42346</v>
      </c>
      <c r="E108" s="12">
        <v>-160</v>
      </c>
      <c r="F108" s="12">
        <v>-2996.8</v>
      </c>
    </row>
    <row r="109" spans="4:6" ht="15.75" customHeight="1" x14ac:dyDescent="0.2">
      <c r="D109" s="13">
        <v>42362</v>
      </c>
      <c r="E109" s="12">
        <v>-410</v>
      </c>
      <c r="F109" s="12">
        <v>-7675.2</v>
      </c>
    </row>
    <row r="110" spans="4:6" ht="15.75" customHeight="1" x14ac:dyDescent="0.2">
      <c r="D110" s="13">
        <v>42375</v>
      </c>
      <c r="E110" s="12">
        <v>-470</v>
      </c>
      <c r="F110" s="12">
        <v>-8460</v>
      </c>
    </row>
    <row r="111" spans="4:6" ht="15.75" customHeight="1" x14ac:dyDescent="0.2">
      <c r="D111" s="13">
        <v>42376</v>
      </c>
      <c r="E111" s="12">
        <v>390</v>
      </c>
      <c r="F111" s="12">
        <v>6879.6</v>
      </c>
    </row>
    <row r="112" spans="4:6" ht="15.75" customHeight="1" x14ac:dyDescent="0.2">
      <c r="D112" s="13">
        <v>42377</v>
      </c>
      <c r="E112" s="12">
        <v>-380</v>
      </c>
      <c r="F112" s="12">
        <v>-6623.4</v>
      </c>
    </row>
    <row r="113" spans="4:6" ht="15.75" customHeight="1" x14ac:dyDescent="0.2">
      <c r="D113" s="13">
        <v>42380</v>
      </c>
      <c r="E113" s="12">
        <v>170</v>
      </c>
      <c r="F113" s="12">
        <v>2912.1</v>
      </c>
    </row>
    <row r="114" spans="4:6" ht="15.75" customHeight="1" x14ac:dyDescent="0.2">
      <c r="D114" s="13">
        <v>42382</v>
      </c>
      <c r="E114" s="12">
        <v>440</v>
      </c>
      <c r="F114" s="12">
        <v>7722</v>
      </c>
    </row>
    <row r="115" spans="4:6" ht="15.75" customHeight="1" x14ac:dyDescent="0.2">
      <c r="D115" s="13">
        <v>42384</v>
      </c>
      <c r="E115" s="12">
        <v>-160</v>
      </c>
      <c r="F115" s="12">
        <v>-2859.2000000000003</v>
      </c>
    </row>
    <row r="116" spans="4:6" ht="15.75" customHeight="1" x14ac:dyDescent="0.2">
      <c r="D116" s="13">
        <v>42403</v>
      </c>
      <c r="E116" s="12">
        <v>-330</v>
      </c>
      <c r="F116" s="12">
        <v>-5850.9000000000005</v>
      </c>
    </row>
    <row r="117" spans="4:6" ht="15.75" customHeight="1" x14ac:dyDescent="0.2">
      <c r="D117" s="13">
        <v>42408</v>
      </c>
      <c r="E117" s="12">
        <v>50</v>
      </c>
      <c r="F117" s="12">
        <v>803.5</v>
      </c>
    </row>
    <row r="118" spans="4:6" ht="15.75" customHeight="1" x14ac:dyDescent="0.2">
      <c r="D118" s="13">
        <v>42411</v>
      </c>
      <c r="E118" s="12">
        <v>-350</v>
      </c>
      <c r="F118" s="12">
        <v>-5802.9999999999991</v>
      </c>
    </row>
    <row r="119" spans="4:6" ht="15.75" customHeight="1" x14ac:dyDescent="0.2">
      <c r="D119" s="13">
        <v>42412</v>
      </c>
      <c r="E119" s="12">
        <v>-320</v>
      </c>
      <c r="F119" s="12">
        <v>-5324.8</v>
      </c>
    </row>
    <row r="120" spans="4:6" ht="15.75" customHeight="1" x14ac:dyDescent="0.2">
      <c r="D120" s="13">
        <v>42416</v>
      </c>
      <c r="E120" s="12">
        <v>480</v>
      </c>
      <c r="F120" s="12">
        <v>8236.7999999999993</v>
      </c>
    </row>
    <row r="121" spans="4:6" ht="15.75" customHeight="1" x14ac:dyDescent="0.2">
      <c r="D121" s="13">
        <v>42417</v>
      </c>
      <c r="E121" s="12">
        <v>-20</v>
      </c>
      <c r="F121" s="12">
        <v>-351.4</v>
      </c>
    </row>
    <row r="122" spans="4:6" ht="15.75" customHeight="1" x14ac:dyDescent="0.2">
      <c r="D122" s="13">
        <v>42418</v>
      </c>
      <c r="E122" s="12">
        <v>-110</v>
      </c>
      <c r="F122" s="12">
        <v>-1893.1000000000001</v>
      </c>
    </row>
    <row r="123" spans="4:6" ht="15.75" customHeight="1" x14ac:dyDescent="0.2">
      <c r="D123" s="13">
        <v>42419</v>
      </c>
      <c r="E123" s="12">
        <v>-90</v>
      </c>
      <c r="F123" s="12">
        <v>-1544.4</v>
      </c>
    </row>
    <row r="124" spans="4:6" ht="15.75" customHeight="1" x14ac:dyDescent="0.2">
      <c r="D124" s="13">
        <v>42422</v>
      </c>
      <c r="E124" s="12">
        <v>-170</v>
      </c>
      <c r="F124" s="12">
        <v>-2934.2000000000003</v>
      </c>
    </row>
    <row r="125" spans="4:6" ht="15.75" customHeight="1" x14ac:dyDescent="0.2">
      <c r="D125" s="13">
        <v>42432</v>
      </c>
      <c r="E125" s="12">
        <v>-170</v>
      </c>
      <c r="F125" s="12">
        <v>-2959.7</v>
      </c>
    </row>
    <row r="126" spans="4:6" ht="15.75" customHeight="1" x14ac:dyDescent="0.2">
      <c r="D126" s="13">
        <v>42436</v>
      </c>
      <c r="E126" s="12">
        <v>290</v>
      </c>
      <c r="F126" s="12">
        <v>5025.7</v>
      </c>
    </row>
    <row r="127" spans="4:6" ht="15.75" customHeight="1" x14ac:dyDescent="0.2">
      <c r="D127" s="13">
        <v>42439</v>
      </c>
      <c r="E127" s="12">
        <v>110</v>
      </c>
      <c r="F127" s="12">
        <v>1922.8</v>
      </c>
    </row>
    <row r="128" spans="4:6" ht="15.75" customHeight="1" x14ac:dyDescent="0.2">
      <c r="D128" s="13">
        <v>42446</v>
      </c>
      <c r="E128" s="12">
        <v>-340</v>
      </c>
      <c r="F128" s="12">
        <v>-6096.2</v>
      </c>
    </row>
    <row r="129" spans="4:6" ht="15.75" customHeight="1" x14ac:dyDescent="0.2">
      <c r="D129" s="13">
        <v>42447</v>
      </c>
      <c r="E129" s="12">
        <v>10</v>
      </c>
      <c r="F129" s="12">
        <v>181.20000000000002</v>
      </c>
    </row>
    <row r="130" spans="4:6" ht="15.75" customHeight="1" x14ac:dyDescent="0.2">
      <c r="D130" s="13">
        <v>42451</v>
      </c>
      <c r="E130" s="12">
        <v>-440</v>
      </c>
      <c r="F130" s="12">
        <v>-8047.5999999999995</v>
      </c>
    </row>
    <row r="131" spans="4:6" ht="15.75" customHeight="1" x14ac:dyDescent="0.2">
      <c r="D131" s="13">
        <v>42453</v>
      </c>
      <c r="E131" s="12">
        <v>0</v>
      </c>
      <c r="F131" s="12">
        <v>0</v>
      </c>
    </row>
    <row r="132" spans="4:6" ht="15.75" customHeight="1" x14ac:dyDescent="0.2">
      <c r="D132" s="13">
        <v>42457</v>
      </c>
      <c r="E132" s="12">
        <v>-570</v>
      </c>
      <c r="F132" s="12">
        <v>-10282.799999999999</v>
      </c>
    </row>
    <row r="133" spans="4:6" ht="15.75" customHeight="1" x14ac:dyDescent="0.2">
      <c r="D133" s="13">
        <v>42468</v>
      </c>
      <c r="E133" s="12">
        <v>50</v>
      </c>
      <c r="F133" s="12">
        <v>965.49999999999989</v>
      </c>
    </row>
    <row r="134" spans="4:6" ht="15.75" customHeight="1" x14ac:dyDescent="0.2">
      <c r="D134" s="13">
        <v>42474</v>
      </c>
      <c r="E134" s="12">
        <v>-190</v>
      </c>
      <c r="F134" s="12">
        <v>-3714.5</v>
      </c>
    </row>
    <row r="135" spans="4:6" ht="15.75" customHeight="1" x14ac:dyDescent="0.2">
      <c r="D135" s="13">
        <v>42475</v>
      </c>
      <c r="E135" s="12">
        <v>120</v>
      </c>
      <c r="F135" s="12">
        <v>2335.2000000000003</v>
      </c>
    </row>
    <row r="136" spans="4:6" ht="15.75" customHeight="1" x14ac:dyDescent="0.2">
      <c r="D136" s="13">
        <v>42482</v>
      </c>
      <c r="E136" s="12">
        <v>60</v>
      </c>
      <c r="F136" s="12">
        <v>1185.6000000000001</v>
      </c>
    </row>
    <row r="137" spans="4:6" ht="15.75" customHeight="1" x14ac:dyDescent="0.2">
      <c r="D137" s="13">
        <v>42489</v>
      </c>
      <c r="E137" s="12">
        <v>50</v>
      </c>
      <c r="F137" s="12">
        <v>1096</v>
      </c>
    </row>
    <row r="138" spans="4:6" ht="15.75" customHeight="1" x14ac:dyDescent="0.2">
      <c r="D138" s="13">
        <v>42502</v>
      </c>
      <c r="E138" s="12">
        <v>140</v>
      </c>
      <c r="F138" s="12">
        <v>3087</v>
      </c>
    </row>
    <row r="139" spans="4:6" ht="15.75" customHeight="1" x14ac:dyDescent="0.2">
      <c r="D139" s="13">
        <v>42507</v>
      </c>
      <c r="E139" s="12">
        <v>-370</v>
      </c>
      <c r="F139" s="12">
        <v>-8254.6999999999989</v>
      </c>
    </row>
    <row r="140" spans="4:6" ht="15.75" customHeight="1" x14ac:dyDescent="0.2">
      <c r="D140" s="13">
        <v>42508</v>
      </c>
      <c r="E140" s="12">
        <v>40</v>
      </c>
      <c r="F140" s="12">
        <v>891.59999999999991</v>
      </c>
    </row>
    <row r="141" spans="4:6" ht="15.75" customHeight="1" x14ac:dyDescent="0.2">
      <c r="D141" s="13">
        <v>42509</v>
      </c>
      <c r="E141" s="12">
        <v>230</v>
      </c>
      <c r="F141" s="12">
        <v>5099.1000000000004</v>
      </c>
    </row>
    <row r="142" spans="4:6" ht="15.75" customHeight="1" x14ac:dyDescent="0.2">
      <c r="D142" s="13">
        <v>42515</v>
      </c>
      <c r="E142" s="12">
        <v>-390</v>
      </c>
      <c r="F142" s="12">
        <v>-8732.1</v>
      </c>
    </row>
    <row r="143" spans="4:6" ht="15.75" customHeight="1" x14ac:dyDescent="0.2">
      <c r="D143" s="13">
        <v>42516</v>
      </c>
      <c r="E143" s="12">
        <v>110</v>
      </c>
      <c r="F143" s="12">
        <v>2481.6</v>
      </c>
    </row>
    <row r="144" spans="4:6" ht="15.75" customHeight="1" x14ac:dyDescent="0.2">
      <c r="D144" s="13">
        <v>42523</v>
      </c>
      <c r="E144" s="12">
        <v>-180</v>
      </c>
      <c r="F144" s="12">
        <v>-4138.2</v>
      </c>
    </row>
    <row r="145" spans="4:6" ht="15.75" customHeight="1" x14ac:dyDescent="0.2">
      <c r="D145" s="13">
        <v>42529</v>
      </c>
      <c r="E145" s="12">
        <v>-810</v>
      </c>
      <c r="F145" s="12">
        <v>-18468</v>
      </c>
    </row>
    <row r="146" spans="4:6" ht="15.75" customHeight="1" x14ac:dyDescent="0.2">
      <c r="D146" s="13">
        <v>42545</v>
      </c>
      <c r="E146" s="12">
        <v>-140</v>
      </c>
      <c r="F146" s="12">
        <v>-3131.8</v>
      </c>
    </row>
    <row r="147" spans="4:6" ht="15.75" customHeight="1" x14ac:dyDescent="0.2">
      <c r="D147" s="13">
        <v>42552</v>
      </c>
      <c r="E147" s="12">
        <v>-950</v>
      </c>
      <c r="F147" s="12">
        <v>-22239.5</v>
      </c>
    </row>
    <row r="148" spans="4:6" ht="15.75" customHeight="1" x14ac:dyDescent="0.2">
      <c r="D148" s="13">
        <v>42556</v>
      </c>
      <c r="E148" s="12">
        <v>460</v>
      </c>
      <c r="F148" s="12">
        <v>10718</v>
      </c>
    </row>
    <row r="149" spans="4:6" ht="15.75" customHeight="1" x14ac:dyDescent="0.2">
      <c r="D149" s="13">
        <v>42559</v>
      </c>
      <c r="E149" s="12">
        <v>130</v>
      </c>
      <c r="F149" s="12">
        <v>3107</v>
      </c>
    </row>
    <row r="150" spans="4:6" ht="15.75" customHeight="1" x14ac:dyDescent="0.2">
      <c r="D150" s="13">
        <v>42587</v>
      </c>
      <c r="E150" s="12">
        <v>-90</v>
      </c>
      <c r="F150" s="12">
        <v>-2172.6</v>
      </c>
    </row>
    <row r="151" spans="4:6" ht="15.75" customHeight="1" x14ac:dyDescent="0.2">
      <c r="D151" s="13">
        <v>42590</v>
      </c>
      <c r="E151" s="12">
        <v>-180</v>
      </c>
      <c r="F151" s="12">
        <v>-4298.3999999999996</v>
      </c>
    </row>
    <row r="152" spans="4:6" ht="15.75" customHeight="1" x14ac:dyDescent="0.2">
      <c r="D152" s="13">
        <v>42599</v>
      </c>
      <c r="E152" s="12">
        <v>-60</v>
      </c>
      <c r="F152" s="12">
        <v>-1434</v>
      </c>
    </row>
    <row r="153" spans="4:6" ht="15.75" customHeight="1" x14ac:dyDescent="0.2">
      <c r="D153" s="13">
        <v>42600</v>
      </c>
      <c r="E153" s="12">
        <v>230</v>
      </c>
      <c r="F153" s="12">
        <v>5510.8</v>
      </c>
    </row>
    <row r="154" spans="4:6" ht="15.75" customHeight="1" x14ac:dyDescent="0.2">
      <c r="D154" s="13">
        <v>42606</v>
      </c>
      <c r="E154" s="12">
        <v>-400</v>
      </c>
      <c r="F154" s="12">
        <v>-9452</v>
      </c>
    </row>
    <row r="155" spans="4:6" ht="15.75" customHeight="1" x14ac:dyDescent="0.2">
      <c r="D155" s="13">
        <v>42608</v>
      </c>
      <c r="E155" s="12">
        <v>500</v>
      </c>
      <c r="F155" s="12">
        <v>11985</v>
      </c>
    </row>
    <row r="156" spans="4:6" ht="15.75" customHeight="1" x14ac:dyDescent="0.2">
      <c r="D156" s="13">
        <v>42612</v>
      </c>
      <c r="E156" s="12">
        <v>-130</v>
      </c>
      <c r="F156" s="12">
        <v>-3147.3</v>
      </c>
    </row>
    <row r="157" spans="4:6" ht="15.75" customHeight="1" x14ac:dyDescent="0.2">
      <c r="D157" s="13">
        <v>42619</v>
      </c>
      <c r="E157" s="12">
        <v>70</v>
      </c>
      <c r="F157" s="12">
        <v>1703.1</v>
      </c>
    </row>
    <row r="158" spans="4:6" ht="15.75" customHeight="1" x14ac:dyDescent="0.2">
      <c r="D158" s="13">
        <v>42625</v>
      </c>
      <c r="E158" s="12">
        <v>-290</v>
      </c>
      <c r="F158" s="12">
        <v>-6887.5</v>
      </c>
    </row>
    <row r="159" spans="4:6" ht="15.75" customHeight="1" x14ac:dyDescent="0.2">
      <c r="D159" s="13">
        <v>42626</v>
      </c>
      <c r="E159" s="12">
        <v>-490</v>
      </c>
      <c r="F159" s="12">
        <v>-11397.400000000001</v>
      </c>
    </row>
    <row r="160" spans="4:6" ht="15.75" customHeight="1" x14ac:dyDescent="0.2">
      <c r="D160" s="13">
        <v>42627</v>
      </c>
      <c r="E160" s="12">
        <v>500</v>
      </c>
      <c r="F160" s="12">
        <v>11555</v>
      </c>
    </row>
    <row r="161" spans="4:6" ht="15.75" customHeight="1" x14ac:dyDescent="0.2">
      <c r="D161" s="13">
        <v>42628</v>
      </c>
      <c r="E161" s="12">
        <v>-70</v>
      </c>
      <c r="F161" s="12">
        <v>-1653.4</v>
      </c>
    </row>
    <row r="162" spans="4:6" ht="15.75" customHeight="1" x14ac:dyDescent="0.2">
      <c r="D162" s="13">
        <v>42633</v>
      </c>
      <c r="E162" s="12">
        <v>-350</v>
      </c>
      <c r="F162" s="12">
        <v>-8158.5</v>
      </c>
    </row>
    <row r="163" spans="4:6" ht="15.75" customHeight="1" x14ac:dyDescent="0.2">
      <c r="D163" s="13">
        <v>42634</v>
      </c>
      <c r="E163" s="12">
        <v>-480</v>
      </c>
      <c r="F163" s="12">
        <v>-11390.4</v>
      </c>
    </row>
    <row r="164" spans="4:6" ht="15.75" customHeight="1" x14ac:dyDescent="0.2">
      <c r="D164" s="13">
        <v>42636</v>
      </c>
      <c r="E164" s="12">
        <v>380</v>
      </c>
      <c r="F164" s="12">
        <v>9009.8000000000011</v>
      </c>
    </row>
    <row r="165" spans="4:6" ht="15.75" customHeight="1" x14ac:dyDescent="0.2">
      <c r="D165" s="13">
        <v>42639</v>
      </c>
      <c r="E165" s="12">
        <v>-440</v>
      </c>
      <c r="F165" s="12">
        <v>-10441.200000000001</v>
      </c>
    </row>
    <row r="166" spans="4:6" ht="15.75" customHeight="1" x14ac:dyDescent="0.2">
      <c r="D166" s="13">
        <v>42643</v>
      </c>
      <c r="E166" s="12">
        <v>330</v>
      </c>
      <c r="F166" s="12">
        <v>7854</v>
      </c>
    </row>
    <row r="167" spans="4:6" ht="15.75" customHeight="1" x14ac:dyDescent="0.2">
      <c r="D167" s="13">
        <v>42648</v>
      </c>
      <c r="E167" s="12">
        <v>-340</v>
      </c>
      <c r="F167" s="12">
        <v>-7966.2</v>
      </c>
    </row>
    <row r="168" spans="4:6" ht="15.75" customHeight="1" x14ac:dyDescent="0.2">
      <c r="D168" s="13">
        <v>42664</v>
      </c>
      <c r="E168" s="12">
        <v>-100</v>
      </c>
      <c r="F168" s="12">
        <v>-2282</v>
      </c>
    </row>
    <row r="169" spans="4:6" ht="15.75" customHeight="1" x14ac:dyDescent="0.2">
      <c r="D169" s="13">
        <v>42669</v>
      </c>
      <c r="E169" s="12">
        <v>130</v>
      </c>
      <c r="F169" s="12">
        <v>2871.7</v>
      </c>
    </row>
    <row r="170" spans="4:6" ht="15.75" customHeight="1" x14ac:dyDescent="0.2">
      <c r="D170" s="13">
        <v>42670</v>
      </c>
      <c r="E170" s="12">
        <v>320</v>
      </c>
      <c r="F170" s="12">
        <v>6876.7999999999993</v>
      </c>
    </row>
    <row r="171" spans="4:6" ht="15.75" customHeight="1" x14ac:dyDescent="0.2">
      <c r="D171" s="13">
        <v>42671</v>
      </c>
      <c r="E171" s="12">
        <v>-170</v>
      </c>
      <c r="F171" s="12">
        <v>-3755.3</v>
      </c>
    </row>
    <row r="172" spans="4:6" ht="15.75" customHeight="1" x14ac:dyDescent="0.2">
      <c r="D172" s="13">
        <v>42675</v>
      </c>
      <c r="E172" s="12">
        <v>-450</v>
      </c>
      <c r="F172" s="12">
        <v>-9769.5</v>
      </c>
    </row>
    <row r="173" spans="4:6" ht="15.75" customHeight="1" x14ac:dyDescent="0.2">
      <c r="D173" s="13">
        <v>42682</v>
      </c>
      <c r="E173" s="12">
        <v>280</v>
      </c>
      <c r="F173" s="12">
        <v>6230</v>
      </c>
    </row>
    <row r="174" spans="4:6" ht="15.75" customHeight="1" x14ac:dyDescent="0.2">
      <c r="D174" s="13">
        <v>42684</v>
      </c>
      <c r="E174" s="12">
        <v>210</v>
      </c>
      <c r="F174" s="12">
        <v>4594.8</v>
      </c>
    </row>
    <row r="175" spans="4:6" ht="15.75" customHeight="1" x14ac:dyDescent="0.2">
      <c r="D175" s="13">
        <v>42688</v>
      </c>
      <c r="E175" s="12">
        <v>-460</v>
      </c>
      <c r="F175" s="12">
        <v>-9563.4</v>
      </c>
    </row>
    <row r="176" spans="4:6" ht="15.75" customHeight="1" x14ac:dyDescent="0.2">
      <c r="D176" s="13">
        <v>42709</v>
      </c>
      <c r="E176" s="12">
        <v>-520</v>
      </c>
      <c r="F176" s="12">
        <v>-10769.2</v>
      </c>
    </row>
    <row r="177" spans="4:6" ht="15.75" customHeight="1" x14ac:dyDescent="0.2">
      <c r="D177" s="13">
        <v>42726</v>
      </c>
      <c r="E177" s="12">
        <v>190</v>
      </c>
      <c r="F177" s="12">
        <v>4115.3999999999996</v>
      </c>
    </row>
    <row r="178" spans="4:6" ht="15.75" customHeight="1" x14ac:dyDescent="0.2">
      <c r="D178" s="13">
        <v>42760</v>
      </c>
      <c r="E178" s="12">
        <v>-490</v>
      </c>
      <c r="F178" s="12">
        <v>-11554.199999999999</v>
      </c>
    </row>
    <row r="179" spans="4:6" ht="15.75" customHeight="1" x14ac:dyDescent="0.2">
      <c r="D179" s="13">
        <v>42762</v>
      </c>
      <c r="E179" s="12">
        <v>350</v>
      </c>
      <c r="F179" s="12">
        <v>8354.5</v>
      </c>
    </row>
    <row r="180" spans="4:6" ht="15.75" customHeight="1" x14ac:dyDescent="0.2">
      <c r="D180" s="13">
        <v>42766</v>
      </c>
      <c r="E180" s="12">
        <v>390</v>
      </c>
      <c r="F180" s="12">
        <v>9383.4</v>
      </c>
    </row>
    <row r="181" spans="4:6" ht="15.75" customHeight="1" x14ac:dyDescent="0.2">
      <c r="D181" s="13">
        <v>42767</v>
      </c>
      <c r="E181" s="12">
        <v>200</v>
      </c>
      <c r="F181" s="12">
        <v>4792</v>
      </c>
    </row>
    <row r="182" spans="4:6" ht="15.75" customHeight="1" x14ac:dyDescent="0.2">
      <c r="D182" s="13">
        <v>42776</v>
      </c>
      <c r="E182" s="12">
        <v>240</v>
      </c>
      <c r="F182" s="12">
        <v>6048</v>
      </c>
    </row>
    <row r="183" spans="4:6" ht="15.75" customHeight="1" x14ac:dyDescent="0.2">
      <c r="D183" s="13">
        <v>42783</v>
      </c>
      <c r="E183" s="12">
        <v>-370</v>
      </c>
      <c r="F183" s="12">
        <v>-9394.3000000000011</v>
      </c>
    </row>
    <row r="184" spans="4:6" ht="15.75" customHeight="1" x14ac:dyDescent="0.2">
      <c r="D184" s="13">
        <v>42802</v>
      </c>
      <c r="E184" s="12">
        <v>-350</v>
      </c>
      <c r="F184" s="12">
        <v>-8582</v>
      </c>
    </row>
    <row r="185" spans="4:6" ht="15.75" customHeight="1" x14ac:dyDescent="0.2">
      <c r="D185" s="13">
        <v>42809</v>
      </c>
      <c r="E185" s="12">
        <v>-200</v>
      </c>
      <c r="F185" s="12">
        <v>-4930</v>
      </c>
    </row>
    <row r="186" spans="4:6" ht="15.75" customHeight="1" x14ac:dyDescent="0.2">
      <c r="D186" s="13">
        <v>42811</v>
      </c>
      <c r="E186" s="12">
        <v>-230</v>
      </c>
      <c r="F186" s="12">
        <v>-5618.9</v>
      </c>
    </row>
    <row r="187" spans="4:6" ht="15.75" customHeight="1" x14ac:dyDescent="0.2">
      <c r="D187" s="13">
        <v>42814</v>
      </c>
      <c r="E187" s="12">
        <v>390</v>
      </c>
      <c r="F187" s="12">
        <v>9512.1</v>
      </c>
    </row>
    <row r="188" spans="4:6" ht="15.75" customHeight="1" x14ac:dyDescent="0.2">
      <c r="D188" s="13">
        <v>42830</v>
      </c>
      <c r="E188" s="12">
        <v>-430</v>
      </c>
      <c r="F188" s="12">
        <v>-10500.6</v>
      </c>
    </row>
    <row r="189" spans="4:6" ht="15.75" customHeight="1" x14ac:dyDescent="0.2">
      <c r="D189" s="13">
        <v>42836</v>
      </c>
      <c r="E189" s="12">
        <v>310</v>
      </c>
      <c r="F189" s="12">
        <v>7616.7</v>
      </c>
    </row>
    <row r="190" spans="4:6" ht="15.75" customHeight="1" x14ac:dyDescent="0.2">
      <c r="D190" s="13">
        <v>42842</v>
      </c>
      <c r="E190" s="12">
        <v>-110</v>
      </c>
      <c r="F190" s="12">
        <v>-2708.2000000000007</v>
      </c>
    </row>
    <row r="191" spans="4:6" ht="15.75" customHeight="1" x14ac:dyDescent="0.2">
      <c r="D191" s="13">
        <v>42850</v>
      </c>
      <c r="E191" s="12">
        <v>-440</v>
      </c>
      <c r="F191" s="12">
        <v>-11325.599999999999</v>
      </c>
    </row>
    <row r="192" spans="4:6" ht="15.75" customHeight="1" x14ac:dyDescent="0.2">
      <c r="D192" s="13">
        <v>42853</v>
      </c>
      <c r="E192" s="12">
        <v>-170</v>
      </c>
      <c r="F192" s="12">
        <v>-4484.5999999999995</v>
      </c>
    </row>
    <row r="193" spans="4:6" ht="15.75" customHeight="1" x14ac:dyDescent="0.2">
      <c r="D193" s="13">
        <v>42856</v>
      </c>
      <c r="E193" s="12">
        <v>130</v>
      </c>
      <c r="F193" s="12">
        <v>3432</v>
      </c>
    </row>
    <row r="194" spans="4:6" ht="15.75" customHeight="1" x14ac:dyDescent="0.2">
      <c r="D194" s="13">
        <v>42857</v>
      </c>
      <c r="E194" s="12">
        <v>-740</v>
      </c>
      <c r="F194" s="12">
        <v>-19676.599999999999</v>
      </c>
    </row>
    <row r="195" spans="4:6" ht="15.75" customHeight="1" x14ac:dyDescent="0.2">
      <c r="D195" s="13">
        <v>42859</v>
      </c>
      <c r="E195" s="12">
        <v>180</v>
      </c>
      <c r="F195" s="12">
        <v>4743</v>
      </c>
    </row>
    <row r="196" spans="4:6" ht="15.75" customHeight="1" x14ac:dyDescent="0.2">
      <c r="D196" s="13">
        <v>42860</v>
      </c>
      <c r="E196" s="12">
        <v>410</v>
      </c>
      <c r="F196" s="12">
        <v>10869.1</v>
      </c>
    </row>
    <row r="197" spans="4:6" ht="15.75" customHeight="1" x14ac:dyDescent="0.2">
      <c r="D197" s="13">
        <v>42880</v>
      </c>
      <c r="E197" s="12">
        <v>80</v>
      </c>
      <c r="F197" s="12">
        <v>2180.8000000000002</v>
      </c>
    </row>
    <row r="198" spans="4:6" ht="15.75" customHeight="1" x14ac:dyDescent="0.2">
      <c r="D198" s="13">
        <v>42895</v>
      </c>
      <c r="E198" s="12">
        <v>370</v>
      </c>
      <c r="F198" s="12">
        <v>10293.4</v>
      </c>
    </row>
    <row r="199" spans="4:6" ht="15.75" customHeight="1" x14ac:dyDescent="0.2">
      <c r="D199" s="13">
        <v>42898</v>
      </c>
      <c r="E199" s="12">
        <v>490</v>
      </c>
      <c r="F199" s="12">
        <v>13597.5</v>
      </c>
    </row>
    <row r="200" spans="4:6" ht="15.75" customHeight="1" x14ac:dyDescent="0.2">
      <c r="D200" s="13">
        <v>42905</v>
      </c>
      <c r="E200" s="12">
        <v>-460</v>
      </c>
      <c r="F200" s="12">
        <v>-12995</v>
      </c>
    </row>
    <row r="201" spans="4:6" ht="15.75" customHeight="1" x14ac:dyDescent="0.2">
      <c r="D201" s="13">
        <v>42912</v>
      </c>
      <c r="E201" s="12">
        <v>80</v>
      </c>
      <c r="F201" s="12">
        <v>2217.6</v>
      </c>
    </row>
    <row r="202" spans="4:6" ht="15.75" customHeight="1" x14ac:dyDescent="0.2">
      <c r="D202" s="13">
        <v>42914</v>
      </c>
      <c r="E202" s="12">
        <v>200</v>
      </c>
      <c r="F202" s="12">
        <v>5624</v>
      </c>
    </row>
    <row r="203" spans="4:6" ht="15.75" customHeight="1" x14ac:dyDescent="0.2">
      <c r="D203" s="13">
        <v>42921</v>
      </c>
      <c r="E203" s="12">
        <v>80</v>
      </c>
      <c r="F203" s="12">
        <v>2210.4</v>
      </c>
    </row>
    <row r="204" spans="4:6" ht="15.75" customHeight="1" x14ac:dyDescent="0.2">
      <c r="D204" s="13">
        <v>42922</v>
      </c>
      <c r="E204" s="12">
        <v>390</v>
      </c>
      <c r="F204" s="12">
        <v>10650.9</v>
      </c>
    </row>
    <row r="205" spans="4:6" ht="15.75" customHeight="1" x14ac:dyDescent="0.2">
      <c r="D205" s="13">
        <v>42923</v>
      </c>
      <c r="E205" s="12">
        <v>380</v>
      </c>
      <c r="F205" s="12">
        <v>10484.200000000001</v>
      </c>
    </row>
    <row r="206" spans="4:6" ht="15.75" customHeight="1" x14ac:dyDescent="0.2">
      <c r="D206" s="13">
        <v>42928</v>
      </c>
      <c r="E206" s="12">
        <v>-120</v>
      </c>
      <c r="F206" s="12">
        <v>-3338.4</v>
      </c>
    </row>
    <row r="207" spans="4:6" ht="15.75" customHeight="1" x14ac:dyDescent="0.2">
      <c r="D207" s="13">
        <v>42929</v>
      </c>
      <c r="E207" s="12">
        <v>-190</v>
      </c>
      <c r="F207" s="12">
        <v>-5242.1000000000004</v>
      </c>
    </row>
    <row r="208" spans="4:6" ht="15.75" customHeight="1" x14ac:dyDescent="0.2">
      <c r="D208" s="13">
        <v>42942</v>
      </c>
      <c r="E208" s="12">
        <v>-20</v>
      </c>
      <c r="F208" s="12">
        <v>-548.40000000000009</v>
      </c>
    </row>
    <row r="209" spans="4:6" ht="15.75" customHeight="1" x14ac:dyDescent="0.2">
      <c r="D209" s="13">
        <v>42951</v>
      </c>
      <c r="E209" s="12">
        <v>220</v>
      </c>
      <c r="F209" s="12">
        <v>5902.5999999999995</v>
      </c>
    </row>
    <row r="210" spans="4:6" ht="15.75" customHeight="1" x14ac:dyDescent="0.2">
      <c r="D210" s="13">
        <v>42965</v>
      </c>
      <c r="E210" s="12">
        <v>350</v>
      </c>
      <c r="F210" s="12">
        <v>9411.5</v>
      </c>
    </row>
    <row r="211" spans="4:6" ht="15.75" customHeight="1" x14ac:dyDescent="0.2">
      <c r="D211" s="13">
        <v>42970</v>
      </c>
      <c r="E211" s="12">
        <v>30</v>
      </c>
      <c r="F211" s="12">
        <v>805.2</v>
      </c>
    </row>
    <row r="212" spans="4:6" ht="15.75" customHeight="1" x14ac:dyDescent="0.2">
      <c r="D212" s="13">
        <v>42971</v>
      </c>
      <c r="E212" s="12">
        <v>-360</v>
      </c>
      <c r="F212" s="12">
        <v>-9615.6</v>
      </c>
    </row>
    <row r="213" spans="4:6" ht="15.75" customHeight="1" x14ac:dyDescent="0.2">
      <c r="D213" s="13">
        <v>42976</v>
      </c>
      <c r="E213" s="12">
        <v>290</v>
      </c>
      <c r="F213" s="12">
        <v>7844.5</v>
      </c>
    </row>
    <row r="214" spans="4:6" ht="15.75" customHeight="1" x14ac:dyDescent="0.2">
      <c r="D214" s="13">
        <v>42990</v>
      </c>
      <c r="E214" s="12">
        <v>-120</v>
      </c>
      <c r="F214" s="12">
        <v>-3481.2000000000003</v>
      </c>
    </row>
    <row r="215" spans="4:6" ht="15.75" customHeight="1" x14ac:dyDescent="0.2">
      <c r="D215" s="13">
        <v>42996</v>
      </c>
      <c r="E215" s="12">
        <v>-370</v>
      </c>
      <c r="F215" s="12">
        <v>-10726.3</v>
      </c>
    </row>
    <row r="216" spans="4:6" ht="15.75" customHeight="1" x14ac:dyDescent="0.2">
      <c r="D216" s="13">
        <v>43000</v>
      </c>
      <c r="E216" s="12">
        <v>270</v>
      </c>
      <c r="F216" s="12">
        <v>7789.5</v>
      </c>
    </row>
    <row r="217" spans="4:6" ht="15.75" customHeight="1" x14ac:dyDescent="0.2">
      <c r="D217" s="13">
        <v>43010</v>
      </c>
      <c r="E217" s="12">
        <v>-30</v>
      </c>
      <c r="F217" s="12">
        <v>-884.09999999999991</v>
      </c>
    </row>
    <row r="218" spans="4:6" ht="15.75" customHeight="1" x14ac:dyDescent="0.2">
      <c r="D218" s="13">
        <v>43019</v>
      </c>
      <c r="E218" s="12">
        <v>110</v>
      </c>
      <c r="F218" s="12">
        <v>3219.7</v>
      </c>
    </row>
    <row r="219" spans="4:6" ht="15.75" customHeight="1" x14ac:dyDescent="0.2">
      <c r="D219" s="13">
        <v>43021</v>
      </c>
      <c r="E219" s="12">
        <v>-40</v>
      </c>
      <c r="F219" s="12">
        <v>-1177.6000000000001</v>
      </c>
    </row>
    <row r="220" spans="4:6" ht="15.75" customHeight="1" x14ac:dyDescent="0.2">
      <c r="D220" s="13">
        <v>43028</v>
      </c>
      <c r="E220" s="12">
        <v>200</v>
      </c>
      <c r="F220" s="12">
        <v>5938</v>
      </c>
    </row>
    <row r="221" spans="4:6" ht="15.75" customHeight="1" x14ac:dyDescent="0.2">
      <c r="D221" s="13">
        <v>43033</v>
      </c>
      <c r="E221" s="12">
        <v>130</v>
      </c>
      <c r="F221" s="12">
        <v>3849.2999999999993</v>
      </c>
    </row>
    <row r="222" spans="4:6" ht="15.75" customHeight="1" x14ac:dyDescent="0.2">
      <c r="D222" s="13">
        <v>43035</v>
      </c>
      <c r="E222" s="12">
        <v>380</v>
      </c>
      <c r="F222" s="12">
        <v>10830</v>
      </c>
    </row>
    <row r="223" spans="4:6" ht="15.75" customHeight="1" x14ac:dyDescent="0.2">
      <c r="D223" s="13">
        <v>43038</v>
      </c>
      <c r="E223" s="12">
        <v>20</v>
      </c>
      <c r="F223" s="12">
        <v>563.20000000000005</v>
      </c>
    </row>
    <row r="224" spans="4:6" ht="15.75" customHeight="1" x14ac:dyDescent="0.2">
      <c r="D224" s="13">
        <v>43048</v>
      </c>
      <c r="E224" s="12">
        <v>360</v>
      </c>
      <c r="F224" s="12">
        <v>10292.4</v>
      </c>
    </row>
    <row r="225" spans="4:6" ht="15.75" customHeight="1" x14ac:dyDescent="0.2">
      <c r="D225" s="13">
        <v>43061</v>
      </c>
      <c r="E225" s="12">
        <v>-210</v>
      </c>
      <c r="F225" s="12">
        <v>-5978.7</v>
      </c>
    </row>
    <row r="226" spans="4:6" ht="15.75" customHeight="1" x14ac:dyDescent="0.2">
      <c r="D226" s="13">
        <v>43063</v>
      </c>
      <c r="E226" s="12">
        <v>130</v>
      </c>
      <c r="F226" s="12">
        <v>3725.8</v>
      </c>
    </row>
    <row r="227" spans="4:6" ht="15.75" customHeight="1" x14ac:dyDescent="0.2">
      <c r="D227" s="13">
        <v>43075</v>
      </c>
      <c r="E227" s="12">
        <v>-350</v>
      </c>
      <c r="F227" s="12">
        <v>-8834</v>
      </c>
    </row>
    <row r="228" spans="4:6" ht="15.75" customHeight="1" x14ac:dyDescent="0.2">
      <c r="D228" s="13">
        <v>43077</v>
      </c>
      <c r="E228" s="12">
        <v>-80</v>
      </c>
      <c r="F228" s="12">
        <v>-2061.6</v>
      </c>
    </row>
    <row r="229" spans="4:6" ht="15.75" customHeight="1" x14ac:dyDescent="0.2">
      <c r="D229" s="13">
        <v>43083</v>
      </c>
      <c r="E229" s="12">
        <v>-240</v>
      </c>
      <c r="F229" s="12">
        <v>-6148.8</v>
      </c>
    </row>
    <row r="230" spans="4:6" ht="15.75" customHeight="1" x14ac:dyDescent="0.2">
      <c r="D230" s="13">
        <v>43102</v>
      </c>
      <c r="E230" s="12">
        <v>-90</v>
      </c>
      <c r="F230" s="12">
        <v>-2275.2000000000003</v>
      </c>
    </row>
    <row r="231" spans="4:6" ht="15.75" customHeight="1" x14ac:dyDescent="0.2">
      <c r="D231" s="13">
        <v>43109</v>
      </c>
      <c r="E231" s="12">
        <v>-100</v>
      </c>
      <c r="F231" s="12">
        <v>-2796</v>
      </c>
    </row>
    <row r="232" spans="4:6" ht="15.75" customHeight="1" x14ac:dyDescent="0.2">
      <c r="D232" s="13">
        <v>43111</v>
      </c>
      <c r="E232" s="12">
        <v>-30</v>
      </c>
      <c r="F232" s="12">
        <v>-822.9</v>
      </c>
    </row>
    <row r="233" spans="4:6" ht="15.75" customHeight="1" x14ac:dyDescent="0.2">
      <c r="D233" s="13">
        <v>43112</v>
      </c>
      <c r="E233" s="12">
        <v>-120</v>
      </c>
      <c r="F233" s="12">
        <v>-3295.2000000000003</v>
      </c>
    </row>
    <row r="234" spans="4:6" ht="15.75" customHeight="1" x14ac:dyDescent="0.2">
      <c r="D234" s="13">
        <v>43122</v>
      </c>
      <c r="E234" s="12">
        <v>-330</v>
      </c>
      <c r="F234" s="12">
        <v>-9144.3000000000011</v>
      </c>
    </row>
    <row r="235" spans="4:6" ht="15.75" customHeight="1" x14ac:dyDescent="0.2">
      <c r="D235" s="13">
        <v>43125</v>
      </c>
      <c r="E235" s="12">
        <v>-450</v>
      </c>
      <c r="F235" s="12">
        <v>-12717</v>
      </c>
    </row>
    <row r="236" spans="4:6" ht="15.75" customHeight="1" x14ac:dyDescent="0.2">
      <c r="D236" s="13">
        <v>43126</v>
      </c>
      <c r="E236" s="12">
        <v>-90</v>
      </c>
      <c r="F236" s="12">
        <v>-2557.8000000000011</v>
      </c>
    </row>
    <row r="237" spans="4:6" ht="15.75" customHeight="1" x14ac:dyDescent="0.2">
      <c r="D237" s="13">
        <v>43129</v>
      </c>
      <c r="E237" s="12">
        <v>100</v>
      </c>
      <c r="F237" s="12">
        <v>2833</v>
      </c>
    </row>
    <row r="238" spans="4:6" ht="15.75" customHeight="1" x14ac:dyDescent="0.2">
      <c r="D238" s="13">
        <v>43131</v>
      </c>
      <c r="E238" s="12">
        <v>330</v>
      </c>
      <c r="F238" s="12">
        <v>9226.8000000000011</v>
      </c>
    </row>
    <row r="239" spans="4:6" ht="15.75" customHeight="1" x14ac:dyDescent="0.2">
      <c r="D239" s="13">
        <v>43136</v>
      </c>
      <c r="E239" s="12">
        <v>420</v>
      </c>
      <c r="F239" s="12">
        <v>11088</v>
      </c>
    </row>
    <row r="240" spans="4:6" ht="15.75" customHeight="1" x14ac:dyDescent="0.2">
      <c r="D240" s="13">
        <v>43137</v>
      </c>
      <c r="E240" s="12">
        <v>260</v>
      </c>
      <c r="F240" s="12">
        <v>6947.2</v>
      </c>
    </row>
    <row r="241" spans="4:6" ht="15.75" customHeight="1" x14ac:dyDescent="0.2">
      <c r="D241" s="13">
        <v>43138</v>
      </c>
      <c r="E241" s="12">
        <v>220</v>
      </c>
      <c r="F241" s="12">
        <v>5790.4</v>
      </c>
    </row>
    <row r="242" spans="4:6" ht="15.75" customHeight="1" x14ac:dyDescent="0.2">
      <c r="D242" s="13">
        <v>43139</v>
      </c>
      <c r="E242" s="12">
        <v>290</v>
      </c>
      <c r="F242" s="12">
        <v>7308</v>
      </c>
    </row>
    <row r="243" spans="4:6" ht="15.75" customHeight="1" x14ac:dyDescent="0.2">
      <c r="D243" s="13">
        <v>43140</v>
      </c>
      <c r="E243" s="12">
        <v>-650</v>
      </c>
      <c r="F243" s="12">
        <v>-16848</v>
      </c>
    </row>
    <row r="244" spans="4:6" ht="15.75" customHeight="1" x14ac:dyDescent="0.2">
      <c r="D244" s="13">
        <v>43146</v>
      </c>
      <c r="E244" s="12">
        <v>160</v>
      </c>
      <c r="F244" s="12">
        <v>4334.3999999999996</v>
      </c>
    </row>
    <row r="245" spans="4:6" ht="15.75" customHeight="1" x14ac:dyDescent="0.2">
      <c r="D245" s="13">
        <v>43147</v>
      </c>
      <c r="E245" s="12">
        <v>-140</v>
      </c>
      <c r="F245" s="12">
        <v>-3808</v>
      </c>
    </row>
    <row r="246" spans="4:6" ht="15.75" customHeight="1" x14ac:dyDescent="0.2">
      <c r="D246" s="13">
        <v>43171</v>
      </c>
      <c r="E246" s="12">
        <v>-180</v>
      </c>
      <c r="F246" s="12">
        <v>-5137.2</v>
      </c>
    </row>
    <row r="247" spans="4:6" ht="15.75" customHeight="1" x14ac:dyDescent="0.2">
      <c r="D247" s="13">
        <v>43179</v>
      </c>
      <c r="E247" s="12">
        <v>-420</v>
      </c>
      <c r="F247" s="12">
        <v>-11621.400000000001</v>
      </c>
    </row>
    <row r="248" spans="4:6" ht="15.75" customHeight="1" x14ac:dyDescent="0.2">
      <c r="D248" s="13">
        <v>43181</v>
      </c>
      <c r="E248" s="12">
        <v>50</v>
      </c>
      <c r="F248" s="12">
        <v>1347</v>
      </c>
    </row>
    <row r="249" spans="4:6" ht="15.75" customHeight="1" x14ac:dyDescent="0.2">
      <c r="D249" s="13">
        <v>43186</v>
      </c>
      <c r="E249" s="12">
        <v>-40</v>
      </c>
      <c r="F249" s="12">
        <v>-1081.2</v>
      </c>
    </row>
    <row r="250" spans="4:6" ht="15.75" customHeight="1" x14ac:dyDescent="0.2">
      <c r="D250" s="13">
        <v>43188</v>
      </c>
      <c r="E250" s="12">
        <v>490</v>
      </c>
      <c r="F250" s="12">
        <v>13386.8</v>
      </c>
    </row>
    <row r="251" spans="4:6" ht="15.75" customHeight="1" x14ac:dyDescent="0.2">
      <c r="D251" s="13">
        <v>43192</v>
      </c>
      <c r="E251" s="12">
        <v>-50</v>
      </c>
      <c r="F251" s="12">
        <v>-1342</v>
      </c>
    </row>
    <row r="252" spans="4:6" ht="15.75" customHeight="1" x14ac:dyDescent="0.2">
      <c r="D252" s="13">
        <v>43196</v>
      </c>
      <c r="E252" s="12">
        <v>-190</v>
      </c>
      <c r="F252" s="12">
        <v>-5196.5</v>
      </c>
    </row>
    <row r="253" spans="4:6" ht="15.75" customHeight="1" x14ac:dyDescent="0.2">
      <c r="D253" s="13">
        <v>43199</v>
      </c>
      <c r="E253" s="12">
        <v>350</v>
      </c>
      <c r="F253" s="12">
        <v>9628.5</v>
      </c>
    </row>
    <row r="254" spans="4:6" ht="15.75" customHeight="1" x14ac:dyDescent="0.2">
      <c r="D254" s="13">
        <v>43200</v>
      </c>
      <c r="E254" s="12">
        <v>270</v>
      </c>
      <c r="F254" s="12">
        <v>7533</v>
      </c>
    </row>
    <row r="255" spans="4:6" ht="15.75" customHeight="1" x14ac:dyDescent="0.2">
      <c r="D255" s="13">
        <v>43202</v>
      </c>
      <c r="E255" s="12">
        <v>-180</v>
      </c>
      <c r="F255" s="12">
        <v>-5081.3999999999996</v>
      </c>
    </row>
    <row r="256" spans="4:6" ht="15.75" customHeight="1" x14ac:dyDescent="0.2">
      <c r="D256" s="13">
        <v>43209</v>
      </c>
      <c r="E256" s="12">
        <v>-70</v>
      </c>
      <c r="F256" s="12">
        <v>-2022.3000000000002</v>
      </c>
    </row>
    <row r="257" spans="4:6" ht="15.75" customHeight="1" x14ac:dyDescent="0.2">
      <c r="D257" s="13">
        <v>43220</v>
      </c>
      <c r="E257" s="12">
        <v>490</v>
      </c>
      <c r="F257" s="12">
        <v>14072.8</v>
      </c>
    </row>
    <row r="258" spans="4:6" ht="15.75" customHeight="1" x14ac:dyDescent="0.2">
      <c r="D258" s="13">
        <v>43235</v>
      </c>
      <c r="E258" s="12">
        <v>-360</v>
      </c>
      <c r="F258" s="12">
        <v>-10663.2</v>
      </c>
    </row>
    <row r="259" spans="4:6" ht="15.75" customHeight="1" x14ac:dyDescent="0.2">
      <c r="D259" s="13">
        <v>43237</v>
      </c>
      <c r="E259" s="12">
        <v>240</v>
      </c>
      <c r="F259" s="12">
        <v>7276.8</v>
      </c>
    </row>
    <row r="260" spans="4:6" ht="15.75" customHeight="1" x14ac:dyDescent="0.2">
      <c r="D260" s="13">
        <v>43238</v>
      </c>
      <c r="E260" s="12">
        <v>610</v>
      </c>
      <c r="F260" s="12">
        <v>18574.5</v>
      </c>
    </row>
    <row r="261" spans="4:6" ht="15.75" customHeight="1" x14ac:dyDescent="0.2">
      <c r="D261" s="13">
        <v>43250</v>
      </c>
      <c r="E261" s="12">
        <v>440</v>
      </c>
      <c r="F261" s="12">
        <v>13424.400000000001</v>
      </c>
    </row>
    <row r="262" spans="4:6" ht="15.75" customHeight="1" x14ac:dyDescent="0.2">
      <c r="D262" s="13">
        <v>43255</v>
      </c>
      <c r="E262" s="12">
        <v>-380</v>
      </c>
      <c r="F262" s="12">
        <v>-11628</v>
      </c>
    </row>
    <row r="263" spans="4:6" ht="15.75" customHeight="1" x14ac:dyDescent="0.2">
      <c r="D263" s="13">
        <v>43262</v>
      </c>
      <c r="E263" s="12">
        <v>10</v>
      </c>
      <c r="F263" s="12">
        <v>343.2</v>
      </c>
    </row>
    <row r="264" spans="4:6" ht="15.75" customHeight="1" x14ac:dyDescent="0.2">
      <c r="D264" s="13">
        <v>43266</v>
      </c>
      <c r="E264" s="12">
        <v>330</v>
      </c>
      <c r="F264" s="12">
        <v>10876.800000000001</v>
      </c>
    </row>
    <row r="265" spans="4:6" ht="15.75" customHeight="1" x14ac:dyDescent="0.2">
      <c r="D265" s="13">
        <v>43271</v>
      </c>
      <c r="E265" s="12">
        <v>-270</v>
      </c>
      <c r="F265" s="12">
        <v>-8702.0999999999985</v>
      </c>
    </row>
    <row r="266" spans="4:6" ht="15.75" customHeight="1" x14ac:dyDescent="0.2">
      <c r="D266" s="13">
        <v>43279</v>
      </c>
      <c r="E266" s="12">
        <v>-60</v>
      </c>
      <c r="F266" s="12">
        <v>-1950</v>
      </c>
    </row>
    <row r="267" spans="4:6" ht="15.75" customHeight="1" x14ac:dyDescent="0.2">
      <c r="D267" s="13">
        <v>43286</v>
      </c>
      <c r="E267" s="12">
        <v>300</v>
      </c>
      <c r="F267" s="12">
        <v>9966</v>
      </c>
    </row>
    <row r="268" spans="4:6" ht="15.75" customHeight="1" x14ac:dyDescent="0.2">
      <c r="D268" s="13">
        <v>43290</v>
      </c>
      <c r="E268" s="12">
        <v>-150</v>
      </c>
      <c r="F268" s="12">
        <v>-5068.5</v>
      </c>
    </row>
    <row r="269" spans="4:6" ht="15.75" customHeight="1" x14ac:dyDescent="0.2">
      <c r="D269" s="13">
        <v>43291</v>
      </c>
      <c r="E269" s="12">
        <v>-200</v>
      </c>
      <c r="F269" s="12">
        <v>-6712</v>
      </c>
    </row>
    <row r="270" spans="4:6" ht="15.75" customHeight="1" x14ac:dyDescent="0.2">
      <c r="D270" s="13">
        <v>43292</v>
      </c>
      <c r="E270" s="12">
        <v>190</v>
      </c>
      <c r="F270" s="12">
        <v>6334.6</v>
      </c>
    </row>
    <row r="271" spans="4:6" ht="15.75" customHeight="1" x14ac:dyDescent="0.2">
      <c r="D271" s="13">
        <v>43301</v>
      </c>
      <c r="E271" s="12">
        <v>-520</v>
      </c>
      <c r="F271" s="12">
        <v>-17560.400000000001</v>
      </c>
    </row>
    <row r="272" spans="4:6" ht="15.75" customHeight="1" x14ac:dyDescent="0.2">
      <c r="D272" s="13">
        <v>43304</v>
      </c>
      <c r="E272" s="12">
        <v>-390</v>
      </c>
      <c r="F272" s="12">
        <v>-13146.900000000001</v>
      </c>
    </row>
    <row r="273" spans="4:6" ht="15.75" customHeight="1" x14ac:dyDescent="0.2">
      <c r="D273" s="13">
        <v>43306</v>
      </c>
      <c r="E273" s="12">
        <v>-50</v>
      </c>
      <c r="F273" s="12">
        <v>-1716</v>
      </c>
    </row>
    <row r="274" spans="4:6" ht="15.75" customHeight="1" x14ac:dyDescent="0.2">
      <c r="D274" s="13">
        <v>43321</v>
      </c>
      <c r="E274" s="12">
        <v>390</v>
      </c>
      <c r="F274" s="12">
        <v>13201.5</v>
      </c>
    </row>
    <row r="275" spans="4:6" ht="15.75" customHeight="1" x14ac:dyDescent="0.2">
      <c r="D275" s="13">
        <v>43322</v>
      </c>
      <c r="E275" s="12">
        <v>440</v>
      </c>
      <c r="F275" s="12">
        <v>14761.999999999998</v>
      </c>
    </row>
    <row r="276" spans="4:6" ht="15.75" customHeight="1" x14ac:dyDescent="0.2">
      <c r="D276" s="13">
        <v>43328</v>
      </c>
      <c r="E276" s="12">
        <v>-480</v>
      </c>
      <c r="F276" s="12">
        <v>-16459.2</v>
      </c>
    </row>
    <row r="277" spans="4:6" ht="15.75" customHeight="1" x14ac:dyDescent="0.2">
      <c r="D277" s="13">
        <v>43342</v>
      </c>
      <c r="E277" s="12">
        <v>-100</v>
      </c>
      <c r="F277" s="12">
        <v>-3540</v>
      </c>
    </row>
    <row r="278" spans="4:6" ht="15.75" customHeight="1" x14ac:dyDescent="0.2">
      <c r="D278" s="13">
        <v>43347</v>
      </c>
      <c r="E278" s="12">
        <v>20</v>
      </c>
      <c r="F278" s="12">
        <v>721</v>
      </c>
    </row>
    <row r="279" spans="4:6" ht="15.75" customHeight="1" x14ac:dyDescent="0.2">
      <c r="D279" s="13">
        <v>43350</v>
      </c>
      <c r="E279" s="12">
        <v>140</v>
      </c>
      <c r="F279" s="12">
        <v>5019</v>
      </c>
    </row>
    <row r="280" spans="4:6" ht="15.75" customHeight="1" x14ac:dyDescent="0.2">
      <c r="D280" s="13">
        <v>43354</v>
      </c>
      <c r="E280" s="12">
        <v>490</v>
      </c>
      <c r="F280" s="12">
        <v>17708.599999999999</v>
      </c>
    </row>
    <row r="281" spans="4:6" ht="15.75" customHeight="1" x14ac:dyDescent="0.2">
      <c r="D281" s="13">
        <v>43355</v>
      </c>
      <c r="E281" s="12">
        <v>350</v>
      </c>
      <c r="F281" s="12">
        <v>12754</v>
      </c>
    </row>
    <row r="282" spans="4:6" ht="15.75" customHeight="1" x14ac:dyDescent="0.2">
      <c r="D282" s="13">
        <v>43357</v>
      </c>
      <c r="E282" s="12">
        <v>300</v>
      </c>
      <c r="F282" s="12">
        <v>11217</v>
      </c>
    </row>
    <row r="283" spans="4:6" ht="15.75" customHeight="1" x14ac:dyDescent="0.2">
      <c r="D283" s="13">
        <v>43360</v>
      </c>
      <c r="E283" s="12">
        <v>-310</v>
      </c>
      <c r="F283" s="12">
        <v>-11553.7</v>
      </c>
    </row>
    <row r="284" spans="4:6" ht="15.75" customHeight="1" x14ac:dyDescent="0.2">
      <c r="D284" s="13">
        <v>43362</v>
      </c>
      <c r="E284" s="12">
        <v>110</v>
      </c>
      <c r="F284" s="12">
        <v>4123.9000000000005</v>
      </c>
    </row>
    <row r="285" spans="4:6" ht="15.75" customHeight="1" x14ac:dyDescent="0.2">
      <c r="D285" s="13">
        <v>43371</v>
      </c>
      <c r="E285" s="12">
        <v>-80</v>
      </c>
      <c r="F285" s="12">
        <v>-3080</v>
      </c>
    </row>
    <row r="286" spans="4:6" ht="15.75" customHeight="1" x14ac:dyDescent="0.2">
      <c r="D286" s="13">
        <v>43374</v>
      </c>
      <c r="E286" s="12">
        <v>230</v>
      </c>
      <c r="F286" s="12">
        <v>8965.3999999999978</v>
      </c>
    </row>
    <row r="287" spans="4:6" ht="15.75" customHeight="1" x14ac:dyDescent="0.2">
      <c r="D287" s="13">
        <v>43382</v>
      </c>
      <c r="E287" s="12">
        <v>-260</v>
      </c>
      <c r="F287" s="12">
        <v>-9726.5999999999985</v>
      </c>
    </row>
    <row r="288" spans="4:6" ht="15.75" customHeight="1" x14ac:dyDescent="0.2">
      <c r="D288" s="13">
        <v>43384</v>
      </c>
      <c r="E288" s="12">
        <v>190</v>
      </c>
      <c r="F288" s="12">
        <v>6840</v>
      </c>
    </row>
    <row r="289" spans="4:6" ht="15.75" customHeight="1" x14ac:dyDescent="0.2">
      <c r="D289" s="13">
        <v>43389</v>
      </c>
      <c r="E289" s="12">
        <v>-70</v>
      </c>
      <c r="F289" s="12">
        <v>-2667.7</v>
      </c>
    </row>
    <row r="290" spans="4:6" ht="15.75" customHeight="1" x14ac:dyDescent="0.2">
      <c r="D290" s="13">
        <v>43390</v>
      </c>
      <c r="E290" s="12">
        <v>0</v>
      </c>
      <c r="F290" s="12">
        <v>0</v>
      </c>
    </row>
    <row r="291" spans="4:6" ht="15.75" customHeight="1" x14ac:dyDescent="0.2">
      <c r="D291" s="13">
        <v>43391</v>
      </c>
      <c r="E291" s="12">
        <v>330</v>
      </c>
      <c r="F291" s="12">
        <v>12384.9</v>
      </c>
    </row>
    <row r="292" spans="4:6" ht="15.75" customHeight="1" x14ac:dyDescent="0.2">
      <c r="D292" s="13">
        <v>43398</v>
      </c>
      <c r="E292" s="12">
        <v>470</v>
      </c>
      <c r="F292" s="12">
        <v>17103.3</v>
      </c>
    </row>
    <row r="293" spans="4:6" ht="15.75" customHeight="1" x14ac:dyDescent="0.2">
      <c r="D293" s="13">
        <v>43404</v>
      </c>
      <c r="E293" s="12">
        <v>-260</v>
      </c>
      <c r="F293" s="12">
        <v>-9396.4</v>
      </c>
    </row>
    <row r="294" spans="4:6" ht="15.75" customHeight="1" x14ac:dyDescent="0.2">
      <c r="D294" s="13">
        <v>43405</v>
      </c>
      <c r="E294" s="12">
        <v>370</v>
      </c>
      <c r="F294" s="12">
        <v>13686.300000000001</v>
      </c>
    </row>
    <row r="295" spans="4:6" ht="15.75" customHeight="1" x14ac:dyDescent="0.2">
      <c r="D295" s="13">
        <v>43410</v>
      </c>
      <c r="E295" s="12">
        <v>-270</v>
      </c>
      <c r="F295" s="12">
        <v>-9949.5</v>
      </c>
    </row>
    <row r="296" spans="4:6" ht="15.75" customHeight="1" x14ac:dyDescent="0.2">
      <c r="D296" s="13">
        <v>43412</v>
      </c>
      <c r="E296" s="12">
        <v>-100</v>
      </c>
      <c r="F296" s="12">
        <v>-3844</v>
      </c>
    </row>
    <row r="297" spans="4:6" ht="15.75" customHeight="1" x14ac:dyDescent="0.2">
      <c r="D297" s="13">
        <v>43416</v>
      </c>
      <c r="E297" s="12">
        <v>-430</v>
      </c>
      <c r="F297" s="12">
        <v>-15879.9</v>
      </c>
    </row>
    <row r="298" spans="4:6" ht="15.75" customHeight="1" x14ac:dyDescent="0.2">
      <c r="D298" s="13">
        <v>43424</v>
      </c>
      <c r="E298" s="12">
        <v>90</v>
      </c>
      <c r="F298" s="12">
        <v>3064.4999999999995</v>
      </c>
    </row>
    <row r="299" spans="4:6" ht="15.75" customHeight="1" x14ac:dyDescent="0.2">
      <c r="D299" s="13">
        <v>43427</v>
      </c>
      <c r="E299" s="12">
        <v>500</v>
      </c>
      <c r="F299" s="12">
        <v>17400</v>
      </c>
    </row>
    <row r="300" spans="4:6" ht="15.75" customHeight="1" x14ac:dyDescent="0.2">
      <c r="D300" s="13">
        <v>43438</v>
      </c>
      <c r="E300" s="12">
        <v>-480</v>
      </c>
      <c r="F300" s="12">
        <v>-17529.600000000002</v>
      </c>
    </row>
    <row r="301" spans="4:6" ht="15.75" customHeight="1" x14ac:dyDescent="0.2">
      <c r="D301" s="13">
        <v>43441</v>
      </c>
      <c r="E301" s="12">
        <v>150</v>
      </c>
      <c r="F301" s="12">
        <v>5321.9999999999991</v>
      </c>
    </row>
    <row r="302" spans="4:6" ht="15.75" customHeight="1" x14ac:dyDescent="0.2">
      <c r="D302" s="13">
        <v>43445</v>
      </c>
      <c r="E302" s="12">
        <v>-30</v>
      </c>
      <c r="F302" s="12">
        <v>-1096.8000000000002</v>
      </c>
    </row>
    <row r="303" spans="4:6" ht="15.75" customHeight="1" x14ac:dyDescent="0.2">
      <c r="D303" s="13">
        <v>43448</v>
      </c>
      <c r="E303" s="12">
        <v>-350</v>
      </c>
      <c r="F303" s="12">
        <v>-12529.999999999998</v>
      </c>
    </row>
    <row r="304" spans="4:6" ht="15.75" customHeight="1" x14ac:dyDescent="0.2">
      <c r="D304" s="13">
        <v>43455</v>
      </c>
      <c r="E304" s="12">
        <v>160</v>
      </c>
      <c r="F304" s="12">
        <v>5252.7999999999993</v>
      </c>
    </row>
    <row r="305" spans="4:6" ht="15.75" customHeight="1" x14ac:dyDescent="0.2">
      <c r="D305" s="13">
        <v>43465</v>
      </c>
      <c r="E305" s="12">
        <v>120</v>
      </c>
      <c r="F305" s="12">
        <v>4240.8</v>
      </c>
    </row>
    <row r="306" spans="4:6" ht="15.75" customHeight="1" x14ac:dyDescent="0.2">
      <c r="D306" s="13">
        <v>43468</v>
      </c>
      <c r="E306" s="12">
        <v>10</v>
      </c>
      <c r="F306" s="12">
        <v>329.09999999999997</v>
      </c>
    </row>
    <row r="307" spans="4:6" ht="15.75" customHeight="1" x14ac:dyDescent="0.2">
      <c r="D307" s="13">
        <v>43469</v>
      </c>
      <c r="E307" s="12">
        <v>250</v>
      </c>
      <c r="F307" s="12">
        <v>8552.5</v>
      </c>
    </row>
    <row r="308" spans="4:6" ht="15.75" customHeight="1" x14ac:dyDescent="0.2">
      <c r="D308" s="13">
        <v>43474</v>
      </c>
      <c r="E308" s="12">
        <v>340</v>
      </c>
      <c r="F308" s="12">
        <v>12199.2</v>
      </c>
    </row>
    <row r="309" spans="4:6" ht="15.75" customHeight="1" x14ac:dyDescent="0.2">
      <c r="D309" s="13">
        <v>43476</v>
      </c>
      <c r="E309" s="12">
        <v>-90</v>
      </c>
      <c r="F309" s="12">
        <v>-3200.4</v>
      </c>
    </row>
    <row r="310" spans="4:6" ht="15.75" customHeight="1" x14ac:dyDescent="0.2">
      <c r="D310" s="13">
        <v>43483</v>
      </c>
      <c r="E310" s="12">
        <v>300</v>
      </c>
      <c r="F310" s="12">
        <v>11307</v>
      </c>
    </row>
    <row r="311" spans="4:6" ht="15.75" customHeight="1" x14ac:dyDescent="0.2">
      <c r="D311" s="13">
        <v>43493</v>
      </c>
      <c r="E311" s="12">
        <v>-340</v>
      </c>
      <c r="F311" s="12">
        <v>-12529</v>
      </c>
    </row>
    <row r="312" spans="4:6" ht="15.75" customHeight="1" x14ac:dyDescent="0.2">
      <c r="D312" s="13">
        <v>43502</v>
      </c>
      <c r="E312" s="12">
        <v>-750</v>
      </c>
      <c r="F312" s="12">
        <v>-29077.500000000004</v>
      </c>
    </row>
    <row r="313" spans="4:6" ht="15.75" customHeight="1" x14ac:dyDescent="0.2">
      <c r="D313" s="13">
        <v>43503</v>
      </c>
      <c r="E313" s="12">
        <v>70</v>
      </c>
      <c r="F313" s="12">
        <v>2719.5</v>
      </c>
    </row>
    <row r="314" spans="4:6" ht="15.75" customHeight="1" x14ac:dyDescent="0.2">
      <c r="D314" s="13">
        <v>43504</v>
      </c>
      <c r="E314" s="12">
        <v>-530</v>
      </c>
      <c r="F314" s="12">
        <v>-20770.699999999997</v>
      </c>
    </row>
    <row r="315" spans="4:6" ht="15.75" customHeight="1" x14ac:dyDescent="0.2">
      <c r="D315" s="13">
        <v>43509</v>
      </c>
      <c r="E315" s="12">
        <v>550</v>
      </c>
      <c r="F315" s="12">
        <v>21780</v>
      </c>
    </row>
    <row r="316" spans="4:6" ht="15.75" customHeight="1" x14ac:dyDescent="0.2">
      <c r="D316" s="13">
        <v>43515</v>
      </c>
      <c r="E316" s="12">
        <v>-70</v>
      </c>
      <c r="F316" s="12">
        <v>-2790.2</v>
      </c>
    </row>
    <row r="317" spans="4:6" ht="15.75" customHeight="1" x14ac:dyDescent="0.2">
      <c r="D317" s="13">
        <v>43518</v>
      </c>
      <c r="E317" s="12">
        <v>-270</v>
      </c>
      <c r="F317" s="12">
        <v>-10940.400000000001</v>
      </c>
    </row>
    <row r="318" spans="4:6" ht="15.75" customHeight="1" x14ac:dyDescent="0.2">
      <c r="D318" s="13">
        <v>43524</v>
      </c>
      <c r="E318" s="12">
        <v>420</v>
      </c>
      <c r="F318" s="12">
        <v>16850.399999999998</v>
      </c>
    </row>
    <row r="319" spans="4:6" ht="15.75" customHeight="1" x14ac:dyDescent="0.2">
      <c r="D319" s="13">
        <v>43531</v>
      </c>
      <c r="E319" s="12">
        <v>60</v>
      </c>
      <c r="F319" s="12">
        <v>2375.4</v>
      </c>
    </row>
    <row r="320" spans="4:6" ht="15.75" customHeight="1" x14ac:dyDescent="0.2">
      <c r="D320" s="13">
        <v>43538</v>
      </c>
      <c r="E320" s="12">
        <v>60</v>
      </c>
      <c r="F320" s="12">
        <v>2403</v>
      </c>
    </row>
    <row r="321" spans="4:6" ht="15.75" customHeight="1" x14ac:dyDescent="0.2">
      <c r="D321" s="13">
        <v>43542</v>
      </c>
      <c r="E321" s="12">
        <v>10</v>
      </c>
      <c r="F321" s="12">
        <v>379.7</v>
      </c>
    </row>
    <row r="322" spans="4:6" ht="15.75" customHeight="1" x14ac:dyDescent="0.2">
      <c r="D322" s="13">
        <v>43543</v>
      </c>
      <c r="E322" s="12">
        <v>30</v>
      </c>
      <c r="F322" s="12">
        <v>1145.1000000000001</v>
      </c>
    </row>
    <row r="323" spans="4:6" ht="15.75" customHeight="1" x14ac:dyDescent="0.2">
      <c r="D323" s="13">
        <v>43551</v>
      </c>
      <c r="E323" s="12">
        <v>380</v>
      </c>
      <c r="F323" s="12">
        <v>14246.2</v>
      </c>
    </row>
    <row r="324" spans="4:6" ht="15.75" customHeight="1" x14ac:dyDescent="0.2">
      <c r="D324" s="13">
        <v>43558</v>
      </c>
      <c r="E324" s="12">
        <v>440</v>
      </c>
      <c r="F324" s="12">
        <v>16865.2</v>
      </c>
    </row>
    <row r="325" spans="4:6" ht="15.75" customHeight="1" x14ac:dyDescent="0.2">
      <c r="D325" s="13">
        <v>43559</v>
      </c>
      <c r="E325" s="12">
        <v>-210</v>
      </c>
      <c r="F325" s="12">
        <v>-8013.5999999999995</v>
      </c>
    </row>
    <row r="326" spans="4:6" ht="15.75" customHeight="1" x14ac:dyDescent="0.2">
      <c r="D326" s="13">
        <v>43563</v>
      </c>
      <c r="E326" s="12">
        <v>-280</v>
      </c>
      <c r="F326" s="12">
        <v>-10682</v>
      </c>
    </row>
    <row r="327" spans="4:6" ht="15.75" customHeight="1" x14ac:dyDescent="0.2">
      <c r="D327" s="13">
        <v>43566</v>
      </c>
      <c r="E327" s="12">
        <v>-110</v>
      </c>
      <c r="F327" s="12">
        <v>-4171.2</v>
      </c>
    </row>
    <row r="328" spans="4:6" ht="15.75" customHeight="1" x14ac:dyDescent="0.2">
      <c r="D328" s="13">
        <v>43573</v>
      </c>
      <c r="E328" s="12">
        <v>170</v>
      </c>
      <c r="F328" s="12">
        <v>5968.7</v>
      </c>
    </row>
    <row r="329" spans="4:6" ht="15.75" customHeight="1" x14ac:dyDescent="0.2">
      <c r="D329" s="13">
        <v>43579</v>
      </c>
      <c r="E329" s="12">
        <v>260</v>
      </c>
      <c r="F329" s="12">
        <v>9214.4</v>
      </c>
    </row>
    <row r="330" spans="4:6" ht="15.75" customHeight="1" x14ac:dyDescent="0.2">
      <c r="D330" s="13">
        <v>43580</v>
      </c>
      <c r="E330" s="12">
        <v>480</v>
      </c>
      <c r="F330" s="12">
        <v>17726.400000000001</v>
      </c>
    </row>
    <row r="331" spans="4:6" ht="15.75" customHeight="1" x14ac:dyDescent="0.2">
      <c r="D331" s="13">
        <v>43581</v>
      </c>
      <c r="E331" s="12">
        <v>440</v>
      </c>
      <c r="F331" s="12">
        <v>16447.2</v>
      </c>
    </row>
    <row r="332" spans="4:6" ht="15.75" customHeight="1" x14ac:dyDescent="0.2">
      <c r="D332" s="13">
        <v>43587</v>
      </c>
      <c r="E332" s="12">
        <v>340</v>
      </c>
      <c r="F332" s="12">
        <v>12542.6</v>
      </c>
    </row>
    <row r="333" spans="4:6" ht="15.75" customHeight="1" x14ac:dyDescent="0.2">
      <c r="D333" s="13">
        <v>43599</v>
      </c>
      <c r="E333" s="12">
        <v>450</v>
      </c>
      <c r="F333" s="12">
        <v>16542</v>
      </c>
    </row>
    <row r="334" spans="4:6" ht="15.75" customHeight="1" x14ac:dyDescent="0.2">
      <c r="D334" s="13">
        <v>43602</v>
      </c>
      <c r="E334" s="12">
        <v>-440</v>
      </c>
      <c r="F334" s="12">
        <v>-16420.8</v>
      </c>
    </row>
    <row r="335" spans="4:6" ht="15.75" customHeight="1" x14ac:dyDescent="0.2">
      <c r="D335" s="13">
        <v>43608</v>
      </c>
      <c r="E335" s="12">
        <v>0</v>
      </c>
      <c r="F335" s="12">
        <v>0</v>
      </c>
    </row>
    <row r="336" spans="4:6" ht="15.75" customHeight="1" x14ac:dyDescent="0.2">
      <c r="D336" s="13">
        <v>43615</v>
      </c>
      <c r="E336" s="12">
        <v>140</v>
      </c>
      <c r="F336" s="12">
        <v>5381.5999999999995</v>
      </c>
    </row>
    <row r="337" spans="4:6" ht="15.75" customHeight="1" x14ac:dyDescent="0.2">
      <c r="D337" s="13">
        <v>43622</v>
      </c>
      <c r="E337" s="12">
        <v>140</v>
      </c>
      <c r="F337" s="12">
        <v>5675.5999999999995</v>
      </c>
    </row>
    <row r="338" spans="4:6" ht="15.75" customHeight="1" x14ac:dyDescent="0.2">
      <c r="D338" s="13">
        <v>43630</v>
      </c>
      <c r="E338" s="12">
        <v>290</v>
      </c>
      <c r="F338" s="12">
        <v>11721.800000000001</v>
      </c>
    </row>
    <row r="339" spans="4:6" ht="15.75" customHeight="1" x14ac:dyDescent="0.2">
      <c r="D339" s="13">
        <v>43633</v>
      </c>
      <c r="E339" s="12">
        <v>-390</v>
      </c>
      <c r="F339" s="12">
        <v>-15865.2</v>
      </c>
    </row>
    <row r="340" spans="4:6" ht="15.75" customHeight="1" x14ac:dyDescent="0.2">
      <c r="D340" s="13">
        <v>43637</v>
      </c>
      <c r="E340" s="12">
        <v>430</v>
      </c>
      <c r="F340" s="12">
        <v>17926.7</v>
      </c>
    </row>
    <row r="341" spans="4:6" ht="15.75" customHeight="1" x14ac:dyDescent="0.2">
      <c r="D341" s="13">
        <v>43642</v>
      </c>
      <c r="E341" s="12">
        <v>-120</v>
      </c>
      <c r="F341" s="12">
        <v>-4966.8</v>
      </c>
    </row>
    <row r="342" spans="4:6" ht="15.75" customHeight="1" x14ac:dyDescent="0.2">
      <c r="D342" s="13">
        <v>43647</v>
      </c>
      <c r="E342" s="12">
        <v>120</v>
      </c>
      <c r="F342" s="12">
        <v>5148</v>
      </c>
    </row>
    <row r="343" spans="4:6" ht="15.75" customHeight="1" x14ac:dyDescent="0.2">
      <c r="D343" s="13">
        <v>43656</v>
      </c>
      <c r="E343" s="12">
        <v>410</v>
      </c>
      <c r="F343" s="12">
        <v>17584.900000000001</v>
      </c>
    </row>
    <row r="344" spans="4:6" ht="15.75" customHeight="1" x14ac:dyDescent="0.2">
      <c r="D344" s="13">
        <v>43657</v>
      </c>
      <c r="E344" s="12">
        <v>-490</v>
      </c>
      <c r="F344" s="12">
        <v>-21168</v>
      </c>
    </row>
    <row r="345" spans="4:6" ht="15.75" customHeight="1" x14ac:dyDescent="0.2">
      <c r="D345" s="13">
        <v>43658</v>
      </c>
      <c r="E345" s="12">
        <v>150</v>
      </c>
      <c r="F345" s="12">
        <v>6337.5</v>
      </c>
    </row>
    <row r="346" spans="4:6" ht="15.75" customHeight="1" x14ac:dyDescent="0.2">
      <c r="D346" s="13">
        <v>43683</v>
      </c>
      <c r="E346" s="12">
        <v>-750</v>
      </c>
      <c r="F346" s="12">
        <v>-31747.5</v>
      </c>
    </row>
    <row r="347" spans="4:6" ht="15.75" customHeight="1" x14ac:dyDescent="0.2">
      <c r="D347" s="13">
        <v>43684</v>
      </c>
      <c r="E347" s="12">
        <v>230</v>
      </c>
      <c r="F347" s="12">
        <v>9701.4</v>
      </c>
    </row>
    <row r="348" spans="4:6" ht="15.75" customHeight="1" x14ac:dyDescent="0.2">
      <c r="D348" s="13">
        <v>43690</v>
      </c>
      <c r="E348" s="12">
        <v>-490</v>
      </c>
      <c r="F348" s="12">
        <v>-21001.4</v>
      </c>
    </row>
    <row r="349" spans="4:6" ht="15.75" customHeight="1" x14ac:dyDescent="0.2">
      <c r="D349" s="13">
        <v>43691</v>
      </c>
      <c r="E349" s="12">
        <v>-400</v>
      </c>
      <c r="F349" s="12">
        <v>-16572</v>
      </c>
    </row>
    <row r="350" spans="4:6" ht="15.75" customHeight="1" x14ac:dyDescent="0.2">
      <c r="D350" s="13">
        <v>43692</v>
      </c>
      <c r="E350" s="12">
        <v>440</v>
      </c>
      <c r="F350" s="12">
        <v>18422.8</v>
      </c>
    </row>
    <row r="351" spans="4:6" ht="15.75" customHeight="1" x14ac:dyDescent="0.2">
      <c r="D351" s="13">
        <v>43699</v>
      </c>
      <c r="E351" s="12">
        <v>500</v>
      </c>
      <c r="F351" s="12">
        <v>21345</v>
      </c>
    </row>
    <row r="352" spans="4:6" ht="15.75" customHeight="1" x14ac:dyDescent="0.2">
      <c r="D352" s="13">
        <v>43704</v>
      </c>
      <c r="E352" s="12">
        <v>290</v>
      </c>
      <c r="F352" s="12">
        <v>12243.8</v>
      </c>
    </row>
    <row r="353" spans="4:6" ht="15.75" customHeight="1" x14ac:dyDescent="0.2">
      <c r="D353" s="13">
        <v>43707</v>
      </c>
      <c r="E353" s="12">
        <v>-150</v>
      </c>
      <c r="F353" s="12">
        <v>-6409.5</v>
      </c>
    </row>
    <row r="354" spans="4:6" ht="15.75" customHeight="1" x14ac:dyDescent="0.2">
      <c r="D354" s="13">
        <v>43712</v>
      </c>
      <c r="E354" s="12">
        <v>-330</v>
      </c>
      <c r="F354" s="12">
        <v>-13876.499999999998</v>
      </c>
    </row>
    <row r="355" spans="4:6" ht="15.75" customHeight="1" x14ac:dyDescent="0.2">
      <c r="D355" s="13">
        <v>43714</v>
      </c>
      <c r="E355" s="12">
        <v>-40</v>
      </c>
      <c r="F355" s="12">
        <v>-1738</v>
      </c>
    </row>
    <row r="356" spans="4:6" ht="15.75" customHeight="1" x14ac:dyDescent="0.2">
      <c r="D356" s="13">
        <v>43717</v>
      </c>
      <c r="E356" s="12">
        <v>280</v>
      </c>
      <c r="F356" s="12">
        <v>11687.2</v>
      </c>
    </row>
    <row r="357" spans="4:6" ht="15.75" customHeight="1" x14ac:dyDescent="0.2">
      <c r="D357" s="13">
        <v>43719</v>
      </c>
      <c r="E357" s="12">
        <v>490</v>
      </c>
      <c r="F357" s="12">
        <v>20727</v>
      </c>
    </row>
    <row r="358" spans="4:6" ht="15.75" customHeight="1" x14ac:dyDescent="0.2">
      <c r="D358" s="13">
        <v>43724</v>
      </c>
      <c r="E358" s="12">
        <v>210</v>
      </c>
      <c r="F358" s="12">
        <v>8807.4</v>
      </c>
    </row>
    <row r="359" spans="4:6" ht="15.75" customHeight="1" x14ac:dyDescent="0.2">
      <c r="D359" s="13">
        <v>43727</v>
      </c>
      <c r="E359" s="12">
        <v>210</v>
      </c>
      <c r="F359" s="12">
        <v>9042.6</v>
      </c>
    </row>
    <row r="360" spans="4:6" ht="15.75" customHeight="1" x14ac:dyDescent="0.2">
      <c r="D360" s="13">
        <v>43739</v>
      </c>
      <c r="E360" s="12">
        <v>160</v>
      </c>
      <c r="F360" s="12">
        <v>6438.4</v>
      </c>
    </row>
    <row r="361" spans="4:6" ht="15.75" customHeight="1" x14ac:dyDescent="0.2">
      <c r="D361" s="13">
        <v>43746</v>
      </c>
      <c r="E361" s="12">
        <v>240</v>
      </c>
      <c r="F361" s="12">
        <v>9088.7999999999993</v>
      </c>
    </row>
    <row r="362" spans="4:6" ht="15.75" customHeight="1" x14ac:dyDescent="0.2">
      <c r="D362" s="13">
        <v>43753</v>
      </c>
      <c r="E362" s="12">
        <v>100</v>
      </c>
      <c r="F362" s="12">
        <v>3846</v>
      </c>
    </row>
    <row r="363" spans="4:6" ht="15.75" customHeight="1" x14ac:dyDescent="0.2">
      <c r="D363" s="13">
        <v>43759</v>
      </c>
      <c r="E363" s="12">
        <v>440</v>
      </c>
      <c r="F363" s="12">
        <v>17006</v>
      </c>
    </row>
    <row r="364" spans="4:6" ht="15.75" customHeight="1" x14ac:dyDescent="0.2">
      <c r="D364" s="13">
        <v>43760</v>
      </c>
      <c r="E364" s="12">
        <v>-460</v>
      </c>
      <c r="F364" s="12">
        <v>-17562.8</v>
      </c>
    </row>
    <row r="365" spans="4:6" ht="15.75" customHeight="1" x14ac:dyDescent="0.2">
      <c r="D365" s="13">
        <v>43768</v>
      </c>
      <c r="E365" s="12">
        <v>-80</v>
      </c>
      <c r="F365" s="12">
        <v>-3360.7999999999997</v>
      </c>
    </row>
    <row r="366" spans="4:6" ht="15.75" customHeight="1" x14ac:dyDescent="0.2">
      <c r="D366" s="13">
        <v>43773</v>
      </c>
      <c r="E366" s="12">
        <v>-540</v>
      </c>
      <c r="F366" s="12">
        <v>-22129.200000000001</v>
      </c>
    </row>
    <row r="367" spans="4:6" ht="15.75" customHeight="1" x14ac:dyDescent="0.2">
      <c r="D367" s="13">
        <v>43775</v>
      </c>
      <c r="E367" s="12">
        <v>-490</v>
      </c>
      <c r="F367" s="12">
        <v>-19952.8</v>
      </c>
    </row>
    <row r="368" spans="4:6" ht="15.75" customHeight="1" x14ac:dyDescent="0.2">
      <c r="D368" s="13">
        <v>43777</v>
      </c>
      <c r="E368" s="12">
        <v>290</v>
      </c>
      <c r="F368" s="12">
        <v>11747.9</v>
      </c>
    </row>
    <row r="369" spans="4:6" ht="15.75" customHeight="1" x14ac:dyDescent="0.2">
      <c r="D369" s="13">
        <v>43794</v>
      </c>
      <c r="E369" s="12">
        <v>-330</v>
      </c>
      <c r="F369" s="12">
        <v>-14140.5</v>
      </c>
    </row>
    <row r="370" spans="4:6" ht="15.75" customHeight="1" x14ac:dyDescent="0.2">
      <c r="D370" s="13">
        <v>43804</v>
      </c>
      <c r="E370" s="12">
        <v>-360</v>
      </c>
      <c r="F370" s="12">
        <v>-15573.599999999999</v>
      </c>
    </row>
    <row r="371" spans="4:6" ht="15.75" customHeight="1" x14ac:dyDescent="0.2">
      <c r="D371" s="13">
        <v>43805</v>
      </c>
      <c r="E371" s="12">
        <v>270</v>
      </c>
      <c r="F371" s="12">
        <v>11901.6</v>
      </c>
    </row>
    <row r="372" spans="4:6" ht="15.75" customHeight="1" x14ac:dyDescent="0.2">
      <c r="D372" s="13">
        <v>43816</v>
      </c>
      <c r="E372" s="12">
        <v>340</v>
      </c>
      <c r="F372" s="12">
        <v>15215</v>
      </c>
    </row>
    <row r="373" spans="4:6" ht="15.75" customHeight="1" x14ac:dyDescent="0.2">
      <c r="D373" s="13">
        <v>43819</v>
      </c>
      <c r="E373" s="12">
        <v>-160</v>
      </c>
      <c r="F373" s="12">
        <v>-7259.2</v>
      </c>
    </row>
    <row r="374" spans="4:6" ht="15.75" customHeight="1" x14ac:dyDescent="0.2">
      <c r="D374" s="13">
        <v>43822</v>
      </c>
      <c r="E374" s="12">
        <v>-80</v>
      </c>
      <c r="F374" s="12">
        <v>-3617.6</v>
      </c>
    </row>
    <row r="375" spans="4:6" ht="15.75" customHeight="1" x14ac:dyDescent="0.2">
      <c r="D375" s="13">
        <v>43823</v>
      </c>
      <c r="E375" s="12">
        <v>170</v>
      </c>
      <c r="F375" s="12">
        <v>7702.7000000000007</v>
      </c>
    </row>
    <row r="376" spans="4:6" ht="15.75" customHeight="1" x14ac:dyDescent="0.2">
      <c r="D376" s="13">
        <v>43830</v>
      </c>
      <c r="E376" s="12">
        <v>110</v>
      </c>
      <c r="F376" s="12">
        <v>4974.2</v>
      </c>
    </row>
    <row r="377" spans="4:6" ht="15.75" customHeight="1" x14ac:dyDescent="0.2">
      <c r="D377" s="13">
        <v>43847</v>
      </c>
      <c r="E377" s="12">
        <v>160</v>
      </c>
      <c r="F377" s="12">
        <v>7084.8</v>
      </c>
    </row>
    <row r="378" spans="4:6" ht="15.75" customHeight="1" x14ac:dyDescent="0.2">
      <c r="D378" s="13">
        <v>43857</v>
      </c>
      <c r="E378" s="12">
        <v>-450</v>
      </c>
      <c r="F378" s="12">
        <v>-19192.5</v>
      </c>
    </row>
    <row r="379" spans="4:6" ht="15.75" customHeight="1" x14ac:dyDescent="0.2">
      <c r="D379" s="13">
        <v>43860</v>
      </c>
      <c r="E379" s="12">
        <v>20</v>
      </c>
      <c r="F379" s="12">
        <v>868.19999999999993</v>
      </c>
    </row>
    <row r="380" spans="4:6" ht="15.75" customHeight="1" x14ac:dyDescent="0.2">
      <c r="D380" s="13">
        <v>43868</v>
      </c>
      <c r="E380" s="12">
        <v>-130</v>
      </c>
      <c r="F380" s="12">
        <v>-5484.7</v>
      </c>
    </row>
    <row r="381" spans="4:6" ht="15.75" customHeight="1" x14ac:dyDescent="0.2">
      <c r="D381" s="13">
        <v>43875</v>
      </c>
      <c r="E381" s="12">
        <v>-370</v>
      </c>
      <c r="F381" s="12">
        <v>-15654.7</v>
      </c>
    </row>
    <row r="382" spans="4:6" ht="15.75" customHeight="1" x14ac:dyDescent="0.2">
      <c r="D382" s="13">
        <v>43881</v>
      </c>
      <c r="E382" s="12">
        <v>-120</v>
      </c>
      <c r="F382" s="12">
        <v>-5100</v>
      </c>
    </row>
    <row r="383" spans="4:6" ht="15.75" customHeight="1" x14ac:dyDescent="0.2">
      <c r="D383" s="13">
        <v>43886</v>
      </c>
      <c r="E383" s="12">
        <v>-360</v>
      </c>
      <c r="F383" s="12">
        <v>-14367.599999999999</v>
      </c>
    </row>
    <row r="384" spans="4:6" ht="15.75" customHeight="1" x14ac:dyDescent="0.2">
      <c r="D384" s="13">
        <v>43887</v>
      </c>
      <c r="E384" s="12">
        <v>-450</v>
      </c>
      <c r="F384" s="12">
        <v>-17725.5</v>
      </c>
    </row>
    <row r="385" spans="4:6" ht="15.75" customHeight="1" x14ac:dyDescent="0.2">
      <c r="D385" s="13">
        <v>43893</v>
      </c>
      <c r="E385" s="12">
        <v>-240</v>
      </c>
      <c r="F385" s="12">
        <v>-8935.1999999999989</v>
      </c>
    </row>
    <row r="386" spans="4:6" ht="15.75" customHeight="1" x14ac:dyDescent="0.2">
      <c r="D386" s="13">
        <v>43896</v>
      </c>
      <c r="E386" s="12">
        <v>-70</v>
      </c>
      <c r="F386" s="12">
        <v>-2632</v>
      </c>
    </row>
    <row r="387" spans="4:6" ht="15.75" customHeight="1" x14ac:dyDescent="0.2">
      <c r="D387" s="13">
        <v>43901</v>
      </c>
      <c r="E387" s="12">
        <v>-190</v>
      </c>
      <c r="F387" s="12">
        <v>-6433.4</v>
      </c>
    </row>
    <row r="388" spans="4:6" ht="15.75" customHeight="1" x14ac:dyDescent="0.2">
      <c r="D388" s="13">
        <v>43903</v>
      </c>
      <c r="E388" s="12">
        <v>-220</v>
      </c>
      <c r="F388" s="12">
        <v>-7112.5999999999995</v>
      </c>
    </row>
    <row r="389" spans="4:6" ht="15.75" customHeight="1" x14ac:dyDescent="0.2">
      <c r="D389" s="13">
        <v>43910</v>
      </c>
      <c r="E389" s="12">
        <v>450</v>
      </c>
      <c r="F389" s="12">
        <v>12258</v>
      </c>
    </row>
    <row r="390" spans="4:6" ht="15.75" customHeight="1" x14ac:dyDescent="0.2">
      <c r="D390" s="13">
        <v>43914</v>
      </c>
      <c r="E390" s="12">
        <v>480</v>
      </c>
      <c r="F390" s="12">
        <v>13545.599999999999</v>
      </c>
    </row>
    <row r="391" spans="4:6" ht="15.75" customHeight="1" x14ac:dyDescent="0.2">
      <c r="D391" s="13">
        <v>43917</v>
      </c>
      <c r="E391" s="12">
        <v>200</v>
      </c>
      <c r="F391" s="12">
        <v>6122</v>
      </c>
    </row>
    <row r="392" spans="4:6" ht="15.75" customHeight="1" x14ac:dyDescent="0.2">
      <c r="D392" s="13">
        <v>43920</v>
      </c>
      <c r="E392" s="12">
        <v>-100</v>
      </c>
      <c r="F392" s="12">
        <v>-3163.9999999999991</v>
      </c>
    </row>
    <row r="393" spans="4:6" ht="15.75" customHeight="1" x14ac:dyDescent="0.2">
      <c r="D393" s="13">
        <v>43928</v>
      </c>
      <c r="E393" s="12">
        <v>210</v>
      </c>
      <c r="F393" s="12">
        <v>7074.9</v>
      </c>
    </row>
    <row r="394" spans="4:6" ht="15.75" customHeight="1" x14ac:dyDescent="0.2">
      <c r="D394" s="13">
        <v>43929</v>
      </c>
      <c r="E394" s="12">
        <v>20</v>
      </c>
      <c r="F394" s="12">
        <v>702.6</v>
      </c>
    </row>
    <row r="395" spans="4:6" ht="15.75" customHeight="1" x14ac:dyDescent="0.2">
      <c r="D395" s="13">
        <v>43935</v>
      </c>
      <c r="E395" s="12">
        <v>0</v>
      </c>
      <c r="F395" s="12">
        <v>0</v>
      </c>
    </row>
    <row r="396" spans="4:6" ht="15.75" customHeight="1" x14ac:dyDescent="0.2">
      <c r="D396" s="13">
        <v>43944</v>
      </c>
      <c r="E396" s="12">
        <v>20</v>
      </c>
      <c r="F396" s="12">
        <v>728</v>
      </c>
    </row>
    <row r="397" spans="4:6" ht="15.75" customHeight="1" x14ac:dyDescent="0.2">
      <c r="D397" s="13">
        <v>43949</v>
      </c>
      <c r="E397" s="12">
        <v>-290</v>
      </c>
      <c r="F397" s="12">
        <v>-10419.700000000001</v>
      </c>
    </row>
    <row r="398" spans="4:6" ht="15.75" customHeight="1" x14ac:dyDescent="0.2">
      <c r="D398" s="13">
        <v>43951</v>
      </c>
      <c r="E398" s="12">
        <v>50</v>
      </c>
      <c r="F398" s="12">
        <v>1874</v>
      </c>
    </row>
    <row r="399" spans="4:6" ht="15.75" customHeight="1" x14ac:dyDescent="0.2">
      <c r="D399" s="13">
        <v>43963</v>
      </c>
      <c r="E399" s="12">
        <v>240</v>
      </c>
      <c r="F399" s="12">
        <v>8875.1999999999989</v>
      </c>
    </row>
    <row r="400" spans="4:6" ht="15.75" customHeight="1" x14ac:dyDescent="0.2">
      <c r="D400" s="13">
        <v>43964</v>
      </c>
      <c r="E400" s="12">
        <v>-470</v>
      </c>
      <c r="F400" s="12">
        <v>-16811.900000000001</v>
      </c>
    </row>
    <row r="401" spans="4:6" ht="15.75" customHeight="1" x14ac:dyDescent="0.2">
      <c r="D401" s="13">
        <v>43970</v>
      </c>
      <c r="E401" s="12">
        <v>-250</v>
      </c>
      <c r="F401" s="12">
        <v>-8857.5</v>
      </c>
    </row>
    <row r="402" spans="4:6" ht="15.75" customHeight="1" x14ac:dyDescent="0.15"/>
    <row r="403" spans="4:6" ht="15.75" customHeight="1" x14ac:dyDescent="0.15"/>
    <row r="404" spans="4:6" ht="15.75" customHeight="1" x14ac:dyDescent="0.15"/>
    <row r="405" spans="4:6" ht="15.75" customHeight="1" x14ac:dyDescent="0.15"/>
    <row r="406" spans="4:6" ht="15.75" customHeight="1" x14ac:dyDescent="0.15"/>
    <row r="407" spans="4:6" ht="15.75" customHeight="1" x14ac:dyDescent="0.15"/>
    <row r="408" spans="4:6" ht="15.75" customHeight="1" x14ac:dyDescent="0.15"/>
    <row r="409" spans="4:6" ht="15.75" customHeight="1" x14ac:dyDescent="0.15"/>
    <row r="410" spans="4:6" ht="15.75" customHeight="1" x14ac:dyDescent="0.15"/>
    <row r="411" spans="4:6" ht="15.75" customHeight="1" x14ac:dyDescent="0.15"/>
    <row r="412" spans="4:6" ht="15.75" customHeight="1" x14ac:dyDescent="0.15"/>
    <row r="413" spans="4:6" ht="15.75" customHeight="1" x14ac:dyDescent="0.15"/>
    <row r="414" spans="4:6" ht="15.75" customHeight="1" x14ac:dyDescent="0.15"/>
    <row r="415" spans="4:6" ht="15.75" customHeight="1" x14ac:dyDescent="0.15"/>
    <row r="416" spans="4: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A35:A40"/>
    <mergeCell ref="A5:A10"/>
    <mergeCell ref="A11:A16"/>
    <mergeCell ref="A17:A22"/>
    <mergeCell ref="A23:A28"/>
    <mergeCell ref="A29:A34"/>
  </mergeCells>
  <pageMargins left="0.75" right="0.75" top="1" bottom="1"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Q1353"/>
  <sheetViews>
    <sheetView topLeftCell="C1" workbookViewId="0">
      <selection activeCell="O6" sqref="O6"/>
    </sheetView>
  </sheetViews>
  <sheetFormatPr baseColWidth="10" defaultColWidth="12.6640625" defaultRowHeight="15" customHeight="1" x14ac:dyDescent="0.15"/>
  <cols>
    <col min="1" max="4" width="7.6640625" customWidth="1"/>
    <col min="5" max="5" width="17.83203125" customWidth="1"/>
    <col min="6" max="6" width="7.6640625" customWidth="1"/>
    <col min="7" max="7" width="13" customWidth="1"/>
    <col min="8" max="8" width="10.5" customWidth="1"/>
    <col min="9" max="11" width="7.6640625" customWidth="1"/>
    <col min="12" max="12" width="18.33203125" customWidth="1"/>
    <col min="13" max="13" width="11.1640625" customWidth="1"/>
    <col min="14" max="14" width="18.33203125" customWidth="1"/>
    <col min="15" max="15" width="16.33203125" customWidth="1"/>
    <col min="16" max="16" width="18.33203125" customWidth="1"/>
    <col min="17" max="17" width="13.33203125" customWidth="1"/>
    <col min="18" max="26" width="7.6640625" customWidth="1"/>
  </cols>
  <sheetData>
    <row r="1" spans="5:17" x14ac:dyDescent="0.2">
      <c r="E1" s="14" t="s">
        <v>53</v>
      </c>
      <c r="F1" s="15" t="s">
        <v>54</v>
      </c>
      <c r="G1" s="16" t="s">
        <v>55</v>
      </c>
      <c r="H1" s="15" t="s">
        <v>56</v>
      </c>
      <c r="I1" s="15" t="s">
        <v>57</v>
      </c>
      <c r="J1" t="s">
        <v>2420</v>
      </c>
      <c r="O1">
        <f>MAX(Table_1[Close])</f>
        <v>45.71</v>
      </c>
      <c r="P1" s="12">
        <v>45.71</v>
      </c>
      <c r="Q1" s="17" t="s">
        <v>58</v>
      </c>
    </row>
    <row r="2" spans="5:17" x14ac:dyDescent="0.2">
      <c r="E2" s="18">
        <v>42010</v>
      </c>
      <c r="F2" s="19">
        <v>13.7</v>
      </c>
      <c r="G2" s="20">
        <v>18291700</v>
      </c>
      <c r="H2" s="21" t="s">
        <v>59</v>
      </c>
      <c r="I2" s="21" t="e">
        <f>(Акции!$F2-F1)/F1</f>
        <v>#VALUE!</v>
      </c>
      <c r="O2">
        <f>MEDIAN(Table_1[Close])</f>
        <v>27.2</v>
      </c>
      <c r="P2" s="12">
        <v>27.2</v>
      </c>
      <c r="Q2" s="17" t="s">
        <v>10</v>
      </c>
    </row>
    <row r="3" spans="5:17" x14ac:dyDescent="0.2">
      <c r="E3" s="18">
        <v>42011</v>
      </c>
      <c r="F3" s="19">
        <v>14.03</v>
      </c>
      <c r="G3" s="20">
        <v>17243800</v>
      </c>
      <c r="H3" s="21" t="s">
        <v>59</v>
      </c>
      <c r="I3" s="21">
        <f>(Акции!$F3-F2)/F2</f>
        <v>2.4087591240875918E-2</v>
      </c>
      <c r="O3">
        <f>_xlfn.QUARTILE.INC(I3:I1353,3)</f>
        <v>9.1216790248020499E-3</v>
      </c>
      <c r="P3" s="1">
        <f>_xlfn.QUARTILE.INC($I$3:$I$1353,3)</f>
        <v>9.1216790248020499E-3</v>
      </c>
      <c r="Q3" s="17" t="s">
        <v>11</v>
      </c>
    </row>
    <row r="4" spans="5:17" x14ac:dyDescent="0.2">
      <c r="E4" s="18">
        <v>42012</v>
      </c>
      <c r="F4" s="19">
        <v>14.59</v>
      </c>
      <c r="G4" s="20">
        <v>27109600</v>
      </c>
      <c r="H4" s="21" t="s">
        <v>59</v>
      </c>
      <c r="I4" s="21">
        <f>(Акции!$F4-F3)/F3</f>
        <v>3.9914468995010728E-2</v>
      </c>
      <c r="O4">
        <f>SKEW(I3:I1353)</f>
        <v>-2.1148253441975851E-2</v>
      </c>
      <c r="P4" s="12">
        <v>-2.1148253441975851E-2</v>
      </c>
      <c r="Q4" s="17" t="s">
        <v>12</v>
      </c>
    </row>
    <row r="5" spans="5:17" x14ac:dyDescent="0.2">
      <c r="E5" s="18">
        <v>42013</v>
      </c>
      <c r="F5" s="19">
        <v>14.65</v>
      </c>
      <c r="G5" s="20">
        <v>17955600</v>
      </c>
      <c r="H5" s="21" t="s">
        <v>59</v>
      </c>
      <c r="I5" s="21">
        <f>(Акции!$F5-F4)/F4</f>
        <v>4.1124057573680949E-3</v>
      </c>
      <c r="O5">
        <f>_xlfn.STDEV.S(Table_1[Volume])</f>
        <v>4887009.6852302309</v>
      </c>
      <c r="P5" s="12">
        <v>4887009.6852302309</v>
      </c>
      <c r="Q5" s="17" t="s">
        <v>13</v>
      </c>
    </row>
    <row r="6" spans="5:17" x14ac:dyDescent="0.2">
      <c r="E6" s="18">
        <v>42016</v>
      </c>
      <c r="F6" s="19">
        <v>14.58</v>
      </c>
      <c r="G6" s="20">
        <v>11255700</v>
      </c>
      <c r="H6" s="21" t="s">
        <v>59</v>
      </c>
      <c r="I6" s="21">
        <f>(Акции!$F6-F5)/F5</f>
        <v>-4.7781569965870503E-3</v>
      </c>
      <c r="O6">
        <f>_xlfn.VAR.S(Table_1[Volume])</f>
        <v>23882863663534.082</v>
      </c>
      <c r="P6" s="12">
        <v>23882863663534.082</v>
      </c>
      <c r="Q6" s="17" t="s">
        <v>14</v>
      </c>
    </row>
    <row r="7" spans="5:17" x14ac:dyDescent="0.2">
      <c r="E7" s="18">
        <v>42017</v>
      </c>
      <c r="F7" s="19">
        <v>14.5</v>
      </c>
      <c r="G7" s="20">
        <v>13517400</v>
      </c>
      <c r="H7" s="21" t="s">
        <v>59</v>
      </c>
      <c r="I7" s="21">
        <f>(Акции!$F7-F6)/F6</f>
        <v>-5.4869684499314177E-3</v>
      </c>
    </row>
    <row r="8" spans="5:17" x14ac:dyDescent="0.2">
      <c r="E8" s="18">
        <v>42018</v>
      </c>
      <c r="F8" s="19">
        <v>14.5</v>
      </c>
      <c r="G8" s="20">
        <v>12896500</v>
      </c>
      <c r="H8" s="21" t="s">
        <v>59</v>
      </c>
      <c r="I8" s="21">
        <f>(Акции!$F8-F7)/F7</f>
        <v>0</v>
      </c>
    </row>
    <row r="9" spans="5:17" x14ac:dyDescent="0.2">
      <c r="E9" s="18">
        <v>42019</v>
      </c>
      <c r="F9" s="19">
        <v>14.31</v>
      </c>
      <c r="G9" s="20">
        <v>13151600</v>
      </c>
      <c r="H9" s="21" t="s">
        <v>59</v>
      </c>
      <c r="I9" s="21">
        <f>(Акции!$F9-F8)/F8</f>
        <v>-1.3103448275862035E-2</v>
      </c>
    </row>
    <row r="10" spans="5:17" x14ac:dyDescent="0.2">
      <c r="E10" s="18">
        <v>42020</v>
      </c>
      <c r="F10" s="19">
        <v>14.46</v>
      </c>
      <c r="G10" s="20">
        <v>8766400</v>
      </c>
      <c r="H10" s="21" t="s">
        <v>59</v>
      </c>
      <c r="I10" s="21">
        <f>(Акции!$F10-F9)/F9</f>
        <v>1.0482180293501073E-2</v>
      </c>
    </row>
    <row r="11" spans="5:17" x14ac:dyDescent="0.2">
      <c r="E11" s="18">
        <v>42024</v>
      </c>
      <c r="F11" s="19">
        <v>14.33</v>
      </c>
      <c r="G11" s="20">
        <v>8455500</v>
      </c>
      <c r="H11" s="21" t="s">
        <v>59</v>
      </c>
      <c r="I11" s="21">
        <f>(Акции!$F11-F10)/F10</f>
        <v>-8.9903181189488774E-3</v>
      </c>
    </row>
    <row r="12" spans="5:17" x14ac:dyDescent="0.2">
      <c r="E12" s="18">
        <v>42025</v>
      </c>
      <c r="F12" s="19">
        <v>14.39</v>
      </c>
      <c r="G12" s="20">
        <v>7515900</v>
      </c>
      <c r="H12" s="21" t="s">
        <v>59</v>
      </c>
      <c r="I12" s="21">
        <f>(Акции!$F12-F11)/F11</f>
        <v>4.187020237264515E-3</v>
      </c>
      <c r="L12" s="22" t="s">
        <v>54</v>
      </c>
      <c r="M12" s="22"/>
      <c r="N12" s="22" t="s">
        <v>55</v>
      </c>
      <c r="O12" s="22"/>
      <c r="P12" s="34" t="s">
        <v>57</v>
      </c>
      <c r="Q12" s="35"/>
    </row>
    <row r="13" spans="5:17" x14ac:dyDescent="0.2">
      <c r="E13" s="18">
        <v>42026</v>
      </c>
      <c r="F13" s="19">
        <v>14.93</v>
      </c>
      <c r="G13" s="20">
        <v>13704700</v>
      </c>
      <c r="H13" s="21" t="s">
        <v>59</v>
      </c>
      <c r="I13" s="21">
        <f>(Акции!$F13-F12)/F12</f>
        <v>3.7526059763724751E-2</v>
      </c>
      <c r="L13" s="12"/>
      <c r="M13" s="12"/>
      <c r="N13" s="12"/>
      <c r="O13" s="12"/>
      <c r="P13" s="12"/>
      <c r="Q13" s="12"/>
    </row>
    <row r="14" spans="5:17" x14ac:dyDescent="0.2">
      <c r="E14" s="18">
        <v>42027</v>
      </c>
      <c r="F14" s="19">
        <v>14.84</v>
      </c>
      <c r="G14" s="20">
        <v>13030000</v>
      </c>
      <c r="H14" s="21" t="s">
        <v>59</v>
      </c>
      <c r="I14" s="21">
        <f>(Акции!$F14-F13)/F13</f>
        <v>-6.0281312793034067E-3</v>
      </c>
      <c r="L14" s="12" t="s">
        <v>60</v>
      </c>
      <c r="M14" s="12">
        <v>28.230850591715992</v>
      </c>
      <c r="N14" s="12" t="s">
        <v>60</v>
      </c>
      <c r="O14" s="12">
        <v>8464117.5295857992</v>
      </c>
      <c r="P14" s="12" t="s">
        <v>60</v>
      </c>
      <c r="Q14" s="12">
        <v>8.6583676725473992E-4</v>
      </c>
    </row>
    <row r="15" spans="5:17" x14ac:dyDescent="0.2">
      <c r="E15" s="18">
        <v>42030</v>
      </c>
      <c r="F15" s="19">
        <v>14.96</v>
      </c>
      <c r="G15" s="20">
        <v>8537400</v>
      </c>
      <c r="H15" s="21" t="s">
        <v>59</v>
      </c>
      <c r="I15" s="21">
        <f>(Акции!$F15-F14)/F14</f>
        <v>8.0862533692723036E-3</v>
      </c>
      <c r="L15" s="12" t="s">
        <v>61</v>
      </c>
      <c r="M15" s="12">
        <v>0.2377846775847785</v>
      </c>
      <c r="N15" s="12" t="s">
        <v>61</v>
      </c>
      <c r="O15" s="12">
        <v>132909.14185194735</v>
      </c>
      <c r="P15" s="12" t="s">
        <v>61</v>
      </c>
      <c r="Q15" s="12">
        <v>4.9000740631386492E-4</v>
      </c>
    </row>
    <row r="16" spans="5:17" x14ac:dyDescent="0.2">
      <c r="E16" s="18">
        <v>42031</v>
      </c>
      <c r="F16" s="19">
        <v>14.74</v>
      </c>
      <c r="G16" s="20">
        <v>7902600</v>
      </c>
      <c r="H16" s="21" t="s">
        <v>59</v>
      </c>
      <c r="I16" s="21">
        <f>(Акции!$F16-F15)/F15</f>
        <v>-1.4705882352941218E-2</v>
      </c>
      <c r="L16" s="12" t="s">
        <v>62</v>
      </c>
      <c r="M16" s="12">
        <v>27.2</v>
      </c>
      <c r="N16" s="12" t="s">
        <v>62</v>
      </c>
      <c r="O16" s="12">
        <v>7351450</v>
      </c>
      <c r="P16" s="12" t="s">
        <v>62</v>
      </c>
      <c r="Q16" s="12">
        <v>8.3682008368213918E-4</v>
      </c>
    </row>
    <row r="17" spans="5:17" x14ac:dyDescent="0.2">
      <c r="E17" s="18">
        <v>42032</v>
      </c>
      <c r="F17" s="19">
        <v>14.59</v>
      </c>
      <c r="G17" s="20">
        <v>6854000</v>
      </c>
      <c r="H17" s="21" t="s">
        <v>59</v>
      </c>
      <c r="I17" s="21">
        <f>(Акции!$F17-F16)/F16</f>
        <v>-1.0176390773405724E-2</v>
      </c>
      <c r="L17" s="12" t="s">
        <v>63</v>
      </c>
      <c r="M17" s="12">
        <v>27.82</v>
      </c>
      <c r="N17" s="12" t="s">
        <v>63</v>
      </c>
      <c r="O17" s="12">
        <v>6763300</v>
      </c>
      <c r="P17" s="12" t="s">
        <v>63</v>
      </c>
      <c r="Q17" s="12">
        <v>0</v>
      </c>
    </row>
    <row r="18" spans="5:17" x14ac:dyDescent="0.2">
      <c r="E18" s="18">
        <v>42033</v>
      </c>
      <c r="F18" s="19">
        <v>14.85</v>
      </c>
      <c r="G18" s="20">
        <v>10214100</v>
      </c>
      <c r="H18" s="21" t="s">
        <v>59</v>
      </c>
      <c r="I18" s="21">
        <f>(Акции!$F18-F17)/F17</f>
        <v>1.7820424948594912E-2</v>
      </c>
      <c r="L18" s="12" t="s">
        <v>64</v>
      </c>
      <c r="M18" s="12">
        <v>8.7432362150875935</v>
      </c>
      <c r="N18" s="12" t="s">
        <v>64</v>
      </c>
      <c r="O18" s="12">
        <v>4887009.6852302309</v>
      </c>
      <c r="P18" s="12" t="s">
        <v>64</v>
      </c>
      <c r="Q18" s="12">
        <v>1.8010688656615492E-2</v>
      </c>
    </row>
    <row r="19" spans="5:17" x14ac:dyDescent="0.2">
      <c r="E19" s="18">
        <v>42034</v>
      </c>
      <c r="F19" s="19">
        <v>14.81</v>
      </c>
      <c r="G19" s="20">
        <v>14003100</v>
      </c>
      <c r="H19" s="21" t="s">
        <v>59</v>
      </c>
      <c r="I19" s="21">
        <f>(Акции!$F19-F18)/F18</f>
        <v>-2.6936026936026361E-3</v>
      </c>
      <c r="L19" s="12" t="s">
        <v>65</v>
      </c>
      <c r="M19" s="12">
        <v>76.444179512819218</v>
      </c>
      <c r="N19" s="12" t="s">
        <v>65</v>
      </c>
      <c r="O19" s="12">
        <v>23882863663534.082</v>
      </c>
      <c r="P19" s="12" t="s">
        <v>65</v>
      </c>
      <c r="Q19" s="12">
        <v>3.2438490588553791E-4</v>
      </c>
    </row>
    <row r="20" spans="5:17" x14ac:dyDescent="0.2">
      <c r="E20" s="18">
        <v>42037</v>
      </c>
      <c r="F20" s="19">
        <v>14.61</v>
      </c>
      <c r="G20" s="20">
        <v>9675200</v>
      </c>
      <c r="H20" s="21" t="s">
        <v>59</v>
      </c>
      <c r="I20" s="21">
        <f>(Акции!$F20-F19)/F19</f>
        <v>-1.3504388926401151E-2</v>
      </c>
      <c r="L20" s="12" t="s">
        <v>66</v>
      </c>
      <c r="M20" s="12">
        <v>-1.1566158192699068</v>
      </c>
      <c r="N20" s="12" t="s">
        <v>66</v>
      </c>
      <c r="O20" s="12">
        <v>15.947720224601607</v>
      </c>
      <c r="P20" s="12" t="s">
        <v>66</v>
      </c>
      <c r="Q20" s="12">
        <v>9.2325589320254267</v>
      </c>
    </row>
    <row r="21" spans="5:17" ht="15.75" customHeight="1" x14ac:dyDescent="0.2">
      <c r="E21" s="18">
        <v>42038</v>
      </c>
      <c r="F21" s="19">
        <v>14.65</v>
      </c>
      <c r="G21" s="20">
        <v>18812700</v>
      </c>
      <c r="H21" s="21" t="s">
        <v>59</v>
      </c>
      <c r="I21" s="21">
        <f>(Акции!$F21-F20)/F20</f>
        <v>2.7378507871321646E-3</v>
      </c>
      <c r="L21" s="12" t="s">
        <v>67</v>
      </c>
      <c r="M21" s="12">
        <v>0.27073983469902968</v>
      </c>
      <c r="N21" s="12" t="s">
        <v>67</v>
      </c>
      <c r="O21" s="12">
        <v>3.0211709208818123</v>
      </c>
      <c r="P21" s="12" t="s">
        <v>67</v>
      </c>
      <c r="Q21" s="12">
        <v>-2.1148253441975851E-2</v>
      </c>
    </row>
    <row r="22" spans="5:17" ht="15.75" customHeight="1" x14ac:dyDescent="0.2">
      <c r="E22" s="18">
        <v>42039</v>
      </c>
      <c r="F22" s="19">
        <v>14.96</v>
      </c>
      <c r="G22" s="20">
        <v>27499100</v>
      </c>
      <c r="H22" s="21" t="s">
        <v>59</v>
      </c>
      <c r="I22" s="21">
        <f>(Акции!$F22-F21)/F21</f>
        <v>2.1160409556314028E-2</v>
      </c>
      <c r="L22" s="12" t="s">
        <v>68</v>
      </c>
      <c r="M22" s="12">
        <v>32.010000000000005</v>
      </c>
      <c r="N22" s="12" t="s">
        <v>68</v>
      </c>
      <c r="O22" s="12">
        <v>54343800</v>
      </c>
      <c r="P22" s="12" t="s">
        <v>68</v>
      </c>
      <c r="Q22" s="12">
        <v>0.27183951217356717</v>
      </c>
    </row>
    <row r="23" spans="5:17" ht="15.75" customHeight="1" x14ac:dyDescent="0.2">
      <c r="E23" s="18">
        <v>42040</v>
      </c>
      <c r="F23" s="19">
        <v>15.13</v>
      </c>
      <c r="G23" s="20">
        <v>20838400</v>
      </c>
      <c r="H23" s="21" t="s">
        <v>59</v>
      </c>
      <c r="I23" s="21">
        <f>(Акции!$F23-F22)/F22</f>
        <v>1.1363636363636359E-2</v>
      </c>
      <c r="L23" s="12" t="s">
        <v>69</v>
      </c>
      <c r="M23" s="12">
        <v>13.7</v>
      </c>
      <c r="N23" s="12" t="s">
        <v>69</v>
      </c>
      <c r="O23" s="12">
        <v>1036800</v>
      </c>
      <c r="P23" s="12" t="s">
        <v>69</v>
      </c>
      <c r="Q23" s="12">
        <v>-0.1478502938447262</v>
      </c>
    </row>
    <row r="24" spans="5:17" ht="15.75" customHeight="1" x14ac:dyDescent="0.2">
      <c r="E24" s="18">
        <v>42041</v>
      </c>
      <c r="F24" s="19">
        <v>14.72</v>
      </c>
      <c r="G24" s="20">
        <v>13945200</v>
      </c>
      <c r="H24" s="21" t="s">
        <v>59</v>
      </c>
      <c r="I24" s="21">
        <f>(Акции!$F24-F23)/F23</f>
        <v>-2.709847984137476E-2</v>
      </c>
      <c r="L24" s="12" t="s">
        <v>70</v>
      </c>
      <c r="M24" s="12">
        <v>45.71</v>
      </c>
      <c r="N24" s="12" t="s">
        <v>70</v>
      </c>
      <c r="O24" s="12">
        <v>55380600</v>
      </c>
      <c r="P24" s="12" t="s">
        <v>70</v>
      </c>
      <c r="Q24" s="12">
        <v>0.12398921832884097</v>
      </c>
    </row>
    <row r="25" spans="5:17" ht="15.75" customHeight="1" x14ac:dyDescent="0.2">
      <c r="E25" s="18">
        <v>42044</v>
      </c>
      <c r="F25" s="19">
        <v>14.45</v>
      </c>
      <c r="G25" s="20">
        <v>11297100</v>
      </c>
      <c r="H25" s="21" t="s">
        <v>59</v>
      </c>
      <c r="I25" s="21">
        <f>(Акции!$F25-F24)/F24</f>
        <v>-1.8342391304347918E-2</v>
      </c>
      <c r="L25" s="12" t="s">
        <v>71</v>
      </c>
      <c r="M25" s="12">
        <v>38168.110000000022</v>
      </c>
      <c r="N25" s="12" t="s">
        <v>71</v>
      </c>
      <c r="O25" s="12">
        <v>11443486900</v>
      </c>
      <c r="P25" s="12" t="s">
        <v>71</v>
      </c>
      <c r="Q25" s="12">
        <v>1.1697454725611536</v>
      </c>
    </row>
    <row r="26" spans="5:17" ht="15.75" customHeight="1" x14ac:dyDescent="0.2">
      <c r="E26" s="18">
        <v>42045</v>
      </c>
      <c r="F26" s="19">
        <v>14.72</v>
      </c>
      <c r="G26" s="20">
        <v>7891800</v>
      </c>
      <c r="H26" s="21" t="s">
        <v>59</v>
      </c>
      <c r="I26" s="21">
        <f>(Акции!$F26-F25)/F25</f>
        <v>1.8685121107266531E-2</v>
      </c>
      <c r="L26" s="12" t="s">
        <v>72</v>
      </c>
      <c r="M26" s="12">
        <v>1352</v>
      </c>
      <c r="N26" s="12" t="s">
        <v>72</v>
      </c>
      <c r="O26" s="12">
        <v>1352</v>
      </c>
      <c r="P26" s="12" t="s">
        <v>72</v>
      </c>
      <c r="Q26" s="12">
        <v>1351</v>
      </c>
    </row>
    <row r="27" spans="5:17" ht="15.75" customHeight="1" x14ac:dyDescent="0.2">
      <c r="E27" s="18">
        <v>42046</v>
      </c>
      <c r="F27" s="19">
        <v>14.58</v>
      </c>
      <c r="G27" s="20">
        <v>6227000</v>
      </c>
      <c r="H27" s="21" t="s">
        <v>59</v>
      </c>
      <c r="I27" s="21">
        <f>(Акции!$F27-F26)/F26</f>
        <v>-9.5108695652174301E-3</v>
      </c>
      <c r="L27" s="12" t="s">
        <v>73</v>
      </c>
      <c r="M27" s="12">
        <v>45.71</v>
      </c>
      <c r="N27" s="12" t="s">
        <v>73</v>
      </c>
      <c r="O27" s="12">
        <v>55380600</v>
      </c>
      <c r="P27" s="12" t="s">
        <v>73</v>
      </c>
      <c r="Q27" s="12">
        <v>0.12398921832884097</v>
      </c>
    </row>
    <row r="28" spans="5:17" ht="15.75" customHeight="1" x14ac:dyDescent="0.2">
      <c r="E28" s="18">
        <v>42047</v>
      </c>
      <c r="F28" s="19">
        <v>14.74</v>
      </c>
      <c r="G28" s="20">
        <v>6392200</v>
      </c>
      <c r="H28" s="21" t="s">
        <v>59</v>
      </c>
      <c r="I28" s="21">
        <f>(Акции!$F28-F27)/F27</f>
        <v>1.0973936899862835E-2</v>
      </c>
      <c r="L28" s="23" t="s">
        <v>74</v>
      </c>
      <c r="M28" s="23">
        <v>13.7</v>
      </c>
      <c r="N28" s="23" t="s">
        <v>74</v>
      </c>
      <c r="O28" s="23">
        <v>1036800</v>
      </c>
      <c r="P28" s="23" t="s">
        <v>74</v>
      </c>
      <c r="Q28" s="23">
        <v>-0.1478502938447262</v>
      </c>
    </row>
    <row r="29" spans="5:17" ht="15.75" customHeight="1" x14ac:dyDescent="0.2">
      <c r="E29" s="18">
        <v>42048</v>
      </c>
      <c r="F29" s="19">
        <v>14.98</v>
      </c>
      <c r="G29" s="20">
        <v>6731400</v>
      </c>
      <c r="H29" s="21" t="s">
        <v>59</v>
      </c>
      <c r="I29" s="21">
        <f>(Акции!$F29-F28)/F28</f>
        <v>1.6282225237449131E-2</v>
      </c>
    </row>
    <row r="30" spans="5:17" ht="15.75" customHeight="1" x14ac:dyDescent="0.2">
      <c r="E30" s="18">
        <v>42052</v>
      </c>
      <c r="F30" s="19">
        <v>14.84</v>
      </c>
      <c r="G30" s="20">
        <v>9950700</v>
      </c>
      <c r="H30" s="21" t="s">
        <v>59</v>
      </c>
      <c r="I30" s="21">
        <f>(Акции!$F30-F29)/F29</f>
        <v>-9.345794392523402E-3</v>
      </c>
    </row>
    <row r="31" spans="5:17" ht="15.75" customHeight="1" x14ac:dyDescent="0.2">
      <c r="E31" s="18">
        <v>42053</v>
      </c>
      <c r="F31" s="19">
        <v>16.68</v>
      </c>
      <c r="G31" s="20">
        <v>55380600</v>
      </c>
      <c r="H31" s="21" t="s">
        <v>59</v>
      </c>
      <c r="I31" s="21">
        <f>(Акции!$F31-F30)/F30</f>
        <v>0.12398921832884097</v>
      </c>
    </row>
    <row r="32" spans="5:17" ht="15.75" customHeight="1" x14ac:dyDescent="0.2">
      <c r="E32" s="18">
        <v>42054</v>
      </c>
      <c r="F32" s="19">
        <v>16.45</v>
      </c>
      <c r="G32" s="20">
        <v>20098600</v>
      </c>
      <c r="H32" s="21" t="s">
        <v>59</v>
      </c>
      <c r="I32" s="21">
        <f>(Акции!$F32-F31)/F31</f>
        <v>-1.3788968824940073E-2</v>
      </c>
    </row>
    <row r="33" spans="5:9" ht="15.75" customHeight="1" x14ac:dyDescent="0.2">
      <c r="E33" s="18">
        <v>42055</v>
      </c>
      <c r="F33" s="19">
        <v>16.47</v>
      </c>
      <c r="G33" s="20">
        <v>13707200</v>
      </c>
      <c r="H33" s="21" t="s">
        <v>59</v>
      </c>
      <c r="I33" s="21">
        <f>(Акции!$F33-F32)/F32</f>
        <v>1.2158054711245941E-3</v>
      </c>
    </row>
    <row r="34" spans="5:9" ht="15.75" customHeight="1" x14ac:dyDescent="0.2">
      <c r="E34" s="18">
        <v>42058</v>
      </c>
      <c r="F34" s="19">
        <v>16.309999999999999</v>
      </c>
      <c r="G34" s="20">
        <v>11849000</v>
      </c>
      <c r="H34" s="21" t="s">
        <v>59</v>
      </c>
      <c r="I34" s="21">
        <f>(Акции!$F34-F33)/F33</f>
        <v>-9.7146326654523468E-3</v>
      </c>
    </row>
    <row r="35" spans="5:9" ht="15.75" customHeight="1" x14ac:dyDescent="0.2">
      <c r="E35" s="18">
        <v>42059</v>
      </c>
      <c r="F35" s="19">
        <v>16.62</v>
      </c>
      <c r="G35" s="20">
        <v>25563900</v>
      </c>
      <c r="H35" s="21" t="s">
        <v>59</v>
      </c>
      <c r="I35" s="21">
        <f>(Акции!$F35-F34)/F34</f>
        <v>1.900674432863288E-2</v>
      </c>
    </row>
    <row r="36" spans="5:9" ht="15.75" customHeight="1" x14ac:dyDescent="0.2">
      <c r="E36" s="18">
        <v>42060</v>
      </c>
      <c r="F36" s="19">
        <v>16.920000000000002</v>
      </c>
      <c r="G36" s="20">
        <v>18525800</v>
      </c>
      <c r="H36" s="21" t="s">
        <v>59</v>
      </c>
      <c r="I36" s="21">
        <f>(Акции!$F36-F35)/F35</f>
        <v>1.8050541516245529E-2</v>
      </c>
    </row>
    <row r="37" spans="5:9" ht="15.75" customHeight="1" x14ac:dyDescent="0.2">
      <c r="E37" s="18">
        <v>42061</v>
      </c>
      <c r="F37" s="19">
        <v>16.82</v>
      </c>
      <c r="G37" s="20">
        <v>11323600</v>
      </c>
      <c r="H37" s="21" t="s">
        <v>59</v>
      </c>
      <c r="I37" s="21">
        <f>(Акции!$F37-F36)/F36</f>
        <v>-5.9101654846336529E-3</v>
      </c>
    </row>
    <row r="38" spans="5:9" ht="15.75" customHeight="1" x14ac:dyDescent="0.2">
      <c r="E38" s="18">
        <v>42062</v>
      </c>
      <c r="F38" s="19">
        <v>16.899999999999999</v>
      </c>
      <c r="G38" s="20">
        <v>11291000</v>
      </c>
      <c r="H38" s="21" t="s">
        <v>59</v>
      </c>
      <c r="I38" s="21">
        <f>(Акции!$F38-F37)/F37</f>
        <v>4.7562425683708859E-3</v>
      </c>
    </row>
    <row r="39" spans="5:9" ht="15.75" customHeight="1" x14ac:dyDescent="0.2">
      <c r="E39" s="18">
        <v>42065</v>
      </c>
      <c r="F39" s="19">
        <v>17.059999999999999</v>
      </c>
      <c r="G39" s="20">
        <v>16094900</v>
      </c>
      <c r="H39" s="21" t="s">
        <v>59</v>
      </c>
      <c r="I39" s="21">
        <f>(Акции!$F39-F38)/F38</f>
        <v>9.4674556213017839E-3</v>
      </c>
    </row>
    <row r="40" spans="5:9" ht="15.75" customHeight="1" x14ac:dyDescent="0.2">
      <c r="E40" s="18">
        <v>42066</v>
      </c>
      <c r="F40" s="19">
        <v>16.760000000000002</v>
      </c>
      <c r="G40" s="20">
        <v>10133600</v>
      </c>
      <c r="H40" s="21" t="s">
        <v>59</v>
      </c>
      <c r="I40" s="21">
        <f>(Акции!$F40-F39)/F39</f>
        <v>-1.7584994138335121E-2</v>
      </c>
    </row>
    <row r="41" spans="5:9" ht="15.75" customHeight="1" x14ac:dyDescent="0.2">
      <c r="E41" s="18">
        <v>42067</v>
      </c>
      <c r="F41" s="19">
        <v>16.79</v>
      </c>
      <c r="G41" s="20">
        <v>8162200</v>
      </c>
      <c r="H41" s="21" t="s">
        <v>59</v>
      </c>
      <c r="I41" s="21">
        <f>(Акции!$F41-F40)/F40</f>
        <v>1.789976133651407E-3</v>
      </c>
    </row>
    <row r="42" spans="5:9" ht="15.75" customHeight="1" x14ac:dyDescent="0.2">
      <c r="E42" s="18">
        <v>42068</v>
      </c>
      <c r="F42" s="19">
        <v>16.97</v>
      </c>
      <c r="G42" s="20">
        <v>9624100</v>
      </c>
      <c r="H42" s="21" t="s">
        <v>59</v>
      </c>
      <c r="I42" s="21">
        <f>(Акции!$F42-F41)/F41</f>
        <v>1.0720667063728394E-2</v>
      </c>
    </row>
    <row r="43" spans="5:9" ht="15.75" customHeight="1" x14ac:dyDescent="0.2">
      <c r="E43" s="18">
        <v>42069</v>
      </c>
      <c r="F43" s="19">
        <v>16.559999999999999</v>
      </c>
      <c r="G43" s="20">
        <v>10105000</v>
      </c>
      <c r="H43" s="21" t="s">
        <v>59</v>
      </c>
      <c r="I43" s="21">
        <f>(Акции!$F43-F42)/F42</f>
        <v>-2.4160282852091937E-2</v>
      </c>
    </row>
    <row r="44" spans="5:9" ht="15.75" customHeight="1" x14ac:dyDescent="0.2">
      <c r="E44" s="18">
        <v>42072</v>
      </c>
      <c r="F44" s="19">
        <v>16.600000000000001</v>
      </c>
      <c r="G44" s="20">
        <v>6748100</v>
      </c>
      <c r="H44" s="21" t="s">
        <v>59</v>
      </c>
      <c r="I44" s="21">
        <f>(Акции!$F44-F43)/F43</f>
        <v>2.415458937198231E-3</v>
      </c>
    </row>
    <row r="45" spans="5:9" ht="15.75" customHeight="1" x14ac:dyDescent="0.2">
      <c r="E45" s="18">
        <v>42073</v>
      </c>
      <c r="F45" s="19">
        <v>16.420000000000002</v>
      </c>
      <c r="G45" s="20">
        <v>10594200</v>
      </c>
      <c r="H45" s="21" t="s">
        <v>59</v>
      </c>
      <c r="I45" s="21">
        <f>(Акции!$F45-F44)/F44</f>
        <v>-1.0843373493975886E-2</v>
      </c>
    </row>
    <row r="46" spans="5:9" ht="15.75" customHeight="1" x14ac:dyDescent="0.2">
      <c r="E46" s="18">
        <v>42074</v>
      </c>
      <c r="F46" s="19">
        <v>16.579999999999998</v>
      </c>
      <c r="G46" s="20">
        <v>7045100</v>
      </c>
      <c r="H46" s="21" t="s">
        <v>59</v>
      </c>
      <c r="I46" s="21">
        <f>(Акции!$F46-F45)/F45</f>
        <v>9.7442143727159911E-3</v>
      </c>
    </row>
    <row r="47" spans="5:9" ht="15.75" customHeight="1" x14ac:dyDescent="0.2">
      <c r="E47" s="18">
        <v>42075</v>
      </c>
      <c r="F47" s="19">
        <v>16.89</v>
      </c>
      <c r="G47" s="20">
        <v>9202700</v>
      </c>
      <c r="H47" s="21" t="s">
        <v>59</v>
      </c>
      <c r="I47" s="21">
        <f>(Акции!$F47-F46)/F46</f>
        <v>1.8697225572979634E-2</v>
      </c>
    </row>
    <row r="48" spans="5:9" ht="15.75" customHeight="1" x14ac:dyDescent="0.2">
      <c r="E48" s="18">
        <v>42076</v>
      </c>
      <c r="F48" s="19">
        <v>16.61</v>
      </c>
      <c r="G48" s="20">
        <v>7261900</v>
      </c>
      <c r="H48" s="21" t="s">
        <v>59</v>
      </c>
      <c r="I48" s="21">
        <f>(Акции!$F48-F47)/F47</f>
        <v>-1.65778567199527E-2</v>
      </c>
    </row>
    <row r="49" spans="5:9" ht="15.75" customHeight="1" x14ac:dyDescent="0.2">
      <c r="E49" s="18">
        <v>42079</v>
      </c>
      <c r="F49" s="19">
        <v>17.239999999999998</v>
      </c>
      <c r="G49" s="20">
        <v>20810300</v>
      </c>
      <c r="H49" s="21" t="s">
        <v>59</v>
      </c>
      <c r="I49" s="21">
        <f>(Акции!$F49-F48)/F48</f>
        <v>3.7928958458759723E-2</v>
      </c>
    </row>
    <row r="50" spans="5:9" ht="15.75" customHeight="1" x14ac:dyDescent="0.2">
      <c r="E50" s="18">
        <v>42080</v>
      </c>
      <c r="F50" s="19">
        <v>17.399999999999999</v>
      </c>
      <c r="G50" s="20">
        <v>22619100</v>
      </c>
      <c r="H50" s="21" t="s">
        <v>59</v>
      </c>
      <c r="I50" s="21">
        <f>(Акции!$F50-F49)/F49</f>
        <v>9.28074245939676E-3</v>
      </c>
    </row>
    <row r="51" spans="5:9" ht="15.75" customHeight="1" x14ac:dyDescent="0.2">
      <c r="E51" s="18">
        <v>42081</v>
      </c>
      <c r="F51" s="19">
        <v>17.760000000000002</v>
      </c>
      <c r="G51" s="20">
        <v>15151200</v>
      </c>
      <c r="H51" s="21" t="s">
        <v>59</v>
      </c>
      <c r="I51" s="21">
        <f>(Акции!$F51-F50)/F50</f>
        <v>2.0689655172413966E-2</v>
      </c>
    </row>
    <row r="52" spans="5:9" ht="15.75" customHeight="1" x14ac:dyDescent="0.2">
      <c r="E52" s="18">
        <v>42082</v>
      </c>
      <c r="F52" s="19">
        <v>17.809999999999999</v>
      </c>
      <c r="G52" s="20">
        <v>9669600</v>
      </c>
      <c r="H52" s="21" t="s">
        <v>59</v>
      </c>
      <c r="I52" s="21">
        <f>(Акции!$F52-F51)/F51</f>
        <v>2.8153153153151552E-3</v>
      </c>
    </row>
    <row r="53" spans="5:9" ht="15.75" customHeight="1" x14ac:dyDescent="0.2">
      <c r="E53" s="18">
        <v>42083</v>
      </c>
      <c r="F53" s="19">
        <v>17.84</v>
      </c>
      <c r="G53" s="20">
        <v>18358700</v>
      </c>
      <c r="H53" s="21" t="s">
        <v>59</v>
      </c>
      <c r="I53" s="21">
        <f>(Акции!$F53-F52)/F52</f>
        <v>1.6844469399214565E-3</v>
      </c>
    </row>
    <row r="54" spans="5:9" ht="15.75" customHeight="1" x14ac:dyDescent="0.2">
      <c r="E54" s="18">
        <v>42086</v>
      </c>
      <c r="F54" s="19">
        <v>17.98</v>
      </c>
      <c r="G54" s="20">
        <v>7467600</v>
      </c>
      <c r="H54" s="21" t="s">
        <v>59</v>
      </c>
      <c r="I54" s="21">
        <f>(Акции!$F54-F53)/F53</f>
        <v>7.8475336322870268E-3</v>
      </c>
    </row>
    <row r="55" spans="5:9" ht="15.75" customHeight="1" x14ac:dyDescent="0.2">
      <c r="E55" s="18">
        <v>42087</v>
      </c>
      <c r="F55" s="19">
        <v>17.829999999999998</v>
      </c>
      <c r="G55" s="20">
        <v>7673700</v>
      </c>
      <c r="H55" s="21" t="s">
        <v>59</v>
      </c>
      <c r="I55" s="21">
        <f>(Акции!$F55-F54)/F54</f>
        <v>-8.3426028921024537E-3</v>
      </c>
    </row>
    <row r="56" spans="5:9" ht="15.75" customHeight="1" x14ac:dyDescent="0.2">
      <c r="E56" s="18">
        <v>42088</v>
      </c>
      <c r="F56" s="19">
        <v>17.52</v>
      </c>
      <c r="G56" s="20">
        <v>9581800</v>
      </c>
      <c r="H56" s="21" t="s">
        <v>59</v>
      </c>
      <c r="I56" s="21">
        <f>(Акции!$F56-F55)/F55</f>
        <v>-1.7386427369601724E-2</v>
      </c>
    </row>
    <row r="57" spans="5:9" ht="15.75" customHeight="1" x14ac:dyDescent="0.2">
      <c r="E57" s="18">
        <v>42089</v>
      </c>
      <c r="F57" s="19">
        <v>17.440000000000001</v>
      </c>
      <c r="G57" s="20">
        <v>7598300</v>
      </c>
      <c r="H57" s="21" t="s">
        <v>59</v>
      </c>
      <c r="I57" s="21">
        <f>(Акции!$F57-F56)/F56</f>
        <v>-4.5662100456620031E-3</v>
      </c>
    </row>
    <row r="58" spans="5:9" ht="15.75" customHeight="1" x14ac:dyDescent="0.2">
      <c r="E58" s="18">
        <v>42090</v>
      </c>
      <c r="F58" s="19">
        <v>17.829999999999998</v>
      </c>
      <c r="G58" s="20">
        <v>6516500</v>
      </c>
      <c r="H58" s="21" t="s">
        <v>59</v>
      </c>
      <c r="I58" s="21">
        <f>(Акции!$F58-F57)/F57</f>
        <v>2.2362385321100745E-2</v>
      </c>
    </row>
    <row r="59" spans="5:9" ht="15.75" customHeight="1" x14ac:dyDescent="0.2">
      <c r="E59" s="18">
        <v>42093</v>
      </c>
      <c r="F59" s="19">
        <v>18.07</v>
      </c>
      <c r="G59" s="20">
        <v>8079600</v>
      </c>
      <c r="H59" s="21" t="s">
        <v>59</v>
      </c>
      <c r="I59" s="21">
        <f>(Акции!$F59-F58)/F58</f>
        <v>1.3460459899046663E-2</v>
      </c>
    </row>
    <row r="60" spans="5:9" ht="15.75" customHeight="1" x14ac:dyDescent="0.2">
      <c r="E60" s="18">
        <v>42094</v>
      </c>
      <c r="F60" s="19">
        <v>17.75</v>
      </c>
      <c r="G60" s="20">
        <v>8294700</v>
      </c>
      <c r="H60" s="21" t="s">
        <v>59</v>
      </c>
      <c r="I60" s="21">
        <f>(Акции!$F60-F59)/F59</f>
        <v>-1.7708909795240747E-2</v>
      </c>
    </row>
    <row r="61" spans="5:9" ht="15.75" customHeight="1" x14ac:dyDescent="0.2">
      <c r="E61" s="18">
        <v>42095</v>
      </c>
      <c r="F61" s="19">
        <v>17.649999999999999</v>
      </c>
      <c r="G61" s="20">
        <v>9807600</v>
      </c>
      <c r="H61" s="21" t="s">
        <v>59</v>
      </c>
      <c r="I61" s="21">
        <f>(Акции!$F61-F60)/F60</f>
        <v>-5.6338028169014885E-3</v>
      </c>
    </row>
    <row r="62" spans="5:9" ht="15.75" customHeight="1" x14ac:dyDescent="0.2">
      <c r="E62" s="18">
        <v>42096</v>
      </c>
      <c r="F62" s="19">
        <v>17.72</v>
      </c>
      <c r="G62" s="20">
        <v>5570000</v>
      </c>
      <c r="H62" s="21" t="s">
        <v>59</v>
      </c>
      <c r="I62" s="21">
        <f>(Акции!$F62-F61)/F61</f>
        <v>3.9660056657223964E-3</v>
      </c>
    </row>
    <row r="63" spans="5:9" ht="15.75" customHeight="1" x14ac:dyDescent="0.2">
      <c r="E63" s="18">
        <v>42100</v>
      </c>
      <c r="F63" s="19">
        <v>17.68</v>
      </c>
      <c r="G63" s="20">
        <v>11405100</v>
      </c>
      <c r="H63" s="21" t="s">
        <v>59</v>
      </c>
      <c r="I63" s="21">
        <f>(Акции!$F63-F62)/F62</f>
        <v>-2.2573363431150763E-3</v>
      </c>
    </row>
    <row r="64" spans="5:9" ht="15.75" customHeight="1" x14ac:dyDescent="0.2">
      <c r="E64" s="18">
        <v>42101</v>
      </c>
      <c r="F64" s="19">
        <v>17.690000000000001</v>
      </c>
      <c r="G64" s="20">
        <v>6549200</v>
      </c>
      <c r="H64" s="21" t="s">
        <v>59</v>
      </c>
      <c r="I64" s="21">
        <f>(Акции!$F64-F63)/F63</f>
        <v>5.656108597285952E-4</v>
      </c>
    </row>
    <row r="65" spans="5:9" ht="15.75" customHeight="1" x14ac:dyDescent="0.2">
      <c r="E65" s="18">
        <v>42102</v>
      </c>
      <c r="F65" s="19">
        <v>17.89</v>
      </c>
      <c r="G65" s="20">
        <v>10918300</v>
      </c>
      <c r="H65" s="21" t="s">
        <v>59</v>
      </c>
      <c r="I65" s="21">
        <f>(Акции!$F65-F64)/F64</f>
        <v>1.1305822498586731E-2</v>
      </c>
    </row>
    <row r="66" spans="5:9" ht="15.75" customHeight="1" x14ac:dyDescent="0.2">
      <c r="E66" s="18">
        <v>42103</v>
      </c>
      <c r="F66" s="19">
        <v>18.100000000000001</v>
      </c>
      <c r="G66" s="20">
        <v>7349300</v>
      </c>
      <c r="H66" s="21" t="s">
        <v>59</v>
      </c>
      <c r="I66" s="21">
        <f>(Акции!$F66-F65)/F65</f>
        <v>1.1738401341531628E-2</v>
      </c>
    </row>
    <row r="67" spans="5:9" ht="15.75" customHeight="1" x14ac:dyDescent="0.2">
      <c r="E67" s="18">
        <v>42104</v>
      </c>
      <c r="F67" s="19">
        <v>18.100000000000001</v>
      </c>
      <c r="G67" s="20">
        <v>7935400</v>
      </c>
      <c r="H67" s="21" t="s">
        <v>59</v>
      </c>
      <c r="I67" s="21">
        <f>(Акции!$F67-F66)/F66</f>
        <v>0</v>
      </c>
    </row>
    <row r="68" spans="5:9" ht="15.75" customHeight="1" x14ac:dyDescent="0.2">
      <c r="E68" s="18">
        <v>42107</v>
      </c>
      <c r="F68" s="19">
        <v>17.8</v>
      </c>
      <c r="G68" s="20">
        <v>6675200</v>
      </c>
      <c r="H68" s="21" t="s">
        <v>59</v>
      </c>
      <c r="I68" s="21">
        <f>(Акции!$F68-F67)/F67</f>
        <v>-1.6574585635359153E-2</v>
      </c>
    </row>
    <row r="69" spans="5:9" ht="15.75" customHeight="1" x14ac:dyDescent="0.2">
      <c r="E69" s="18">
        <v>42108</v>
      </c>
      <c r="F69" s="19">
        <v>17.899999999999999</v>
      </c>
      <c r="G69" s="20">
        <v>8542400</v>
      </c>
      <c r="H69" s="21" t="s">
        <v>59</v>
      </c>
      <c r="I69" s="21">
        <f>(Акции!$F69-F68)/F68</f>
        <v>5.6179775280897678E-3</v>
      </c>
    </row>
    <row r="70" spans="5:9" ht="15.75" customHeight="1" x14ac:dyDescent="0.2">
      <c r="E70" s="18">
        <v>42109</v>
      </c>
      <c r="F70" s="19">
        <v>18.04</v>
      </c>
      <c r="G70" s="20">
        <v>8319800</v>
      </c>
      <c r="H70" s="21" t="s">
        <v>59</v>
      </c>
      <c r="I70" s="21">
        <f>(Акции!$F70-F69)/F69</f>
        <v>7.8212290502793613E-3</v>
      </c>
    </row>
    <row r="71" spans="5:9" ht="15.75" customHeight="1" x14ac:dyDescent="0.2">
      <c r="E71" s="18">
        <v>42110</v>
      </c>
      <c r="F71" s="19">
        <v>18.16</v>
      </c>
      <c r="G71" s="20">
        <v>7440800</v>
      </c>
      <c r="H71" s="21" t="s">
        <v>59</v>
      </c>
      <c r="I71" s="21">
        <f>(Акции!$F71-F70)/F70</f>
        <v>6.651884700665244E-3</v>
      </c>
    </row>
    <row r="72" spans="5:9" ht="15.75" customHeight="1" x14ac:dyDescent="0.2">
      <c r="E72" s="18">
        <v>42111</v>
      </c>
      <c r="F72" s="19">
        <v>18.399999999999999</v>
      </c>
      <c r="G72" s="20">
        <v>17765900</v>
      </c>
      <c r="H72" s="21" t="s">
        <v>59</v>
      </c>
      <c r="I72" s="21">
        <f>(Акции!$F72-F71)/F71</f>
        <v>1.3215859030836918E-2</v>
      </c>
    </row>
    <row r="73" spans="5:9" ht="15.75" customHeight="1" x14ac:dyDescent="0.2">
      <c r="E73" s="18">
        <v>42114</v>
      </c>
      <c r="F73" s="19">
        <v>18.190000000000001</v>
      </c>
      <c r="G73" s="20">
        <v>9604200</v>
      </c>
      <c r="H73" s="21" t="s">
        <v>59</v>
      </c>
      <c r="I73" s="21">
        <f>(Акции!$F73-F72)/F72</f>
        <v>-1.1413043478260724E-2</v>
      </c>
    </row>
    <row r="74" spans="5:9" ht="15.75" customHeight="1" x14ac:dyDescent="0.2">
      <c r="E74" s="18">
        <v>42115</v>
      </c>
      <c r="F74" s="19">
        <v>18.309999999999999</v>
      </c>
      <c r="G74" s="20">
        <v>9914500</v>
      </c>
      <c r="H74" s="21" t="s">
        <v>59</v>
      </c>
      <c r="I74" s="21">
        <f>(Акции!$F74-F73)/F73</f>
        <v>6.5970313358987044E-3</v>
      </c>
    </row>
    <row r="75" spans="5:9" ht="15.75" customHeight="1" x14ac:dyDescent="0.2">
      <c r="E75" s="18">
        <v>42116</v>
      </c>
      <c r="F75" s="19">
        <v>18.41</v>
      </c>
      <c r="G75" s="20">
        <v>7415400</v>
      </c>
      <c r="H75" s="21" t="s">
        <v>59</v>
      </c>
      <c r="I75" s="21">
        <f>(Акции!$F75-F74)/F74</f>
        <v>5.4614964500273857E-3</v>
      </c>
    </row>
    <row r="76" spans="5:9" ht="15.75" customHeight="1" x14ac:dyDescent="0.2">
      <c r="E76" s="18">
        <v>42117</v>
      </c>
      <c r="F76" s="19">
        <v>18.420000000000002</v>
      </c>
      <c r="G76" s="20">
        <v>6664200</v>
      </c>
      <c r="H76" s="21" t="s">
        <v>59</v>
      </c>
      <c r="I76" s="21">
        <f>(Акции!$F76-F75)/F75</f>
        <v>5.4318305268884106E-4</v>
      </c>
    </row>
    <row r="77" spans="5:9" ht="15.75" customHeight="1" x14ac:dyDescent="0.2">
      <c r="E77" s="18">
        <v>42118</v>
      </c>
      <c r="F77" s="19">
        <v>18.34</v>
      </c>
      <c r="G77" s="20">
        <v>4823700</v>
      </c>
      <c r="H77" s="21" t="s">
        <v>59</v>
      </c>
      <c r="I77" s="21">
        <f>(Акции!$F77-F76)/F76</f>
        <v>-4.3431053203041173E-3</v>
      </c>
    </row>
    <row r="78" spans="5:9" ht="15.75" customHeight="1" x14ac:dyDescent="0.2">
      <c r="E78" s="18">
        <v>42121</v>
      </c>
      <c r="F78" s="19">
        <v>17.98</v>
      </c>
      <c r="G78" s="20">
        <v>13442200</v>
      </c>
      <c r="H78" s="21" t="s">
        <v>59</v>
      </c>
      <c r="I78" s="21">
        <f>(Акции!$F78-F77)/F77</f>
        <v>-1.9629225736095934E-2</v>
      </c>
    </row>
    <row r="79" spans="5:9" ht="15.75" customHeight="1" x14ac:dyDescent="0.2">
      <c r="E79" s="18">
        <v>42122</v>
      </c>
      <c r="F79" s="19">
        <v>17.75</v>
      </c>
      <c r="G79" s="20">
        <v>19394300</v>
      </c>
      <c r="H79" s="21" t="s">
        <v>59</v>
      </c>
      <c r="I79" s="21">
        <f>(Акции!$F79-F78)/F78</f>
        <v>-1.2791991101223605E-2</v>
      </c>
    </row>
    <row r="80" spans="5:9" ht="15.75" customHeight="1" x14ac:dyDescent="0.2">
      <c r="E80" s="18">
        <v>42123</v>
      </c>
      <c r="F80" s="19">
        <v>17.59</v>
      </c>
      <c r="G80" s="20">
        <v>18931400</v>
      </c>
      <c r="H80" s="21" t="s">
        <v>59</v>
      </c>
      <c r="I80" s="21">
        <f>(Акции!$F80-F79)/F79</f>
        <v>-9.0140845070422609E-3</v>
      </c>
    </row>
    <row r="81" spans="5:9" ht="15.75" customHeight="1" x14ac:dyDescent="0.2">
      <c r="E81" s="18">
        <v>42124</v>
      </c>
      <c r="F81" s="19">
        <v>17.82</v>
      </c>
      <c r="G81" s="20">
        <v>23450500</v>
      </c>
      <c r="H81" s="21" t="s">
        <v>59</v>
      </c>
      <c r="I81" s="21">
        <f>(Акции!$F81-F80)/F80</f>
        <v>1.3075611142694737E-2</v>
      </c>
    </row>
    <row r="82" spans="5:9" ht="15.75" customHeight="1" x14ac:dyDescent="0.2">
      <c r="E82" s="18">
        <v>42125</v>
      </c>
      <c r="F82" s="19">
        <v>17.739999999999998</v>
      </c>
      <c r="G82" s="20">
        <v>21817900</v>
      </c>
      <c r="H82" s="21" t="s">
        <v>59</v>
      </c>
      <c r="I82" s="21">
        <f>(Акции!$F82-F81)/F81</f>
        <v>-4.4893378226712596E-3</v>
      </c>
    </row>
    <row r="83" spans="5:9" ht="15.75" customHeight="1" x14ac:dyDescent="0.2">
      <c r="E83" s="18">
        <v>42128</v>
      </c>
      <c r="F83" s="19">
        <v>17.88</v>
      </c>
      <c r="G83" s="20">
        <v>9516800</v>
      </c>
      <c r="H83" s="21" t="s">
        <v>59</v>
      </c>
      <c r="I83" s="21">
        <f>(Акции!$F83-F82)/F82</f>
        <v>7.8917700112739898E-3</v>
      </c>
    </row>
    <row r="84" spans="5:9" ht="15.75" customHeight="1" x14ac:dyDescent="0.2">
      <c r="E84" s="18">
        <v>42129</v>
      </c>
      <c r="F84" s="19">
        <v>17.37</v>
      </c>
      <c r="G84" s="20">
        <v>11369800</v>
      </c>
      <c r="H84" s="21" t="s">
        <v>59</v>
      </c>
      <c r="I84" s="21">
        <f>(Акции!$F84-F83)/F83</f>
        <v>-2.8523489932885795E-2</v>
      </c>
    </row>
    <row r="85" spans="5:9" ht="15.75" customHeight="1" x14ac:dyDescent="0.2">
      <c r="E85" s="18">
        <v>42130</v>
      </c>
      <c r="F85" s="19">
        <v>17.3</v>
      </c>
      <c r="G85" s="20">
        <v>9747600</v>
      </c>
      <c r="H85" s="21" t="s">
        <v>59</v>
      </c>
      <c r="I85" s="21">
        <f>(Акции!$F85-F84)/F84</f>
        <v>-4.0299366724237352E-3</v>
      </c>
    </row>
    <row r="86" spans="5:9" ht="15.75" customHeight="1" x14ac:dyDescent="0.2">
      <c r="E86" s="18">
        <v>42131</v>
      </c>
      <c r="F86" s="19">
        <v>17.18</v>
      </c>
      <c r="G86" s="20">
        <v>7998500</v>
      </c>
      <c r="H86" s="21" t="s">
        <v>59</v>
      </c>
      <c r="I86" s="21">
        <f>(Акции!$F86-F85)/F85</f>
        <v>-6.9364161849711555E-3</v>
      </c>
    </row>
    <row r="87" spans="5:9" ht="15.75" customHeight="1" x14ac:dyDescent="0.2">
      <c r="E87" s="18">
        <v>42132</v>
      </c>
      <c r="F87" s="19">
        <v>17.510000000000002</v>
      </c>
      <c r="G87" s="20">
        <v>4921800</v>
      </c>
      <c r="H87" s="21" t="s">
        <v>59</v>
      </c>
      <c r="I87" s="21">
        <f>(Акции!$F87-F86)/F86</f>
        <v>1.9208381839348188E-2</v>
      </c>
    </row>
    <row r="88" spans="5:9" ht="15.75" customHeight="1" x14ac:dyDescent="0.2">
      <c r="E88" s="18">
        <v>42135</v>
      </c>
      <c r="F88" s="19">
        <v>17.47</v>
      </c>
      <c r="G88" s="20">
        <v>6128300</v>
      </c>
      <c r="H88" s="21" t="s">
        <v>59</v>
      </c>
      <c r="I88" s="21">
        <f>(Акции!$F88-F87)/F87</f>
        <v>-2.2844089091948998E-3</v>
      </c>
    </row>
    <row r="89" spans="5:9" ht="15.75" customHeight="1" x14ac:dyDescent="0.2">
      <c r="E89" s="18">
        <v>42136</v>
      </c>
      <c r="F89" s="19">
        <v>17.27</v>
      </c>
      <c r="G89" s="20">
        <v>7323100</v>
      </c>
      <c r="H89" s="21" t="s">
        <v>59</v>
      </c>
      <c r="I89" s="21">
        <f>(Акции!$F89-F88)/F88</f>
        <v>-1.1448196908986795E-2</v>
      </c>
    </row>
    <row r="90" spans="5:9" ht="15.75" customHeight="1" x14ac:dyDescent="0.2">
      <c r="E90" s="18">
        <v>42137</v>
      </c>
      <c r="F90" s="19">
        <v>17.23</v>
      </c>
      <c r="G90" s="20">
        <v>7501400</v>
      </c>
      <c r="H90" s="21" t="s">
        <v>59</v>
      </c>
      <c r="I90" s="21">
        <f>(Акции!$F90-F89)/F89</f>
        <v>-2.3161551823971714E-3</v>
      </c>
    </row>
    <row r="91" spans="5:9" ht="15.75" customHeight="1" x14ac:dyDescent="0.2">
      <c r="E91" s="18">
        <v>42138</v>
      </c>
      <c r="F91" s="19">
        <v>17.91</v>
      </c>
      <c r="G91" s="20">
        <v>11846000</v>
      </c>
      <c r="H91" s="21" t="s">
        <v>59</v>
      </c>
      <c r="I91" s="21">
        <f>(Акции!$F91-F90)/F90</f>
        <v>3.9466047591410314E-2</v>
      </c>
    </row>
    <row r="92" spans="5:9" ht="15.75" customHeight="1" x14ac:dyDescent="0.2">
      <c r="E92" s="18">
        <v>42139</v>
      </c>
      <c r="F92" s="19">
        <v>17.850000000000001</v>
      </c>
      <c r="G92" s="20">
        <v>7508000</v>
      </c>
      <c r="H92" s="21" t="s">
        <v>59</v>
      </c>
      <c r="I92" s="21">
        <f>(Акции!$F92-F91)/F91</f>
        <v>-3.3500837520937308E-3</v>
      </c>
    </row>
    <row r="93" spans="5:9" ht="15.75" customHeight="1" x14ac:dyDescent="0.2">
      <c r="E93" s="18">
        <v>42142</v>
      </c>
      <c r="F93" s="19">
        <v>18.059999999999999</v>
      </c>
      <c r="G93" s="20">
        <v>7840400</v>
      </c>
      <c r="H93" s="21" t="s">
        <v>59</v>
      </c>
      <c r="I93" s="21">
        <f>(Акции!$F93-F92)/F92</f>
        <v>1.1764705882352788E-2</v>
      </c>
    </row>
    <row r="94" spans="5:9" ht="15.75" customHeight="1" x14ac:dyDescent="0.2">
      <c r="E94" s="18">
        <v>42143</v>
      </c>
      <c r="F94" s="19">
        <v>18.12</v>
      </c>
      <c r="G94" s="20">
        <v>5824000</v>
      </c>
      <c r="H94" s="21" t="s">
        <v>59</v>
      </c>
      <c r="I94" s="21">
        <f>(Акции!$F94-F93)/F93</f>
        <v>3.3222591362127509E-3</v>
      </c>
    </row>
    <row r="95" spans="5:9" ht="15.75" customHeight="1" x14ac:dyDescent="0.2">
      <c r="E95" s="18">
        <v>42144</v>
      </c>
      <c r="F95" s="19">
        <v>17.98</v>
      </c>
      <c r="G95" s="20">
        <v>6047100</v>
      </c>
      <c r="H95" s="21" t="s">
        <v>59</v>
      </c>
      <c r="I95" s="21">
        <f>(Акции!$F95-F94)/F94</f>
        <v>-7.72626931567332E-3</v>
      </c>
    </row>
    <row r="96" spans="5:9" ht="15.75" customHeight="1" x14ac:dyDescent="0.2">
      <c r="E96" s="18">
        <v>42145</v>
      </c>
      <c r="F96" s="19">
        <v>17.87</v>
      </c>
      <c r="G96" s="20">
        <v>4508200</v>
      </c>
      <c r="H96" s="21" t="s">
        <v>59</v>
      </c>
      <c r="I96" s="21">
        <f>(Акции!$F96-F95)/F95</f>
        <v>-6.1179087875416812E-3</v>
      </c>
    </row>
    <row r="97" spans="5:9" ht="15.75" customHeight="1" x14ac:dyDescent="0.2">
      <c r="E97" s="18">
        <v>42146</v>
      </c>
      <c r="F97" s="19">
        <v>17.829999999999998</v>
      </c>
      <c r="G97" s="20">
        <v>3607100</v>
      </c>
      <c r="H97" s="21" t="s">
        <v>59</v>
      </c>
      <c r="I97" s="21">
        <f>(Акции!$F97-F96)/F96</f>
        <v>-2.2383883603806771E-3</v>
      </c>
    </row>
    <row r="98" spans="5:9" ht="15.75" customHeight="1" x14ac:dyDescent="0.2">
      <c r="E98" s="18">
        <v>42150</v>
      </c>
      <c r="F98" s="19">
        <v>17.77</v>
      </c>
      <c r="G98" s="20">
        <v>7217100</v>
      </c>
      <c r="H98" s="21" t="s">
        <v>59</v>
      </c>
      <c r="I98" s="21">
        <f>(Акции!$F98-F97)/F97</f>
        <v>-3.3651149747615664E-3</v>
      </c>
    </row>
    <row r="99" spans="5:9" ht="15.75" customHeight="1" x14ac:dyDescent="0.2">
      <c r="E99" s="18">
        <v>42151</v>
      </c>
      <c r="F99" s="19">
        <v>17.989999999999998</v>
      </c>
      <c r="G99" s="20">
        <v>6454900</v>
      </c>
      <c r="H99" s="21" t="s">
        <v>59</v>
      </c>
      <c r="I99" s="21">
        <f>(Акции!$F99-F98)/F98</f>
        <v>1.2380416432189019E-2</v>
      </c>
    </row>
    <row r="100" spans="5:9" ht="15.75" customHeight="1" x14ac:dyDescent="0.2">
      <c r="E100" s="18">
        <v>42152</v>
      </c>
      <c r="F100" s="19">
        <v>18.27</v>
      </c>
      <c r="G100" s="20">
        <v>26959300</v>
      </c>
      <c r="H100" s="21" t="s">
        <v>59</v>
      </c>
      <c r="I100" s="21">
        <f>(Акции!$F100-F99)/F99</f>
        <v>1.5564202334630415E-2</v>
      </c>
    </row>
    <row r="101" spans="5:9" ht="15.75" customHeight="1" x14ac:dyDescent="0.2">
      <c r="E101" s="18">
        <v>42153</v>
      </c>
      <c r="F101" s="19">
        <v>18.27</v>
      </c>
      <c r="G101" s="20">
        <v>33431700</v>
      </c>
      <c r="H101" s="21" t="s">
        <v>59</v>
      </c>
      <c r="I101" s="21">
        <f>(Акции!$F101-F100)/F100</f>
        <v>0</v>
      </c>
    </row>
    <row r="102" spans="5:9" ht="15.75" customHeight="1" x14ac:dyDescent="0.2">
      <c r="E102" s="18">
        <v>42156</v>
      </c>
      <c r="F102" s="19">
        <v>18.510000000000002</v>
      </c>
      <c r="G102" s="20">
        <v>10199500</v>
      </c>
      <c r="H102" s="21" t="s">
        <v>59</v>
      </c>
      <c r="I102" s="21">
        <f>(Акции!$F102-F101)/F101</f>
        <v>1.3136288998358073E-2</v>
      </c>
    </row>
    <row r="103" spans="5:9" ht="15.75" customHeight="1" x14ac:dyDescent="0.2">
      <c r="E103" s="18">
        <v>42157</v>
      </c>
      <c r="F103" s="19">
        <v>18.29</v>
      </c>
      <c r="G103" s="20">
        <v>6790900</v>
      </c>
      <c r="H103" s="21" t="s">
        <v>59</v>
      </c>
      <c r="I103" s="21">
        <f>(Акции!$F103-F102)/F102</f>
        <v>-1.1885467314965013E-2</v>
      </c>
    </row>
    <row r="104" spans="5:9" ht="15.75" customHeight="1" x14ac:dyDescent="0.2">
      <c r="E104" s="18">
        <v>42158</v>
      </c>
      <c r="F104" s="19">
        <v>18.23</v>
      </c>
      <c r="G104" s="20">
        <v>5717600</v>
      </c>
      <c r="H104" s="21" t="s">
        <v>59</v>
      </c>
      <c r="I104" s="21">
        <f>(Акции!$F104-F103)/F103</f>
        <v>-3.2804811372333913E-3</v>
      </c>
    </row>
    <row r="105" spans="5:9" ht="15.75" customHeight="1" x14ac:dyDescent="0.2">
      <c r="E105" s="18">
        <v>42159</v>
      </c>
      <c r="F105" s="19">
        <v>17.91</v>
      </c>
      <c r="G105" s="20">
        <v>6965000</v>
      </c>
      <c r="H105" s="21" t="s">
        <v>59</v>
      </c>
      <c r="I105" s="21">
        <f>(Акции!$F105-F104)/F104</f>
        <v>-1.7553483269336274E-2</v>
      </c>
    </row>
    <row r="106" spans="5:9" ht="15.75" customHeight="1" x14ac:dyDescent="0.2">
      <c r="E106" s="18">
        <v>42160</v>
      </c>
      <c r="F106" s="19">
        <v>17.850000000000001</v>
      </c>
      <c r="G106" s="20">
        <v>5828100</v>
      </c>
      <c r="H106" s="21" t="s">
        <v>59</v>
      </c>
      <c r="I106" s="21">
        <f>(Акции!$F106-F105)/F105</f>
        <v>-3.3500837520937308E-3</v>
      </c>
    </row>
    <row r="107" spans="5:9" ht="15.75" customHeight="1" x14ac:dyDescent="0.2">
      <c r="E107" s="18">
        <v>42163</v>
      </c>
      <c r="F107" s="19">
        <v>17.7</v>
      </c>
      <c r="G107" s="20">
        <v>13034200</v>
      </c>
      <c r="H107" s="21" t="s">
        <v>59</v>
      </c>
      <c r="I107" s="21">
        <f>(Акции!$F107-F106)/F106</f>
        <v>-8.4033613445379345E-3</v>
      </c>
    </row>
    <row r="108" spans="5:9" ht="15.75" customHeight="1" x14ac:dyDescent="0.2">
      <c r="E108" s="18">
        <v>42164</v>
      </c>
      <c r="F108" s="19">
        <v>17.39</v>
      </c>
      <c r="G108" s="20">
        <v>11875700</v>
      </c>
      <c r="H108" s="21" t="s">
        <v>59</v>
      </c>
      <c r="I108" s="21">
        <f>(Акции!$F108-F107)/F107</f>
        <v>-1.7514124293785238E-2</v>
      </c>
    </row>
    <row r="109" spans="5:9" ht="15.75" customHeight="1" x14ac:dyDescent="0.2">
      <c r="E109" s="18">
        <v>42165</v>
      </c>
      <c r="F109" s="19">
        <v>17.739999999999998</v>
      </c>
      <c r="G109" s="20">
        <v>11729700</v>
      </c>
      <c r="H109" s="21" t="s">
        <v>59</v>
      </c>
      <c r="I109" s="21">
        <f>(Акции!$F109-F108)/F108</f>
        <v>2.0126509488211493E-2</v>
      </c>
    </row>
    <row r="110" spans="5:9" ht="15.75" customHeight="1" x14ac:dyDescent="0.2">
      <c r="E110" s="18">
        <v>42166</v>
      </c>
      <c r="F110" s="19">
        <v>17.809999999999999</v>
      </c>
      <c r="G110" s="20">
        <v>7874200</v>
      </c>
      <c r="H110" s="21" t="s">
        <v>59</v>
      </c>
      <c r="I110" s="21">
        <f>(Акции!$F110-F109)/F109</f>
        <v>3.9458850056369949E-3</v>
      </c>
    </row>
    <row r="111" spans="5:9" ht="15.75" customHeight="1" x14ac:dyDescent="0.2">
      <c r="E111" s="18">
        <v>42167</v>
      </c>
      <c r="F111" s="19">
        <v>17.559999999999999</v>
      </c>
      <c r="G111" s="20">
        <v>5390700</v>
      </c>
      <c r="H111" s="21" t="s">
        <v>59</v>
      </c>
      <c r="I111" s="21">
        <f>(Акции!$F111-F110)/F110</f>
        <v>-1.4037057832678272E-2</v>
      </c>
    </row>
    <row r="112" spans="5:9" ht="15.75" customHeight="1" x14ac:dyDescent="0.2">
      <c r="E112" s="18">
        <v>42170</v>
      </c>
      <c r="F112" s="19">
        <v>17.37</v>
      </c>
      <c r="G112" s="20">
        <v>8346500</v>
      </c>
      <c r="H112" s="21" t="s">
        <v>59</v>
      </c>
      <c r="I112" s="21">
        <f>(Акции!$F112-F111)/F111</f>
        <v>-1.0820045558086432E-2</v>
      </c>
    </row>
    <row r="113" spans="5:9" ht="15.75" customHeight="1" x14ac:dyDescent="0.2">
      <c r="E113" s="18">
        <v>42171</v>
      </c>
      <c r="F113" s="19">
        <v>17.579999999999998</v>
      </c>
      <c r="G113" s="20">
        <v>7131200</v>
      </c>
      <c r="H113" s="21" t="s">
        <v>59</v>
      </c>
      <c r="I113" s="21">
        <f>(Акции!$F113-F112)/F112</f>
        <v>1.2089810017271002E-2</v>
      </c>
    </row>
    <row r="114" spans="5:9" ht="15.75" customHeight="1" x14ac:dyDescent="0.2">
      <c r="E114" s="18">
        <v>42172</v>
      </c>
      <c r="F114" s="19">
        <v>17.61</v>
      </c>
      <c r="G114" s="20">
        <v>6413100</v>
      </c>
      <c r="H114" s="21" t="s">
        <v>59</v>
      </c>
      <c r="I114" s="21">
        <f>(Акции!$F114-F113)/F113</f>
        <v>1.7064846416382901E-3</v>
      </c>
    </row>
    <row r="115" spans="5:9" ht="15.75" customHeight="1" x14ac:dyDescent="0.2">
      <c r="E115" s="18">
        <v>42173</v>
      </c>
      <c r="F115" s="19">
        <v>18.02</v>
      </c>
      <c r="G115" s="20">
        <v>9627500</v>
      </c>
      <c r="H115" s="21" t="s">
        <v>59</v>
      </c>
      <c r="I115" s="21">
        <f>(Акции!$F115-F114)/F114</f>
        <v>2.3282226007950036E-2</v>
      </c>
    </row>
    <row r="116" spans="5:9" ht="15.75" customHeight="1" x14ac:dyDescent="0.2">
      <c r="E116" s="18">
        <v>42174</v>
      </c>
      <c r="F116" s="19">
        <v>17.84</v>
      </c>
      <c r="G116" s="20">
        <v>25850700</v>
      </c>
      <c r="H116" s="21" t="s">
        <v>59</v>
      </c>
      <c r="I116" s="21">
        <f>(Акции!$F116-F115)/F115</f>
        <v>-9.98890122086569E-3</v>
      </c>
    </row>
    <row r="117" spans="5:9" ht="15.75" customHeight="1" x14ac:dyDescent="0.2">
      <c r="E117" s="18">
        <v>42177</v>
      </c>
      <c r="F117" s="19">
        <v>17.89</v>
      </c>
      <c r="G117" s="20">
        <v>6729500</v>
      </c>
      <c r="H117" s="21" t="s">
        <v>59</v>
      </c>
      <c r="I117" s="21">
        <f>(Акции!$F117-F116)/F116</f>
        <v>2.802690582959681E-3</v>
      </c>
    </row>
    <row r="118" spans="5:9" ht="15.75" customHeight="1" x14ac:dyDescent="0.2">
      <c r="E118" s="18">
        <v>42178</v>
      </c>
      <c r="F118" s="19">
        <v>17.95</v>
      </c>
      <c r="G118" s="20">
        <v>8247500</v>
      </c>
      <c r="H118" s="21" t="s">
        <v>59</v>
      </c>
      <c r="I118" s="21">
        <f>(Акции!$F118-F117)/F117</f>
        <v>3.3538289547232376E-3</v>
      </c>
    </row>
    <row r="119" spans="5:9" ht="15.75" customHeight="1" x14ac:dyDescent="0.2">
      <c r="E119" s="18">
        <v>42179</v>
      </c>
      <c r="F119" s="19">
        <v>17.940000000000001</v>
      </c>
      <c r="G119" s="20">
        <v>7616900</v>
      </c>
      <c r="H119" s="21" t="s">
        <v>59</v>
      </c>
      <c r="I119" s="21">
        <f>(Акции!$F119-F118)/F118</f>
        <v>-5.5710306406674159E-4</v>
      </c>
    </row>
    <row r="120" spans="5:9" ht="15.75" customHeight="1" x14ac:dyDescent="0.2">
      <c r="E120" s="18">
        <v>42180</v>
      </c>
      <c r="F120" s="19">
        <v>18.23</v>
      </c>
      <c r="G120" s="20">
        <v>9633300</v>
      </c>
      <c r="H120" s="21" t="s">
        <v>59</v>
      </c>
      <c r="I120" s="21">
        <f>(Акции!$F120-F119)/F119</f>
        <v>1.6164994425863943E-2</v>
      </c>
    </row>
    <row r="121" spans="5:9" ht="15.75" customHeight="1" x14ac:dyDescent="0.2">
      <c r="E121" s="18">
        <v>42181</v>
      </c>
      <c r="F121" s="19">
        <v>18.09</v>
      </c>
      <c r="G121" s="20">
        <v>10722800</v>
      </c>
      <c r="H121" s="21" t="s">
        <v>59</v>
      </c>
      <c r="I121" s="21">
        <f>(Акции!$F121-F120)/F120</f>
        <v>-7.6796489303346442E-3</v>
      </c>
    </row>
    <row r="122" spans="5:9" ht="15.75" customHeight="1" x14ac:dyDescent="0.2">
      <c r="E122" s="18">
        <v>42184</v>
      </c>
      <c r="F122" s="19">
        <v>17.809999999999999</v>
      </c>
      <c r="G122" s="20">
        <v>11824100</v>
      </c>
      <c r="H122" s="21" t="s">
        <v>59</v>
      </c>
      <c r="I122" s="21">
        <f>(Акции!$F122-F121)/F121</f>
        <v>-1.5478164731896138E-2</v>
      </c>
    </row>
    <row r="123" spans="5:9" ht="15.75" customHeight="1" x14ac:dyDescent="0.2">
      <c r="E123" s="18">
        <v>42185</v>
      </c>
      <c r="F123" s="19">
        <v>17.7</v>
      </c>
      <c r="G123" s="20">
        <v>13621700</v>
      </c>
      <c r="H123" s="21" t="s">
        <v>59</v>
      </c>
      <c r="I123" s="21">
        <f>(Акции!$F123-F122)/F122</f>
        <v>-6.1763054463784073E-3</v>
      </c>
    </row>
    <row r="124" spans="5:9" ht="15.75" customHeight="1" x14ac:dyDescent="0.2">
      <c r="E124" s="18">
        <v>42186</v>
      </c>
      <c r="F124" s="19">
        <v>17.8</v>
      </c>
      <c r="G124" s="20">
        <v>8344500</v>
      </c>
      <c r="H124" s="21" t="s">
        <v>59</v>
      </c>
      <c r="I124" s="21">
        <f>(Акции!$F124-F123)/F123</f>
        <v>5.6497175141243744E-3</v>
      </c>
    </row>
    <row r="125" spans="5:9" ht="15.75" customHeight="1" x14ac:dyDescent="0.2">
      <c r="E125" s="18">
        <v>42187</v>
      </c>
      <c r="F125" s="19">
        <v>17.57</v>
      </c>
      <c r="G125" s="20">
        <v>7220500</v>
      </c>
      <c r="H125" s="21" t="s">
        <v>59</v>
      </c>
      <c r="I125" s="21">
        <f>(Акции!$F125-F124)/F124</f>
        <v>-1.2921348314606765E-2</v>
      </c>
    </row>
    <row r="126" spans="5:9" ht="15.75" customHeight="1" x14ac:dyDescent="0.2">
      <c r="E126" s="18">
        <v>42191</v>
      </c>
      <c r="F126" s="19">
        <v>17.55</v>
      </c>
      <c r="G126" s="20">
        <v>11220600</v>
      </c>
      <c r="H126" s="21" t="s">
        <v>59</v>
      </c>
      <c r="I126" s="21">
        <f>(Акции!$F126-F125)/F125</f>
        <v>-1.1383039271485244E-3</v>
      </c>
    </row>
    <row r="127" spans="5:9" ht="15.75" customHeight="1" x14ac:dyDescent="0.2">
      <c r="E127" s="18">
        <v>42192</v>
      </c>
      <c r="F127" s="19">
        <v>17.79</v>
      </c>
      <c r="G127" s="20">
        <v>9335300</v>
      </c>
      <c r="H127" s="21" t="s">
        <v>59</v>
      </c>
      <c r="I127" s="21">
        <f>(Акции!$F127-F126)/F126</f>
        <v>1.3675213675213585E-2</v>
      </c>
    </row>
    <row r="128" spans="5:9" ht="15.75" customHeight="1" x14ac:dyDescent="0.2">
      <c r="E128" s="18">
        <v>42193</v>
      </c>
      <c r="F128" s="19">
        <v>17.45</v>
      </c>
      <c r="G128" s="20">
        <v>9052400</v>
      </c>
      <c r="H128" s="21" t="s">
        <v>59</v>
      </c>
      <c r="I128" s="21">
        <f>(Акции!$F128-F127)/F127</f>
        <v>-1.9111860595840354E-2</v>
      </c>
    </row>
    <row r="129" spans="5:9" ht="15.75" customHeight="1" x14ac:dyDescent="0.2">
      <c r="E129" s="18">
        <v>42194</v>
      </c>
      <c r="F129" s="19">
        <v>17.45</v>
      </c>
      <c r="G129" s="20">
        <v>6763300</v>
      </c>
      <c r="H129" s="21" t="s">
        <v>59</v>
      </c>
      <c r="I129" s="21">
        <f>(Акции!$F129-F128)/F128</f>
        <v>0</v>
      </c>
    </row>
    <row r="130" spans="5:9" ht="15.75" customHeight="1" x14ac:dyDescent="0.2">
      <c r="E130" s="18">
        <v>42195</v>
      </c>
      <c r="F130" s="19">
        <v>17.600000000000001</v>
      </c>
      <c r="G130" s="20">
        <v>7325200</v>
      </c>
      <c r="H130" s="21" t="s">
        <v>59</v>
      </c>
      <c r="I130" s="21">
        <f>(Акции!$F130-F129)/F129</f>
        <v>8.5959885386820718E-3</v>
      </c>
    </row>
    <row r="131" spans="5:9" ht="15.75" customHeight="1" x14ac:dyDescent="0.2">
      <c r="E131" s="18">
        <v>42198</v>
      </c>
      <c r="F131" s="19">
        <v>17.670000000000002</v>
      </c>
      <c r="G131" s="20">
        <v>8891700</v>
      </c>
      <c r="H131" s="21" t="s">
        <v>59</v>
      </c>
      <c r="I131" s="21">
        <f>(Акции!$F131-F130)/F130</f>
        <v>3.9772727272727433E-3</v>
      </c>
    </row>
    <row r="132" spans="5:9" ht="15.75" customHeight="1" x14ac:dyDescent="0.2">
      <c r="E132" s="18">
        <v>42199</v>
      </c>
      <c r="F132" s="19">
        <v>17.89</v>
      </c>
      <c r="G132" s="20">
        <v>8237500</v>
      </c>
      <c r="H132" s="21" t="s">
        <v>59</v>
      </c>
      <c r="I132" s="21">
        <f>(Акции!$F132-F131)/F131</f>
        <v>1.2450481041312893E-2</v>
      </c>
    </row>
    <row r="133" spans="5:9" ht="15.75" customHeight="1" x14ac:dyDescent="0.2">
      <c r="E133" s="18">
        <v>42200</v>
      </c>
      <c r="F133" s="19">
        <v>17.73</v>
      </c>
      <c r="G133" s="20">
        <v>4523000</v>
      </c>
      <c r="H133" s="21" t="s">
        <v>59</v>
      </c>
      <c r="I133" s="21">
        <f>(Акции!$F133-F132)/F132</f>
        <v>-8.9435438792621648E-3</v>
      </c>
    </row>
    <row r="134" spans="5:9" ht="15.75" customHeight="1" x14ac:dyDescent="0.2">
      <c r="E134" s="18">
        <v>42201</v>
      </c>
      <c r="F134" s="19">
        <v>17.95</v>
      </c>
      <c r="G134" s="20">
        <v>4125900</v>
      </c>
      <c r="H134" s="21" t="s">
        <v>59</v>
      </c>
      <c r="I134" s="21">
        <f>(Акции!$F134-F133)/F133</f>
        <v>1.240834743372808E-2</v>
      </c>
    </row>
    <row r="135" spans="5:9" ht="15.75" customHeight="1" x14ac:dyDescent="0.2">
      <c r="E135" s="18">
        <v>42202</v>
      </c>
      <c r="F135" s="19">
        <v>17.940000000000001</v>
      </c>
      <c r="G135" s="20">
        <v>5926800</v>
      </c>
      <c r="H135" s="21" t="s">
        <v>59</v>
      </c>
      <c r="I135" s="21">
        <f>(Акции!$F135-F134)/F134</f>
        <v>-5.5710306406674159E-4</v>
      </c>
    </row>
    <row r="136" spans="5:9" ht="15.75" customHeight="1" x14ac:dyDescent="0.2">
      <c r="E136" s="18">
        <v>42205</v>
      </c>
      <c r="F136" s="19">
        <v>17.88</v>
      </c>
      <c r="G136" s="20">
        <v>4135900</v>
      </c>
      <c r="H136" s="21" t="s">
        <v>59</v>
      </c>
      <c r="I136" s="21">
        <f>(Акции!$F136-F135)/F135</f>
        <v>-3.3444816053512971E-3</v>
      </c>
    </row>
    <row r="137" spans="5:9" ht="15.75" customHeight="1" x14ac:dyDescent="0.2">
      <c r="E137" s="18">
        <v>42206</v>
      </c>
      <c r="F137" s="19">
        <v>17.760000000000002</v>
      </c>
      <c r="G137" s="20">
        <v>5299800</v>
      </c>
      <c r="H137" s="21" t="s">
        <v>59</v>
      </c>
      <c r="I137" s="21">
        <f>(Акции!$F137-F136)/F136</f>
        <v>-6.711409395973012E-3</v>
      </c>
    </row>
    <row r="138" spans="5:9" ht="15.75" customHeight="1" x14ac:dyDescent="0.2">
      <c r="E138" s="18">
        <v>42207</v>
      </c>
      <c r="F138" s="19">
        <v>18.02</v>
      </c>
      <c r="G138" s="20">
        <v>11203500</v>
      </c>
      <c r="H138" s="21" t="s">
        <v>59</v>
      </c>
      <c r="I138" s="21">
        <f>(Акции!$F138-F137)/F137</f>
        <v>1.4639639639639527E-2</v>
      </c>
    </row>
    <row r="139" spans="5:9" ht="15.75" customHeight="1" x14ac:dyDescent="0.2">
      <c r="E139" s="18">
        <v>42208</v>
      </c>
      <c r="F139" s="19">
        <v>17.61</v>
      </c>
      <c r="G139" s="20">
        <v>18670600</v>
      </c>
      <c r="H139" s="21" t="s">
        <v>59</v>
      </c>
      <c r="I139" s="21">
        <f>(Акции!$F139-F138)/F138</f>
        <v>-2.2752497225305226E-2</v>
      </c>
    </row>
    <row r="140" spans="5:9" ht="15.75" customHeight="1" x14ac:dyDescent="0.2">
      <c r="E140" s="18">
        <v>42209</v>
      </c>
      <c r="F140" s="19">
        <v>17.36</v>
      </c>
      <c r="G140" s="20">
        <v>8270700</v>
      </c>
      <c r="H140" s="21" t="s">
        <v>59</v>
      </c>
      <c r="I140" s="21">
        <f>(Акции!$F140-F139)/F139</f>
        <v>-1.4196479273140262E-2</v>
      </c>
    </row>
    <row r="141" spans="5:9" ht="15.75" customHeight="1" x14ac:dyDescent="0.2">
      <c r="E141" s="18">
        <v>42212</v>
      </c>
      <c r="F141" s="19">
        <v>17.11</v>
      </c>
      <c r="G141" s="20">
        <v>8747900</v>
      </c>
      <c r="H141" s="21" t="s">
        <v>59</v>
      </c>
      <c r="I141" s="21">
        <f>(Акции!$F141-F140)/F140</f>
        <v>-1.4400921658986175E-2</v>
      </c>
    </row>
    <row r="142" spans="5:9" ht="15.75" customHeight="1" x14ac:dyDescent="0.2">
      <c r="E142" s="18">
        <v>42213</v>
      </c>
      <c r="F142" s="19">
        <v>17.510000000000002</v>
      </c>
      <c r="G142" s="20">
        <v>10517600</v>
      </c>
      <c r="H142" s="21" t="s">
        <v>59</v>
      </c>
      <c r="I142" s="21">
        <f>(Акции!$F142-F141)/F141</f>
        <v>2.3378141437755823E-2</v>
      </c>
    </row>
    <row r="143" spans="5:9" ht="15.75" customHeight="1" x14ac:dyDescent="0.2">
      <c r="E143" s="18">
        <v>42214</v>
      </c>
      <c r="F143" s="19">
        <v>17.32</v>
      </c>
      <c r="G143" s="20">
        <v>7823600</v>
      </c>
      <c r="H143" s="21" t="s">
        <v>59</v>
      </c>
      <c r="I143" s="21">
        <f>(Акции!$F143-F142)/F142</f>
        <v>-1.0850942318675115E-2</v>
      </c>
    </row>
    <row r="144" spans="5:9" ht="15.75" customHeight="1" x14ac:dyDescent="0.2">
      <c r="E144" s="18">
        <v>42215</v>
      </c>
      <c r="F144" s="19">
        <v>17.25</v>
      </c>
      <c r="G144" s="20">
        <v>5797700</v>
      </c>
      <c r="H144" s="21" t="s">
        <v>59</v>
      </c>
      <c r="I144" s="21">
        <f>(Акции!$F144-F143)/F143</f>
        <v>-4.041570438799093E-3</v>
      </c>
    </row>
    <row r="145" spans="5:9" ht="15.75" customHeight="1" x14ac:dyDescent="0.2">
      <c r="E145" s="18">
        <v>42216</v>
      </c>
      <c r="F145" s="19">
        <v>17.34</v>
      </c>
      <c r="G145" s="20">
        <v>6842400</v>
      </c>
      <c r="H145" s="21" t="s">
        <v>59</v>
      </c>
      <c r="I145" s="21">
        <f>(Акции!$F145-F144)/F144</f>
        <v>5.2173913043478178E-3</v>
      </c>
    </row>
    <row r="146" spans="5:9" ht="15.75" customHeight="1" x14ac:dyDescent="0.2">
      <c r="E146" s="18">
        <v>42219</v>
      </c>
      <c r="F146" s="19">
        <v>17.11</v>
      </c>
      <c r="G146" s="20">
        <v>8510000</v>
      </c>
      <c r="H146" s="21" t="s">
        <v>59</v>
      </c>
      <c r="I146" s="21">
        <f>(Акции!$F146-F145)/F145</f>
        <v>-1.3264129181084224E-2</v>
      </c>
    </row>
    <row r="147" spans="5:9" ht="15.75" customHeight="1" x14ac:dyDescent="0.2">
      <c r="E147" s="18">
        <v>42220</v>
      </c>
      <c r="F147" s="19">
        <v>17.09</v>
      </c>
      <c r="G147" s="20">
        <v>5972500</v>
      </c>
      <c r="H147" s="21" t="s">
        <v>59</v>
      </c>
      <c r="I147" s="21">
        <f>(Акции!$F147-F146)/F146</f>
        <v>-1.1689070718877601E-3</v>
      </c>
    </row>
    <row r="148" spans="5:9" ht="15.75" customHeight="1" x14ac:dyDescent="0.2">
      <c r="E148" s="18">
        <v>42221</v>
      </c>
      <c r="F148" s="19">
        <v>17.670000000000002</v>
      </c>
      <c r="G148" s="20">
        <v>11585100</v>
      </c>
      <c r="H148" s="21" t="s">
        <v>59</v>
      </c>
      <c r="I148" s="21">
        <f>(Акции!$F148-F147)/F147</f>
        <v>3.3937975424224803E-2</v>
      </c>
    </row>
    <row r="149" spans="5:9" ht="15.75" customHeight="1" x14ac:dyDescent="0.2">
      <c r="E149" s="18">
        <v>42222</v>
      </c>
      <c r="F149" s="19">
        <v>17.420000000000002</v>
      </c>
      <c r="G149" s="20">
        <v>8602600</v>
      </c>
      <c r="H149" s="21" t="s">
        <v>59</v>
      </c>
      <c r="I149" s="21">
        <f>(Акции!$F149-F148)/F148</f>
        <v>-1.4148273910582907E-2</v>
      </c>
    </row>
    <row r="150" spans="5:9" ht="15.75" customHeight="1" x14ac:dyDescent="0.2">
      <c r="E150" s="18">
        <v>42223</v>
      </c>
      <c r="F150" s="19">
        <v>17.29</v>
      </c>
      <c r="G150" s="20">
        <v>6834300</v>
      </c>
      <c r="H150" s="21" t="s">
        <v>59</v>
      </c>
      <c r="I150" s="21">
        <f>(Акции!$F150-F149)/F149</f>
        <v>-7.4626865671643255E-3</v>
      </c>
    </row>
    <row r="151" spans="5:9" ht="15.75" customHeight="1" x14ac:dyDescent="0.2">
      <c r="E151" s="18">
        <v>42226</v>
      </c>
      <c r="F151" s="19">
        <v>17.329999999999998</v>
      </c>
      <c r="G151" s="20">
        <v>5290400</v>
      </c>
      <c r="H151" s="21" t="s">
        <v>59</v>
      </c>
      <c r="I151" s="21">
        <f>(Акции!$F151-F150)/F150</f>
        <v>2.3134759976864748E-3</v>
      </c>
    </row>
    <row r="152" spans="5:9" ht="15.75" customHeight="1" x14ac:dyDescent="0.2">
      <c r="E152" s="18">
        <v>42227</v>
      </c>
      <c r="F152" s="19">
        <v>17.14</v>
      </c>
      <c r="G152" s="20">
        <v>4035200</v>
      </c>
      <c r="H152" s="21" t="s">
        <v>59</v>
      </c>
      <c r="I152" s="21">
        <f>(Акции!$F152-F151)/F151</f>
        <v>-1.0963646855164325E-2</v>
      </c>
    </row>
    <row r="153" spans="5:9" ht="15.75" customHeight="1" x14ac:dyDescent="0.2">
      <c r="E153" s="18">
        <v>42228</v>
      </c>
      <c r="F153" s="19">
        <v>17.309999999999999</v>
      </c>
      <c r="G153" s="20">
        <v>9497200</v>
      </c>
      <c r="H153" s="21" t="s">
        <v>59</v>
      </c>
      <c r="I153" s="21">
        <f>(Акции!$F153-F152)/F152</f>
        <v>9.9183197199532169E-3</v>
      </c>
    </row>
    <row r="154" spans="5:9" ht="15.75" customHeight="1" x14ac:dyDescent="0.2">
      <c r="E154" s="18">
        <v>42229</v>
      </c>
      <c r="F154" s="19">
        <v>17.25</v>
      </c>
      <c r="G154" s="20">
        <v>5680000</v>
      </c>
      <c r="H154" s="21" t="s">
        <v>59</v>
      </c>
      <c r="I154" s="21">
        <f>(Акции!$F154-F153)/F153</f>
        <v>-3.4662045060657844E-3</v>
      </c>
    </row>
    <row r="155" spans="5:9" ht="15.75" customHeight="1" x14ac:dyDescent="0.2">
      <c r="E155" s="18">
        <v>42230</v>
      </c>
      <c r="F155" s="19">
        <v>17.43</v>
      </c>
      <c r="G155" s="20">
        <v>7934400</v>
      </c>
      <c r="H155" s="21" t="s">
        <v>59</v>
      </c>
      <c r="I155" s="21">
        <f>(Акции!$F155-F154)/F154</f>
        <v>1.0434782608695636E-2</v>
      </c>
    </row>
    <row r="156" spans="5:9" ht="15.75" customHeight="1" x14ac:dyDescent="0.2">
      <c r="E156" s="18">
        <v>42233</v>
      </c>
      <c r="F156" s="19">
        <v>17.57</v>
      </c>
      <c r="G156" s="20">
        <v>5539500</v>
      </c>
      <c r="H156" s="21" t="s">
        <v>59</v>
      </c>
      <c r="I156" s="21">
        <f>(Акции!$F156-F155)/F155</f>
        <v>8.0321285140562571E-3</v>
      </c>
    </row>
    <row r="157" spans="5:9" ht="15.75" customHeight="1" x14ac:dyDescent="0.2">
      <c r="E157" s="18">
        <v>42234</v>
      </c>
      <c r="F157" s="19">
        <v>17.559999999999999</v>
      </c>
      <c r="G157" s="20">
        <v>6309400</v>
      </c>
      <c r="H157" s="21" t="s">
        <v>59</v>
      </c>
      <c r="I157" s="21">
        <f>(Акции!$F157-F156)/F156</f>
        <v>-5.6915196357436326E-4</v>
      </c>
    </row>
    <row r="158" spans="5:9" ht="15.75" customHeight="1" x14ac:dyDescent="0.2">
      <c r="E158" s="18">
        <v>42235</v>
      </c>
      <c r="F158" s="19">
        <v>17.36</v>
      </c>
      <c r="G158" s="20">
        <v>6310600</v>
      </c>
      <c r="H158" s="21" t="s">
        <v>59</v>
      </c>
      <c r="I158" s="21">
        <f>(Акции!$F158-F157)/F157</f>
        <v>-1.1389521640091077E-2</v>
      </c>
    </row>
    <row r="159" spans="5:9" ht="15.75" customHeight="1" x14ac:dyDescent="0.2">
      <c r="E159" s="18">
        <v>42236</v>
      </c>
      <c r="F159" s="19">
        <v>16.87</v>
      </c>
      <c r="G159" s="20">
        <v>8041300</v>
      </c>
      <c r="H159" s="21" t="s">
        <v>59</v>
      </c>
      <c r="I159" s="21">
        <f>(Акции!$F159-F158)/F158</f>
        <v>-2.8225806451612816E-2</v>
      </c>
    </row>
    <row r="160" spans="5:9" ht="15.75" customHeight="1" x14ac:dyDescent="0.2">
      <c r="E160" s="18">
        <v>42237</v>
      </c>
      <c r="F160" s="19">
        <v>16.350000000000001</v>
      </c>
      <c r="G160" s="20">
        <v>11847300</v>
      </c>
      <c r="H160" s="21" t="s">
        <v>59</v>
      </c>
      <c r="I160" s="21">
        <f>(Акции!$F160-F159)/F159</f>
        <v>-3.0823947836395943E-2</v>
      </c>
    </row>
    <row r="161" spans="5:9" ht="15.75" customHeight="1" x14ac:dyDescent="0.2">
      <c r="E161" s="18">
        <v>42240</v>
      </c>
      <c r="F161" s="19">
        <v>15.85</v>
      </c>
      <c r="G161" s="20">
        <v>11303800</v>
      </c>
      <c r="H161" s="21" t="s">
        <v>59</v>
      </c>
      <c r="I161" s="21">
        <f>(Акции!$F161-F160)/F160</f>
        <v>-3.0581039755351789E-2</v>
      </c>
    </row>
    <row r="162" spans="5:9" ht="15.75" customHeight="1" x14ac:dyDescent="0.2">
      <c r="E162" s="18">
        <v>42241</v>
      </c>
      <c r="F162" s="19">
        <v>15.78</v>
      </c>
      <c r="G162" s="20">
        <v>11695700</v>
      </c>
      <c r="H162" s="21" t="s">
        <v>59</v>
      </c>
      <c r="I162" s="21">
        <f>(Акции!$F162-F161)/F161</f>
        <v>-4.416403785488977E-3</v>
      </c>
    </row>
    <row r="163" spans="5:9" ht="15.75" customHeight="1" x14ac:dyDescent="0.2">
      <c r="E163" s="18">
        <v>42242</v>
      </c>
      <c r="F163" s="19">
        <v>16.37</v>
      </c>
      <c r="G163" s="20">
        <v>11469000</v>
      </c>
      <c r="H163" s="21" t="s">
        <v>59</v>
      </c>
      <c r="I163" s="21">
        <f>(Акции!$F163-F162)/F162</f>
        <v>3.7389100126742819E-2</v>
      </c>
    </row>
    <row r="164" spans="5:9" ht="15.75" customHeight="1" x14ac:dyDescent="0.2">
      <c r="E164" s="18">
        <v>42243</v>
      </c>
      <c r="F164" s="19">
        <v>16.940000000000001</v>
      </c>
      <c r="G164" s="20">
        <v>11911000</v>
      </c>
      <c r="H164" s="21" t="s">
        <v>59</v>
      </c>
      <c r="I164" s="21">
        <f>(Акции!$F164-F163)/F163</f>
        <v>3.4819792302993292E-2</v>
      </c>
    </row>
    <row r="165" spans="5:9" ht="15.75" customHeight="1" x14ac:dyDescent="0.2">
      <c r="E165" s="18">
        <v>42244</v>
      </c>
      <c r="F165" s="19">
        <v>17.07</v>
      </c>
      <c r="G165" s="20">
        <v>8056200</v>
      </c>
      <c r="H165" s="21" t="s">
        <v>59</v>
      </c>
      <c r="I165" s="21">
        <f>(Акции!$F165-F164)/F164</f>
        <v>7.6741440377803422E-3</v>
      </c>
    </row>
    <row r="166" spans="5:9" ht="15.75" customHeight="1" x14ac:dyDescent="0.2">
      <c r="E166" s="18">
        <v>42247</v>
      </c>
      <c r="F166" s="19">
        <v>16.739999999999998</v>
      </c>
      <c r="G166" s="20">
        <v>5975700</v>
      </c>
      <c r="H166" s="21" t="s">
        <v>59</v>
      </c>
      <c r="I166" s="21">
        <f>(Акции!$F166-F165)/F165</f>
        <v>-1.9332161687170581E-2</v>
      </c>
    </row>
    <row r="167" spans="5:9" ht="15.75" customHeight="1" x14ac:dyDescent="0.2">
      <c r="E167" s="18">
        <v>42248</v>
      </c>
      <c r="F167" s="19">
        <v>16.09</v>
      </c>
      <c r="G167" s="20">
        <v>10265300</v>
      </c>
      <c r="H167" s="21" t="s">
        <v>59</v>
      </c>
      <c r="I167" s="21">
        <f>(Акции!$F167-F166)/F166</f>
        <v>-3.8829151732377457E-2</v>
      </c>
    </row>
    <row r="168" spans="5:9" ht="15.75" customHeight="1" x14ac:dyDescent="0.2">
      <c r="E168" s="18">
        <v>42249</v>
      </c>
      <c r="F168" s="19">
        <v>16.510000000000002</v>
      </c>
      <c r="G168" s="20">
        <v>7199000</v>
      </c>
      <c r="H168" s="21" t="s">
        <v>59</v>
      </c>
      <c r="I168" s="21">
        <f>(Акции!$F168-F167)/F167</f>
        <v>2.6103169670602965E-2</v>
      </c>
    </row>
    <row r="169" spans="5:9" ht="15.75" customHeight="1" x14ac:dyDescent="0.2">
      <c r="E169" s="18">
        <v>42250</v>
      </c>
      <c r="F169" s="19">
        <v>16.53</v>
      </c>
      <c r="G169" s="20">
        <v>6513900</v>
      </c>
      <c r="H169" s="21" t="s">
        <v>59</v>
      </c>
      <c r="I169" s="21">
        <f>(Акции!$F169-F168)/F168</f>
        <v>1.2113870381586659E-3</v>
      </c>
    </row>
    <row r="170" spans="5:9" ht="15.75" customHeight="1" x14ac:dyDescent="0.2">
      <c r="E170" s="18">
        <v>42251</v>
      </c>
      <c r="F170" s="19">
        <v>16.239999999999998</v>
      </c>
      <c r="G170" s="20">
        <v>5427900</v>
      </c>
      <c r="H170" s="21" t="s">
        <v>59</v>
      </c>
      <c r="I170" s="21">
        <f>(Акции!$F170-F169)/F169</f>
        <v>-1.7543859649122969E-2</v>
      </c>
    </row>
    <row r="171" spans="5:9" ht="15.75" customHeight="1" x14ac:dyDescent="0.2">
      <c r="E171" s="18">
        <v>42255</v>
      </c>
      <c r="F171" s="19">
        <v>16.95</v>
      </c>
      <c r="G171" s="20">
        <v>10884400</v>
      </c>
      <c r="H171" s="21" t="s">
        <v>59</v>
      </c>
      <c r="I171" s="21">
        <f>(Акции!$F171-F170)/F170</f>
        <v>4.3719211822660156E-2</v>
      </c>
    </row>
    <row r="172" spans="5:9" ht="15.75" customHeight="1" x14ac:dyDescent="0.2">
      <c r="E172" s="18">
        <v>42256</v>
      </c>
      <c r="F172" s="19">
        <v>16.63</v>
      </c>
      <c r="G172" s="20">
        <v>7073600</v>
      </c>
      <c r="H172" s="21" t="s">
        <v>59</v>
      </c>
      <c r="I172" s="21">
        <f>(Акции!$F172-F171)/F171</f>
        <v>-1.8879056047197657E-2</v>
      </c>
    </row>
    <row r="173" spans="5:9" ht="15.75" customHeight="1" x14ac:dyDescent="0.2">
      <c r="E173" s="18">
        <v>42257</v>
      </c>
      <c r="F173" s="19">
        <v>16.78</v>
      </c>
      <c r="G173" s="20">
        <v>7546500</v>
      </c>
      <c r="H173" s="21" t="s">
        <v>59</v>
      </c>
      <c r="I173" s="21">
        <f>(Акции!$F173-F172)/F172</f>
        <v>9.0198436560434241E-3</v>
      </c>
    </row>
    <row r="174" spans="5:9" ht="15.75" customHeight="1" x14ac:dyDescent="0.2">
      <c r="E174" s="18">
        <v>42258</v>
      </c>
      <c r="F174" s="19">
        <v>16.89</v>
      </c>
      <c r="G174" s="20">
        <v>5114600</v>
      </c>
      <c r="H174" s="21" t="s">
        <v>59</v>
      </c>
      <c r="I174" s="21">
        <f>(Акции!$F174-F173)/F173</f>
        <v>6.5554231227651621E-3</v>
      </c>
    </row>
    <row r="175" spans="5:9" ht="15.75" customHeight="1" x14ac:dyDescent="0.2">
      <c r="E175" s="18">
        <v>42261</v>
      </c>
      <c r="F175" s="19">
        <v>16.73</v>
      </c>
      <c r="G175" s="20">
        <v>4588400</v>
      </c>
      <c r="H175" s="21" t="s">
        <v>59</v>
      </c>
      <c r="I175" s="21">
        <f>(Акции!$F175-F174)/F174</f>
        <v>-9.4730609828300848E-3</v>
      </c>
    </row>
    <row r="176" spans="5:9" ht="15.75" customHeight="1" x14ac:dyDescent="0.2">
      <c r="E176" s="18">
        <v>42262</v>
      </c>
      <c r="F176" s="19">
        <v>17.079999999999998</v>
      </c>
      <c r="G176" s="20">
        <v>10293000</v>
      </c>
      <c r="H176" s="21" t="s">
        <v>59</v>
      </c>
      <c r="I176" s="21">
        <f>(Акции!$F176-F175)/F175</f>
        <v>2.092050209205008E-2</v>
      </c>
    </row>
    <row r="177" spans="5:9" ht="15.75" customHeight="1" x14ac:dyDescent="0.2">
      <c r="E177" s="18">
        <v>42263</v>
      </c>
      <c r="F177" s="19">
        <v>17.11</v>
      </c>
      <c r="G177" s="20">
        <v>5215400</v>
      </c>
      <c r="H177" s="21" t="s">
        <v>59</v>
      </c>
      <c r="I177" s="21">
        <f>(Акции!$F177-F176)/F176</f>
        <v>1.7564402810305118E-3</v>
      </c>
    </row>
    <row r="178" spans="5:9" ht="15.75" customHeight="1" x14ac:dyDescent="0.2">
      <c r="E178" s="18">
        <v>42264</v>
      </c>
      <c r="F178" s="19">
        <v>17.2</v>
      </c>
      <c r="G178" s="20">
        <v>8475400</v>
      </c>
      <c r="H178" s="21" t="s">
        <v>59</v>
      </c>
      <c r="I178" s="21">
        <f>(Акции!$F178-F177)/F177</f>
        <v>5.2600818234950237E-3</v>
      </c>
    </row>
    <row r="179" spans="5:9" ht="15.75" customHeight="1" x14ac:dyDescent="0.2">
      <c r="E179" s="18">
        <v>42265</v>
      </c>
      <c r="F179" s="19">
        <v>16.75</v>
      </c>
      <c r="G179" s="20">
        <v>11096900</v>
      </c>
      <c r="H179" s="21" t="s">
        <v>59</v>
      </c>
      <c r="I179" s="21">
        <f>(Акции!$F179-F178)/F178</f>
        <v>-2.6162790697674378E-2</v>
      </c>
    </row>
    <row r="180" spans="5:9" ht="15.75" customHeight="1" x14ac:dyDescent="0.2">
      <c r="E180" s="18">
        <v>42268</v>
      </c>
      <c r="F180" s="19">
        <v>16.72</v>
      </c>
      <c r="G180" s="20">
        <v>8365000</v>
      </c>
      <c r="H180" s="21" t="s">
        <v>59</v>
      </c>
      <c r="I180" s="21">
        <f>(Акции!$F180-F179)/F179</f>
        <v>-1.7910447761194709E-3</v>
      </c>
    </row>
    <row r="181" spans="5:9" ht="15.75" customHeight="1" x14ac:dyDescent="0.2">
      <c r="E181" s="18">
        <v>42269</v>
      </c>
      <c r="F181" s="19">
        <v>16.55</v>
      </c>
      <c r="G181" s="20">
        <v>5103600</v>
      </c>
      <c r="H181" s="21" t="s">
        <v>59</v>
      </c>
      <c r="I181" s="21">
        <f>(Акции!$F181-F180)/F180</f>
        <v>-1.0167464114832426E-2</v>
      </c>
    </row>
    <row r="182" spans="5:9" ht="15.75" customHeight="1" x14ac:dyDescent="0.2">
      <c r="E182" s="18">
        <v>42270</v>
      </c>
      <c r="F182" s="19">
        <v>16.75</v>
      </c>
      <c r="G182" s="20">
        <v>6697800</v>
      </c>
      <c r="H182" s="21" t="s">
        <v>59</v>
      </c>
      <c r="I182" s="21">
        <f>(Акции!$F182-F181)/F181</f>
        <v>1.2084592145015062E-2</v>
      </c>
    </row>
    <row r="183" spans="5:9" ht="15.75" customHeight="1" x14ac:dyDescent="0.2">
      <c r="E183" s="18">
        <v>42271</v>
      </c>
      <c r="F183" s="19">
        <v>16.79</v>
      </c>
      <c r="G183" s="20">
        <v>8841000</v>
      </c>
      <c r="H183" s="21" t="s">
        <v>59</v>
      </c>
      <c r="I183" s="21">
        <f>(Акции!$F183-F182)/F182</f>
        <v>2.3880597014924866E-3</v>
      </c>
    </row>
    <row r="184" spans="5:9" ht="15.75" customHeight="1" x14ac:dyDescent="0.2">
      <c r="E184" s="18">
        <v>42272</v>
      </c>
      <c r="F184" s="19">
        <v>16.309999999999999</v>
      </c>
      <c r="G184" s="20">
        <v>8928200</v>
      </c>
      <c r="H184" s="21" t="s">
        <v>59</v>
      </c>
      <c r="I184" s="21">
        <f>(Акции!$F184-F183)/F183</f>
        <v>-2.8588445503275786E-2</v>
      </c>
    </row>
    <row r="185" spans="5:9" ht="15.75" customHeight="1" x14ac:dyDescent="0.2">
      <c r="E185" s="18">
        <v>42275</v>
      </c>
      <c r="F185" s="19">
        <v>15.88</v>
      </c>
      <c r="G185" s="20">
        <v>12272500</v>
      </c>
      <c r="H185" s="21" t="s">
        <v>59</v>
      </c>
      <c r="I185" s="21">
        <f>(Акции!$F185-F184)/F184</f>
        <v>-2.6364193746167872E-2</v>
      </c>
    </row>
    <row r="186" spans="5:9" ht="15.75" customHeight="1" x14ac:dyDescent="0.2">
      <c r="E186" s="18">
        <v>42276</v>
      </c>
      <c r="F186" s="19">
        <v>16</v>
      </c>
      <c r="G186" s="20">
        <v>9296600</v>
      </c>
      <c r="H186" s="21" t="s">
        <v>59</v>
      </c>
      <c r="I186" s="21">
        <f>(Акции!$F186-F185)/F185</f>
        <v>7.5566750629722425E-3</v>
      </c>
    </row>
    <row r="187" spans="5:9" ht="15.75" customHeight="1" x14ac:dyDescent="0.2">
      <c r="E187" s="18">
        <v>42277</v>
      </c>
      <c r="F187" s="19">
        <v>16.41</v>
      </c>
      <c r="G187" s="20">
        <v>14058400</v>
      </c>
      <c r="H187" s="21" t="s">
        <v>59</v>
      </c>
      <c r="I187" s="21">
        <f>(Акции!$F187-F186)/F186</f>
        <v>2.5625000000000009E-2</v>
      </c>
    </row>
    <row r="188" spans="5:9" ht="15.75" customHeight="1" x14ac:dyDescent="0.2">
      <c r="E188" s="18">
        <v>42278</v>
      </c>
      <c r="F188" s="19">
        <v>16.690000000000001</v>
      </c>
      <c r="G188" s="20">
        <v>9982700</v>
      </c>
      <c r="H188" s="21" t="s">
        <v>59</v>
      </c>
      <c r="I188" s="21">
        <f>(Акции!$F188-F187)/F187</f>
        <v>1.7062766605728284E-2</v>
      </c>
    </row>
    <row r="189" spans="5:9" ht="15.75" customHeight="1" x14ac:dyDescent="0.2">
      <c r="E189" s="18">
        <v>42279</v>
      </c>
      <c r="F189" s="19">
        <v>16.920000000000002</v>
      </c>
      <c r="G189" s="20">
        <v>12171000</v>
      </c>
      <c r="H189" s="21" t="s">
        <v>59</v>
      </c>
      <c r="I189" s="21">
        <f>(Акции!$F189-F188)/F188</f>
        <v>1.3780707010185765E-2</v>
      </c>
    </row>
    <row r="190" spans="5:9" ht="15.75" customHeight="1" x14ac:dyDescent="0.2">
      <c r="E190" s="18">
        <v>42282</v>
      </c>
      <c r="F190" s="19">
        <v>17.07</v>
      </c>
      <c r="G190" s="20">
        <v>11321700</v>
      </c>
      <c r="H190" s="21" t="s">
        <v>59</v>
      </c>
      <c r="I190" s="21">
        <f>(Акции!$F190-F189)/F189</f>
        <v>8.8652482269502703E-3</v>
      </c>
    </row>
    <row r="191" spans="5:9" ht="15.75" customHeight="1" x14ac:dyDescent="0.2">
      <c r="E191" s="18">
        <v>42283</v>
      </c>
      <c r="F191" s="19">
        <v>16.57</v>
      </c>
      <c r="G191" s="20">
        <v>14237700</v>
      </c>
      <c r="H191" s="21" t="s">
        <v>59</v>
      </c>
      <c r="I191" s="21">
        <f>(Акции!$F191-F190)/F190</f>
        <v>-2.9291154071470416E-2</v>
      </c>
    </row>
    <row r="192" spans="5:9" ht="15.75" customHeight="1" x14ac:dyDescent="0.2">
      <c r="E192" s="18">
        <v>42284</v>
      </c>
      <c r="F192" s="19">
        <v>16.82</v>
      </c>
      <c r="G192" s="20">
        <v>11441300</v>
      </c>
      <c r="H192" s="21" t="s">
        <v>59</v>
      </c>
      <c r="I192" s="21">
        <f>(Акции!$F192-F191)/F191</f>
        <v>1.5087507543753771E-2</v>
      </c>
    </row>
    <row r="193" spans="5:9" ht="15.75" customHeight="1" x14ac:dyDescent="0.2">
      <c r="E193" s="18">
        <v>42285</v>
      </c>
      <c r="F193" s="19">
        <v>16.79</v>
      </c>
      <c r="G193" s="20">
        <v>8714500</v>
      </c>
      <c r="H193" s="21" t="s">
        <v>59</v>
      </c>
      <c r="I193" s="21">
        <f>(Акции!$F193-F192)/F192</f>
        <v>-1.7835909631391876E-3</v>
      </c>
    </row>
    <row r="194" spans="5:9" ht="15.75" customHeight="1" x14ac:dyDescent="0.2">
      <c r="E194" s="18">
        <v>42286</v>
      </c>
      <c r="F194" s="19">
        <v>16.88</v>
      </c>
      <c r="G194" s="20">
        <v>8346800</v>
      </c>
      <c r="H194" s="21" t="s">
        <v>59</v>
      </c>
      <c r="I194" s="21">
        <f>(Акции!$F194-F193)/F193</f>
        <v>5.3603335318641969E-3</v>
      </c>
    </row>
    <row r="195" spans="5:9" ht="15.75" customHeight="1" x14ac:dyDescent="0.2">
      <c r="E195" s="18">
        <v>42289</v>
      </c>
      <c r="F195" s="19">
        <v>16.940000000000001</v>
      </c>
      <c r="G195" s="20">
        <v>8284200</v>
      </c>
      <c r="H195" s="21" t="s">
        <v>59</v>
      </c>
      <c r="I195" s="21">
        <f>(Акции!$F195-F194)/F194</f>
        <v>3.5545023696683812E-3</v>
      </c>
    </row>
    <row r="196" spans="5:9" ht="15.75" customHeight="1" x14ac:dyDescent="0.2">
      <c r="E196" s="18">
        <v>42290</v>
      </c>
      <c r="F196" s="19">
        <v>16.73</v>
      </c>
      <c r="G196" s="20">
        <v>6035900</v>
      </c>
      <c r="H196" s="21" t="s">
        <v>59</v>
      </c>
      <c r="I196" s="21">
        <f>(Акции!$F196-F195)/F195</f>
        <v>-1.2396694214876082E-2</v>
      </c>
    </row>
    <row r="197" spans="5:9" ht="15.75" customHeight="1" x14ac:dyDescent="0.2">
      <c r="E197" s="18">
        <v>42291</v>
      </c>
      <c r="F197" s="19">
        <v>16.66</v>
      </c>
      <c r="G197" s="20">
        <v>7783800</v>
      </c>
      <c r="H197" s="21" t="s">
        <v>59</v>
      </c>
      <c r="I197" s="21">
        <f>(Акции!$F197-F196)/F196</f>
        <v>-4.1841004184100588E-3</v>
      </c>
    </row>
    <row r="198" spans="5:9" ht="15.75" customHeight="1" x14ac:dyDescent="0.2">
      <c r="E198" s="18">
        <v>42292</v>
      </c>
      <c r="F198" s="19">
        <v>16.850000000000001</v>
      </c>
      <c r="G198" s="20">
        <v>7456700</v>
      </c>
      <c r="H198" s="21" t="s">
        <v>59</v>
      </c>
      <c r="I198" s="21">
        <f>(Акции!$F198-F197)/F197</f>
        <v>1.1404561824729969E-2</v>
      </c>
    </row>
    <row r="199" spans="5:9" ht="15.75" customHeight="1" x14ac:dyDescent="0.2">
      <c r="E199" s="18">
        <v>42293</v>
      </c>
      <c r="F199" s="19">
        <v>17.07</v>
      </c>
      <c r="G199" s="20">
        <v>5756500</v>
      </c>
      <c r="H199" s="21" t="s">
        <v>59</v>
      </c>
      <c r="I199" s="21">
        <f>(Акции!$F199-F198)/F198</f>
        <v>1.3056379821958388E-2</v>
      </c>
    </row>
    <row r="200" spans="5:9" ht="15.75" customHeight="1" x14ac:dyDescent="0.2">
      <c r="E200" s="18">
        <v>42296</v>
      </c>
      <c r="F200" s="19">
        <v>17.079999999999998</v>
      </c>
      <c r="G200" s="20">
        <v>6423800</v>
      </c>
      <c r="H200" s="21" t="s">
        <v>59</v>
      </c>
      <c r="I200" s="21">
        <f>(Акции!$F200-F199)/F199</f>
        <v>5.8582308142929177E-4</v>
      </c>
    </row>
    <row r="201" spans="5:9" ht="15.75" customHeight="1" x14ac:dyDescent="0.2">
      <c r="E201" s="18">
        <v>42297</v>
      </c>
      <c r="F201" s="19">
        <v>17.190000000000001</v>
      </c>
      <c r="G201" s="20">
        <v>8056600</v>
      </c>
      <c r="H201" s="21" t="s">
        <v>59</v>
      </c>
      <c r="I201" s="21">
        <f>(Акции!$F201-F200)/F200</f>
        <v>6.4402810304451403E-3</v>
      </c>
    </row>
    <row r="202" spans="5:9" ht="15.75" customHeight="1" x14ac:dyDescent="0.2">
      <c r="E202" s="18">
        <v>42298</v>
      </c>
      <c r="F202" s="19">
        <v>17.190000000000001</v>
      </c>
      <c r="G202" s="20">
        <v>10734700</v>
      </c>
      <c r="H202" s="21" t="s">
        <v>59</v>
      </c>
      <c r="I202" s="21">
        <f>(Акции!$F202-F201)/F201</f>
        <v>0</v>
      </c>
    </row>
    <row r="203" spans="5:9" ht="15.75" customHeight="1" x14ac:dyDescent="0.2">
      <c r="E203" s="18">
        <v>42299</v>
      </c>
      <c r="F203" s="19">
        <v>16.420000000000002</v>
      </c>
      <c r="G203" s="20">
        <v>16967800</v>
      </c>
      <c r="H203" s="21" t="s">
        <v>59</v>
      </c>
      <c r="I203" s="21">
        <f>(Акции!$F203-F202)/F202</f>
        <v>-4.4793484584060475E-2</v>
      </c>
    </row>
    <row r="204" spans="5:9" ht="15.75" customHeight="1" x14ac:dyDescent="0.2">
      <c r="E204" s="18">
        <v>42300</v>
      </c>
      <c r="F204" s="19">
        <v>16.73</v>
      </c>
      <c r="G204" s="20">
        <v>8740300</v>
      </c>
      <c r="H204" s="21" t="s">
        <v>59</v>
      </c>
      <c r="I204" s="21">
        <f>(Акции!$F204-F203)/F203</f>
        <v>1.8879415347137558E-2</v>
      </c>
    </row>
    <row r="205" spans="5:9" ht="15.75" customHeight="1" x14ac:dyDescent="0.2">
      <c r="E205" s="18">
        <v>42303</v>
      </c>
      <c r="F205" s="19">
        <v>16.7</v>
      </c>
      <c r="G205" s="20">
        <v>7441900</v>
      </c>
      <c r="H205" s="21" t="s">
        <v>59</v>
      </c>
      <c r="I205" s="21">
        <f>(Акции!$F205-F204)/F204</f>
        <v>-1.7931858936043716E-3</v>
      </c>
    </row>
    <row r="206" spans="5:9" ht="15.75" customHeight="1" x14ac:dyDescent="0.2">
      <c r="E206" s="18">
        <v>42304</v>
      </c>
      <c r="F206" s="19">
        <v>16.82</v>
      </c>
      <c r="G206" s="20">
        <v>9835800</v>
      </c>
      <c r="H206" s="21" t="s">
        <v>59</v>
      </c>
      <c r="I206" s="21">
        <f>(Акции!$F206-F205)/F205</f>
        <v>7.1856287425150298E-3</v>
      </c>
    </row>
    <row r="207" spans="5:9" ht="15.75" customHeight="1" x14ac:dyDescent="0.2">
      <c r="E207" s="18">
        <v>42305</v>
      </c>
      <c r="F207" s="19">
        <v>18.399999999999999</v>
      </c>
      <c r="G207" s="20">
        <v>27839900</v>
      </c>
      <c r="H207" s="21" t="s">
        <v>59</v>
      </c>
      <c r="I207" s="21">
        <f>(Акции!$F207-F206)/F206</f>
        <v>9.3935790725326887E-2</v>
      </c>
    </row>
    <row r="208" spans="5:9" ht="15.75" customHeight="1" x14ac:dyDescent="0.2">
      <c r="E208" s="18">
        <v>42306</v>
      </c>
      <c r="F208" s="19">
        <v>18.18</v>
      </c>
      <c r="G208" s="20">
        <v>13897300</v>
      </c>
      <c r="H208" s="21" t="s">
        <v>59</v>
      </c>
      <c r="I208" s="21">
        <f>(Акции!$F208-F207)/F207</f>
        <v>-1.1956521739130374E-2</v>
      </c>
    </row>
    <row r="209" spans="5:9" ht="15.75" customHeight="1" x14ac:dyDescent="0.2">
      <c r="E209" s="18">
        <v>42307</v>
      </c>
      <c r="F209" s="19">
        <v>18.28</v>
      </c>
      <c r="G209" s="20">
        <v>10157300</v>
      </c>
      <c r="H209" s="21" t="s">
        <v>59</v>
      </c>
      <c r="I209" s="21">
        <f>(Акции!$F209-F208)/F208</f>
        <v>5.500550055005579E-3</v>
      </c>
    </row>
    <row r="210" spans="5:9" ht="15.75" customHeight="1" x14ac:dyDescent="0.2">
      <c r="E210" s="18">
        <v>42310</v>
      </c>
      <c r="F210" s="19">
        <v>18.86</v>
      </c>
      <c r="G210" s="20">
        <v>13118600</v>
      </c>
      <c r="H210" s="21" t="s">
        <v>59</v>
      </c>
      <c r="I210" s="21">
        <f>(Акции!$F210-F209)/F209</f>
        <v>3.1728665207877364E-2</v>
      </c>
    </row>
    <row r="211" spans="5:9" ht="15.75" customHeight="1" x14ac:dyDescent="0.2">
      <c r="E211" s="18">
        <v>42311</v>
      </c>
      <c r="F211" s="19">
        <v>18.670000000000002</v>
      </c>
      <c r="G211" s="20">
        <v>7958500</v>
      </c>
      <c r="H211" s="21" t="s">
        <v>59</v>
      </c>
      <c r="I211" s="21">
        <f>(Акции!$F211-F210)/F210</f>
        <v>-1.0074231177094259E-2</v>
      </c>
    </row>
    <row r="212" spans="5:9" ht="15.75" customHeight="1" x14ac:dyDescent="0.2">
      <c r="E212" s="18">
        <v>42312</v>
      </c>
      <c r="F212" s="19">
        <v>18.670000000000002</v>
      </c>
      <c r="G212" s="20">
        <v>7518800</v>
      </c>
      <c r="H212" s="21" t="s">
        <v>59</v>
      </c>
      <c r="I212" s="21">
        <f>(Акции!$F212-F211)/F211</f>
        <v>0</v>
      </c>
    </row>
    <row r="213" spans="5:9" ht="15.75" customHeight="1" x14ac:dyDescent="0.2">
      <c r="E213" s="18">
        <v>42313</v>
      </c>
      <c r="F213" s="19">
        <v>18.940000000000001</v>
      </c>
      <c r="G213" s="20">
        <v>9920500</v>
      </c>
      <c r="H213" s="21" t="s">
        <v>59</v>
      </c>
      <c r="I213" s="21">
        <f>(Акции!$F213-F212)/F212</f>
        <v>1.4461703267273677E-2</v>
      </c>
    </row>
    <row r="214" spans="5:9" ht="15.75" customHeight="1" x14ac:dyDescent="0.2">
      <c r="E214" s="18">
        <v>42314</v>
      </c>
      <c r="F214" s="19">
        <v>18.78</v>
      </c>
      <c r="G214" s="20">
        <v>13546800</v>
      </c>
      <c r="H214" s="21" t="s">
        <v>59</v>
      </c>
      <c r="I214" s="21">
        <f>(Акции!$F214-F213)/F213</f>
        <v>-8.4477296726504815E-3</v>
      </c>
    </row>
    <row r="215" spans="5:9" ht="15.75" customHeight="1" x14ac:dyDescent="0.2">
      <c r="E215" s="18">
        <v>42317</v>
      </c>
      <c r="F215" s="19">
        <v>18.59</v>
      </c>
      <c r="G215" s="20">
        <v>8181600</v>
      </c>
      <c r="H215" s="21" t="s">
        <v>59</v>
      </c>
      <c r="I215" s="21">
        <f>(Акции!$F215-F214)/F214</f>
        <v>-1.011714589989357E-2</v>
      </c>
    </row>
    <row r="216" spans="5:9" ht="15.75" customHeight="1" x14ac:dyDescent="0.2">
      <c r="E216" s="18">
        <v>42318</v>
      </c>
      <c r="F216" s="19">
        <v>18.8</v>
      </c>
      <c r="G216" s="20">
        <v>7812500</v>
      </c>
      <c r="H216" s="21" t="s">
        <v>59</v>
      </c>
      <c r="I216" s="21">
        <f>(Акции!$F216-F215)/F215</f>
        <v>1.1296395911780574E-2</v>
      </c>
    </row>
    <row r="217" spans="5:9" ht="15.75" customHeight="1" x14ac:dyDescent="0.2">
      <c r="E217" s="18">
        <v>42319</v>
      </c>
      <c r="F217" s="19">
        <v>18.010000000000002</v>
      </c>
      <c r="G217" s="20">
        <v>21238300</v>
      </c>
      <c r="H217" s="21" t="s">
        <v>59</v>
      </c>
      <c r="I217" s="21">
        <f>(Акции!$F217-F216)/F216</f>
        <v>-4.202127659574463E-2</v>
      </c>
    </row>
    <row r="218" spans="5:9" ht="15.75" customHeight="1" x14ac:dyDescent="0.2">
      <c r="E218" s="18">
        <v>42320</v>
      </c>
      <c r="F218" s="19">
        <v>17.739999999999998</v>
      </c>
      <c r="G218" s="20">
        <v>8626300</v>
      </c>
      <c r="H218" s="21" t="s">
        <v>59</v>
      </c>
      <c r="I218" s="21">
        <f>(Акции!$F218-F217)/F217</f>
        <v>-1.499167129372588E-2</v>
      </c>
    </row>
    <row r="219" spans="5:9" ht="15.75" customHeight="1" x14ac:dyDescent="0.2">
      <c r="E219" s="18">
        <v>42321</v>
      </c>
      <c r="F219" s="19">
        <v>17.510000000000002</v>
      </c>
      <c r="G219" s="20">
        <v>8375200</v>
      </c>
      <c r="H219" s="21" t="s">
        <v>59</v>
      </c>
      <c r="I219" s="21">
        <f>(Акции!$F219-F218)/F218</f>
        <v>-1.296505073280704E-2</v>
      </c>
    </row>
    <row r="220" spans="5:9" ht="15.75" customHeight="1" x14ac:dyDescent="0.2">
      <c r="E220" s="18">
        <v>42324</v>
      </c>
      <c r="F220" s="19">
        <v>17.739999999999998</v>
      </c>
      <c r="G220" s="20">
        <v>9254900</v>
      </c>
      <c r="H220" s="21" t="s">
        <v>59</v>
      </c>
      <c r="I220" s="21">
        <f>(Акции!$F220-F219)/F219</f>
        <v>1.3135351227869609E-2</v>
      </c>
    </row>
    <row r="221" spans="5:9" ht="15.75" customHeight="1" x14ac:dyDescent="0.2">
      <c r="E221" s="18">
        <v>42325</v>
      </c>
      <c r="F221" s="19">
        <v>17.579999999999998</v>
      </c>
      <c r="G221" s="20">
        <v>8339700</v>
      </c>
      <c r="H221" s="21" t="s">
        <v>59</v>
      </c>
      <c r="I221" s="21">
        <f>(Акции!$F221-F220)/F220</f>
        <v>-9.019165727170245E-3</v>
      </c>
    </row>
    <row r="222" spans="5:9" ht="15.75" customHeight="1" x14ac:dyDescent="0.2">
      <c r="E222" s="18">
        <v>42326</v>
      </c>
      <c r="F222" s="19">
        <v>17.77</v>
      </c>
      <c r="G222" s="20">
        <v>14926200</v>
      </c>
      <c r="H222" s="21" t="s">
        <v>59</v>
      </c>
      <c r="I222" s="21">
        <f>(Акции!$F222-F221)/F221</f>
        <v>1.0807736063708833E-2</v>
      </c>
    </row>
    <row r="223" spans="5:9" ht="15.75" customHeight="1" x14ac:dyDescent="0.2">
      <c r="E223" s="18">
        <v>42327</v>
      </c>
      <c r="F223" s="19">
        <v>17.62</v>
      </c>
      <c r="G223" s="20">
        <v>6045500</v>
      </c>
      <c r="H223" s="21" t="s">
        <v>59</v>
      </c>
      <c r="I223" s="21">
        <f>(Акции!$F223-F222)/F222</f>
        <v>-8.4411930219470219E-3</v>
      </c>
    </row>
    <row r="224" spans="5:9" ht="15.75" customHeight="1" x14ac:dyDescent="0.2">
      <c r="E224" s="18">
        <v>42328</v>
      </c>
      <c r="F224" s="19">
        <v>17.87</v>
      </c>
      <c r="G224" s="20">
        <v>8357500</v>
      </c>
      <c r="H224" s="21" t="s">
        <v>59</v>
      </c>
      <c r="I224" s="21">
        <f>(Акции!$F224-F223)/F223</f>
        <v>1.4188422247446084E-2</v>
      </c>
    </row>
    <row r="225" spans="5:9" ht="15.75" customHeight="1" x14ac:dyDescent="0.2">
      <c r="E225" s="18">
        <v>42331</v>
      </c>
      <c r="F225" s="19">
        <v>18.100000000000001</v>
      </c>
      <c r="G225" s="20">
        <v>11663700</v>
      </c>
      <c r="H225" s="21" t="s">
        <v>59</v>
      </c>
      <c r="I225" s="21">
        <f>(Акции!$F225-F224)/F224</f>
        <v>1.2870733072188048E-2</v>
      </c>
    </row>
    <row r="226" spans="5:9" ht="15.75" customHeight="1" x14ac:dyDescent="0.2">
      <c r="E226" s="18">
        <v>42332</v>
      </c>
      <c r="F226" s="19">
        <v>18.32</v>
      </c>
      <c r="G226" s="20">
        <v>11863700</v>
      </c>
      <c r="H226" s="21" t="s">
        <v>59</v>
      </c>
      <c r="I226" s="21">
        <f>(Акции!$F226-F225)/F225</f>
        <v>1.2154696132596621E-2</v>
      </c>
    </row>
    <row r="227" spans="5:9" ht="15.75" customHeight="1" x14ac:dyDescent="0.2">
      <c r="E227" s="18">
        <v>42333</v>
      </c>
      <c r="F227" s="19">
        <v>18.38</v>
      </c>
      <c r="G227" s="20">
        <v>5379100</v>
      </c>
      <c r="H227" s="21" t="s">
        <v>59</v>
      </c>
      <c r="I227" s="21">
        <f>(Акции!$F227-F226)/F226</f>
        <v>3.2751091703056069E-3</v>
      </c>
    </row>
    <row r="228" spans="5:9" ht="15.75" customHeight="1" x14ac:dyDescent="0.2">
      <c r="E228" s="18">
        <v>42335</v>
      </c>
      <c r="F228" s="19">
        <v>18.329999999999998</v>
      </c>
      <c r="G228" s="20">
        <v>2058000</v>
      </c>
      <c r="H228" s="21" t="s">
        <v>59</v>
      </c>
      <c r="I228" s="21">
        <f>(Акции!$F228-F227)/F227</f>
        <v>-2.7203482045702236E-3</v>
      </c>
    </row>
    <row r="229" spans="5:9" ht="15.75" customHeight="1" x14ac:dyDescent="0.2">
      <c r="E229" s="18">
        <v>42338</v>
      </c>
      <c r="F229" s="19">
        <v>18.28</v>
      </c>
      <c r="G229" s="20">
        <v>6438400</v>
      </c>
      <c r="H229" s="21" t="s">
        <v>59</v>
      </c>
      <c r="I229" s="21">
        <f>(Акции!$F229-F228)/F228</f>
        <v>-2.7277686852153391E-3</v>
      </c>
    </row>
    <row r="230" spans="5:9" ht="15.75" customHeight="1" x14ac:dyDescent="0.2">
      <c r="E230" s="18">
        <v>42339</v>
      </c>
      <c r="F230" s="19">
        <v>18.52</v>
      </c>
      <c r="G230" s="20">
        <v>9490000</v>
      </c>
      <c r="H230" s="21" t="s">
        <v>59</v>
      </c>
      <c r="I230" s="21">
        <f>(Акции!$F230-F229)/F229</f>
        <v>1.3129102844638864E-2</v>
      </c>
    </row>
    <row r="231" spans="5:9" ht="15.75" customHeight="1" x14ac:dyDescent="0.2">
      <c r="E231" s="18">
        <v>42340</v>
      </c>
      <c r="F231" s="19">
        <v>18.41</v>
      </c>
      <c r="G231" s="20">
        <v>6044600</v>
      </c>
      <c r="H231" s="21" t="s">
        <v>59</v>
      </c>
      <c r="I231" s="21">
        <f>(Акции!$F231-F230)/F230</f>
        <v>-5.939524838012928E-3</v>
      </c>
    </row>
    <row r="232" spans="5:9" ht="15.75" customHeight="1" x14ac:dyDescent="0.2">
      <c r="E232" s="18">
        <v>42341</v>
      </c>
      <c r="F232" s="19">
        <v>18.04</v>
      </c>
      <c r="G232" s="20">
        <v>7867000</v>
      </c>
      <c r="H232" s="21" t="s">
        <v>59</v>
      </c>
      <c r="I232" s="21">
        <f>(Акции!$F232-F231)/F231</f>
        <v>-2.0097772949484029E-2</v>
      </c>
    </row>
    <row r="233" spans="5:9" ht="15.75" customHeight="1" x14ac:dyDescent="0.2">
      <c r="E233" s="18">
        <v>42342</v>
      </c>
      <c r="F233" s="19">
        <v>18.510000000000002</v>
      </c>
      <c r="G233" s="20">
        <v>7113200</v>
      </c>
      <c r="H233" s="21" t="s">
        <v>59</v>
      </c>
      <c r="I233" s="21">
        <f>(Акции!$F233-F232)/F232</f>
        <v>2.6053215077605458E-2</v>
      </c>
    </row>
    <row r="234" spans="5:9" ht="15.75" customHeight="1" x14ac:dyDescent="0.2">
      <c r="E234" s="18">
        <v>42345</v>
      </c>
      <c r="F234" s="19">
        <v>18.57</v>
      </c>
      <c r="G234" s="20">
        <v>8696500</v>
      </c>
      <c r="H234" s="21" t="s">
        <v>59</v>
      </c>
      <c r="I234" s="21">
        <f>(Акции!$F234-F233)/F233</f>
        <v>3.2414910858994442E-3</v>
      </c>
    </row>
    <row r="235" spans="5:9" ht="15.75" customHeight="1" x14ac:dyDescent="0.2">
      <c r="E235" s="18">
        <v>42346</v>
      </c>
      <c r="F235" s="19">
        <v>18.73</v>
      </c>
      <c r="G235" s="20">
        <v>14709300</v>
      </c>
      <c r="H235" s="21" t="s">
        <v>59</v>
      </c>
      <c r="I235" s="21">
        <f>(Акции!$F235-F234)/F234</f>
        <v>8.6160473882606423E-3</v>
      </c>
    </row>
    <row r="236" spans="5:9" ht="15.75" customHeight="1" x14ac:dyDescent="0.2">
      <c r="E236" s="18">
        <v>42347</v>
      </c>
      <c r="F236" s="19">
        <v>18.48</v>
      </c>
      <c r="G236" s="20">
        <v>11208900</v>
      </c>
      <c r="H236" s="21" t="s">
        <v>59</v>
      </c>
      <c r="I236" s="21">
        <f>(Акции!$F236-F235)/F235</f>
        <v>-1.3347570742124932E-2</v>
      </c>
    </row>
    <row r="237" spans="5:9" ht="15.75" customHeight="1" x14ac:dyDescent="0.2">
      <c r="E237" s="18">
        <v>42348</v>
      </c>
      <c r="F237" s="19">
        <v>18.440000000000001</v>
      </c>
      <c r="G237" s="20">
        <v>8081400</v>
      </c>
      <c r="H237" s="21" t="s">
        <v>59</v>
      </c>
      <c r="I237" s="21">
        <f>(Акции!$F237-F236)/F236</f>
        <v>-2.1645021645021181E-3</v>
      </c>
    </row>
    <row r="238" spans="5:9" ht="15.75" customHeight="1" x14ac:dyDescent="0.2">
      <c r="E238" s="18">
        <v>42349</v>
      </c>
      <c r="F238" s="19">
        <v>18.100000000000001</v>
      </c>
      <c r="G238" s="20">
        <v>8994900</v>
      </c>
      <c r="H238" s="21" t="s">
        <v>59</v>
      </c>
      <c r="I238" s="21">
        <f>(Акции!$F238-F237)/F237</f>
        <v>-1.8438177874186543E-2</v>
      </c>
    </row>
    <row r="239" spans="5:9" ht="15.75" customHeight="1" x14ac:dyDescent="0.2">
      <c r="E239" s="18">
        <v>42352</v>
      </c>
      <c r="F239" s="19">
        <v>18.39</v>
      </c>
      <c r="G239" s="20">
        <v>9432800</v>
      </c>
      <c r="H239" s="21" t="s">
        <v>59</v>
      </c>
      <c r="I239" s="21">
        <f>(Акции!$F239-F238)/F238</f>
        <v>1.6022099447513764E-2</v>
      </c>
    </row>
    <row r="240" spans="5:9" ht="15.75" customHeight="1" x14ac:dyDescent="0.2">
      <c r="E240" s="18">
        <v>42353</v>
      </c>
      <c r="F240" s="19">
        <v>18.66</v>
      </c>
      <c r="G240" s="20">
        <v>8591000</v>
      </c>
      <c r="H240" s="21" t="s">
        <v>59</v>
      </c>
      <c r="I240" s="21">
        <f>(Акции!$F240-F239)/F239</f>
        <v>1.4681892332789536E-2</v>
      </c>
    </row>
    <row r="241" spans="5:9" ht="15.75" customHeight="1" x14ac:dyDescent="0.2">
      <c r="E241" s="18">
        <v>42354</v>
      </c>
      <c r="F241" s="19">
        <v>18.88</v>
      </c>
      <c r="G241" s="20">
        <v>8069300</v>
      </c>
      <c r="H241" s="21" t="s">
        <v>59</v>
      </c>
      <c r="I241" s="21">
        <f>(Акции!$F241-F240)/F240</f>
        <v>1.1789924973204654E-2</v>
      </c>
    </row>
    <row r="242" spans="5:9" ht="15.75" customHeight="1" x14ac:dyDescent="0.2">
      <c r="E242" s="18">
        <v>42355</v>
      </c>
      <c r="F242" s="19">
        <v>18.600000000000001</v>
      </c>
      <c r="G242" s="20">
        <v>6507200</v>
      </c>
      <c r="H242" s="21" t="s">
        <v>59</v>
      </c>
      <c r="I242" s="21">
        <f>(Акции!$F242-F241)/F241</f>
        <v>-1.4830508474576143E-2</v>
      </c>
    </row>
    <row r="243" spans="5:9" ht="15.75" customHeight="1" x14ac:dyDescent="0.2">
      <c r="E243" s="18">
        <v>42356</v>
      </c>
      <c r="F243" s="19">
        <v>18.190000000000001</v>
      </c>
      <c r="G243" s="20">
        <v>14910900</v>
      </c>
      <c r="H243" s="21" t="s">
        <v>59</v>
      </c>
      <c r="I243" s="21">
        <f>(Акции!$F243-F242)/F242</f>
        <v>-2.2043010752688177E-2</v>
      </c>
    </row>
    <row r="244" spans="5:9" ht="15.75" customHeight="1" x14ac:dyDescent="0.2">
      <c r="E244" s="18">
        <v>42359</v>
      </c>
      <c r="F244" s="19">
        <v>18.27</v>
      </c>
      <c r="G244" s="20">
        <v>5201800</v>
      </c>
      <c r="H244" s="21" t="s">
        <v>59</v>
      </c>
      <c r="I244" s="21">
        <f>(Акции!$F244-F243)/F243</f>
        <v>4.398020890599136E-3</v>
      </c>
    </row>
    <row r="245" spans="5:9" ht="15.75" customHeight="1" x14ac:dyDescent="0.2">
      <c r="E245" s="18">
        <v>42360</v>
      </c>
      <c r="F245" s="19">
        <v>18.489999999999998</v>
      </c>
      <c r="G245" s="20">
        <v>7755000</v>
      </c>
      <c r="H245" s="21" t="s">
        <v>59</v>
      </c>
      <c r="I245" s="21">
        <f>(Акции!$F245-F244)/F244</f>
        <v>1.2041598248494738E-2</v>
      </c>
    </row>
    <row r="246" spans="5:9" ht="15.75" customHeight="1" x14ac:dyDescent="0.2">
      <c r="E246" s="18">
        <v>42361</v>
      </c>
      <c r="F246" s="19">
        <v>18.739999999999998</v>
      </c>
      <c r="G246" s="20">
        <v>4657600</v>
      </c>
      <c r="H246" s="21" t="s">
        <v>59</v>
      </c>
      <c r="I246" s="21">
        <f>(Акции!$F246-F245)/F245</f>
        <v>1.3520822065981613E-2</v>
      </c>
    </row>
    <row r="247" spans="5:9" ht="15.75" customHeight="1" x14ac:dyDescent="0.2">
      <c r="E247" s="18">
        <v>42362</v>
      </c>
      <c r="F247" s="19">
        <v>18.72</v>
      </c>
      <c r="G247" s="20">
        <v>1867100</v>
      </c>
      <c r="H247" s="21" t="s">
        <v>59</v>
      </c>
      <c r="I247" s="21">
        <f>(Акции!$F247-F246)/F246</f>
        <v>-1.0672358591248439E-3</v>
      </c>
    </row>
    <row r="248" spans="5:9" ht="15.75" customHeight="1" x14ac:dyDescent="0.2">
      <c r="E248" s="18">
        <v>42366</v>
      </c>
      <c r="F248" s="19">
        <v>18.73</v>
      </c>
      <c r="G248" s="20">
        <v>3303700</v>
      </c>
      <c r="H248" s="21" t="s">
        <v>59</v>
      </c>
      <c r="I248" s="21">
        <f>(Акции!$F248-F247)/F247</f>
        <v>5.3418803418811773E-4</v>
      </c>
    </row>
    <row r="249" spans="5:9" ht="15.75" customHeight="1" x14ac:dyDescent="0.2">
      <c r="E249" s="18">
        <v>42367</v>
      </c>
      <c r="F249" s="19">
        <v>18.739999999999998</v>
      </c>
      <c r="G249" s="20">
        <v>5214800</v>
      </c>
      <c r="H249" s="21" t="s">
        <v>59</v>
      </c>
      <c r="I249" s="21">
        <f>(Акции!$F249-F248)/F248</f>
        <v>5.3390282968489105E-4</v>
      </c>
    </row>
    <row r="250" spans="5:9" ht="15.75" customHeight="1" x14ac:dyDescent="0.2">
      <c r="E250" s="18">
        <v>42368</v>
      </c>
      <c r="F250" s="19">
        <v>18.61</v>
      </c>
      <c r="G250" s="20">
        <v>3734900</v>
      </c>
      <c r="H250" s="21" t="s">
        <v>59</v>
      </c>
      <c r="I250" s="21">
        <f>(Акции!$F250-F249)/F249</f>
        <v>-6.9370330843115807E-3</v>
      </c>
    </row>
    <row r="251" spans="5:9" ht="15.75" customHeight="1" x14ac:dyDescent="0.2">
      <c r="E251" s="18">
        <v>42369</v>
      </c>
      <c r="F251" s="19">
        <v>18.440000000000001</v>
      </c>
      <c r="G251" s="20">
        <v>5375400</v>
      </c>
      <c r="H251" s="21" t="s">
        <v>59</v>
      </c>
      <c r="I251" s="21">
        <f>(Акции!$F251-F250)/F250</f>
        <v>-9.1348737238043081E-3</v>
      </c>
    </row>
    <row r="252" spans="5:9" ht="15.75" customHeight="1" x14ac:dyDescent="0.2">
      <c r="E252" s="18">
        <v>42373</v>
      </c>
      <c r="F252" s="19">
        <v>17.989999999999998</v>
      </c>
      <c r="G252" s="20">
        <v>9750100</v>
      </c>
      <c r="H252" s="21" t="s">
        <v>59</v>
      </c>
      <c r="I252" s="21">
        <f>(Акции!$F252-F251)/F251</f>
        <v>-2.4403470715835294E-2</v>
      </c>
    </row>
    <row r="253" spans="5:9" ht="15.75" customHeight="1" x14ac:dyDescent="0.2">
      <c r="E253" s="18">
        <v>42374</v>
      </c>
      <c r="F253" s="19">
        <v>18.18</v>
      </c>
      <c r="G253" s="20">
        <v>6737900</v>
      </c>
      <c r="H253" s="21" t="s">
        <v>59</v>
      </c>
      <c r="I253" s="21">
        <f>(Акции!$F253-F252)/F252</f>
        <v>1.0561423012784952E-2</v>
      </c>
    </row>
    <row r="254" spans="5:9" ht="15.75" customHeight="1" x14ac:dyDescent="0.2">
      <c r="E254" s="18">
        <v>42375</v>
      </c>
      <c r="F254" s="19">
        <v>18</v>
      </c>
      <c r="G254" s="20">
        <v>8014200</v>
      </c>
      <c r="H254" s="21" t="s">
        <v>59</v>
      </c>
      <c r="I254" s="21">
        <f>(Акции!$F254-F253)/F253</f>
        <v>-9.9009900990098855E-3</v>
      </c>
    </row>
    <row r="255" spans="5:9" ht="15.75" customHeight="1" x14ac:dyDescent="0.2">
      <c r="E255" s="18">
        <v>42376</v>
      </c>
      <c r="F255" s="19">
        <v>17.64</v>
      </c>
      <c r="G255" s="20">
        <v>7777700</v>
      </c>
      <c r="H255" s="21" t="s">
        <v>59</v>
      </c>
      <c r="I255" s="21">
        <f>(Акции!$F255-F254)/F254</f>
        <v>-1.9999999999999969E-2</v>
      </c>
    </row>
    <row r="256" spans="5:9" ht="15.75" customHeight="1" x14ac:dyDescent="0.2">
      <c r="E256" s="18">
        <v>42377</v>
      </c>
      <c r="F256" s="19">
        <v>17.43</v>
      </c>
      <c r="G256" s="20">
        <v>9210500</v>
      </c>
      <c r="H256" s="21" t="s">
        <v>59</v>
      </c>
      <c r="I256" s="21">
        <f>(Акции!$F256-F255)/F255</f>
        <v>-1.1904761904761953E-2</v>
      </c>
    </row>
    <row r="257" spans="5:9" ht="15.75" customHeight="1" x14ac:dyDescent="0.2">
      <c r="E257" s="18">
        <v>42380</v>
      </c>
      <c r="F257" s="19">
        <v>17.13</v>
      </c>
      <c r="G257" s="20">
        <v>12283600</v>
      </c>
      <c r="H257" s="21" t="s">
        <v>59</v>
      </c>
      <c r="I257" s="21">
        <f>(Акции!$F257-F256)/F256</f>
        <v>-1.7211703958691951E-2</v>
      </c>
    </row>
    <row r="258" spans="5:9" ht="15.75" customHeight="1" x14ac:dyDescent="0.2">
      <c r="E258" s="18">
        <v>42381</v>
      </c>
      <c r="F258" s="19">
        <v>17.79</v>
      </c>
      <c r="G258" s="20">
        <v>14960400</v>
      </c>
      <c r="H258" s="21" t="s">
        <v>59</v>
      </c>
      <c r="I258" s="21">
        <f>(Акции!$F258-F257)/F257</f>
        <v>3.8528896672504385E-2</v>
      </c>
    </row>
    <row r="259" spans="5:9" ht="15.75" customHeight="1" x14ac:dyDescent="0.2">
      <c r="E259" s="18">
        <v>42382</v>
      </c>
      <c r="F259" s="19">
        <v>17.55</v>
      </c>
      <c r="G259" s="20">
        <v>21569000</v>
      </c>
      <c r="H259" s="21" t="s">
        <v>59</v>
      </c>
      <c r="I259" s="21">
        <f>(Акции!$F259-F258)/F258</f>
        <v>-1.3490725126475461E-2</v>
      </c>
    </row>
    <row r="260" spans="5:9" ht="15.75" customHeight="1" x14ac:dyDescent="0.2">
      <c r="E260" s="18">
        <v>42383</v>
      </c>
      <c r="F260" s="19">
        <v>18.16</v>
      </c>
      <c r="G260" s="20">
        <v>13215400</v>
      </c>
      <c r="H260" s="21" t="s">
        <v>59</v>
      </c>
      <c r="I260" s="21">
        <f>(Акции!$F260-F259)/F259</f>
        <v>3.4757834757834727E-2</v>
      </c>
    </row>
    <row r="261" spans="5:9" ht="15.75" customHeight="1" x14ac:dyDescent="0.2">
      <c r="E261" s="18">
        <v>42384</v>
      </c>
      <c r="F261" s="19">
        <v>17.87</v>
      </c>
      <c r="G261" s="20">
        <v>13637000</v>
      </c>
      <c r="H261" s="21" t="s">
        <v>59</v>
      </c>
      <c r="I261" s="21">
        <f>(Акции!$F261-F260)/F260</f>
        <v>-1.5969162995594668E-2</v>
      </c>
    </row>
    <row r="262" spans="5:9" ht="15.75" customHeight="1" x14ac:dyDescent="0.2">
      <c r="E262" s="18">
        <v>42388</v>
      </c>
      <c r="F262" s="19">
        <v>17.57</v>
      </c>
      <c r="G262" s="20">
        <v>15022900</v>
      </c>
      <c r="H262" s="21" t="s">
        <v>59</v>
      </c>
      <c r="I262" s="21">
        <f>(Акции!$F262-F261)/F261</f>
        <v>-1.6787912702853985E-2</v>
      </c>
    </row>
    <row r="263" spans="5:9" ht="15.75" customHeight="1" x14ac:dyDescent="0.2">
      <c r="E263" s="18">
        <v>42389</v>
      </c>
      <c r="F263" s="19">
        <v>17.54</v>
      </c>
      <c r="G263" s="20">
        <v>12460700</v>
      </c>
      <c r="H263" s="21" t="s">
        <v>59</v>
      </c>
      <c r="I263" s="21">
        <f>(Акции!$F263-F262)/F262</f>
        <v>-1.7074558907228877E-3</v>
      </c>
    </row>
    <row r="264" spans="5:9" ht="15.75" customHeight="1" x14ac:dyDescent="0.2">
      <c r="E264" s="18">
        <v>42390</v>
      </c>
      <c r="F264" s="19">
        <v>17.559999999999999</v>
      </c>
      <c r="G264" s="20">
        <v>10288900</v>
      </c>
      <c r="H264" s="21" t="s">
        <v>59</v>
      </c>
      <c r="I264" s="21">
        <f>(Акции!$F264-F263)/F263</f>
        <v>1.1402508551881171E-3</v>
      </c>
    </row>
    <row r="265" spans="5:9" ht="15.75" customHeight="1" x14ac:dyDescent="0.2">
      <c r="E265" s="18">
        <v>42391</v>
      </c>
      <c r="F265" s="19">
        <v>17.850000000000001</v>
      </c>
      <c r="G265" s="20">
        <v>6231600</v>
      </c>
      <c r="H265" s="21" t="s">
        <v>59</v>
      </c>
      <c r="I265" s="21">
        <f>(Акции!$F265-F264)/F264</f>
        <v>1.6514806378132272E-2</v>
      </c>
    </row>
    <row r="266" spans="5:9" ht="15.75" customHeight="1" x14ac:dyDescent="0.2">
      <c r="E266" s="18">
        <v>42394</v>
      </c>
      <c r="F266" s="19">
        <v>17.53</v>
      </c>
      <c r="G266" s="20">
        <v>9349400</v>
      </c>
      <c r="H266" s="21" t="s">
        <v>59</v>
      </c>
      <c r="I266" s="21">
        <f>(Акции!$F266-F265)/F265</f>
        <v>-1.7927170868347355E-2</v>
      </c>
    </row>
    <row r="267" spans="5:9" ht="15.75" customHeight="1" x14ac:dyDescent="0.2">
      <c r="E267" s="18">
        <v>42395</v>
      </c>
      <c r="F267" s="19">
        <v>17.38</v>
      </c>
      <c r="G267" s="20">
        <v>10803500</v>
      </c>
      <c r="H267" s="21" t="s">
        <v>59</v>
      </c>
      <c r="I267" s="21">
        <f>(Акции!$F267-F266)/F266</f>
        <v>-8.5567598402739378E-3</v>
      </c>
    </row>
    <row r="268" spans="5:9" ht="15.75" customHeight="1" x14ac:dyDescent="0.2">
      <c r="E268" s="18">
        <v>42396</v>
      </c>
      <c r="F268" s="19">
        <v>17.22</v>
      </c>
      <c r="G268" s="20">
        <v>9374900</v>
      </c>
      <c r="H268" s="21" t="s">
        <v>59</v>
      </c>
      <c r="I268" s="21">
        <f>(Акции!$F268-F267)/F267</f>
        <v>-9.205983889528202E-3</v>
      </c>
    </row>
    <row r="269" spans="5:9" ht="15.75" customHeight="1" x14ac:dyDescent="0.2">
      <c r="E269" s="18">
        <v>42397</v>
      </c>
      <c r="F269" s="19">
        <v>16.899999999999999</v>
      </c>
      <c r="G269" s="20">
        <v>8088500</v>
      </c>
      <c r="H269" s="21" t="s">
        <v>59</v>
      </c>
      <c r="I269" s="21">
        <f>(Акции!$F269-F268)/F268</f>
        <v>-1.8583042973286893E-2</v>
      </c>
    </row>
    <row r="270" spans="5:9" ht="15.75" customHeight="1" x14ac:dyDescent="0.2">
      <c r="E270" s="18">
        <v>42398</v>
      </c>
      <c r="F270" s="19">
        <v>17.53</v>
      </c>
      <c r="G270" s="20">
        <v>11113900</v>
      </c>
      <c r="H270" s="21" t="s">
        <v>59</v>
      </c>
      <c r="I270" s="21">
        <f>(Акции!$F270-F269)/F269</f>
        <v>3.7278106508875891E-2</v>
      </c>
    </row>
    <row r="271" spans="5:9" ht="15.75" customHeight="1" x14ac:dyDescent="0.2">
      <c r="E271" s="18">
        <v>42401</v>
      </c>
      <c r="F271" s="19">
        <v>17.88</v>
      </c>
      <c r="G271" s="20">
        <v>14901800</v>
      </c>
      <c r="H271" s="21" t="s">
        <v>59</v>
      </c>
      <c r="I271" s="21">
        <f>(Акции!$F271-F270)/F270</f>
        <v>1.9965772960638783E-2</v>
      </c>
    </row>
    <row r="272" spans="5:9" ht="15.75" customHeight="1" x14ac:dyDescent="0.2">
      <c r="E272" s="18">
        <v>42402</v>
      </c>
      <c r="F272" s="19">
        <v>17.84</v>
      </c>
      <c r="G272" s="20">
        <v>12802100</v>
      </c>
      <c r="H272" s="21" t="s">
        <v>59</v>
      </c>
      <c r="I272" s="21">
        <f>(Акции!$F272-F271)/F271</f>
        <v>-2.237136465324337E-3</v>
      </c>
    </row>
    <row r="273" spans="5:9" ht="15.75" customHeight="1" x14ac:dyDescent="0.2">
      <c r="E273" s="18">
        <v>42403</v>
      </c>
      <c r="F273" s="19">
        <v>17.73</v>
      </c>
      <c r="G273" s="20">
        <v>14933100</v>
      </c>
      <c r="H273" s="21" t="s">
        <v>59</v>
      </c>
      <c r="I273" s="21">
        <f>(Акции!$F273-F272)/F272</f>
        <v>-6.1659192825111791E-3</v>
      </c>
    </row>
    <row r="274" spans="5:9" ht="15.75" customHeight="1" x14ac:dyDescent="0.2">
      <c r="E274" s="18">
        <v>42404</v>
      </c>
      <c r="F274" s="19">
        <v>17.34</v>
      </c>
      <c r="G274" s="20">
        <v>29665600</v>
      </c>
      <c r="H274" s="21" t="s">
        <v>59</v>
      </c>
      <c r="I274" s="21">
        <f>(Акции!$F274-F273)/F273</f>
        <v>-2.1996615905245379E-2</v>
      </c>
    </row>
    <row r="275" spans="5:9" ht="15.75" customHeight="1" x14ac:dyDescent="0.2">
      <c r="E275" s="18">
        <v>42405</v>
      </c>
      <c r="F275" s="19">
        <v>16.62</v>
      </c>
      <c r="G275" s="20">
        <v>17077300</v>
      </c>
      <c r="H275" s="21" t="s">
        <v>59</v>
      </c>
      <c r="I275" s="21">
        <f>(Акции!$F275-F274)/F274</f>
        <v>-4.1522491349480904E-2</v>
      </c>
    </row>
    <row r="276" spans="5:9" ht="15.75" customHeight="1" x14ac:dyDescent="0.2">
      <c r="E276" s="18">
        <v>42408</v>
      </c>
      <c r="F276" s="19">
        <v>16.07</v>
      </c>
      <c r="G276" s="20">
        <v>16522500</v>
      </c>
      <c r="H276" s="21" t="s">
        <v>59</v>
      </c>
      <c r="I276" s="21">
        <f>(Акции!$F276-F275)/F275</f>
        <v>-3.3092659446450103E-2</v>
      </c>
    </row>
    <row r="277" spans="5:9" ht="15.75" customHeight="1" x14ac:dyDescent="0.2">
      <c r="E277" s="18">
        <v>42409</v>
      </c>
      <c r="F277" s="19">
        <v>16.87</v>
      </c>
      <c r="G277" s="20">
        <v>20135400</v>
      </c>
      <c r="H277" s="21" t="s">
        <v>59</v>
      </c>
      <c r="I277" s="21">
        <f>(Акции!$F277-F276)/F276</f>
        <v>4.9782202862476706E-2</v>
      </c>
    </row>
    <row r="278" spans="5:9" ht="15.75" customHeight="1" x14ac:dyDescent="0.2">
      <c r="E278" s="18">
        <v>42410</v>
      </c>
      <c r="F278" s="19">
        <v>16.920000000000002</v>
      </c>
      <c r="G278" s="20">
        <v>9801600</v>
      </c>
      <c r="H278" s="21" t="s">
        <v>59</v>
      </c>
      <c r="I278" s="21">
        <f>(Акции!$F278-F277)/F277</f>
        <v>2.963841138115039E-3</v>
      </c>
    </row>
    <row r="279" spans="5:9" ht="15.75" customHeight="1" x14ac:dyDescent="0.2">
      <c r="E279" s="18">
        <v>42411</v>
      </c>
      <c r="F279" s="19">
        <v>16.579999999999998</v>
      </c>
      <c r="G279" s="20">
        <v>9735300</v>
      </c>
      <c r="H279" s="21" t="s">
        <v>59</v>
      </c>
      <c r="I279" s="21">
        <f>(Акции!$F279-F278)/F278</f>
        <v>-2.0094562647754336E-2</v>
      </c>
    </row>
    <row r="280" spans="5:9" ht="15.75" customHeight="1" x14ac:dyDescent="0.2">
      <c r="E280" s="18">
        <v>42412</v>
      </c>
      <c r="F280" s="19">
        <v>16.64</v>
      </c>
      <c r="G280" s="20">
        <v>6172800</v>
      </c>
      <c r="H280" s="21" t="s">
        <v>59</v>
      </c>
      <c r="I280" s="21">
        <f>(Акции!$F280-F279)/F279</f>
        <v>3.6188178528348781E-3</v>
      </c>
    </row>
    <row r="281" spans="5:9" ht="15.75" customHeight="1" x14ac:dyDescent="0.2">
      <c r="E281" s="18">
        <v>42416</v>
      </c>
      <c r="F281" s="19">
        <v>17.16</v>
      </c>
      <c r="G281" s="20">
        <v>9293700</v>
      </c>
      <c r="H281" s="21" t="s">
        <v>59</v>
      </c>
      <c r="I281" s="21">
        <f>(Акции!$F281-F280)/F280</f>
        <v>3.1249999999999972E-2</v>
      </c>
    </row>
    <row r="282" spans="5:9" ht="15.75" customHeight="1" x14ac:dyDescent="0.2">
      <c r="E282" s="18">
        <v>42417</v>
      </c>
      <c r="F282" s="19">
        <v>17.57</v>
      </c>
      <c r="G282" s="20">
        <v>9754800</v>
      </c>
      <c r="H282" s="21" t="s">
        <v>59</v>
      </c>
      <c r="I282" s="21">
        <f>(Акции!$F282-F281)/F281</f>
        <v>2.3892773892773903E-2</v>
      </c>
    </row>
    <row r="283" spans="5:9" ht="15.75" customHeight="1" x14ac:dyDescent="0.2">
      <c r="E283" s="18">
        <v>42418</v>
      </c>
      <c r="F283" s="19">
        <v>17.21</v>
      </c>
      <c r="G283" s="20">
        <v>7226900</v>
      </c>
      <c r="H283" s="21" t="s">
        <v>59</v>
      </c>
      <c r="I283" s="21">
        <f>(Акции!$F283-F282)/F282</f>
        <v>-2.0489470688673843E-2</v>
      </c>
    </row>
    <row r="284" spans="5:9" ht="15.75" customHeight="1" x14ac:dyDescent="0.2">
      <c r="E284" s="18">
        <v>42419</v>
      </c>
      <c r="F284" s="19">
        <v>17.16</v>
      </c>
      <c r="G284" s="20">
        <v>6823400</v>
      </c>
      <c r="H284" s="21" t="s">
        <v>59</v>
      </c>
      <c r="I284" s="21">
        <f>(Акции!$F284-F283)/F283</f>
        <v>-2.9052876234747652E-3</v>
      </c>
    </row>
    <row r="285" spans="5:9" ht="15.75" customHeight="1" x14ac:dyDescent="0.2">
      <c r="E285" s="18">
        <v>42422</v>
      </c>
      <c r="F285" s="19">
        <v>17.260000000000002</v>
      </c>
      <c r="G285" s="20">
        <v>6139000</v>
      </c>
      <c r="H285" s="21" t="s">
        <v>59</v>
      </c>
      <c r="I285" s="21">
        <f>(Акции!$F285-F284)/F284</f>
        <v>5.8275058275059103E-3</v>
      </c>
    </row>
    <row r="286" spans="5:9" ht="15.75" customHeight="1" x14ac:dyDescent="0.2">
      <c r="E286" s="18">
        <v>42423</v>
      </c>
      <c r="F286" s="19">
        <v>17.239999999999998</v>
      </c>
      <c r="G286" s="20">
        <v>7220700</v>
      </c>
      <c r="H286" s="21" t="s">
        <v>59</v>
      </c>
      <c r="I286" s="21">
        <f>(Акции!$F286-F285)/F285</f>
        <v>-1.1587485515644916E-3</v>
      </c>
    </row>
    <row r="287" spans="5:9" ht="15.75" customHeight="1" x14ac:dyDescent="0.2">
      <c r="E287" s="18">
        <v>42424</v>
      </c>
      <c r="F287" s="19">
        <v>17.329999999999998</v>
      </c>
      <c r="G287" s="20">
        <v>8001600</v>
      </c>
      <c r="H287" s="21" t="s">
        <v>59</v>
      </c>
      <c r="I287" s="21">
        <f>(Акции!$F287-F286)/F286</f>
        <v>5.2204176334106648E-3</v>
      </c>
    </row>
    <row r="288" spans="5:9" ht="15.75" customHeight="1" x14ac:dyDescent="0.2">
      <c r="E288" s="18">
        <v>42425</v>
      </c>
      <c r="F288" s="19">
        <v>17.32</v>
      </c>
      <c r="G288" s="20">
        <v>10619500</v>
      </c>
      <c r="H288" s="21" t="s">
        <v>59</v>
      </c>
      <c r="I288" s="21">
        <f>(Акции!$F288-F287)/F287</f>
        <v>-5.7703404500854076E-4</v>
      </c>
    </row>
    <row r="289" spans="5:9" ht="15.75" customHeight="1" x14ac:dyDescent="0.2">
      <c r="E289" s="18">
        <v>42426</v>
      </c>
      <c r="F289" s="19">
        <v>17.21</v>
      </c>
      <c r="G289" s="20">
        <v>11610700</v>
      </c>
      <c r="H289" s="21" t="s">
        <v>59</v>
      </c>
      <c r="I289" s="21">
        <f>(Акции!$F289-F288)/F288</f>
        <v>-6.3510392609699437E-3</v>
      </c>
    </row>
    <row r="290" spans="5:9" ht="15.75" customHeight="1" x14ac:dyDescent="0.2">
      <c r="E290" s="18">
        <v>42429</v>
      </c>
      <c r="F290" s="19">
        <v>16.98</v>
      </c>
      <c r="G290" s="20">
        <v>10901200</v>
      </c>
      <c r="H290" s="21" t="s">
        <v>59</v>
      </c>
      <c r="I290" s="21">
        <f>(Акции!$F290-F289)/F289</f>
        <v>-1.3364323067983755E-2</v>
      </c>
    </row>
    <row r="291" spans="5:9" ht="15.75" customHeight="1" x14ac:dyDescent="0.2">
      <c r="E291" s="18">
        <v>42430</v>
      </c>
      <c r="F291" s="19">
        <v>17.22</v>
      </c>
      <c r="G291" s="20">
        <v>8749200</v>
      </c>
      <c r="H291" s="21" t="s">
        <v>59</v>
      </c>
      <c r="I291" s="21">
        <f>(Акции!$F291-F290)/F290</f>
        <v>1.4134275618374466E-2</v>
      </c>
    </row>
    <row r="292" spans="5:9" ht="15.75" customHeight="1" x14ac:dyDescent="0.2">
      <c r="E292" s="18">
        <v>42431</v>
      </c>
      <c r="F292" s="19">
        <v>17.37</v>
      </c>
      <c r="G292" s="20">
        <v>10884000</v>
      </c>
      <c r="H292" s="21" t="s">
        <v>59</v>
      </c>
      <c r="I292" s="21">
        <f>(Акции!$F292-F291)/F291</f>
        <v>8.7108013937283475E-3</v>
      </c>
    </row>
    <row r="293" spans="5:9" ht="15.75" customHeight="1" x14ac:dyDescent="0.2">
      <c r="E293" s="18">
        <v>42432</v>
      </c>
      <c r="F293" s="19">
        <v>17.41</v>
      </c>
      <c r="G293" s="20">
        <v>6907400</v>
      </c>
      <c r="H293" s="21" t="s">
        <v>59</v>
      </c>
      <c r="I293" s="21">
        <f>(Акции!$F293-F292)/F292</f>
        <v>2.3028209556706473E-3</v>
      </c>
    </row>
    <row r="294" spans="5:9" ht="15.75" customHeight="1" x14ac:dyDescent="0.2">
      <c r="E294" s="18">
        <v>42433</v>
      </c>
      <c r="F294" s="19">
        <v>17.440000000000001</v>
      </c>
      <c r="G294" s="20">
        <v>4921500</v>
      </c>
      <c r="H294" s="21" t="s">
        <v>59</v>
      </c>
      <c r="I294" s="21">
        <f>(Акции!$F294-F293)/F293</f>
        <v>1.7231476163125294E-3</v>
      </c>
    </row>
    <row r="295" spans="5:9" ht="15.75" customHeight="1" x14ac:dyDescent="0.2">
      <c r="E295" s="18">
        <v>42436</v>
      </c>
      <c r="F295" s="19">
        <v>17.329999999999998</v>
      </c>
      <c r="G295" s="20">
        <v>5321900</v>
      </c>
      <c r="H295" s="21" t="s">
        <v>59</v>
      </c>
      <c r="I295" s="21">
        <f>(Акции!$F295-F294)/F294</f>
        <v>-6.3073394495414548E-3</v>
      </c>
    </row>
    <row r="296" spans="5:9" ht="15.75" customHeight="1" x14ac:dyDescent="0.2">
      <c r="E296" s="18">
        <v>42437</v>
      </c>
      <c r="F296" s="19">
        <v>17.350000000000001</v>
      </c>
      <c r="G296" s="20">
        <v>7146800</v>
      </c>
      <c r="H296" s="21" t="s">
        <v>59</v>
      </c>
      <c r="I296" s="21">
        <f>(Акции!$F296-F295)/F295</f>
        <v>1.1540680900174916E-3</v>
      </c>
    </row>
    <row r="297" spans="5:9" ht="15.75" customHeight="1" x14ac:dyDescent="0.2">
      <c r="E297" s="18">
        <v>42438</v>
      </c>
      <c r="F297" s="19">
        <v>17.420000000000002</v>
      </c>
      <c r="G297" s="20">
        <v>8407400</v>
      </c>
      <c r="H297" s="21" t="s">
        <v>59</v>
      </c>
      <c r="I297" s="21">
        <f>(Акции!$F297-F296)/F296</f>
        <v>4.0345821325648576E-3</v>
      </c>
    </row>
    <row r="298" spans="5:9" ht="15.75" customHeight="1" x14ac:dyDescent="0.2">
      <c r="E298" s="18">
        <v>42439</v>
      </c>
      <c r="F298" s="19">
        <v>17.48</v>
      </c>
      <c r="G298" s="20">
        <v>8740700</v>
      </c>
      <c r="H298" s="21" t="s">
        <v>59</v>
      </c>
      <c r="I298" s="21">
        <f>(Акции!$F298-F297)/F297</f>
        <v>3.4443168771526242E-3</v>
      </c>
    </row>
    <row r="299" spans="5:9" ht="15.75" customHeight="1" x14ac:dyDescent="0.2">
      <c r="E299" s="18">
        <v>42440</v>
      </c>
      <c r="F299" s="19">
        <v>18.05</v>
      </c>
      <c r="G299" s="20">
        <v>8380500</v>
      </c>
      <c r="H299" s="21" t="s">
        <v>59</v>
      </c>
      <c r="I299" s="21">
        <f>(Акции!$F299-F298)/F298</f>
        <v>3.2608695652173926E-2</v>
      </c>
    </row>
    <row r="300" spans="5:9" ht="15.75" customHeight="1" x14ac:dyDescent="0.2">
      <c r="E300" s="18">
        <v>42443</v>
      </c>
      <c r="F300" s="19">
        <v>18.14</v>
      </c>
      <c r="G300" s="20">
        <v>7684100</v>
      </c>
      <c r="H300" s="21" t="s">
        <v>59</v>
      </c>
      <c r="I300" s="21">
        <f>(Акции!$F300-F299)/F299</f>
        <v>4.9861495844875266E-3</v>
      </c>
    </row>
    <row r="301" spans="5:9" ht="15.75" customHeight="1" x14ac:dyDescent="0.2">
      <c r="E301" s="18">
        <v>42444</v>
      </c>
      <c r="F301" s="19">
        <v>17.91</v>
      </c>
      <c r="G301" s="20">
        <v>5605200</v>
      </c>
      <c r="H301" s="21" t="s">
        <v>59</v>
      </c>
      <c r="I301" s="21">
        <f>(Акции!$F301-F300)/F300</f>
        <v>-1.2679162072767388E-2</v>
      </c>
    </row>
    <row r="302" spans="5:9" ht="15.75" customHeight="1" x14ac:dyDescent="0.2">
      <c r="E302" s="18">
        <v>42445</v>
      </c>
      <c r="F302" s="19">
        <v>17.89</v>
      </c>
      <c r="G302" s="20">
        <v>4494400</v>
      </c>
      <c r="H302" s="21" t="s">
        <v>59</v>
      </c>
      <c r="I302" s="21">
        <f>(Акции!$F302-F301)/F301</f>
        <v>-1.1166945840312436E-3</v>
      </c>
    </row>
    <row r="303" spans="5:9" ht="15.75" customHeight="1" x14ac:dyDescent="0.2">
      <c r="E303" s="18">
        <v>42446</v>
      </c>
      <c r="F303" s="19">
        <v>17.93</v>
      </c>
      <c r="G303" s="20">
        <v>9702800</v>
      </c>
      <c r="H303" s="21" t="s">
        <v>59</v>
      </c>
      <c r="I303" s="21">
        <f>(Акции!$F303-F302)/F302</f>
        <v>2.2358859698154918E-3</v>
      </c>
    </row>
    <row r="304" spans="5:9" ht="15.75" customHeight="1" x14ac:dyDescent="0.2">
      <c r="E304" s="18">
        <v>42447</v>
      </c>
      <c r="F304" s="19">
        <v>18.12</v>
      </c>
      <c r="G304" s="20">
        <v>10642500</v>
      </c>
      <c r="H304" s="21" t="s">
        <v>59</v>
      </c>
      <c r="I304" s="21">
        <f>(Акции!$F304-F303)/F303</f>
        <v>1.0596765197992263E-2</v>
      </c>
    </row>
    <row r="305" spans="5:9" ht="15.75" customHeight="1" x14ac:dyDescent="0.2">
      <c r="E305" s="18">
        <v>42450</v>
      </c>
      <c r="F305" s="19">
        <v>18.11</v>
      </c>
      <c r="G305" s="20">
        <v>6189300</v>
      </c>
      <c r="H305" s="21" t="s">
        <v>59</v>
      </c>
      <c r="I305" s="21">
        <f>(Акции!$F305-F304)/F304</f>
        <v>-5.5187637969103542E-4</v>
      </c>
    </row>
    <row r="306" spans="5:9" ht="15.75" customHeight="1" x14ac:dyDescent="0.2">
      <c r="E306" s="18">
        <v>42451</v>
      </c>
      <c r="F306" s="19">
        <v>18.29</v>
      </c>
      <c r="G306" s="20">
        <v>9641700</v>
      </c>
      <c r="H306" s="21" t="s">
        <v>59</v>
      </c>
      <c r="I306" s="21">
        <f>(Акции!$F306-F305)/F305</f>
        <v>9.9392600773053411E-3</v>
      </c>
    </row>
    <row r="307" spans="5:9" ht="15.75" customHeight="1" x14ac:dyDescent="0.2">
      <c r="E307" s="18">
        <v>42452</v>
      </c>
      <c r="F307" s="19">
        <v>18.16</v>
      </c>
      <c r="G307" s="20">
        <v>6895600</v>
      </c>
      <c r="H307" s="21" t="s">
        <v>59</v>
      </c>
      <c r="I307" s="21">
        <f>(Акции!$F307-F306)/F306</f>
        <v>-7.1077091306724445E-3</v>
      </c>
    </row>
    <row r="308" spans="5:9" ht="15.75" customHeight="1" x14ac:dyDescent="0.2">
      <c r="E308" s="18">
        <v>42453</v>
      </c>
      <c r="F308" s="19">
        <v>17.93</v>
      </c>
      <c r="G308" s="20">
        <v>4358500</v>
      </c>
      <c r="H308" s="21" t="s">
        <v>59</v>
      </c>
      <c r="I308" s="21">
        <f>(Акции!$F308-F307)/F307</f>
        <v>-1.2665198237885486E-2</v>
      </c>
    </row>
    <row r="309" spans="5:9" ht="15.75" customHeight="1" x14ac:dyDescent="0.2">
      <c r="E309" s="18">
        <v>42457</v>
      </c>
      <c r="F309" s="19">
        <v>18.04</v>
      </c>
      <c r="G309" s="20">
        <v>5242600</v>
      </c>
      <c r="H309" s="21" t="s">
        <v>59</v>
      </c>
      <c r="I309" s="21">
        <f>(Акции!$F309-F308)/F308</f>
        <v>6.1349693251533423E-3</v>
      </c>
    </row>
    <row r="310" spans="5:9" ht="15.75" customHeight="1" x14ac:dyDescent="0.2">
      <c r="E310" s="18">
        <v>42458</v>
      </c>
      <c r="F310" s="19">
        <v>18.55</v>
      </c>
      <c r="G310" s="20">
        <v>10433500</v>
      </c>
      <c r="H310" s="21" t="s">
        <v>59</v>
      </c>
      <c r="I310" s="21">
        <f>(Акции!$F310-F309)/F309</f>
        <v>2.8270509977827138E-2</v>
      </c>
    </row>
    <row r="311" spans="5:9" ht="15.75" customHeight="1" x14ac:dyDescent="0.2">
      <c r="E311" s="18">
        <v>42459</v>
      </c>
      <c r="F311" s="19">
        <v>18.82</v>
      </c>
      <c r="G311" s="20">
        <v>12500300</v>
      </c>
      <c r="H311" s="21" t="s">
        <v>59</v>
      </c>
      <c r="I311" s="21">
        <f>(Акции!$F311-F310)/F310</f>
        <v>1.4555256064690004E-2</v>
      </c>
    </row>
    <row r="312" spans="5:9" ht="15.75" customHeight="1" x14ac:dyDescent="0.2">
      <c r="E312" s="18">
        <v>42460</v>
      </c>
      <c r="F312" s="19">
        <v>18.809999999999999</v>
      </c>
      <c r="G312" s="20">
        <v>8828700</v>
      </c>
      <c r="H312" s="21" t="s">
        <v>59</v>
      </c>
      <c r="I312" s="21">
        <f>(Акции!$F312-F311)/F311</f>
        <v>-5.3134962805534338E-4</v>
      </c>
    </row>
    <row r="313" spans="5:9" ht="15.75" customHeight="1" x14ac:dyDescent="0.2">
      <c r="E313" s="18">
        <v>42461</v>
      </c>
      <c r="F313" s="19">
        <v>18.940000000000001</v>
      </c>
      <c r="G313" s="20">
        <v>8323000</v>
      </c>
      <c r="H313" s="21" t="s">
        <v>59</v>
      </c>
      <c r="I313" s="21">
        <f>(Акции!$F313-F312)/F312</f>
        <v>6.9112174375333636E-3</v>
      </c>
    </row>
    <row r="314" spans="5:9" ht="15.75" customHeight="1" x14ac:dyDescent="0.2">
      <c r="E314" s="18">
        <v>42464</v>
      </c>
      <c r="F314" s="19">
        <v>19.47</v>
      </c>
      <c r="G314" s="20">
        <v>12221400</v>
      </c>
      <c r="H314" s="21" t="s">
        <v>59</v>
      </c>
      <c r="I314" s="21">
        <f>(Акции!$F314-F313)/F313</f>
        <v>2.7983104540654568E-2</v>
      </c>
    </row>
    <row r="315" spans="5:9" ht="15.75" customHeight="1" x14ac:dyDescent="0.2">
      <c r="E315" s="18">
        <v>42465</v>
      </c>
      <c r="F315" s="19">
        <v>19.170000000000002</v>
      </c>
      <c r="G315" s="20">
        <v>10290200</v>
      </c>
      <c r="H315" s="21" t="s">
        <v>59</v>
      </c>
      <c r="I315" s="21">
        <f>(Акции!$F315-F314)/F314</f>
        <v>-1.540832049306611E-2</v>
      </c>
    </row>
    <row r="316" spans="5:9" ht="15.75" customHeight="1" x14ac:dyDescent="0.2">
      <c r="E316" s="18">
        <v>42466</v>
      </c>
      <c r="F316" s="19">
        <v>19.559999999999999</v>
      </c>
      <c r="G316" s="20">
        <v>11991500</v>
      </c>
      <c r="H316" s="21" t="s">
        <v>59</v>
      </c>
      <c r="I316" s="21">
        <f>(Акции!$F316-F315)/F315</f>
        <v>2.0344287949921595E-2</v>
      </c>
    </row>
    <row r="317" spans="5:9" ht="15.75" customHeight="1" x14ac:dyDescent="0.2">
      <c r="E317" s="18">
        <v>42467</v>
      </c>
      <c r="F317" s="19">
        <v>19.29</v>
      </c>
      <c r="G317" s="20">
        <v>9557000</v>
      </c>
      <c r="H317" s="21" t="s">
        <v>59</v>
      </c>
      <c r="I317" s="21">
        <f>(Акции!$F317-F316)/F316</f>
        <v>-1.3803680981595071E-2</v>
      </c>
    </row>
    <row r="318" spans="5:9" ht="15.75" customHeight="1" x14ac:dyDescent="0.2">
      <c r="E318" s="18">
        <v>42468</v>
      </c>
      <c r="F318" s="19">
        <v>19.309999999999999</v>
      </c>
      <c r="G318" s="20">
        <v>4966300</v>
      </c>
      <c r="H318" s="21" t="s">
        <v>59</v>
      </c>
      <c r="I318" s="21">
        <f>(Акции!$F318-F317)/F317</f>
        <v>1.0368066355624455E-3</v>
      </c>
    </row>
    <row r="319" spans="5:9" ht="15.75" customHeight="1" x14ac:dyDescent="0.2">
      <c r="E319" s="18">
        <v>42471</v>
      </c>
      <c r="F319" s="19">
        <v>19.170000000000002</v>
      </c>
      <c r="G319" s="20">
        <v>7006400</v>
      </c>
      <c r="H319" s="21" t="s">
        <v>59</v>
      </c>
      <c r="I319" s="21">
        <f>(Акции!$F319-F318)/F318</f>
        <v>-7.2501294665974639E-3</v>
      </c>
    </row>
    <row r="320" spans="5:9" ht="15.75" customHeight="1" x14ac:dyDescent="0.2">
      <c r="E320" s="18">
        <v>42472</v>
      </c>
      <c r="F320" s="19">
        <v>19.309999999999999</v>
      </c>
      <c r="G320" s="20">
        <v>4305600</v>
      </c>
      <c r="H320" s="21" t="s">
        <v>59</v>
      </c>
      <c r="I320" s="21">
        <f>(Акции!$F320-F319)/F319</f>
        <v>7.3030777256127806E-3</v>
      </c>
    </row>
    <row r="321" spans="5:9" ht="15.75" customHeight="1" x14ac:dyDescent="0.2">
      <c r="E321" s="18">
        <v>42473</v>
      </c>
      <c r="F321" s="19">
        <v>19.57</v>
      </c>
      <c r="G321" s="20">
        <v>6105300</v>
      </c>
      <c r="H321" s="21" t="s">
        <v>59</v>
      </c>
      <c r="I321" s="21">
        <f>(Акции!$F321-F320)/F320</f>
        <v>1.34645261522528E-2</v>
      </c>
    </row>
    <row r="322" spans="5:9" ht="15.75" customHeight="1" x14ac:dyDescent="0.2">
      <c r="E322" s="18">
        <v>42474</v>
      </c>
      <c r="F322" s="19">
        <v>19.55</v>
      </c>
      <c r="G322" s="20">
        <v>4830300</v>
      </c>
      <c r="H322" s="21" t="s">
        <v>59</v>
      </c>
      <c r="I322" s="21">
        <f>(Акции!$F322-F321)/F321</f>
        <v>-1.0219724067449961E-3</v>
      </c>
    </row>
    <row r="323" spans="5:9" ht="15.75" customHeight="1" x14ac:dyDescent="0.2">
      <c r="E323" s="18">
        <v>42475</v>
      </c>
      <c r="F323" s="19">
        <v>19.46</v>
      </c>
      <c r="G323" s="20">
        <v>6451500</v>
      </c>
      <c r="H323" s="21" t="s">
        <v>59</v>
      </c>
      <c r="I323" s="21">
        <f>(Акции!$F323-F322)/F322</f>
        <v>-4.6035805626598392E-3</v>
      </c>
    </row>
    <row r="324" spans="5:9" ht="15.75" customHeight="1" x14ac:dyDescent="0.2">
      <c r="E324" s="18">
        <v>42478</v>
      </c>
      <c r="F324" s="19">
        <v>19.47</v>
      </c>
      <c r="G324" s="20">
        <v>8678100</v>
      </c>
      <c r="H324" s="21" t="s">
        <v>59</v>
      </c>
      <c r="I324" s="21">
        <f>(Акции!$F324-F323)/F323</f>
        <v>5.1387461459393683E-4</v>
      </c>
    </row>
    <row r="325" spans="5:9" ht="15.75" customHeight="1" x14ac:dyDescent="0.2">
      <c r="E325" s="18">
        <v>42479</v>
      </c>
      <c r="F325" s="19">
        <v>19.670000000000002</v>
      </c>
      <c r="G325" s="20">
        <v>10021800</v>
      </c>
      <c r="H325" s="21" t="s">
        <v>59</v>
      </c>
      <c r="I325" s="21">
        <f>(Акции!$F325-F324)/F324</f>
        <v>1.0272213662044317E-2</v>
      </c>
    </row>
    <row r="326" spans="5:9" ht="15.75" customHeight="1" x14ac:dyDescent="0.2">
      <c r="E326" s="18">
        <v>42480</v>
      </c>
      <c r="F326" s="19">
        <v>19.649999999999999</v>
      </c>
      <c r="G326" s="20">
        <v>8967100</v>
      </c>
      <c r="H326" s="21" t="s">
        <v>59</v>
      </c>
      <c r="I326" s="21">
        <f>(Акции!$F326-F325)/F325</f>
        <v>-1.0167768174887202E-3</v>
      </c>
    </row>
    <row r="327" spans="5:9" ht="15.75" customHeight="1" x14ac:dyDescent="0.2">
      <c r="E327" s="18">
        <v>42481</v>
      </c>
      <c r="F327" s="19">
        <v>19.59</v>
      </c>
      <c r="G327" s="20">
        <v>6336600</v>
      </c>
      <c r="H327" s="21" t="s">
        <v>59</v>
      </c>
      <c r="I327" s="21">
        <f>(Акции!$F327-F326)/F326</f>
        <v>-3.0534351145037521E-3</v>
      </c>
    </row>
    <row r="328" spans="5:9" ht="15.75" customHeight="1" x14ac:dyDescent="0.2">
      <c r="E328" s="18">
        <v>42482</v>
      </c>
      <c r="F328" s="19">
        <v>19.760000000000002</v>
      </c>
      <c r="G328" s="20">
        <v>8134000</v>
      </c>
      <c r="H328" s="21" t="s">
        <v>59</v>
      </c>
      <c r="I328" s="21">
        <f>(Акции!$F328-F327)/F327</f>
        <v>8.6778968861664987E-3</v>
      </c>
    </row>
    <row r="329" spans="5:9" ht="15.75" customHeight="1" x14ac:dyDescent="0.2">
      <c r="E329" s="18">
        <v>42485</v>
      </c>
      <c r="F329" s="19">
        <v>19.739999999999998</v>
      </c>
      <c r="G329" s="20">
        <v>9731200</v>
      </c>
      <c r="H329" s="21" t="s">
        <v>59</v>
      </c>
      <c r="I329" s="21">
        <f>(Акции!$F329-F328)/F328</f>
        <v>-1.0121457489880123E-3</v>
      </c>
    </row>
    <row r="330" spans="5:9" ht="15.75" customHeight="1" x14ac:dyDescent="0.2">
      <c r="E330" s="18">
        <v>42486</v>
      </c>
      <c r="F330" s="19">
        <v>19.690000000000001</v>
      </c>
      <c r="G330" s="20">
        <v>12252200</v>
      </c>
      <c r="H330" s="21" t="s">
        <v>59</v>
      </c>
      <c r="I330" s="21">
        <f>(Акции!$F330-F329)/F329</f>
        <v>-2.5329280648428145E-3</v>
      </c>
    </row>
    <row r="331" spans="5:9" ht="15.75" customHeight="1" x14ac:dyDescent="0.2">
      <c r="E331" s="18">
        <v>42487</v>
      </c>
      <c r="F331" s="19">
        <v>21.89</v>
      </c>
      <c r="G331" s="20">
        <v>47126600</v>
      </c>
      <c r="H331" s="21" t="s">
        <v>59</v>
      </c>
      <c r="I331" s="21">
        <f>(Акции!$F331-F330)/F330</f>
        <v>0.11173184357541895</v>
      </c>
    </row>
    <row r="332" spans="5:9" ht="15.75" customHeight="1" x14ac:dyDescent="0.2">
      <c r="E332" s="18">
        <v>42488</v>
      </c>
      <c r="F332" s="19">
        <v>21.83</v>
      </c>
      <c r="G332" s="20">
        <v>29460000</v>
      </c>
      <c r="H332" s="21" t="s">
        <v>59</v>
      </c>
      <c r="I332" s="21">
        <f>(Акции!$F332-F331)/F331</f>
        <v>-2.7409776153495785E-3</v>
      </c>
    </row>
    <row r="333" spans="5:9" ht="15.75" customHeight="1" x14ac:dyDescent="0.2">
      <c r="E333" s="18">
        <v>42489</v>
      </c>
      <c r="F333" s="19">
        <v>21.92</v>
      </c>
      <c r="G333" s="20">
        <v>11597500</v>
      </c>
      <c r="H333" s="21" t="s">
        <v>59</v>
      </c>
      <c r="I333" s="21">
        <f>(Акции!$F333-F332)/F332</f>
        <v>4.1227668346313978E-3</v>
      </c>
    </row>
    <row r="334" spans="5:9" ht="15.75" customHeight="1" x14ac:dyDescent="0.2">
      <c r="E334" s="18">
        <v>42492</v>
      </c>
      <c r="F334" s="19">
        <v>22</v>
      </c>
      <c r="G334" s="20">
        <v>11017400</v>
      </c>
      <c r="H334" s="21" t="s">
        <v>59</v>
      </c>
      <c r="I334" s="21">
        <f>(Акции!$F334-F333)/F333</f>
        <v>3.6496350364962722E-3</v>
      </c>
    </row>
    <row r="335" spans="5:9" ht="15.75" customHeight="1" x14ac:dyDescent="0.2">
      <c r="E335" s="18">
        <v>42493</v>
      </c>
      <c r="F335" s="19">
        <v>21.78</v>
      </c>
      <c r="G335" s="20">
        <v>8318900</v>
      </c>
      <c r="H335" s="21" t="s">
        <v>59</v>
      </c>
      <c r="I335" s="21">
        <f>(Акции!$F335-F334)/F334</f>
        <v>-9.9999999999999482E-3</v>
      </c>
    </row>
    <row r="336" spans="5:9" ht="15.75" customHeight="1" x14ac:dyDescent="0.2">
      <c r="E336" s="18">
        <v>42494</v>
      </c>
      <c r="F336" s="19">
        <v>21.81</v>
      </c>
      <c r="G336" s="20">
        <v>9235500</v>
      </c>
      <c r="H336" s="21" t="s">
        <v>59</v>
      </c>
      <c r="I336" s="21">
        <f>(Акции!$F336-F335)/F335</f>
        <v>1.3774104683194482E-3</v>
      </c>
    </row>
    <row r="337" spans="5:9" ht="15.75" customHeight="1" x14ac:dyDescent="0.2">
      <c r="E337" s="18">
        <v>42495</v>
      </c>
      <c r="F337" s="19">
        <v>21.8</v>
      </c>
      <c r="G337" s="20">
        <v>8024800</v>
      </c>
      <c r="H337" s="21" t="s">
        <v>59</v>
      </c>
      <c r="I337" s="21">
        <f>(Акции!$F337-F336)/F336</f>
        <v>-4.5850527281054613E-4</v>
      </c>
    </row>
    <row r="338" spans="5:9" ht="15.75" customHeight="1" x14ac:dyDescent="0.2">
      <c r="E338" s="18">
        <v>42496</v>
      </c>
      <c r="F338" s="19">
        <v>22.03</v>
      </c>
      <c r="G338" s="20">
        <v>9714600</v>
      </c>
      <c r="H338" s="21" t="s">
        <v>59</v>
      </c>
      <c r="I338" s="21">
        <f>(Акции!$F338-F337)/F337</f>
        <v>1.055045871559635E-2</v>
      </c>
    </row>
    <row r="339" spans="5:9" ht="15.75" customHeight="1" x14ac:dyDescent="0.2">
      <c r="E339" s="18">
        <v>42499</v>
      </c>
      <c r="F339" s="19">
        <v>22.14</v>
      </c>
      <c r="G339" s="20">
        <v>8048400</v>
      </c>
      <c r="H339" s="21" t="s">
        <v>59</v>
      </c>
      <c r="I339" s="21">
        <f>(Акции!$F339-F338)/F338</f>
        <v>4.9931911030412814E-3</v>
      </c>
    </row>
    <row r="340" spans="5:9" ht="15.75" customHeight="1" x14ac:dyDescent="0.2">
      <c r="E340" s="18">
        <v>42500</v>
      </c>
      <c r="F340" s="19">
        <v>22.22</v>
      </c>
      <c r="G340" s="20">
        <v>7628600</v>
      </c>
      <c r="H340" s="21" t="s">
        <v>59</v>
      </c>
      <c r="I340" s="21">
        <f>(Акции!$F340-F339)/F339</f>
        <v>3.6133694670279267E-3</v>
      </c>
    </row>
    <row r="341" spans="5:9" ht="15.75" customHeight="1" x14ac:dyDescent="0.2">
      <c r="E341" s="18">
        <v>42501</v>
      </c>
      <c r="F341" s="19">
        <v>22.06</v>
      </c>
      <c r="G341" s="20">
        <v>5112900</v>
      </c>
      <c r="H341" s="21" t="s">
        <v>59</v>
      </c>
      <c r="I341" s="21">
        <f>(Акции!$F341-F340)/F340</f>
        <v>-7.2007200720072074E-3</v>
      </c>
    </row>
    <row r="342" spans="5:9" ht="15.75" customHeight="1" x14ac:dyDescent="0.2">
      <c r="E342" s="18">
        <v>42502</v>
      </c>
      <c r="F342" s="19">
        <v>22.05</v>
      </c>
      <c r="G342" s="20">
        <v>5715400</v>
      </c>
      <c r="H342" s="21" t="s">
        <v>59</v>
      </c>
      <c r="I342" s="21">
        <f>(Акции!$F342-F341)/F341</f>
        <v>-4.5330915684487812E-4</v>
      </c>
    </row>
    <row r="343" spans="5:9" ht="15.75" customHeight="1" x14ac:dyDescent="0.2">
      <c r="E343" s="18">
        <v>42503</v>
      </c>
      <c r="F343" s="19">
        <v>22.35</v>
      </c>
      <c r="G343" s="20">
        <v>16808400</v>
      </c>
      <c r="H343" s="21" t="s">
        <v>59</v>
      </c>
      <c r="I343" s="21">
        <f>(Акции!$F343-F342)/F342</f>
        <v>1.3605442176870781E-2</v>
      </c>
    </row>
    <row r="344" spans="5:9" ht="15.75" customHeight="1" x14ac:dyDescent="0.2">
      <c r="E344" s="18">
        <v>42506</v>
      </c>
      <c r="F344" s="19">
        <v>22.67</v>
      </c>
      <c r="G344" s="20">
        <v>22901300</v>
      </c>
      <c r="H344" s="21" t="s">
        <v>59</v>
      </c>
      <c r="I344" s="21">
        <f>(Акции!$F344-F343)/F343</f>
        <v>1.4317673378076075E-2</v>
      </c>
    </row>
    <row r="345" spans="5:9" ht="15.75" customHeight="1" x14ac:dyDescent="0.2">
      <c r="E345" s="18">
        <v>42507</v>
      </c>
      <c r="F345" s="19">
        <v>22.31</v>
      </c>
      <c r="G345" s="20">
        <v>11439400</v>
      </c>
      <c r="H345" s="21" t="s">
        <v>59</v>
      </c>
      <c r="I345" s="21">
        <f>(Акции!$F345-F344)/F344</f>
        <v>-1.588001764446418E-2</v>
      </c>
    </row>
    <row r="346" spans="5:9" ht="15.75" customHeight="1" x14ac:dyDescent="0.2">
      <c r="E346" s="18">
        <v>42508</v>
      </c>
      <c r="F346" s="19">
        <v>22.29</v>
      </c>
      <c r="G346" s="20">
        <v>9845500</v>
      </c>
      <c r="H346" s="21" t="s">
        <v>59</v>
      </c>
      <c r="I346" s="21">
        <f>(Акции!$F346-F345)/F345</f>
        <v>-8.9645898700132566E-4</v>
      </c>
    </row>
    <row r="347" spans="5:9" ht="15.75" customHeight="1" x14ac:dyDescent="0.2">
      <c r="E347" s="18">
        <v>42509</v>
      </c>
      <c r="F347" s="19">
        <v>22.17</v>
      </c>
      <c r="G347" s="20">
        <v>7417600</v>
      </c>
      <c r="H347" s="21" t="s">
        <v>59</v>
      </c>
      <c r="I347" s="21">
        <f>(Акции!$F347-F346)/F346</f>
        <v>-5.3835800807535868E-3</v>
      </c>
    </row>
    <row r="348" spans="5:9" ht="15.75" customHeight="1" x14ac:dyDescent="0.2">
      <c r="E348" s="18">
        <v>42510</v>
      </c>
      <c r="F348" s="19">
        <v>22.37</v>
      </c>
      <c r="G348" s="20">
        <v>8533200</v>
      </c>
      <c r="H348" s="21" t="s">
        <v>59</v>
      </c>
      <c r="I348" s="21">
        <f>(Акции!$F348-F347)/F347</f>
        <v>9.0211998195759702E-3</v>
      </c>
    </row>
    <row r="349" spans="5:9" ht="15.75" customHeight="1" x14ac:dyDescent="0.2">
      <c r="E349" s="18">
        <v>42513</v>
      </c>
      <c r="F349" s="19">
        <v>22.36</v>
      </c>
      <c r="G349" s="20">
        <v>6977700</v>
      </c>
      <c r="H349" s="21" t="s">
        <v>59</v>
      </c>
      <c r="I349" s="21">
        <f>(Акции!$F349-F348)/F348</f>
        <v>-4.470272686634583E-4</v>
      </c>
    </row>
    <row r="350" spans="5:9" ht="15.75" customHeight="1" x14ac:dyDescent="0.2">
      <c r="E350" s="18">
        <v>42514</v>
      </c>
      <c r="F350" s="19">
        <v>22.53</v>
      </c>
      <c r="G350" s="20">
        <v>12424000</v>
      </c>
      <c r="H350" s="21" t="s">
        <v>59</v>
      </c>
      <c r="I350" s="21">
        <f>(Акции!$F350-F349)/F349</f>
        <v>7.6028622540251214E-3</v>
      </c>
    </row>
    <row r="351" spans="5:9" ht="15.75" customHeight="1" x14ac:dyDescent="0.2">
      <c r="E351" s="18">
        <v>42515</v>
      </c>
      <c r="F351" s="19">
        <v>22.39</v>
      </c>
      <c r="G351" s="20">
        <v>8638200</v>
      </c>
      <c r="H351" s="21" t="s">
        <v>59</v>
      </c>
      <c r="I351" s="21">
        <f>(Акции!$F351-F350)/F350</f>
        <v>-6.2139369729250138E-3</v>
      </c>
    </row>
    <row r="352" spans="5:9" ht="15.75" customHeight="1" x14ac:dyDescent="0.2">
      <c r="E352" s="18">
        <v>42516</v>
      </c>
      <c r="F352" s="19">
        <v>22.56</v>
      </c>
      <c r="G352" s="20">
        <v>6915900</v>
      </c>
      <c r="H352" s="21" t="s">
        <v>59</v>
      </c>
      <c r="I352" s="21">
        <f>(Акции!$F352-F351)/F351</f>
        <v>7.5926753014737896E-3</v>
      </c>
    </row>
    <row r="353" spans="5:9" ht="15.75" customHeight="1" x14ac:dyDescent="0.2">
      <c r="E353" s="18">
        <v>42517</v>
      </c>
      <c r="F353" s="19">
        <v>22.58</v>
      </c>
      <c r="G353" s="20">
        <v>5446200</v>
      </c>
      <c r="H353" s="21" t="s">
        <v>59</v>
      </c>
      <c r="I353" s="21">
        <f>(Акции!$F353-F352)/F352</f>
        <v>8.8652482269501657E-4</v>
      </c>
    </row>
    <row r="354" spans="5:9" ht="15.75" customHeight="1" x14ac:dyDescent="0.2">
      <c r="E354" s="18">
        <v>42521</v>
      </c>
      <c r="F354" s="19">
        <v>22.71</v>
      </c>
      <c r="G354" s="20">
        <v>9148500</v>
      </c>
      <c r="H354" s="21" t="s">
        <v>59</v>
      </c>
      <c r="I354" s="21">
        <f>(Акции!$F354-F353)/F353</f>
        <v>5.7573073516387317E-3</v>
      </c>
    </row>
    <row r="355" spans="5:9" ht="15.75" customHeight="1" x14ac:dyDescent="0.2">
      <c r="E355" s="18">
        <v>42522</v>
      </c>
      <c r="F355" s="19">
        <v>22.71</v>
      </c>
      <c r="G355" s="20">
        <v>7225800</v>
      </c>
      <c r="H355" s="21" t="s">
        <v>59</v>
      </c>
      <c r="I355" s="21">
        <f>(Акции!$F355-F354)/F354</f>
        <v>0</v>
      </c>
    </row>
    <row r="356" spans="5:9" ht="15.75" customHeight="1" x14ac:dyDescent="0.2">
      <c r="E356" s="18">
        <v>42523</v>
      </c>
      <c r="F356" s="19">
        <v>22.99</v>
      </c>
      <c r="G356" s="20">
        <v>7136800</v>
      </c>
      <c r="H356" s="21" t="s">
        <v>59</v>
      </c>
      <c r="I356" s="21">
        <f>(Акции!$F356-F355)/F355</f>
        <v>1.2329370321444192E-2</v>
      </c>
    </row>
    <row r="357" spans="5:9" ht="15.75" customHeight="1" x14ac:dyDescent="0.2">
      <c r="E357" s="18">
        <v>42524</v>
      </c>
      <c r="F357" s="19">
        <v>22.8</v>
      </c>
      <c r="G357" s="20">
        <v>13065100</v>
      </c>
      <c r="H357" s="21" t="s">
        <v>59</v>
      </c>
      <c r="I357" s="21">
        <f>(Акции!$F357-F356)/F356</f>
        <v>-8.2644628099172567E-3</v>
      </c>
    </row>
    <row r="358" spans="5:9" ht="15.75" customHeight="1" x14ac:dyDescent="0.2">
      <c r="E358" s="18">
        <v>42527</v>
      </c>
      <c r="F358" s="19">
        <v>22.75</v>
      </c>
      <c r="G358" s="20">
        <v>10643200</v>
      </c>
      <c r="H358" s="21" t="s">
        <v>59</v>
      </c>
      <c r="I358" s="21">
        <f>(Акции!$F358-F357)/F357</f>
        <v>-2.192982456140382E-3</v>
      </c>
    </row>
    <row r="359" spans="5:9" ht="15.75" customHeight="1" x14ac:dyDescent="0.2">
      <c r="E359" s="18">
        <v>42528</v>
      </c>
      <c r="F359" s="19">
        <v>22.63</v>
      </c>
      <c r="G359" s="20">
        <v>16328600</v>
      </c>
      <c r="H359" s="21" t="s">
        <v>59</v>
      </c>
      <c r="I359" s="21">
        <f>(Акции!$F359-F358)/F358</f>
        <v>-5.2747252747253181E-3</v>
      </c>
    </row>
    <row r="360" spans="5:9" ht="15.75" customHeight="1" x14ac:dyDescent="0.2">
      <c r="E360" s="18">
        <v>42529</v>
      </c>
      <c r="F360" s="19">
        <v>22.8</v>
      </c>
      <c r="G360" s="20">
        <v>11576600</v>
      </c>
      <c r="H360" s="21" t="s">
        <v>59</v>
      </c>
      <c r="I360" s="21">
        <f>(Акции!$F360-F359)/F359</f>
        <v>7.5121520106054664E-3</v>
      </c>
    </row>
    <row r="361" spans="5:9" ht="15.75" customHeight="1" x14ac:dyDescent="0.2">
      <c r="E361" s="18">
        <v>42530</v>
      </c>
      <c r="F361" s="19">
        <v>23.32</v>
      </c>
      <c r="G361" s="20">
        <v>19189300</v>
      </c>
      <c r="H361" s="21" t="s">
        <v>59</v>
      </c>
      <c r="I361" s="21">
        <f>(Акции!$F361-F360)/F360</f>
        <v>2.280701754385963E-2</v>
      </c>
    </row>
    <row r="362" spans="5:9" ht="15.75" customHeight="1" x14ac:dyDescent="0.2">
      <c r="E362" s="18">
        <v>42531</v>
      </c>
      <c r="F362" s="19">
        <v>23.02</v>
      </c>
      <c r="G362" s="20">
        <v>10149000</v>
      </c>
      <c r="H362" s="21" t="s">
        <v>59</v>
      </c>
      <c r="I362" s="21">
        <f>(Акции!$F362-F361)/F361</f>
        <v>-1.2864493996569498E-2</v>
      </c>
    </row>
    <row r="363" spans="5:9" ht="15.75" customHeight="1" x14ac:dyDescent="0.2">
      <c r="E363" s="18">
        <v>42534</v>
      </c>
      <c r="F363" s="19">
        <v>22.95</v>
      </c>
      <c r="G363" s="20">
        <v>8228000</v>
      </c>
      <c r="H363" s="21" t="s">
        <v>59</v>
      </c>
      <c r="I363" s="21">
        <f>(Акции!$F363-F362)/F362</f>
        <v>-3.0408340573414546E-3</v>
      </c>
    </row>
    <row r="364" spans="5:9" ht="15.75" customHeight="1" x14ac:dyDescent="0.2">
      <c r="E364" s="18">
        <v>42535</v>
      </c>
      <c r="F364" s="19">
        <v>22.93</v>
      </c>
      <c r="G364" s="20">
        <v>9526900</v>
      </c>
      <c r="H364" s="21" t="s">
        <v>59</v>
      </c>
      <c r="I364" s="21">
        <f>(Акции!$F364-F363)/F363</f>
        <v>-8.7145969498908819E-4</v>
      </c>
    </row>
    <row r="365" spans="5:9" ht="15.75" customHeight="1" x14ac:dyDescent="0.2">
      <c r="E365" s="18">
        <v>42536</v>
      </c>
      <c r="F365" s="19">
        <v>22.8</v>
      </c>
      <c r="G365" s="20">
        <v>6450800</v>
      </c>
      <c r="H365" s="21" t="s">
        <v>59</v>
      </c>
      <c r="I365" s="21">
        <f>(Акции!$F365-F364)/F364</f>
        <v>-5.6694286960313565E-3</v>
      </c>
    </row>
    <row r="366" spans="5:9" ht="15.75" customHeight="1" x14ac:dyDescent="0.2">
      <c r="E366" s="18">
        <v>42537</v>
      </c>
      <c r="F366" s="19">
        <v>22.83</v>
      </c>
      <c r="G366" s="20">
        <v>5474800</v>
      </c>
      <c r="H366" s="21" t="s">
        <v>59</v>
      </c>
      <c r="I366" s="21">
        <f>(Акции!$F366-F365)/F365</f>
        <v>1.3157894736841045E-3</v>
      </c>
    </row>
    <row r="367" spans="5:9" ht="15.75" customHeight="1" x14ac:dyDescent="0.2">
      <c r="E367" s="18">
        <v>42538</v>
      </c>
      <c r="F367" s="19">
        <v>22.49</v>
      </c>
      <c r="G367" s="20">
        <v>40495400</v>
      </c>
      <c r="H367" s="21" t="s">
        <v>59</v>
      </c>
      <c r="I367" s="21">
        <f>(Акции!$F367-F366)/F366</f>
        <v>-1.4892685063512916E-2</v>
      </c>
    </row>
    <row r="368" spans="5:9" ht="15.75" customHeight="1" x14ac:dyDescent="0.2">
      <c r="E368" s="18">
        <v>42541</v>
      </c>
      <c r="F368" s="19">
        <v>22.85</v>
      </c>
      <c r="G368" s="20">
        <v>10088300</v>
      </c>
      <c r="H368" s="21" t="s">
        <v>59</v>
      </c>
      <c r="I368" s="21">
        <f>(Акции!$F368-F367)/F367</f>
        <v>1.600711427301036E-2</v>
      </c>
    </row>
    <row r="369" spans="5:9" ht="15.75" customHeight="1" x14ac:dyDescent="0.2">
      <c r="E369" s="18">
        <v>42542</v>
      </c>
      <c r="F369" s="19">
        <v>22.76</v>
      </c>
      <c r="G369" s="20">
        <v>9824800</v>
      </c>
      <c r="H369" s="21" t="s">
        <v>59</v>
      </c>
      <c r="I369" s="21">
        <f>(Акции!$F369-F368)/F368</f>
        <v>-3.9387308533916782E-3</v>
      </c>
    </row>
    <row r="370" spans="5:9" ht="15.75" customHeight="1" x14ac:dyDescent="0.2">
      <c r="E370" s="18">
        <v>42543</v>
      </c>
      <c r="F370" s="19">
        <v>22.66</v>
      </c>
      <c r="G370" s="20">
        <v>8446600</v>
      </c>
      <c r="H370" s="21" t="s">
        <v>59</v>
      </c>
      <c r="I370" s="21">
        <f>(Акции!$F370-F369)/F369</f>
        <v>-4.3936731107206244E-3</v>
      </c>
    </row>
    <row r="371" spans="5:9" ht="15.75" customHeight="1" x14ac:dyDescent="0.2">
      <c r="E371" s="18">
        <v>42544</v>
      </c>
      <c r="F371" s="19">
        <v>22.97</v>
      </c>
      <c r="G371" s="20">
        <v>11494900</v>
      </c>
      <c r="H371" s="21" t="s">
        <v>59</v>
      </c>
      <c r="I371" s="21">
        <f>(Акции!$F371-F370)/F370</f>
        <v>1.3680494263018478E-2</v>
      </c>
    </row>
    <row r="372" spans="5:9" ht="15.75" customHeight="1" x14ac:dyDescent="0.2">
      <c r="E372" s="18">
        <v>42545</v>
      </c>
      <c r="F372" s="19">
        <v>22.37</v>
      </c>
      <c r="G372" s="20">
        <v>39356600</v>
      </c>
      <c r="H372" s="21" t="s">
        <v>59</v>
      </c>
      <c r="I372" s="21">
        <f>(Акции!$F372-F371)/F371</f>
        <v>-2.6121027427078707E-2</v>
      </c>
    </row>
    <row r="373" spans="5:9" ht="15.75" customHeight="1" x14ac:dyDescent="0.2">
      <c r="E373" s="18">
        <v>42548</v>
      </c>
      <c r="F373" s="19">
        <v>21.98</v>
      </c>
      <c r="G373" s="20">
        <v>14233100</v>
      </c>
      <c r="H373" s="21" t="s">
        <v>59</v>
      </c>
      <c r="I373" s="21">
        <f>(Акции!$F373-F372)/F372</f>
        <v>-1.7434063477872176E-2</v>
      </c>
    </row>
    <row r="374" spans="5:9" ht="15.75" customHeight="1" x14ac:dyDescent="0.2">
      <c r="E374" s="18">
        <v>42549</v>
      </c>
      <c r="F374" s="19">
        <v>22.35</v>
      </c>
      <c r="G374" s="20">
        <v>14216800</v>
      </c>
      <c r="H374" s="21" t="s">
        <v>59</v>
      </c>
      <c r="I374" s="21">
        <f>(Акции!$F374-F373)/F373</f>
        <v>1.6833484986351274E-2</v>
      </c>
    </row>
    <row r="375" spans="5:9" ht="15.75" customHeight="1" x14ac:dyDescent="0.2">
      <c r="E375" s="18">
        <v>42550</v>
      </c>
      <c r="F375" s="19">
        <v>23.03</v>
      </c>
      <c r="G375" s="20">
        <v>12689600</v>
      </c>
      <c r="H375" s="21" t="s">
        <v>59</v>
      </c>
      <c r="I375" s="21">
        <f>(Акции!$F375-F374)/F374</f>
        <v>3.0425055928411618E-2</v>
      </c>
    </row>
    <row r="376" spans="5:9" ht="15.75" customHeight="1" x14ac:dyDescent="0.2">
      <c r="E376" s="18">
        <v>42551</v>
      </c>
      <c r="F376" s="19">
        <v>23.37</v>
      </c>
      <c r="G376" s="20">
        <v>11094700</v>
      </c>
      <c r="H376" s="21" t="s">
        <v>59</v>
      </c>
      <c r="I376" s="21">
        <f>(Акции!$F376-F375)/F375</f>
        <v>1.4763352149370379E-2</v>
      </c>
    </row>
    <row r="377" spans="5:9" ht="15.75" customHeight="1" x14ac:dyDescent="0.2">
      <c r="E377" s="18">
        <v>42552</v>
      </c>
      <c r="F377" s="19">
        <v>23.41</v>
      </c>
      <c r="G377" s="20">
        <v>8180200</v>
      </c>
      <c r="H377" s="21" t="s">
        <v>59</v>
      </c>
      <c r="I377" s="21">
        <f>(Акции!$F377-F376)/F376</f>
        <v>1.7115960633290177E-3</v>
      </c>
    </row>
    <row r="378" spans="5:9" ht="15.75" customHeight="1" x14ac:dyDescent="0.2">
      <c r="E378" s="18">
        <v>42556</v>
      </c>
      <c r="F378" s="19">
        <v>23.3</v>
      </c>
      <c r="G378" s="20">
        <v>10843300</v>
      </c>
      <c r="H378" s="21" t="s">
        <v>59</v>
      </c>
      <c r="I378" s="21">
        <f>(Акции!$F378-F377)/F377</f>
        <v>-4.6988466467321414E-3</v>
      </c>
    </row>
    <row r="379" spans="5:9" ht="15.75" customHeight="1" x14ac:dyDescent="0.2">
      <c r="E379" s="18">
        <v>42557</v>
      </c>
      <c r="F379" s="19">
        <v>23.67</v>
      </c>
      <c r="G379" s="20">
        <v>12576700</v>
      </c>
      <c r="H379" s="21" t="s">
        <v>59</v>
      </c>
      <c r="I379" s="21">
        <f>(Акции!$F379-F378)/F378</f>
        <v>1.58798283261803E-2</v>
      </c>
    </row>
    <row r="380" spans="5:9" ht="15.75" customHeight="1" x14ac:dyDescent="0.2">
      <c r="E380" s="18">
        <v>42558</v>
      </c>
      <c r="F380" s="19">
        <v>23.66</v>
      </c>
      <c r="G380" s="20">
        <v>7007500</v>
      </c>
      <c r="H380" s="21" t="s">
        <v>59</v>
      </c>
      <c r="I380" s="21">
        <f>(Акции!$F380-F379)/F379</f>
        <v>-4.2247570764687633E-4</v>
      </c>
    </row>
    <row r="381" spans="5:9" ht="15.75" customHeight="1" x14ac:dyDescent="0.2">
      <c r="E381" s="18">
        <v>42559</v>
      </c>
      <c r="F381" s="19">
        <v>23.9</v>
      </c>
      <c r="G381" s="20">
        <v>6861100</v>
      </c>
      <c r="H381" s="21" t="s">
        <v>59</v>
      </c>
      <c r="I381" s="21">
        <f>(Акции!$F381-F380)/F380</f>
        <v>1.0143702451394693E-2</v>
      </c>
    </row>
    <row r="382" spans="5:9" ht="15.75" customHeight="1" x14ac:dyDescent="0.2">
      <c r="E382" s="18">
        <v>42562</v>
      </c>
      <c r="F382" s="19">
        <v>23.77</v>
      </c>
      <c r="G382" s="20">
        <v>6401500</v>
      </c>
      <c r="H382" s="21" t="s">
        <v>59</v>
      </c>
      <c r="I382" s="21">
        <f>(Акции!$F382-F381)/F381</f>
        <v>-5.4393305439330132E-3</v>
      </c>
    </row>
    <row r="383" spans="5:9" ht="15.75" customHeight="1" x14ac:dyDescent="0.2">
      <c r="E383" s="18">
        <v>42563</v>
      </c>
      <c r="F383" s="19">
        <v>23.64</v>
      </c>
      <c r="G383" s="20">
        <v>11958500</v>
      </c>
      <c r="H383" s="21" t="s">
        <v>59</v>
      </c>
      <c r="I383" s="21">
        <f>(Акции!$F383-F382)/F382</f>
        <v>-5.4690786705931431E-3</v>
      </c>
    </row>
    <row r="384" spans="5:9" ht="15.75" customHeight="1" x14ac:dyDescent="0.2">
      <c r="E384" s="18">
        <v>42564</v>
      </c>
      <c r="F384" s="19">
        <v>23.63</v>
      </c>
      <c r="G384" s="20">
        <v>7704300</v>
      </c>
      <c r="H384" s="21" t="s">
        <v>59</v>
      </c>
      <c r="I384" s="21">
        <f>(Акции!$F384-F383)/F383</f>
        <v>-4.2301184433170741E-4</v>
      </c>
    </row>
    <row r="385" spans="5:9" ht="15.75" customHeight="1" x14ac:dyDescent="0.2">
      <c r="E385" s="18">
        <v>42565</v>
      </c>
      <c r="F385" s="19">
        <v>23.78</v>
      </c>
      <c r="G385" s="20">
        <v>7583500</v>
      </c>
      <c r="H385" s="21" t="s">
        <v>59</v>
      </c>
      <c r="I385" s="21">
        <f>(Акции!$F385-F384)/F384</f>
        <v>6.3478628861617491E-3</v>
      </c>
    </row>
    <row r="386" spans="5:9" ht="15.75" customHeight="1" x14ac:dyDescent="0.2">
      <c r="E386" s="18">
        <v>42566</v>
      </c>
      <c r="F386" s="19">
        <v>23.58</v>
      </c>
      <c r="G386" s="20">
        <v>6094300</v>
      </c>
      <c r="H386" s="21" t="s">
        <v>59</v>
      </c>
      <c r="I386" s="21">
        <f>(Акции!$F386-F385)/F385</f>
        <v>-8.4104289318756454E-3</v>
      </c>
    </row>
    <row r="387" spans="5:9" ht="15.75" customHeight="1" x14ac:dyDescent="0.2">
      <c r="E387" s="18">
        <v>42569</v>
      </c>
      <c r="F387" s="19">
        <v>23.58</v>
      </c>
      <c r="G387" s="20">
        <v>5210800</v>
      </c>
      <c r="H387" s="21" t="s">
        <v>59</v>
      </c>
      <c r="I387" s="21">
        <f>(Акции!$F387-F386)/F386</f>
        <v>0</v>
      </c>
    </row>
    <row r="388" spans="5:9" ht="15.75" customHeight="1" x14ac:dyDescent="0.2">
      <c r="E388" s="18">
        <v>42570</v>
      </c>
      <c r="F388" s="19">
        <v>23.75</v>
      </c>
      <c r="G388" s="20">
        <v>7539500</v>
      </c>
      <c r="H388" s="21" t="s">
        <v>59</v>
      </c>
      <c r="I388" s="21">
        <f>(Акции!$F388-F387)/F387</f>
        <v>7.2094995759118628E-3</v>
      </c>
    </row>
    <row r="389" spans="5:9" ht="15.75" customHeight="1" x14ac:dyDescent="0.2">
      <c r="E389" s="18">
        <v>42571</v>
      </c>
      <c r="F389" s="19">
        <v>24.26</v>
      </c>
      <c r="G389" s="20">
        <v>10868100</v>
      </c>
      <c r="H389" s="21" t="s">
        <v>59</v>
      </c>
      <c r="I389" s="21">
        <f>(Акции!$F389-F388)/F388</f>
        <v>2.1473684210526381E-2</v>
      </c>
    </row>
    <row r="390" spans="5:9" ht="15.75" customHeight="1" x14ac:dyDescent="0.2">
      <c r="E390" s="18">
        <v>42572</v>
      </c>
      <c r="F390" s="19">
        <v>23.92</v>
      </c>
      <c r="G390" s="20">
        <v>7705100</v>
      </c>
      <c r="H390" s="21" t="s">
        <v>59</v>
      </c>
      <c r="I390" s="21">
        <f>(Акции!$F390-F389)/F389</f>
        <v>-1.401483924154987E-2</v>
      </c>
    </row>
    <row r="391" spans="5:9" ht="15.75" customHeight="1" x14ac:dyDescent="0.2">
      <c r="E391" s="18">
        <v>42573</v>
      </c>
      <c r="F391" s="19">
        <v>23.92</v>
      </c>
      <c r="G391" s="20">
        <v>11053700</v>
      </c>
      <c r="H391" s="21" t="s">
        <v>59</v>
      </c>
      <c r="I391" s="21">
        <f>(Акции!$F391-F390)/F390</f>
        <v>0</v>
      </c>
    </row>
    <row r="392" spans="5:9" ht="15.75" customHeight="1" x14ac:dyDescent="0.2">
      <c r="E392" s="18">
        <v>42576</v>
      </c>
      <c r="F392" s="19">
        <v>23.7</v>
      </c>
      <c r="G392" s="20">
        <v>7567600</v>
      </c>
      <c r="H392" s="21" t="s">
        <v>59</v>
      </c>
      <c r="I392" s="21">
        <f>(Акции!$F392-F391)/F391</f>
        <v>-9.1973244147158188E-3</v>
      </c>
    </row>
    <row r="393" spans="5:9" ht="15.75" customHeight="1" x14ac:dyDescent="0.2">
      <c r="E393" s="18">
        <v>42577</v>
      </c>
      <c r="F393" s="19">
        <v>23.98</v>
      </c>
      <c r="G393" s="20">
        <v>6308900</v>
      </c>
      <c r="H393" s="21" t="s">
        <v>59</v>
      </c>
      <c r="I393" s="21">
        <f>(Акции!$F393-F392)/F392</f>
        <v>1.1814345991561229E-2</v>
      </c>
    </row>
    <row r="394" spans="5:9" ht="15.75" customHeight="1" x14ac:dyDescent="0.2">
      <c r="E394" s="18">
        <v>42578</v>
      </c>
      <c r="F394" s="19">
        <v>23.66</v>
      </c>
      <c r="G394" s="20">
        <v>10732900</v>
      </c>
      <c r="H394" s="21" t="s">
        <v>59</v>
      </c>
      <c r="I394" s="21">
        <f>(Акции!$F394-F393)/F393</f>
        <v>-1.33444537114262E-2</v>
      </c>
    </row>
    <row r="395" spans="5:9" ht="15.75" customHeight="1" x14ac:dyDescent="0.2">
      <c r="E395" s="18">
        <v>42579</v>
      </c>
      <c r="F395" s="19">
        <v>24.34</v>
      </c>
      <c r="G395" s="20">
        <v>24280500</v>
      </c>
      <c r="H395" s="21" t="s">
        <v>59</v>
      </c>
      <c r="I395" s="21">
        <f>(Акции!$F395-F394)/F394</f>
        <v>2.8740490278951807E-2</v>
      </c>
    </row>
    <row r="396" spans="5:9" ht="15.75" customHeight="1" x14ac:dyDescent="0.2">
      <c r="E396" s="18">
        <v>42580</v>
      </c>
      <c r="F396" s="19">
        <v>24.28</v>
      </c>
      <c r="G396" s="20">
        <v>13047300</v>
      </c>
      <c r="H396" s="21" t="s">
        <v>59</v>
      </c>
      <c r="I396" s="21">
        <f>(Акции!$F396-F395)/F395</f>
        <v>-2.4650780608052062E-3</v>
      </c>
    </row>
    <row r="397" spans="5:9" ht="15.75" customHeight="1" x14ac:dyDescent="0.2">
      <c r="E397" s="18">
        <v>42583</v>
      </c>
      <c r="F397" s="19">
        <v>24.43</v>
      </c>
      <c r="G397" s="20">
        <v>7267400</v>
      </c>
      <c r="H397" s="21" t="s">
        <v>59</v>
      </c>
      <c r="I397" s="21">
        <f>(Акции!$F397-F396)/F396</f>
        <v>6.1779242174628737E-3</v>
      </c>
    </row>
    <row r="398" spans="5:9" ht="15.75" customHeight="1" x14ac:dyDescent="0.2">
      <c r="E398" s="18">
        <v>42584</v>
      </c>
      <c r="F398" s="19">
        <v>24.17</v>
      </c>
      <c r="G398" s="20">
        <v>7115500</v>
      </c>
      <c r="H398" s="21" t="s">
        <v>59</v>
      </c>
      <c r="I398" s="21">
        <f>(Акции!$F398-F397)/F397</f>
        <v>-1.0642652476463283E-2</v>
      </c>
    </row>
    <row r="399" spans="5:9" ht="15.75" customHeight="1" x14ac:dyDescent="0.2">
      <c r="E399" s="18">
        <v>42585</v>
      </c>
      <c r="F399" s="19">
        <v>23.84</v>
      </c>
      <c r="G399" s="20">
        <v>6151500</v>
      </c>
      <c r="H399" s="21" t="s">
        <v>59</v>
      </c>
      <c r="I399" s="21">
        <f>(Акции!$F399-F398)/F398</f>
        <v>-1.3653289201489525E-2</v>
      </c>
    </row>
    <row r="400" spans="5:9" ht="15.75" customHeight="1" x14ac:dyDescent="0.2">
      <c r="E400" s="18">
        <v>42586</v>
      </c>
      <c r="F400" s="19">
        <v>24.14</v>
      </c>
      <c r="G400" s="20">
        <v>8460700</v>
      </c>
      <c r="H400" s="21" t="s">
        <v>59</v>
      </c>
      <c r="I400" s="21">
        <f>(Акции!$F400-F399)/F399</f>
        <v>1.2583892617449695E-2</v>
      </c>
    </row>
    <row r="401" spans="5:9" ht="15.75" customHeight="1" x14ac:dyDescent="0.2">
      <c r="E401" s="18">
        <v>42587</v>
      </c>
      <c r="F401" s="19">
        <v>24.14</v>
      </c>
      <c r="G401" s="20">
        <v>5602200</v>
      </c>
      <c r="H401" s="21" t="s">
        <v>59</v>
      </c>
      <c r="I401" s="21">
        <f>(Акции!$F401-F400)/F400</f>
        <v>0</v>
      </c>
    </row>
    <row r="402" spans="5:9" ht="15.75" customHeight="1" x14ac:dyDescent="0.2">
      <c r="E402" s="18">
        <v>42590</v>
      </c>
      <c r="F402" s="19">
        <v>23.88</v>
      </c>
      <c r="G402" s="20">
        <v>6959400</v>
      </c>
      <c r="H402" s="21" t="s">
        <v>59</v>
      </c>
      <c r="I402" s="21">
        <f>(Акции!$F402-F401)/F401</f>
        <v>-1.0770505385252756E-2</v>
      </c>
    </row>
    <row r="403" spans="5:9" ht="15.75" customHeight="1" x14ac:dyDescent="0.2">
      <c r="E403" s="18">
        <v>42591</v>
      </c>
      <c r="F403" s="19">
        <v>24.15</v>
      </c>
      <c r="G403" s="20">
        <v>7090800</v>
      </c>
      <c r="H403" s="21" t="s">
        <v>59</v>
      </c>
      <c r="I403" s="21">
        <f>(Акции!$F403-F402)/F402</f>
        <v>1.1306532663316566E-2</v>
      </c>
    </row>
    <row r="404" spans="5:9" ht="15.75" customHeight="1" x14ac:dyDescent="0.2">
      <c r="E404" s="18">
        <v>42592</v>
      </c>
      <c r="F404" s="19">
        <v>23.88</v>
      </c>
      <c r="G404" s="20">
        <v>6047200</v>
      </c>
      <c r="H404" s="21" t="s">
        <v>59</v>
      </c>
      <c r="I404" s="21">
        <f>(Акции!$F404-F403)/F403</f>
        <v>-1.1180124223602468E-2</v>
      </c>
    </row>
    <row r="405" spans="5:9" ht="15.75" customHeight="1" x14ac:dyDescent="0.2">
      <c r="E405" s="18">
        <v>42593</v>
      </c>
      <c r="F405" s="19">
        <v>23.86</v>
      </c>
      <c r="G405" s="20">
        <v>6190100</v>
      </c>
      <c r="H405" s="21" t="s">
        <v>59</v>
      </c>
      <c r="I405" s="21">
        <f>(Акции!$F405-F404)/F404</f>
        <v>-8.3752093802343282E-4</v>
      </c>
    </row>
    <row r="406" spans="5:9" ht="15.75" customHeight="1" x14ac:dyDescent="0.2">
      <c r="E406" s="18">
        <v>42594</v>
      </c>
      <c r="F406" s="19">
        <v>23.89</v>
      </c>
      <c r="G406" s="20">
        <v>4258600</v>
      </c>
      <c r="H406" s="21" t="s">
        <v>59</v>
      </c>
      <c r="I406" s="21">
        <f>(Акции!$F406-F405)/F405</f>
        <v>1.2573344509640041E-3</v>
      </c>
    </row>
    <row r="407" spans="5:9" ht="15.75" customHeight="1" x14ac:dyDescent="0.2">
      <c r="E407" s="18">
        <v>42597</v>
      </c>
      <c r="F407" s="19">
        <v>23.97</v>
      </c>
      <c r="G407" s="20">
        <v>5015900</v>
      </c>
      <c r="H407" s="21" t="s">
        <v>59</v>
      </c>
      <c r="I407" s="21">
        <f>(Акции!$F407-F406)/F406</f>
        <v>3.3486814566763621E-3</v>
      </c>
    </row>
    <row r="408" spans="5:9" ht="15.75" customHeight="1" x14ac:dyDescent="0.2">
      <c r="E408" s="18">
        <v>42598</v>
      </c>
      <c r="F408" s="19">
        <v>23.87</v>
      </c>
      <c r="G408" s="20">
        <v>6466300</v>
      </c>
      <c r="H408" s="21" t="s">
        <v>59</v>
      </c>
      <c r="I408" s="21">
        <f>(Акции!$F408-F407)/F407</f>
        <v>-4.1718815185647837E-3</v>
      </c>
    </row>
    <row r="409" spans="5:9" ht="15.75" customHeight="1" x14ac:dyDescent="0.2">
      <c r="E409" s="18">
        <v>42599</v>
      </c>
      <c r="F409" s="19">
        <v>23.9</v>
      </c>
      <c r="G409" s="20">
        <v>6405200</v>
      </c>
      <c r="H409" s="21" t="s">
        <v>59</v>
      </c>
      <c r="I409" s="21">
        <f>(Акции!$F409-F408)/F408</f>
        <v>1.2568077084205104E-3</v>
      </c>
    </row>
    <row r="410" spans="5:9" ht="15.75" customHeight="1" x14ac:dyDescent="0.2">
      <c r="E410" s="18">
        <v>42600</v>
      </c>
      <c r="F410" s="19">
        <v>23.96</v>
      </c>
      <c r="G410" s="20">
        <v>5172900</v>
      </c>
      <c r="H410" s="21" t="s">
        <v>59</v>
      </c>
      <c r="I410" s="21">
        <f>(Акции!$F410-F409)/F409</f>
        <v>2.5104602510461205E-3</v>
      </c>
    </row>
    <row r="411" spans="5:9" ht="15.75" customHeight="1" x14ac:dyDescent="0.2">
      <c r="E411" s="18">
        <v>42601</v>
      </c>
      <c r="F411" s="19">
        <v>24.17</v>
      </c>
      <c r="G411" s="20">
        <v>4712200</v>
      </c>
      <c r="H411" s="21" t="s">
        <v>59</v>
      </c>
      <c r="I411" s="21">
        <f>(Акции!$F411-F410)/F410</f>
        <v>8.7646076794658124E-3</v>
      </c>
    </row>
    <row r="412" spans="5:9" ht="15.75" customHeight="1" x14ac:dyDescent="0.2">
      <c r="E412" s="18">
        <v>42604</v>
      </c>
      <c r="F412" s="19">
        <v>24.12</v>
      </c>
      <c r="G412" s="20">
        <v>3185500</v>
      </c>
      <c r="H412" s="21" t="s">
        <v>59</v>
      </c>
      <c r="I412" s="21">
        <f>(Акции!$F412-F411)/F411</f>
        <v>-2.0686801820438854E-3</v>
      </c>
    </row>
    <row r="413" spans="5:9" ht="15.75" customHeight="1" x14ac:dyDescent="0.2">
      <c r="E413" s="18">
        <v>42605</v>
      </c>
      <c r="F413" s="19">
        <v>24.11</v>
      </c>
      <c r="G413" s="20">
        <v>4338300</v>
      </c>
      <c r="H413" s="21" t="s">
        <v>59</v>
      </c>
      <c r="I413" s="21">
        <f>(Акции!$F413-F412)/F412</f>
        <v>-4.1459369817585252E-4</v>
      </c>
    </row>
    <row r="414" spans="5:9" ht="15.75" customHeight="1" x14ac:dyDescent="0.2">
      <c r="E414" s="18">
        <v>42606</v>
      </c>
      <c r="F414" s="19">
        <v>23.63</v>
      </c>
      <c r="G414" s="20">
        <v>4882300</v>
      </c>
      <c r="H414" s="21" t="s">
        <v>59</v>
      </c>
      <c r="I414" s="21">
        <f>(Акции!$F414-F413)/F413</f>
        <v>-1.9908751555371234E-2</v>
      </c>
    </row>
    <row r="415" spans="5:9" ht="15.75" customHeight="1" x14ac:dyDescent="0.2">
      <c r="E415" s="18">
        <v>42607</v>
      </c>
      <c r="F415" s="19">
        <v>23.77</v>
      </c>
      <c r="G415" s="20">
        <v>7809000</v>
      </c>
      <c r="H415" s="21" t="s">
        <v>59</v>
      </c>
      <c r="I415" s="21">
        <f>(Акции!$F415-F414)/F414</f>
        <v>5.9246720270842391E-3</v>
      </c>
    </row>
    <row r="416" spans="5:9" ht="15.75" customHeight="1" x14ac:dyDescent="0.2">
      <c r="E416" s="18">
        <v>42608</v>
      </c>
      <c r="F416" s="19">
        <v>23.97</v>
      </c>
      <c r="G416" s="20">
        <v>6744300</v>
      </c>
      <c r="H416" s="21" t="s">
        <v>59</v>
      </c>
      <c r="I416" s="21">
        <f>(Акции!$F416-F415)/F415</f>
        <v>8.4139671855279468E-3</v>
      </c>
    </row>
    <row r="417" spans="5:9" ht="15.75" customHeight="1" x14ac:dyDescent="0.2">
      <c r="E417" s="18">
        <v>42611</v>
      </c>
      <c r="F417" s="19">
        <v>24.3</v>
      </c>
      <c r="G417" s="20">
        <v>6932300</v>
      </c>
      <c r="H417" s="21" t="s">
        <v>59</v>
      </c>
      <c r="I417" s="21">
        <f>(Акции!$F417-F416)/F416</f>
        <v>1.3767209011264157E-2</v>
      </c>
    </row>
    <row r="418" spans="5:9" ht="15.75" customHeight="1" x14ac:dyDescent="0.2">
      <c r="E418" s="18">
        <v>42612</v>
      </c>
      <c r="F418" s="19">
        <v>24.21</v>
      </c>
      <c r="G418" s="20">
        <v>3579700</v>
      </c>
      <c r="H418" s="21" t="s">
        <v>59</v>
      </c>
      <c r="I418" s="21">
        <f>(Акции!$F418-F417)/F417</f>
        <v>-3.7037037037036978E-3</v>
      </c>
    </row>
    <row r="419" spans="5:9" ht="15.75" customHeight="1" x14ac:dyDescent="0.2">
      <c r="E419" s="18">
        <v>42613</v>
      </c>
      <c r="F419" s="19">
        <v>23.82</v>
      </c>
      <c r="G419" s="20">
        <v>9533100</v>
      </c>
      <c r="H419" s="21" t="s">
        <v>59</v>
      </c>
      <c r="I419" s="21">
        <f>(Акции!$F419-F418)/F418</f>
        <v>-1.6109045848822823E-2</v>
      </c>
    </row>
    <row r="420" spans="5:9" ht="15.75" customHeight="1" x14ac:dyDescent="0.2">
      <c r="E420" s="18">
        <v>42614</v>
      </c>
      <c r="F420" s="19">
        <v>24.33</v>
      </c>
      <c r="G420" s="20">
        <v>9115600</v>
      </c>
      <c r="H420" s="21" t="s">
        <v>59</v>
      </c>
      <c r="I420" s="21">
        <f>(Акции!$F420-F419)/F419</f>
        <v>2.1410579345088079E-2</v>
      </c>
    </row>
    <row r="421" spans="5:9" ht="15.75" customHeight="1" x14ac:dyDescent="0.2">
      <c r="E421" s="18">
        <v>42615</v>
      </c>
      <c r="F421" s="19">
        <v>24.26</v>
      </c>
      <c r="G421" s="20">
        <v>5511500</v>
      </c>
      <c r="H421" s="21" t="s">
        <v>59</v>
      </c>
      <c r="I421" s="21">
        <f>(Акции!$F421-F420)/F420</f>
        <v>-2.8771064529386245E-3</v>
      </c>
    </row>
    <row r="422" spans="5:9" ht="15.75" customHeight="1" x14ac:dyDescent="0.2">
      <c r="E422" s="18">
        <v>42619</v>
      </c>
      <c r="F422" s="19">
        <v>24.33</v>
      </c>
      <c r="G422" s="20">
        <v>4777400</v>
      </c>
      <c r="H422" s="21" t="s">
        <v>59</v>
      </c>
      <c r="I422" s="21">
        <f>(Акции!$F422-F421)/F421</f>
        <v>2.8854080791424867E-3</v>
      </c>
    </row>
    <row r="423" spans="5:9" ht="15.75" customHeight="1" x14ac:dyDescent="0.2">
      <c r="E423" s="18">
        <v>42620</v>
      </c>
      <c r="F423" s="19">
        <v>24.41</v>
      </c>
      <c r="G423" s="20">
        <v>6155100</v>
      </c>
      <c r="H423" s="21" t="s">
        <v>59</v>
      </c>
      <c r="I423" s="21">
        <f>(Акции!$F423-F422)/F422</f>
        <v>3.2881216605015148E-3</v>
      </c>
    </row>
    <row r="424" spans="5:9" ht="15.75" customHeight="1" x14ac:dyDescent="0.2">
      <c r="E424" s="18">
        <v>42621</v>
      </c>
      <c r="F424" s="19">
        <v>24.48</v>
      </c>
      <c r="G424" s="20">
        <v>5542600</v>
      </c>
      <c r="H424" s="21" t="s">
        <v>59</v>
      </c>
      <c r="I424" s="21">
        <f>(Акции!$F424-F423)/F423</f>
        <v>2.8676771814830104E-3</v>
      </c>
    </row>
    <row r="425" spans="5:9" ht="15.75" customHeight="1" x14ac:dyDescent="0.2">
      <c r="E425" s="18">
        <v>42622</v>
      </c>
      <c r="F425" s="19">
        <v>23.51</v>
      </c>
      <c r="G425" s="20">
        <v>7695500</v>
      </c>
      <c r="H425" s="21" t="s">
        <v>59</v>
      </c>
      <c r="I425" s="21">
        <f>(Акции!$F425-F424)/F424</f>
        <v>-3.9624183006535897E-2</v>
      </c>
    </row>
    <row r="426" spans="5:9" ht="15.75" customHeight="1" x14ac:dyDescent="0.2">
      <c r="E426" s="18">
        <v>42625</v>
      </c>
      <c r="F426" s="19">
        <v>23.75</v>
      </c>
      <c r="G426" s="20">
        <v>7482000</v>
      </c>
      <c r="H426" s="21" t="s">
        <v>59</v>
      </c>
      <c r="I426" s="21">
        <f>(Акции!$F426-F425)/F425</f>
        <v>1.0208421948107121E-2</v>
      </c>
    </row>
    <row r="427" spans="5:9" ht="15.75" customHeight="1" x14ac:dyDescent="0.2">
      <c r="E427" s="18">
        <v>42626</v>
      </c>
      <c r="F427" s="19">
        <v>23.26</v>
      </c>
      <c r="G427" s="20">
        <v>11457700</v>
      </c>
      <c r="H427" s="21" t="s">
        <v>59</v>
      </c>
      <c r="I427" s="21">
        <f>(Акции!$F427-F426)/F426</f>
        <v>-2.0631578947368355E-2</v>
      </c>
    </row>
    <row r="428" spans="5:9" ht="15.75" customHeight="1" x14ac:dyDescent="0.2">
      <c r="E428" s="18">
        <v>42627</v>
      </c>
      <c r="F428" s="19">
        <v>23.11</v>
      </c>
      <c r="G428" s="20">
        <v>17899000</v>
      </c>
      <c r="H428" s="21" t="s">
        <v>59</v>
      </c>
      <c r="I428" s="21">
        <f>(Акции!$F428-F427)/F427</f>
        <v>-6.4488392089424819E-3</v>
      </c>
    </row>
    <row r="429" spans="5:9" ht="15.75" customHeight="1" x14ac:dyDescent="0.2">
      <c r="E429" s="18">
        <v>42628</v>
      </c>
      <c r="F429" s="19">
        <v>23.62</v>
      </c>
      <c r="G429" s="20">
        <v>13201200</v>
      </c>
      <c r="H429" s="21" t="s">
        <v>59</v>
      </c>
      <c r="I429" s="21">
        <f>(Акции!$F429-F428)/F428</f>
        <v>2.2068368671570818E-2</v>
      </c>
    </row>
    <row r="430" spans="5:9" ht="15.75" customHeight="1" x14ac:dyDescent="0.2">
      <c r="E430" s="18">
        <v>42629</v>
      </c>
      <c r="F430" s="19">
        <v>23.5</v>
      </c>
      <c r="G430" s="20">
        <v>13251800</v>
      </c>
      <c r="H430" s="21" t="s">
        <v>59</v>
      </c>
      <c r="I430" s="21">
        <f>(Акции!$F430-F429)/F429</f>
        <v>-5.0804403048264604E-3</v>
      </c>
    </row>
    <row r="431" spans="5:9" ht="15.75" customHeight="1" x14ac:dyDescent="0.2">
      <c r="E431" s="18">
        <v>42632</v>
      </c>
      <c r="F431" s="19">
        <v>23.51</v>
      </c>
      <c r="G431" s="20">
        <v>7587800</v>
      </c>
      <c r="H431" s="21" t="s">
        <v>59</v>
      </c>
      <c r="I431" s="21">
        <f>(Акции!$F431-F430)/F430</f>
        <v>4.2553191489368353E-4</v>
      </c>
    </row>
    <row r="432" spans="5:9" ht="15.75" customHeight="1" x14ac:dyDescent="0.2">
      <c r="E432" s="18">
        <v>42633</v>
      </c>
      <c r="F432" s="19">
        <v>23.31</v>
      </c>
      <c r="G432" s="20">
        <v>12077300</v>
      </c>
      <c r="H432" s="21" t="s">
        <v>59</v>
      </c>
      <c r="I432" s="21">
        <f>(Акции!$F432-F431)/F431</f>
        <v>-8.5070182900894437E-3</v>
      </c>
    </row>
    <row r="433" spans="5:9" ht="15.75" customHeight="1" x14ac:dyDescent="0.2">
      <c r="E433" s="18">
        <v>42634</v>
      </c>
      <c r="F433" s="19">
        <v>23.73</v>
      </c>
      <c r="G433" s="20">
        <v>6858200</v>
      </c>
      <c r="H433" s="21" t="s">
        <v>59</v>
      </c>
      <c r="I433" s="21">
        <f>(Акции!$F433-F432)/F432</f>
        <v>1.8018018018018091E-2</v>
      </c>
    </row>
    <row r="434" spans="5:9" ht="15.75" customHeight="1" x14ac:dyDescent="0.2">
      <c r="E434" s="18">
        <v>42635</v>
      </c>
      <c r="F434" s="19">
        <v>23.73</v>
      </c>
      <c r="G434" s="20">
        <v>9681400</v>
      </c>
      <c r="H434" s="21" t="s">
        <v>59</v>
      </c>
      <c r="I434" s="21">
        <f>(Акции!$F434-F433)/F433</f>
        <v>0</v>
      </c>
    </row>
    <row r="435" spans="5:9" ht="15.75" customHeight="1" x14ac:dyDescent="0.2">
      <c r="E435" s="18">
        <v>42636</v>
      </c>
      <c r="F435" s="19">
        <v>23.71</v>
      </c>
      <c r="G435" s="20">
        <v>7409300</v>
      </c>
      <c r="H435" s="21" t="s">
        <v>59</v>
      </c>
      <c r="I435" s="21">
        <f>(Акции!$F435-F434)/F434</f>
        <v>-8.4281500210701954E-4</v>
      </c>
    </row>
    <row r="436" spans="5:9" ht="15.75" customHeight="1" x14ac:dyDescent="0.2">
      <c r="E436" s="18">
        <v>42639</v>
      </c>
      <c r="F436" s="19">
        <v>23.73</v>
      </c>
      <c r="G436" s="20">
        <v>8162000</v>
      </c>
      <c r="H436" s="21" t="s">
        <v>59</v>
      </c>
      <c r="I436" s="21">
        <f>(Акции!$F436-F435)/F435</f>
        <v>8.4352593842258847E-4</v>
      </c>
    </row>
    <row r="437" spans="5:9" ht="15.75" customHeight="1" x14ac:dyDescent="0.2">
      <c r="E437" s="18">
        <v>42640</v>
      </c>
      <c r="F437" s="19">
        <v>23.72</v>
      </c>
      <c r="G437" s="20">
        <v>12317500</v>
      </c>
      <c r="H437" s="21" t="s">
        <v>59</v>
      </c>
      <c r="I437" s="21">
        <f>(Акции!$F437-F436)/F436</f>
        <v>-4.2140750105358464E-4</v>
      </c>
    </row>
    <row r="438" spans="5:9" ht="15.75" customHeight="1" x14ac:dyDescent="0.2">
      <c r="E438" s="18">
        <v>42641</v>
      </c>
      <c r="F438" s="19">
        <v>23.75</v>
      </c>
      <c r="G438" s="20">
        <v>6611800</v>
      </c>
      <c r="H438" s="21" t="s">
        <v>59</v>
      </c>
      <c r="I438" s="21">
        <f>(Акции!$F438-F437)/F437</f>
        <v>1.2647554806071307E-3</v>
      </c>
    </row>
    <row r="439" spans="5:9" ht="15.75" customHeight="1" x14ac:dyDescent="0.2">
      <c r="E439" s="18">
        <v>42642</v>
      </c>
      <c r="F439" s="19">
        <v>23.3</v>
      </c>
      <c r="G439" s="20">
        <v>7278900</v>
      </c>
      <c r="H439" s="21" t="s">
        <v>59</v>
      </c>
      <c r="I439" s="21">
        <f>(Акции!$F439-F438)/F438</f>
        <v>-1.8947368421052602E-2</v>
      </c>
    </row>
    <row r="440" spans="5:9" ht="15.75" customHeight="1" x14ac:dyDescent="0.2">
      <c r="E440" s="18">
        <v>42643</v>
      </c>
      <c r="F440" s="19">
        <v>23.8</v>
      </c>
      <c r="G440" s="20">
        <v>8829500</v>
      </c>
      <c r="H440" s="21" t="s">
        <v>59</v>
      </c>
      <c r="I440" s="21">
        <f>(Акции!$F440-F439)/F439</f>
        <v>2.1459227467811159E-2</v>
      </c>
    </row>
    <row r="441" spans="5:9" ht="15.75" customHeight="1" x14ac:dyDescent="0.2">
      <c r="E441" s="18">
        <v>42646</v>
      </c>
      <c r="F441" s="19">
        <v>23.5</v>
      </c>
      <c r="G441" s="20">
        <v>4793100</v>
      </c>
      <c r="H441" s="21" t="s">
        <v>59</v>
      </c>
      <c r="I441" s="21">
        <f>(Акции!$F441-F440)/F440</f>
        <v>-1.2605042016806753E-2</v>
      </c>
    </row>
    <row r="442" spans="5:9" ht="15.75" customHeight="1" x14ac:dyDescent="0.2">
      <c r="E442" s="18">
        <v>42647</v>
      </c>
      <c r="F442" s="19">
        <v>23.28</v>
      </c>
      <c r="G442" s="20">
        <v>5918400</v>
      </c>
      <c r="H442" s="21" t="s">
        <v>59</v>
      </c>
      <c r="I442" s="21">
        <f>(Акции!$F442-F441)/F441</f>
        <v>-9.3617021276595266E-3</v>
      </c>
    </row>
    <row r="443" spans="5:9" ht="15.75" customHeight="1" x14ac:dyDescent="0.2">
      <c r="E443" s="18">
        <v>42648</v>
      </c>
      <c r="F443" s="19">
        <v>23.43</v>
      </c>
      <c r="G443" s="20">
        <v>5975800</v>
      </c>
      <c r="H443" s="21" t="s">
        <v>59</v>
      </c>
      <c r="I443" s="21">
        <f>(Акции!$F443-F442)/F442</f>
        <v>6.4432989690721039E-3</v>
      </c>
    </row>
    <row r="444" spans="5:9" ht="15.75" customHeight="1" x14ac:dyDescent="0.2">
      <c r="E444" s="18">
        <v>42649</v>
      </c>
      <c r="F444" s="19">
        <v>23.48</v>
      </c>
      <c r="G444" s="20">
        <v>6142300</v>
      </c>
      <c r="H444" s="21" t="s">
        <v>59</v>
      </c>
      <c r="I444" s="21">
        <f>(Акции!$F444-F443)/F443</f>
        <v>2.1340162185232913E-3</v>
      </c>
    </row>
    <row r="445" spans="5:9" ht="15.75" customHeight="1" x14ac:dyDescent="0.2">
      <c r="E445" s="18">
        <v>42650</v>
      </c>
      <c r="F445" s="19">
        <v>23.48</v>
      </c>
      <c r="G445" s="20">
        <v>5153700</v>
      </c>
      <c r="H445" s="21" t="s">
        <v>59</v>
      </c>
      <c r="I445" s="21">
        <f>(Акции!$F445-F444)/F444</f>
        <v>0</v>
      </c>
    </row>
    <row r="446" spans="5:9" ht="15.75" customHeight="1" x14ac:dyDescent="0.2">
      <c r="E446" s="18">
        <v>42653</v>
      </c>
      <c r="F446" s="19">
        <v>23.77</v>
      </c>
      <c r="G446" s="20">
        <v>4034900</v>
      </c>
      <c r="H446" s="21" t="s">
        <v>59</v>
      </c>
      <c r="I446" s="21">
        <f>(Акции!$F446-F445)/F445</f>
        <v>1.235093696763199E-2</v>
      </c>
    </row>
    <row r="447" spans="5:9" ht="15.75" customHeight="1" x14ac:dyDescent="0.2">
      <c r="E447" s="18">
        <v>42654</v>
      </c>
      <c r="F447" s="19">
        <v>23.16</v>
      </c>
      <c r="G447" s="20">
        <v>9876300</v>
      </c>
      <c r="H447" s="21" t="s">
        <v>59</v>
      </c>
      <c r="I447" s="21">
        <f>(Акции!$F447-F446)/F446</f>
        <v>-2.5662599915860305E-2</v>
      </c>
    </row>
    <row r="448" spans="5:9" ht="15.75" customHeight="1" x14ac:dyDescent="0.2">
      <c r="E448" s="18">
        <v>42655</v>
      </c>
      <c r="F448" s="19">
        <v>23.18</v>
      </c>
      <c r="G448" s="20">
        <v>10648100</v>
      </c>
      <c r="H448" s="21" t="s">
        <v>59</v>
      </c>
      <c r="I448" s="21">
        <f>(Акции!$F448-F447)/F447</f>
        <v>8.6355785837649286E-4</v>
      </c>
    </row>
    <row r="449" spans="5:9" ht="15.75" customHeight="1" x14ac:dyDescent="0.2">
      <c r="E449" s="18">
        <v>42656</v>
      </c>
      <c r="F449" s="19">
        <v>23.15</v>
      </c>
      <c r="G449" s="20">
        <v>10033400</v>
      </c>
      <c r="H449" s="21" t="s">
        <v>59</v>
      </c>
      <c r="I449" s="21">
        <f>(Акции!$F449-F448)/F448</f>
        <v>-1.2942191544435349E-3</v>
      </c>
    </row>
    <row r="450" spans="5:9" ht="15.75" customHeight="1" x14ac:dyDescent="0.2">
      <c r="E450" s="18">
        <v>42657</v>
      </c>
      <c r="F450" s="19">
        <v>22.95</v>
      </c>
      <c r="G450" s="20">
        <v>6897500</v>
      </c>
      <c r="H450" s="21" t="s">
        <v>59</v>
      </c>
      <c r="I450" s="21">
        <f>(Акции!$F450-F449)/F449</f>
        <v>-8.639308855291546E-3</v>
      </c>
    </row>
    <row r="451" spans="5:9" ht="15.75" customHeight="1" x14ac:dyDescent="0.2">
      <c r="E451" s="18">
        <v>42660</v>
      </c>
      <c r="F451" s="19">
        <v>22.82</v>
      </c>
      <c r="G451" s="20">
        <v>5110800</v>
      </c>
      <c r="H451" s="21" t="s">
        <v>59</v>
      </c>
      <c r="I451" s="21">
        <f>(Акции!$F451-F450)/F450</f>
        <v>-5.6644880174291506E-3</v>
      </c>
    </row>
    <row r="452" spans="5:9" ht="15.75" customHeight="1" x14ac:dyDescent="0.2">
      <c r="E452" s="18">
        <v>42661</v>
      </c>
      <c r="F452" s="19">
        <v>23.12</v>
      </c>
      <c r="G452" s="20">
        <v>4979600</v>
      </c>
      <c r="H452" s="21" t="s">
        <v>59</v>
      </c>
      <c r="I452" s="21">
        <f>(Акции!$F452-F451)/F451</f>
        <v>1.3146362839614404E-2</v>
      </c>
    </row>
    <row r="453" spans="5:9" ht="15.75" customHeight="1" x14ac:dyDescent="0.2">
      <c r="E453" s="18">
        <v>42662</v>
      </c>
      <c r="F453" s="19">
        <v>22.87</v>
      </c>
      <c r="G453" s="20">
        <v>6632100</v>
      </c>
      <c r="H453" s="21" t="s">
        <v>59</v>
      </c>
      <c r="I453" s="21">
        <f>(Акции!$F453-F452)/F452</f>
        <v>-1.0813148788927335E-2</v>
      </c>
    </row>
    <row r="454" spans="5:9" ht="15.75" customHeight="1" x14ac:dyDescent="0.2">
      <c r="E454" s="18">
        <v>42663</v>
      </c>
      <c r="F454" s="19">
        <v>23.01</v>
      </c>
      <c r="G454" s="20">
        <v>8656000</v>
      </c>
      <c r="H454" s="21" t="s">
        <v>59</v>
      </c>
      <c r="I454" s="21">
        <f>(Акции!$F454-F453)/F453</f>
        <v>6.1215566243988002E-3</v>
      </c>
    </row>
    <row r="455" spans="5:9" ht="15.75" customHeight="1" x14ac:dyDescent="0.2">
      <c r="E455" s="18">
        <v>42664</v>
      </c>
      <c r="F455" s="19">
        <v>22.82</v>
      </c>
      <c r="G455" s="20">
        <v>7203600</v>
      </c>
      <c r="H455" s="21" t="s">
        <v>59</v>
      </c>
      <c r="I455" s="21">
        <f>(Акции!$F455-F454)/F454</f>
        <v>-8.2572794437201762E-3</v>
      </c>
    </row>
    <row r="456" spans="5:9" ht="15.75" customHeight="1" x14ac:dyDescent="0.2">
      <c r="E456" s="18">
        <v>42667</v>
      </c>
      <c r="F456" s="19">
        <v>22.97</v>
      </c>
      <c r="G456" s="20">
        <v>6670700</v>
      </c>
      <c r="H456" s="21" t="s">
        <v>59</v>
      </c>
      <c r="I456" s="21">
        <f>(Акции!$F456-F455)/F455</f>
        <v>6.5731814198071239E-3</v>
      </c>
    </row>
    <row r="457" spans="5:9" ht="15.75" customHeight="1" x14ac:dyDescent="0.2">
      <c r="E457" s="18">
        <v>42668</v>
      </c>
      <c r="F457" s="19">
        <v>22.44</v>
      </c>
      <c r="G457" s="20">
        <v>12365400</v>
      </c>
      <c r="H457" s="21" t="s">
        <v>59</v>
      </c>
      <c r="I457" s="21">
        <f>(Акции!$F457-F456)/F456</f>
        <v>-2.3073574227252834E-2</v>
      </c>
    </row>
    <row r="458" spans="5:9" ht="15.75" customHeight="1" x14ac:dyDescent="0.2">
      <c r="E458" s="18">
        <v>42669</v>
      </c>
      <c r="F458" s="19">
        <v>22.09</v>
      </c>
      <c r="G458" s="20">
        <v>18703200</v>
      </c>
      <c r="H458" s="21" t="s">
        <v>59</v>
      </c>
      <c r="I458" s="21">
        <f>(Акции!$F458-F457)/F457</f>
        <v>-1.5597147950089188E-2</v>
      </c>
    </row>
    <row r="459" spans="5:9" ht="15.75" customHeight="1" x14ac:dyDescent="0.2">
      <c r="E459" s="18">
        <v>42670</v>
      </c>
      <c r="F459" s="19">
        <v>21.49</v>
      </c>
      <c r="G459" s="20">
        <v>16058800</v>
      </c>
      <c r="H459" s="21" t="s">
        <v>59</v>
      </c>
      <c r="I459" s="21">
        <f>(Акции!$F459-F458)/F458</f>
        <v>-2.7161611588954342E-2</v>
      </c>
    </row>
    <row r="460" spans="5:9" ht="15.75" customHeight="1" x14ac:dyDescent="0.2">
      <c r="E460" s="18">
        <v>42671</v>
      </c>
      <c r="F460" s="19">
        <v>22.09</v>
      </c>
      <c r="G460" s="20">
        <v>17382600</v>
      </c>
      <c r="H460" s="21" t="s">
        <v>59</v>
      </c>
      <c r="I460" s="21">
        <f>(Акции!$F460-F459)/F459</f>
        <v>2.7919962773383038E-2</v>
      </c>
    </row>
    <row r="461" spans="5:9" ht="15.75" customHeight="1" x14ac:dyDescent="0.2">
      <c r="E461" s="18">
        <v>42674</v>
      </c>
      <c r="F461" s="19">
        <v>22</v>
      </c>
      <c r="G461" s="20">
        <v>10905000</v>
      </c>
      <c r="H461" s="21" t="s">
        <v>59</v>
      </c>
      <c r="I461" s="21">
        <f>(Акции!$F461-F460)/F460</f>
        <v>-4.074241738343135E-3</v>
      </c>
    </row>
    <row r="462" spans="5:9" ht="15.75" customHeight="1" x14ac:dyDescent="0.2">
      <c r="E462" s="18">
        <v>42675</v>
      </c>
      <c r="F462" s="19">
        <v>21.71</v>
      </c>
      <c r="G462" s="20">
        <v>8187100</v>
      </c>
      <c r="H462" s="21" t="s">
        <v>59</v>
      </c>
      <c r="I462" s="21">
        <f>(Акции!$F462-F461)/F461</f>
        <v>-1.3181818181818144E-2</v>
      </c>
    </row>
    <row r="463" spans="5:9" ht="15.75" customHeight="1" x14ac:dyDescent="0.2">
      <c r="E463" s="18">
        <v>42676</v>
      </c>
      <c r="F463" s="19">
        <v>21.6</v>
      </c>
      <c r="G463" s="20">
        <v>7536600</v>
      </c>
      <c r="H463" s="21" t="s">
        <v>59</v>
      </c>
      <c r="I463" s="21">
        <f>(Акции!$F463-F462)/F462</f>
        <v>-5.0667894979271964E-3</v>
      </c>
    </row>
    <row r="464" spans="5:9" ht="15.75" customHeight="1" x14ac:dyDescent="0.2">
      <c r="E464" s="18">
        <v>42677</v>
      </c>
      <c r="F464" s="19">
        <v>21.54</v>
      </c>
      <c r="G464" s="20">
        <v>8040000</v>
      </c>
      <c r="H464" s="21" t="s">
        <v>59</v>
      </c>
      <c r="I464" s="21">
        <f>(Акции!$F464-F463)/F463</f>
        <v>-2.7777777777778828E-3</v>
      </c>
    </row>
    <row r="465" spans="5:9" ht="15.75" customHeight="1" x14ac:dyDescent="0.2">
      <c r="E465" s="18">
        <v>42678</v>
      </c>
      <c r="F465" s="19">
        <v>21.56</v>
      </c>
      <c r="G465" s="20">
        <v>8685200</v>
      </c>
      <c r="H465" s="21" t="s">
        <v>59</v>
      </c>
      <c r="I465" s="21">
        <f>(Акции!$F465-F464)/F464</f>
        <v>9.2850510677806755E-4</v>
      </c>
    </row>
    <row r="466" spans="5:9" ht="15.75" customHeight="1" x14ac:dyDescent="0.2">
      <c r="E466" s="18">
        <v>42681</v>
      </c>
      <c r="F466" s="19">
        <v>22.04</v>
      </c>
      <c r="G466" s="20">
        <v>8110000</v>
      </c>
      <c r="H466" s="21" t="s">
        <v>59</v>
      </c>
      <c r="I466" s="21">
        <f>(Акции!$F466-F465)/F465</f>
        <v>2.2263450834879427E-2</v>
      </c>
    </row>
    <row r="467" spans="5:9" ht="15.75" customHeight="1" x14ac:dyDescent="0.2">
      <c r="E467" s="18">
        <v>42682</v>
      </c>
      <c r="F467" s="19">
        <v>22.25</v>
      </c>
      <c r="G467" s="20">
        <v>8933200</v>
      </c>
      <c r="H467" s="21" t="s">
        <v>59</v>
      </c>
      <c r="I467" s="21">
        <f>(Акции!$F467-F466)/F466</f>
        <v>9.5281306715063914E-3</v>
      </c>
    </row>
    <row r="468" spans="5:9" ht="15.75" customHeight="1" x14ac:dyDescent="0.2">
      <c r="E468" s="18">
        <v>42683</v>
      </c>
      <c r="F468" s="19">
        <v>21.84</v>
      </c>
      <c r="G468" s="20">
        <v>17143000</v>
      </c>
      <c r="H468" s="21" t="s">
        <v>59</v>
      </c>
      <c r="I468" s="21">
        <f>(Акции!$F468-F467)/F467</f>
        <v>-1.8426966292134837E-2</v>
      </c>
    </row>
    <row r="469" spans="5:9" ht="15.75" customHeight="1" x14ac:dyDescent="0.2">
      <c r="E469" s="18">
        <v>42684</v>
      </c>
      <c r="F469" s="19">
        <v>21.88</v>
      </c>
      <c r="G469" s="20">
        <v>11747000</v>
      </c>
      <c r="H469" s="21" t="s">
        <v>59</v>
      </c>
      <c r="I469" s="21">
        <f>(Акции!$F469-F468)/F468</f>
        <v>1.8315018315017925E-3</v>
      </c>
    </row>
    <row r="470" spans="5:9" ht="15.75" customHeight="1" x14ac:dyDescent="0.2">
      <c r="E470" s="18">
        <v>42685</v>
      </c>
      <c r="F470" s="19">
        <v>21.5</v>
      </c>
      <c r="G470" s="20">
        <v>6699300</v>
      </c>
      <c r="H470" s="21" t="s">
        <v>59</v>
      </c>
      <c r="I470" s="21">
        <f>(Акции!$F470-F469)/F469</f>
        <v>-1.7367458866544744E-2</v>
      </c>
    </row>
    <row r="471" spans="5:9" ht="15.75" customHeight="1" x14ac:dyDescent="0.2">
      <c r="E471" s="18">
        <v>42688</v>
      </c>
      <c r="F471" s="19">
        <v>20.79</v>
      </c>
      <c r="G471" s="20">
        <v>14741300</v>
      </c>
      <c r="H471" s="21" t="s">
        <v>59</v>
      </c>
      <c r="I471" s="21">
        <f>(Акции!$F471-F470)/F470</f>
        <v>-3.3023255813953531E-2</v>
      </c>
    </row>
    <row r="472" spans="5:9" ht="15.75" customHeight="1" x14ac:dyDescent="0.2">
      <c r="E472" s="18">
        <v>42689</v>
      </c>
      <c r="F472" s="19">
        <v>21.14</v>
      </c>
      <c r="G472" s="20">
        <v>9575900</v>
      </c>
      <c r="H472" s="21" t="s">
        <v>59</v>
      </c>
      <c r="I472" s="21">
        <f>(Акции!$F472-F471)/F471</f>
        <v>1.6835016835016904E-2</v>
      </c>
    </row>
    <row r="473" spans="5:9" ht="15.75" customHeight="1" x14ac:dyDescent="0.2">
      <c r="E473" s="18">
        <v>42690</v>
      </c>
      <c r="F473" s="19">
        <v>21.36</v>
      </c>
      <c r="G473" s="20">
        <v>6337400</v>
      </c>
      <c r="H473" s="21" t="s">
        <v>59</v>
      </c>
      <c r="I473" s="21">
        <f>(Акции!$F473-F472)/F472</f>
        <v>1.0406811731314988E-2</v>
      </c>
    </row>
    <row r="474" spans="5:9" ht="15.75" customHeight="1" x14ac:dyDescent="0.2">
      <c r="E474" s="18">
        <v>42691</v>
      </c>
      <c r="F474" s="19">
        <v>21.61</v>
      </c>
      <c r="G474" s="20">
        <v>6228000</v>
      </c>
      <c r="H474" s="21" t="s">
        <v>59</v>
      </c>
      <c r="I474" s="21">
        <f>(Акции!$F474-F473)/F473</f>
        <v>1.1704119850187267E-2</v>
      </c>
    </row>
    <row r="475" spans="5:9" ht="15.75" customHeight="1" x14ac:dyDescent="0.2">
      <c r="E475" s="18">
        <v>42692</v>
      </c>
      <c r="F475" s="19">
        <v>21.34</v>
      </c>
      <c r="G475" s="20">
        <v>5959500</v>
      </c>
      <c r="H475" s="21" t="s">
        <v>59</v>
      </c>
      <c r="I475" s="21">
        <f>(Акции!$F475-F474)/F474</f>
        <v>-1.2494215640906968E-2</v>
      </c>
    </row>
    <row r="476" spans="5:9" ht="15.75" customHeight="1" x14ac:dyDescent="0.2">
      <c r="E476" s="18">
        <v>42695</v>
      </c>
      <c r="F476" s="19">
        <v>21.46</v>
      </c>
      <c r="G476" s="20">
        <v>7209100</v>
      </c>
      <c r="H476" s="21" t="s">
        <v>59</v>
      </c>
      <c r="I476" s="21">
        <f>(Акции!$F476-F475)/F475</f>
        <v>5.6232427366448455E-3</v>
      </c>
    </row>
    <row r="477" spans="5:9" ht="15.75" customHeight="1" x14ac:dyDescent="0.2">
      <c r="E477" s="18">
        <v>42696</v>
      </c>
      <c r="F477" s="19">
        <v>20.84</v>
      </c>
      <c r="G477" s="20">
        <v>16236800</v>
      </c>
      <c r="H477" s="21" t="s">
        <v>59</v>
      </c>
      <c r="I477" s="21">
        <f>(Акции!$F477-F476)/F476</f>
        <v>-2.889095992544273E-2</v>
      </c>
    </row>
    <row r="478" spans="5:9" ht="15.75" customHeight="1" x14ac:dyDescent="0.2">
      <c r="E478" s="18">
        <v>42697</v>
      </c>
      <c r="F478" s="19">
        <v>20.98</v>
      </c>
      <c r="G478" s="20">
        <v>7280000</v>
      </c>
      <c r="H478" s="21" t="s">
        <v>59</v>
      </c>
      <c r="I478" s="21">
        <f>(Акции!$F478-F477)/F477</f>
        <v>6.7178502879078972E-3</v>
      </c>
    </row>
    <row r="479" spans="5:9" ht="15.75" customHeight="1" x14ac:dyDescent="0.2">
      <c r="E479" s="18">
        <v>42699</v>
      </c>
      <c r="F479" s="19">
        <v>21.15</v>
      </c>
      <c r="G479" s="20">
        <v>3155100</v>
      </c>
      <c r="H479" s="21" t="s">
        <v>59</v>
      </c>
      <c r="I479" s="21">
        <f>(Акции!$F479-F478)/F478</f>
        <v>8.102955195424125E-3</v>
      </c>
    </row>
    <row r="480" spans="5:9" ht="15.75" customHeight="1" x14ac:dyDescent="0.2">
      <c r="E480" s="18">
        <v>42702</v>
      </c>
      <c r="F480" s="19">
        <v>20.75</v>
      </c>
      <c r="G480" s="20">
        <v>8356900</v>
      </c>
      <c r="H480" s="21" t="s">
        <v>59</v>
      </c>
      <c r="I480" s="21">
        <f>(Акции!$F480-F479)/F479</f>
        <v>-1.8912529550827357E-2</v>
      </c>
    </row>
    <row r="481" spans="5:9" ht="15.75" customHeight="1" x14ac:dyDescent="0.2">
      <c r="E481" s="18">
        <v>42703</v>
      </c>
      <c r="F481" s="19">
        <v>20.77</v>
      </c>
      <c r="G481" s="20">
        <v>6973300</v>
      </c>
      <c r="H481" s="21" t="s">
        <v>59</v>
      </c>
      <c r="I481" s="21">
        <f>(Акции!$F481-F480)/F480</f>
        <v>9.6385542168672645E-4</v>
      </c>
    </row>
    <row r="482" spans="5:9" ht="15.75" customHeight="1" x14ac:dyDescent="0.2">
      <c r="E482" s="18">
        <v>42704</v>
      </c>
      <c r="F482" s="19">
        <v>20.46</v>
      </c>
      <c r="G482" s="20">
        <v>12496800</v>
      </c>
      <c r="H482" s="21" t="s">
        <v>59</v>
      </c>
      <c r="I482" s="21">
        <f>(Акции!$F482-F481)/F481</f>
        <v>-1.4925373134328297E-2</v>
      </c>
    </row>
    <row r="483" spans="5:9" ht="15.75" customHeight="1" x14ac:dyDescent="0.2">
      <c r="E483" s="18">
        <v>42705</v>
      </c>
      <c r="F483" s="19">
        <v>20.09</v>
      </c>
      <c r="G483" s="20">
        <v>15733800</v>
      </c>
      <c r="H483" s="21" t="s">
        <v>59</v>
      </c>
      <c r="I483" s="21">
        <f>(Акции!$F483-F482)/F482</f>
        <v>-1.8084066471163292E-2</v>
      </c>
    </row>
    <row r="484" spans="5:9" ht="15.75" customHeight="1" x14ac:dyDescent="0.2">
      <c r="E484" s="18">
        <v>42706</v>
      </c>
      <c r="F484" s="19">
        <v>20.350000000000001</v>
      </c>
      <c r="G484" s="20">
        <v>10982000</v>
      </c>
      <c r="H484" s="21" t="s">
        <v>59</v>
      </c>
      <c r="I484" s="21">
        <f>(Акции!$F484-F483)/F483</f>
        <v>1.294176207068201E-2</v>
      </c>
    </row>
    <row r="485" spans="5:9" ht="15.75" customHeight="1" x14ac:dyDescent="0.2">
      <c r="E485" s="18">
        <v>42709</v>
      </c>
      <c r="F485" s="19">
        <v>20.71</v>
      </c>
      <c r="G485" s="20">
        <v>12297100</v>
      </c>
      <c r="H485" s="21" t="s">
        <v>59</v>
      </c>
      <c r="I485" s="21">
        <f>(Акции!$F485-F484)/F484</f>
        <v>1.769041769041766E-2</v>
      </c>
    </row>
    <row r="486" spans="5:9" ht="15.75" customHeight="1" x14ac:dyDescent="0.2">
      <c r="E486" s="18">
        <v>42710</v>
      </c>
      <c r="F486" s="19">
        <v>20.81</v>
      </c>
      <c r="G486" s="20">
        <v>7757100</v>
      </c>
      <c r="H486" s="21" t="s">
        <v>59</v>
      </c>
      <c r="I486" s="21">
        <f>(Акции!$F486-F485)/F485</f>
        <v>4.8285852245291095E-3</v>
      </c>
    </row>
    <row r="487" spans="5:9" ht="15.75" customHeight="1" x14ac:dyDescent="0.2">
      <c r="E487" s="18">
        <v>42711</v>
      </c>
      <c r="F487" s="19">
        <v>20.61</v>
      </c>
      <c r="G487" s="20">
        <v>11443200</v>
      </c>
      <c r="H487" s="21" t="s">
        <v>59</v>
      </c>
      <c r="I487" s="21">
        <f>(Акции!$F487-F486)/F486</f>
        <v>-9.6107640557423976E-3</v>
      </c>
    </row>
    <row r="488" spans="5:9" ht="15.75" customHeight="1" x14ac:dyDescent="0.2">
      <c r="E488" s="18">
        <v>42712</v>
      </c>
      <c r="F488" s="19">
        <v>20.61</v>
      </c>
      <c r="G488" s="20">
        <v>8719300</v>
      </c>
      <c r="H488" s="21" t="s">
        <v>59</v>
      </c>
      <c r="I488" s="21">
        <f>(Акции!$F488-F487)/F487</f>
        <v>0</v>
      </c>
    </row>
    <row r="489" spans="5:9" ht="15.75" customHeight="1" x14ac:dyDescent="0.2">
      <c r="E489" s="18">
        <v>42713</v>
      </c>
      <c r="F489" s="19">
        <v>20.81</v>
      </c>
      <c r="G489" s="20">
        <v>6246700</v>
      </c>
      <c r="H489" s="21" t="s">
        <v>59</v>
      </c>
      <c r="I489" s="21">
        <f>(Акции!$F489-F488)/F488</f>
        <v>9.7040271712760459E-3</v>
      </c>
    </row>
    <row r="490" spans="5:9" ht="15.75" customHeight="1" x14ac:dyDescent="0.2">
      <c r="E490" s="18">
        <v>42716</v>
      </c>
      <c r="F490" s="19">
        <v>21.09</v>
      </c>
      <c r="G490" s="20">
        <v>7306200</v>
      </c>
      <c r="H490" s="21" t="s">
        <v>59</v>
      </c>
      <c r="I490" s="21">
        <f>(Акции!$F490-F489)/F489</f>
        <v>1.345506967803946E-2</v>
      </c>
    </row>
    <row r="491" spans="5:9" ht="15.75" customHeight="1" x14ac:dyDescent="0.2">
      <c r="E491" s="18">
        <v>42717</v>
      </c>
      <c r="F491" s="19">
        <v>21.34</v>
      </c>
      <c r="G491" s="20">
        <v>7992700</v>
      </c>
      <c r="H491" s="21" t="s">
        <v>59</v>
      </c>
      <c r="I491" s="21">
        <f>(Акции!$F491-F490)/F490</f>
        <v>1.1853959222380275E-2</v>
      </c>
    </row>
    <row r="492" spans="5:9" ht="15.75" customHeight="1" x14ac:dyDescent="0.2">
      <c r="E492" s="18">
        <v>42718</v>
      </c>
      <c r="F492" s="19">
        <v>21.21</v>
      </c>
      <c r="G492" s="20">
        <v>7945100</v>
      </c>
      <c r="H492" s="21" t="s">
        <v>59</v>
      </c>
      <c r="I492" s="21">
        <f>(Акции!$F492-F491)/F491</f>
        <v>-6.0918462980318186E-3</v>
      </c>
    </row>
    <row r="493" spans="5:9" ht="15.75" customHeight="1" x14ac:dyDescent="0.2">
      <c r="E493" s="18">
        <v>42719</v>
      </c>
      <c r="F493" s="19">
        <v>21.26</v>
      </c>
      <c r="G493" s="20">
        <v>5104500</v>
      </c>
      <c r="H493" s="21" t="s">
        <v>59</v>
      </c>
      <c r="I493" s="21">
        <f>(Акции!$F493-F492)/F492</f>
        <v>2.3573785950023909E-3</v>
      </c>
    </row>
    <row r="494" spans="5:9" ht="15.75" customHeight="1" x14ac:dyDescent="0.2">
      <c r="E494" s="18">
        <v>42720</v>
      </c>
      <c r="F494" s="19">
        <v>21.4</v>
      </c>
      <c r="G494" s="20">
        <v>10688600</v>
      </c>
      <c r="H494" s="21" t="s">
        <v>59</v>
      </c>
      <c r="I494" s="21">
        <f>(Акции!$F494-F493)/F493</f>
        <v>6.5851364063968486E-3</v>
      </c>
    </row>
    <row r="495" spans="5:9" ht="15.75" customHeight="1" x14ac:dyDescent="0.2">
      <c r="E495" s="18">
        <v>42723</v>
      </c>
      <c r="F495" s="19">
        <v>21.47</v>
      </c>
      <c r="G495" s="20">
        <v>7862600</v>
      </c>
      <c r="H495" s="21" t="s">
        <v>59</v>
      </c>
      <c r="I495" s="21">
        <f>(Акции!$F495-F494)/F494</f>
        <v>3.2710280373831912E-3</v>
      </c>
    </row>
    <row r="496" spans="5:9" ht="15.75" customHeight="1" x14ac:dyDescent="0.2">
      <c r="E496" s="18">
        <v>42724</v>
      </c>
      <c r="F496" s="19">
        <v>21.53</v>
      </c>
      <c r="G496" s="20">
        <v>7521200</v>
      </c>
      <c r="H496" s="21" t="s">
        <v>59</v>
      </c>
      <c r="I496" s="21">
        <f>(Акции!$F496-F495)/F495</f>
        <v>2.7945971122497566E-3</v>
      </c>
    </row>
    <row r="497" spans="5:9" ht="15.75" customHeight="1" x14ac:dyDescent="0.2">
      <c r="E497" s="18">
        <v>42725</v>
      </c>
      <c r="F497" s="19">
        <v>21.48</v>
      </c>
      <c r="G497" s="20">
        <v>5764800</v>
      </c>
      <c r="H497" s="21" t="s">
        <v>59</v>
      </c>
      <c r="I497" s="21">
        <f>(Акции!$F497-F496)/F496</f>
        <v>-2.3223409196470369E-3</v>
      </c>
    </row>
    <row r="498" spans="5:9" ht="15.75" customHeight="1" x14ac:dyDescent="0.2">
      <c r="E498" s="18">
        <v>42726</v>
      </c>
      <c r="F498" s="19">
        <v>21.66</v>
      </c>
      <c r="G498" s="20">
        <v>5825500</v>
      </c>
      <c r="H498" s="21" t="s">
        <v>59</v>
      </c>
      <c r="I498" s="21">
        <f>(Акции!$F498-F497)/F497</f>
        <v>8.3798882681564105E-3</v>
      </c>
    </row>
    <row r="499" spans="5:9" ht="15.75" customHeight="1" x14ac:dyDescent="0.2">
      <c r="E499" s="18">
        <v>42727</v>
      </c>
      <c r="F499" s="19">
        <v>21.81</v>
      </c>
      <c r="G499" s="20">
        <v>4585600</v>
      </c>
      <c r="H499" s="21" t="s">
        <v>59</v>
      </c>
      <c r="I499" s="21">
        <f>(Акции!$F499-F498)/F498</f>
        <v>6.9252077562326217E-3</v>
      </c>
    </row>
    <row r="500" spans="5:9" ht="15.75" customHeight="1" x14ac:dyDescent="0.2">
      <c r="E500" s="18">
        <v>42731</v>
      </c>
      <c r="F500" s="19">
        <v>21.76</v>
      </c>
      <c r="G500" s="20">
        <v>3371100</v>
      </c>
      <c r="H500" s="21" t="s">
        <v>59</v>
      </c>
      <c r="I500" s="21">
        <f>(Акции!$F500-F499)/F499</f>
        <v>-2.2925263640530564E-3</v>
      </c>
    </row>
    <row r="501" spans="5:9" ht="15.75" customHeight="1" x14ac:dyDescent="0.2">
      <c r="E501" s="18">
        <v>42732</v>
      </c>
      <c r="F501" s="19">
        <v>21.62</v>
      </c>
      <c r="G501" s="20">
        <v>3542200</v>
      </c>
      <c r="H501" s="21" t="s">
        <v>59</v>
      </c>
      <c r="I501" s="21">
        <f>(Акции!$F501-F500)/F500</f>
        <v>-6.4338235294117904E-3</v>
      </c>
    </row>
    <row r="502" spans="5:9" ht="15.75" customHeight="1" x14ac:dyDescent="0.2">
      <c r="E502" s="18">
        <v>42733</v>
      </c>
      <c r="F502" s="19">
        <v>21.7</v>
      </c>
      <c r="G502" s="20">
        <v>3768700</v>
      </c>
      <c r="H502" s="21" t="s">
        <v>59</v>
      </c>
      <c r="I502" s="21">
        <f>(Акции!$F502-F501)/F501</f>
        <v>3.7002775208139819E-3</v>
      </c>
    </row>
    <row r="503" spans="5:9" ht="15.75" customHeight="1" x14ac:dyDescent="0.2">
      <c r="E503" s="18">
        <v>42734</v>
      </c>
      <c r="F503" s="19">
        <v>21.63</v>
      </c>
      <c r="G503" s="20">
        <v>4270800</v>
      </c>
      <c r="H503" s="21" t="s">
        <v>59</v>
      </c>
      <c r="I503" s="21">
        <f>(Акции!$F503-F502)/F502</f>
        <v>-3.2258064516129162E-3</v>
      </c>
    </row>
    <row r="504" spans="5:9" ht="15.75" customHeight="1" x14ac:dyDescent="0.2">
      <c r="E504" s="18">
        <v>42738</v>
      </c>
      <c r="F504" s="19">
        <v>21.88</v>
      </c>
      <c r="G504" s="20">
        <v>6822400</v>
      </c>
      <c r="H504" s="21" t="s">
        <v>59</v>
      </c>
      <c r="I504" s="21">
        <f>(Акции!$F504-F503)/F503</f>
        <v>1.1558021266759132E-2</v>
      </c>
    </row>
    <row r="505" spans="5:9" ht="15.75" customHeight="1" x14ac:dyDescent="0.2">
      <c r="E505" s="18">
        <v>42739</v>
      </c>
      <c r="F505" s="19">
        <v>22.08</v>
      </c>
      <c r="G505" s="20">
        <v>6458600</v>
      </c>
      <c r="H505" s="21" t="s">
        <v>59</v>
      </c>
      <c r="I505" s="21">
        <f>(Акции!$F505-F504)/F504</f>
        <v>9.140767824497225E-3</v>
      </c>
    </row>
    <row r="506" spans="5:9" ht="15.75" customHeight="1" x14ac:dyDescent="0.2">
      <c r="E506" s="18">
        <v>42740</v>
      </c>
      <c r="F506" s="19">
        <v>22.05</v>
      </c>
      <c r="G506" s="20">
        <v>5990600</v>
      </c>
      <c r="H506" s="21" t="s">
        <v>59</v>
      </c>
      <c r="I506" s="21">
        <f>(Акции!$F506-F505)/F505</f>
        <v>-1.3586956521738037E-3</v>
      </c>
    </row>
    <row r="507" spans="5:9" ht="15.75" customHeight="1" x14ac:dyDescent="0.2">
      <c r="E507" s="18">
        <v>42741</v>
      </c>
      <c r="F507" s="19">
        <v>22.15</v>
      </c>
      <c r="G507" s="20">
        <v>7549400</v>
      </c>
      <c r="H507" s="21" t="s">
        <v>59</v>
      </c>
      <c r="I507" s="21">
        <f>(Акции!$F507-F506)/F506</f>
        <v>4.5351473922901524E-3</v>
      </c>
    </row>
    <row r="508" spans="5:9" ht="15.75" customHeight="1" x14ac:dyDescent="0.2">
      <c r="E508" s="18">
        <v>42744</v>
      </c>
      <c r="F508" s="19">
        <v>22.19</v>
      </c>
      <c r="G508" s="20">
        <v>5602400</v>
      </c>
      <c r="H508" s="21" t="s">
        <v>59</v>
      </c>
      <c r="I508" s="21">
        <f>(Акции!$F508-F507)/F507</f>
        <v>1.8058690744922213E-3</v>
      </c>
    </row>
    <row r="509" spans="5:9" ht="15.75" customHeight="1" x14ac:dyDescent="0.2">
      <c r="E509" s="18">
        <v>42745</v>
      </c>
      <c r="F509" s="19">
        <v>23.61</v>
      </c>
      <c r="G509" s="20">
        <v>24138900</v>
      </c>
      <c r="H509" s="21" t="s">
        <v>59</v>
      </c>
      <c r="I509" s="21">
        <f>(Акции!$F509-F508)/F508</f>
        <v>6.3992789544839931E-2</v>
      </c>
    </row>
    <row r="510" spans="5:9" ht="15.75" customHeight="1" x14ac:dyDescent="0.2">
      <c r="E510" s="18">
        <v>42746</v>
      </c>
      <c r="F510" s="19">
        <v>23.31</v>
      </c>
      <c r="G510" s="20">
        <v>12706200</v>
      </c>
      <c r="H510" s="21" t="s">
        <v>59</v>
      </c>
      <c r="I510" s="21">
        <f>(Акции!$F510-F509)/F509</f>
        <v>-1.2706480304955558E-2</v>
      </c>
    </row>
    <row r="511" spans="5:9" ht="15.75" customHeight="1" x14ac:dyDescent="0.2">
      <c r="E511" s="18">
        <v>42747</v>
      </c>
      <c r="F511" s="19">
        <v>23.52</v>
      </c>
      <c r="G511" s="20">
        <v>7409100</v>
      </c>
      <c r="H511" s="21" t="s">
        <v>59</v>
      </c>
      <c r="I511" s="21">
        <f>(Акции!$F511-F510)/F510</f>
        <v>9.0090090090090454E-3</v>
      </c>
    </row>
    <row r="512" spans="5:9" ht="15.75" customHeight="1" x14ac:dyDescent="0.2">
      <c r="E512" s="18">
        <v>42748</v>
      </c>
      <c r="F512" s="19">
        <v>23.82</v>
      </c>
      <c r="G512" s="20">
        <v>9485500</v>
      </c>
      <c r="H512" s="21" t="s">
        <v>59</v>
      </c>
      <c r="I512" s="21">
        <f>(Акции!$F512-F511)/F511</f>
        <v>1.2755102040816356E-2</v>
      </c>
    </row>
    <row r="513" spans="5:9" ht="15.75" customHeight="1" x14ac:dyDescent="0.2">
      <c r="E513" s="18">
        <v>42752</v>
      </c>
      <c r="F513" s="19">
        <v>23.9</v>
      </c>
      <c r="G513" s="20">
        <v>8601600</v>
      </c>
      <c r="H513" s="21" t="s">
        <v>59</v>
      </c>
      <c r="I513" s="21">
        <f>(Акции!$F513-F512)/F512</f>
        <v>3.358522250209836E-3</v>
      </c>
    </row>
    <row r="514" spans="5:9" ht="15.75" customHeight="1" x14ac:dyDescent="0.2">
      <c r="E514" s="18">
        <v>42753</v>
      </c>
      <c r="F514" s="19">
        <v>23.92</v>
      </c>
      <c r="G514" s="20">
        <v>5926900</v>
      </c>
      <c r="H514" s="21" t="s">
        <v>59</v>
      </c>
      <c r="I514" s="21">
        <f>(Акции!$F514-F513)/F513</f>
        <v>8.3682008368213918E-4</v>
      </c>
    </row>
    <row r="515" spans="5:9" ht="15.75" customHeight="1" x14ac:dyDescent="0.2">
      <c r="E515" s="18">
        <v>42754</v>
      </c>
      <c r="F515" s="19">
        <v>23.88</v>
      </c>
      <c r="G515" s="20">
        <v>7677300</v>
      </c>
      <c r="H515" s="21" t="s">
        <v>59</v>
      </c>
      <c r="I515" s="21">
        <f>(Акции!$F515-F514)/F514</f>
        <v>-1.672240802675698E-3</v>
      </c>
    </row>
    <row r="516" spans="5:9" ht="15.75" customHeight="1" x14ac:dyDescent="0.2">
      <c r="E516" s="18">
        <v>42755</v>
      </c>
      <c r="F516" s="19">
        <v>23.9</v>
      </c>
      <c r="G516" s="20">
        <v>8583100</v>
      </c>
      <c r="H516" s="21" t="s">
        <v>59</v>
      </c>
      <c r="I516" s="21">
        <f>(Акции!$F516-F515)/F515</f>
        <v>8.3752093802343282E-4</v>
      </c>
    </row>
    <row r="517" spans="5:9" ht="15.75" customHeight="1" x14ac:dyDescent="0.2">
      <c r="E517" s="18">
        <v>42758</v>
      </c>
      <c r="F517" s="19">
        <v>23.68</v>
      </c>
      <c r="G517" s="20">
        <v>7032900</v>
      </c>
      <c r="H517" s="21" t="s">
        <v>59</v>
      </c>
      <c r="I517" s="21">
        <f>(Акции!$F517-F516)/F516</f>
        <v>-9.2050209205020456E-3</v>
      </c>
    </row>
    <row r="518" spans="5:9" ht="15.75" customHeight="1" x14ac:dyDescent="0.2">
      <c r="E518" s="18">
        <v>42759</v>
      </c>
      <c r="F518" s="19">
        <v>23.54</v>
      </c>
      <c r="G518" s="20">
        <v>6206500</v>
      </c>
      <c r="H518" s="21" t="s">
        <v>59</v>
      </c>
      <c r="I518" s="21">
        <f>(Акции!$F518-F517)/F517</f>
        <v>-5.9121621621621859E-3</v>
      </c>
    </row>
    <row r="519" spans="5:9" ht="15.75" customHeight="1" x14ac:dyDescent="0.2">
      <c r="E519" s="18">
        <v>42760</v>
      </c>
      <c r="F519" s="19">
        <v>23.58</v>
      </c>
      <c r="G519" s="20">
        <v>9117300</v>
      </c>
      <c r="H519" s="21" t="s">
        <v>59</v>
      </c>
      <c r="I519" s="21">
        <f>(Акции!$F519-F518)/F518</f>
        <v>1.699235344095121E-3</v>
      </c>
    </row>
    <row r="520" spans="5:9" ht="15.75" customHeight="1" x14ac:dyDescent="0.2">
      <c r="E520" s="18">
        <v>42761</v>
      </c>
      <c r="F520" s="19">
        <v>23.42</v>
      </c>
      <c r="G520" s="20">
        <v>4715600</v>
      </c>
      <c r="H520" s="21" t="s">
        <v>59</v>
      </c>
      <c r="I520" s="21">
        <f>(Акции!$F520-F519)/F519</f>
        <v>-6.7854113655638933E-3</v>
      </c>
    </row>
    <row r="521" spans="5:9" ht="15.75" customHeight="1" x14ac:dyDescent="0.2">
      <c r="E521" s="18">
        <v>42762</v>
      </c>
      <c r="F521" s="19">
        <v>23.87</v>
      </c>
      <c r="G521" s="20">
        <v>6275900</v>
      </c>
      <c r="H521" s="21" t="s">
        <v>59</v>
      </c>
      <c r="I521" s="21">
        <f>(Акции!$F521-F520)/F520</f>
        <v>1.9214346712211752E-2</v>
      </c>
    </row>
    <row r="522" spans="5:9" ht="15.75" customHeight="1" x14ac:dyDescent="0.2">
      <c r="E522" s="18">
        <v>42765</v>
      </c>
      <c r="F522" s="19">
        <v>23.85</v>
      </c>
      <c r="G522" s="20">
        <v>9374000</v>
      </c>
      <c r="H522" s="21" t="s">
        <v>59</v>
      </c>
      <c r="I522" s="21">
        <f>(Акции!$F522-F521)/F521</f>
        <v>-8.3787180561372321E-4</v>
      </c>
    </row>
    <row r="523" spans="5:9" ht="15.75" customHeight="1" x14ac:dyDescent="0.2">
      <c r="E523" s="18">
        <v>42766</v>
      </c>
      <c r="F523" s="19">
        <v>24.06</v>
      </c>
      <c r="G523" s="20">
        <v>6519100</v>
      </c>
      <c r="H523" s="21" t="s">
        <v>59</v>
      </c>
      <c r="I523" s="21">
        <f>(Акции!$F523-F522)/F522</f>
        <v>8.8050314465407675E-3</v>
      </c>
    </row>
    <row r="524" spans="5:9" ht="15.75" customHeight="1" x14ac:dyDescent="0.2">
      <c r="E524" s="18">
        <v>42767</v>
      </c>
      <c r="F524" s="19">
        <v>23.96</v>
      </c>
      <c r="G524" s="20">
        <v>13128900</v>
      </c>
      <c r="H524" s="21" t="s">
        <v>59</v>
      </c>
      <c r="I524" s="21">
        <f>(Акции!$F524-F523)/F523</f>
        <v>-4.1562759767247662E-3</v>
      </c>
    </row>
    <row r="525" spans="5:9" ht="15.75" customHeight="1" x14ac:dyDescent="0.2">
      <c r="E525" s="18">
        <v>42768</v>
      </c>
      <c r="F525" s="19">
        <v>25.1</v>
      </c>
      <c r="G525" s="20">
        <v>19394400</v>
      </c>
      <c r="H525" s="21" t="s">
        <v>59</v>
      </c>
      <c r="I525" s="21">
        <f>(Акции!$F525-F524)/F524</f>
        <v>4.7579298831385668E-2</v>
      </c>
    </row>
    <row r="526" spans="5:9" ht="15.75" customHeight="1" x14ac:dyDescent="0.2">
      <c r="E526" s="18">
        <v>42769</v>
      </c>
      <c r="F526" s="19">
        <v>25.22</v>
      </c>
      <c r="G526" s="20">
        <v>10992000</v>
      </c>
      <c r="H526" s="21" t="s">
        <v>59</v>
      </c>
      <c r="I526" s="21">
        <f>(Акции!$F526-F525)/F525</f>
        <v>4.7808764940238018E-3</v>
      </c>
    </row>
    <row r="527" spans="5:9" ht="15.75" customHeight="1" x14ac:dyDescent="0.2">
      <c r="E527" s="18">
        <v>42772</v>
      </c>
      <c r="F527" s="19">
        <v>25.14</v>
      </c>
      <c r="G527" s="20">
        <v>8153900</v>
      </c>
      <c r="H527" s="21" t="s">
        <v>59</v>
      </c>
      <c r="I527" s="21">
        <f>(Акции!$F527-F526)/F526</f>
        <v>-3.1720856463123828E-3</v>
      </c>
    </row>
    <row r="528" spans="5:9" ht="15.75" customHeight="1" x14ac:dyDescent="0.2">
      <c r="E528" s="18">
        <v>42773</v>
      </c>
      <c r="F528" s="19">
        <v>25.23</v>
      </c>
      <c r="G528" s="20">
        <v>6874000</v>
      </c>
      <c r="H528" s="21" t="s">
        <v>59</v>
      </c>
      <c r="I528" s="21">
        <f>(Акции!$F528-F527)/F527</f>
        <v>3.5799522673030967E-3</v>
      </c>
    </row>
    <row r="529" spans="5:9" ht="15.75" customHeight="1" x14ac:dyDescent="0.2">
      <c r="E529" s="18">
        <v>42774</v>
      </c>
      <c r="F529" s="19">
        <v>25.24</v>
      </c>
      <c r="G529" s="20">
        <v>7273200</v>
      </c>
      <c r="H529" s="21" t="s">
        <v>59</v>
      </c>
      <c r="I529" s="21">
        <f>(Акции!$F529-F528)/F528</f>
        <v>3.9635354736417005E-4</v>
      </c>
    </row>
    <row r="530" spans="5:9" ht="15.75" customHeight="1" x14ac:dyDescent="0.2">
      <c r="E530" s="18">
        <v>42775</v>
      </c>
      <c r="F530" s="19">
        <v>25.34</v>
      </c>
      <c r="G530" s="20">
        <v>5370200</v>
      </c>
      <c r="H530" s="21" t="s">
        <v>59</v>
      </c>
      <c r="I530" s="21">
        <f>(Акции!$F530-F529)/F529</f>
        <v>3.9619651347068711E-3</v>
      </c>
    </row>
    <row r="531" spans="5:9" ht="15.75" customHeight="1" x14ac:dyDescent="0.2">
      <c r="E531" s="18">
        <v>42776</v>
      </c>
      <c r="F531" s="19">
        <v>25.2</v>
      </c>
      <c r="G531" s="20">
        <v>6027400</v>
      </c>
      <c r="H531" s="21" t="s">
        <v>59</v>
      </c>
      <c r="I531" s="21">
        <f>(Акции!$F531-F530)/F530</f>
        <v>-5.524861878453061E-3</v>
      </c>
    </row>
    <row r="532" spans="5:9" ht="15.75" customHeight="1" x14ac:dyDescent="0.2">
      <c r="E532" s="18">
        <v>42779</v>
      </c>
      <c r="F532" s="19">
        <v>25.3</v>
      </c>
      <c r="G532" s="20">
        <v>8187000</v>
      </c>
      <c r="H532" s="21" t="s">
        <v>59</v>
      </c>
      <c r="I532" s="21">
        <f>(Акции!$F532-F531)/F531</f>
        <v>3.9682539682540244E-3</v>
      </c>
    </row>
    <row r="533" spans="5:9" ht="15.75" customHeight="1" x14ac:dyDescent="0.2">
      <c r="E533" s="18">
        <v>42780</v>
      </c>
      <c r="F533" s="19">
        <v>25.18</v>
      </c>
      <c r="G533" s="20">
        <v>8874000</v>
      </c>
      <c r="H533" s="21" t="s">
        <v>59</v>
      </c>
      <c r="I533" s="21">
        <f>(Акции!$F533-F532)/F532</f>
        <v>-4.7430830039526086E-3</v>
      </c>
    </row>
    <row r="534" spans="5:9" ht="15.75" customHeight="1" x14ac:dyDescent="0.2">
      <c r="E534" s="18">
        <v>42781</v>
      </c>
      <c r="F534" s="19">
        <v>25.41</v>
      </c>
      <c r="G534" s="20">
        <v>9378500</v>
      </c>
      <c r="H534" s="21" t="s">
        <v>59</v>
      </c>
      <c r="I534" s="21">
        <f>(Акции!$F534-F533)/F533</f>
        <v>9.1342335186656246E-3</v>
      </c>
    </row>
    <row r="535" spans="5:9" ht="15.75" customHeight="1" x14ac:dyDescent="0.2">
      <c r="E535" s="18">
        <v>42782</v>
      </c>
      <c r="F535" s="19">
        <v>25.36</v>
      </c>
      <c r="G535" s="20">
        <v>6756900</v>
      </c>
      <c r="H535" s="21" t="s">
        <v>59</v>
      </c>
      <c r="I535" s="21">
        <f>(Акции!$F535-F534)/F534</f>
        <v>-1.9677292404565411E-3</v>
      </c>
    </row>
    <row r="536" spans="5:9" ht="15.75" customHeight="1" x14ac:dyDescent="0.2">
      <c r="E536" s="18">
        <v>42783</v>
      </c>
      <c r="F536" s="19">
        <v>25.39</v>
      </c>
      <c r="G536" s="20">
        <v>7363600</v>
      </c>
      <c r="H536" s="21" t="s">
        <v>59</v>
      </c>
      <c r="I536" s="21">
        <f>(Акции!$F536-F535)/F535</f>
        <v>1.1829652996845875E-3</v>
      </c>
    </row>
    <row r="537" spans="5:9" ht="15.75" customHeight="1" x14ac:dyDescent="0.2">
      <c r="E537" s="18">
        <v>42787</v>
      </c>
      <c r="F537" s="19">
        <v>25.28</v>
      </c>
      <c r="G537" s="20">
        <v>7566500</v>
      </c>
      <c r="H537" s="21" t="s">
        <v>59</v>
      </c>
      <c r="I537" s="21">
        <f>(Акции!$F537-F536)/F536</f>
        <v>-4.3324143363528723E-3</v>
      </c>
    </row>
    <row r="538" spans="5:9" ht="15.75" customHeight="1" x14ac:dyDescent="0.2">
      <c r="E538" s="18">
        <v>42788</v>
      </c>
      <c r="F538" s="19">
        <v>25.16</v>
      </c>
      <c r="G538" s="20">
        <v>7959100</v>
      </c>
      <c r="H538" s="21" t="s">
        <v>59</v>
      </c>
      <c r="I538" s="21">
        <f>(Акции!$F538-F537)/F537</f>
        <v>-4.7468354430380139E-3</v>
      </c>
    </row>
    <row r="539" spans="5:9" ht="15.75" customHeight="1" x14ac:dyDescent="0.2">
      <c r="E539" s="18">
        <v>42789</v>
      </c>
      <c r="F539" s="19">
        <v>24.48</v>
      </c>
      <c r="G539" s="20">
        <v>41278600</v>
      </c>
      <c r="H539" s="21" t="s">
        <v>59</v>
      </c>
      <c r="I539" s="21">
        <f>(Акции!$F539-F538)/F538</f>
        <v>-2.7027027027027015E-2</v>
      </c>
    </row>
    <row r="540" spans="5:9" ht="15.75" customHeight="1" x14ac:dyDescent="0.2">
      <c r="E540" s="18">
        <v>42790</v>
      </c>
      <c r="F540" s="19">
        <v>24.78</v>
      </c>
      <c r="G540" s="20">
        <v>13499400</v>
      </c>
      <c r="H540" s="21" t="s">
        <v>59</v>
      </c>
      <c r="I540" s="21">
        <f>(Акции!$F540-F539)/F539</f>
        <v>1.2254901960784343E-2</v>
      </c>
    </row>
    <row r="541" spans="5:9" ht="15.75" customHeight="1" x14ac:dyDescent="0.2">
      <c r="E541" s="18">
        <v>42793</v>
      </c>
      <c r="F541" s="19">
        <v>24.81</v>
      </c>
      <c r="G541" s="20">
        <v>8863900</v>
      </c>
      <c r="H541" s="21" t="s">
        <v>59</v>
      </c>
      <c r="I541" s="21">
        <f>(Акции!$F541-F540)/F540</f>
        <v>1.2106537530265369E-3</v>
      </c>
    </row>
    <row r="542" spans="5:9" ht="15.75" customHeight="1" x14ac:dyDescent="0.2">
      <c r="E542" s="18">
        <v>42794</v>
      </c>
      <c r="F542" s="19">
        <v>24.55</v>
      </c>
      <c r="G542" s="20">
        <v>8463000</v>
      </c>
      <c r="H542" s="21" t="s">
        <v>59</v>
      </c>
      <c r="I542" s="21">
        <f>(Акции!$F542-F541)/F541</f>
        <v>-1.0479645304312698E-2</v>
      </c>
    </row>
    <row r="543" spans="5:9" ht="15.75" customHeight="1" x14ac:dyDescent="0.2">
      <c r="E543" s="18">
        <v>42795</v>
      </c>
      <c r="F543" s="19">
        <v>24.96</v>
      </c>
      <c r="G543" s="20">
        <v>9021100</v>
      </c>
      <c r="H543" s="21" t="s">
        <v>59</v>
      </c>
      <c r="I543" s="21">
        <f>(Акции!$F543-F542)/F542</f>
        <v>1.6700610997963345E-2</v>
      </c>
    </row>
    <row r="544" spans="5:9" ht="15.75" customHeight="1" x14ac:dyDescent="0.2">
      <c r="E544" s="18">
        <v>42796</v>
      </c>
      <c r="F544" s="19">
        <v>25</v>
      </c>
      <c r="G544" s="20">
        <v>7144200</v>
      </c>
      <c r="H544" s="21" t="s">
        <v>59</v>
      </c>
      <c r="I544" s="21">
        <f>(Акции!$F544-F543)/F543</f>
        <v>1.6025641025640682E-3</v>
      </c>
    </row>
    <row r="545" spans="5:9" ht="15.75" customHeight="1" x14ac:dyDescent="0.2">
      <c r="E545" s="18">
        <v>42797</v>
      </c>
      <c r="F545" s="19">
        <v>24.98</v>
      </c>
      <c r="G545" s="20">
        <v>6655800</v>
      </c>
      <c r="H545" s="21" t="s">
        <v>59</v>
      </c>
      <c r="I545" s="21">
        <f>(Акции!$F545-F544)/F544</f>
        <v>-7.9999999999998291E-4</v>
      </c>
    </row>
    <row r="546" spans="5:9" ht="15.75" customHeight="1" x14ac:dyDescent="0.2">
      <c r="E546" s="18">
        <v>42800</v>
      </c>
      <c r="F546" s="19">
        <v>24.76</v>
      </c>
      <c r="G546" s="20">
        <v>5732500</v>
      </c>
      <c r="H546" s="21" t="s">
        <v>59</v>
      </c>
      <c r="I546" s="21">
        <f>(Акции!$F546-F545)/F545</f>
        <v>-8.8070456365091625E-3</v>
      </c>
    </row>
    <row r="547" spans="5:9" ht="15.75" customHeight="1" x14ac:dyDescent="0.2">
      <c r="E547" s="18">
        <v>42801</v>
      </c>
      <c r="F547" s="19">
        <v>24.48</v>
      </c>
      <c r="G547" s="20">
        <v>8114300</v>
      </c>
      <c r="H547" s="21" t="s">
        <v>59</v>
      </c>
      <c r="I547" s="21">
        <f>(Акции!$F547-F546)/F546</f>
        <v>-1.1308562197092129E-2</v>
      </c>
    </row>
    <row r="548" spans="5:9" ht="15.75" customHeight="1" x14ac:dyDescent="0.2">
      <c r="E548" s="18">
        <v>42802</v>
      </c>
      <c r="F548" s="19">
        <v>24.52</v>
      </c>
      <c r="G548" s="20">
        <v>10503500</v>
      </c>
      <c r="H548" s="21" t="s">
        <v>59</v>
      </c>
      <c r="I548" s="21">
        <f>(Акции!$F548-F547)/F547</f>
        <v>1.6339869281045403E-3</v>
      </c>
    </row>
    <row r="549" spans="5:9" ht="15.75" customHeight="1" x14ac:dyDescent="0.2">
      <c r="E549" s="18">
        <v>42803</v>
      </c>
      <c r="F549" s="19">
        <v>24.69</v>
      </c>
      <c r="G549" s="20">
        <v>5849800</v>
      </c>
      <c r="H549" s="21" t="s">
        <v>59</v>
      </c>
      <c r="I549" s="21">
        <f>(Акции!$F549-F548)/F548</f>
        <v>6.9331158238173617E-3</v>
      </c>
    </row>
    <row r="550" spans="5:9" ht="15.75" customHeight="1" x14ac:dyDescent="0.2">
      <c r="E550" s="18">
        <v>42804</v>
      </c>
      <c r="F550" s="19">
        <v>24.64</v>
      </c>
      <c r="G550" s="20">
        <v>4288200</v>
      </c>
      <c r="H550" s="21" t="s">
        <v>59</v>
      </c>
      <c r="I550" s="21">
        <f>(Акции!$F550-F549)/F549</f>
        <v>-2.0251113811259906E-3</v>
      </c>
    </row>
    <row r="551" spans="5:9" ht="15.75" customHeight="1" x14ac:dyDescent="0.2">
      <c r="E551" s="18">
        <v>42807</v>
      </c>
      <c r="F551" s="19">
        <v>24.74</v>
      </c>
      <c r="G551" s="20">
        <v>4043500</v>
      </c>
      <c r="H551" s="21" t="s">
        <v>59</v>
      </c>
      <c r="I551" s="21">
        <f>(Акции!$F551-F550)/F550</f>
        <v>4.0584415584414722E-3</v>
      </c>
    </row>
    <row r="552" spans="5:9" ht="15.75" customHeight="1" x14ac:dyDescent="0.2">
      <c r="E552" s="18">
        <v>42808</v>
      </c>
      <c r="F552" s="19">
        <v>24.43</v>
      </c>
      <c r="G552" s="20">
        <v>5892300</v>
      </c>
      <c r="H552" s="21" t="s">
        <v>59</v>
      </c>
      <c r="I552" s="21">
        <f>(Акции!$F552-F551)/F551</f>
        <v>-1.2530315278900516E-2</v>
      </c>
    </row>
    <row r="553" spans="5:9" ht="15.75" customHeight="1" x14ac:dyDescent="0.2">
      <c r="E553" s="18">
        <v>42809</v>
      </c>
      <c r="F553" s="19">
        <v>24.65</v>
      </c>
      <c r="G553" s="20">
        <v>5959300</v>
      </c>
      <c r="H553" s="21" t="s">
        <v>59</v>
      </c>
      <c r="I553" s="21">
        <f>(Акции!$F553-F552)/F552</f>
        <v>9.0053213262381859E-3</v>
      </c>
    </row>
    <row r="554" spans="5:9" ht="15.75" customHeight="1" x14ac:dyDescent="0.2">
      <c r="E554" s="18">
        <v>42810</v>
      </c>
      <c r="F554" s="19">
        <v>24.29</v>
      </c>
      <c r="G554" s="20">
        <v>6779900</v>
      </c>
      <c r="H554" s="21" t="s">
        <v>59</v>
      </c>
      <c r="I554" s="21">
        <f>(Акции!$F554-F553)/F553</f>
        <v>-1.4604462474645008E-2</v>
      </c>
    </row>
    <row r="555" spans="5:9" ht="15.75" customHeight="1" x14ac:dyDescent="0.2">
      <c r="E555" s="18">
        <v>42811</v>
      </c>
      <c r="F555" s="19">
        <v>24.43</v>
      </c>
      <c r="G555" s="20">
        <v>6266700</v>
      </c>
      <c r="H555" s="21" t="s">
        <v>59</v>
      </c>
      <c r="I555" s="21">
        <f>(Акции!$F555-F554)/F554</f>
        <v>5.7636887608069403E-3</v>
      </c>
    </row>
    <row r="556" spans="5:9" ht="15.75" customHeight="1" x14ac:dyDescent="0.2">
      <c r="E556" s="18">
        <v>42814</v>
      </c>
      <c r="F556" s="19">
        <v>24.39</v>
      </c>
      <c r="G556" s="20">
        <v>3707500</v>
      </c>
      <c r="H556" s="21" t="s">
        <v>59</v>
      </c>
      <c r="I556" s="21">
        <f>(Акции!$F556-F555)/F555</f>
        <v>-1.6373311502250981E-3</v>
      </c>
    </row>
    <row r="557" spans="5:9" ht="15.75" customHeight="1" x14ac:dyDescent="0.2">
      <c r="E557" s="18">
        <v>42815</v>
      </c>
      <c r="F557" s="19">
        <v>24.14</v>
      </c>
      <c r="G557" s="20">
        <v>4881800</v>
      </c>
      <c r="H557" s="21" t="s">
        <v>59</v>
      </c>
      <c r="I557" s="21">
        <f>(Акции!$F557-F556)/F556</f>
        <v>-1.025010250102501E-2</v>
      </c>
    </row>
    <row r="558" spans="5:9" ht="15.75" customHeight="1" x14ac:dyDescent="0.2">
      <c r="E558" s="18">
        <v>42816</v>
      </c>
      <c r="F558" s="19">
        <v>24.27</v>
      </c>
      <c r="G558" s="20">
        <v>4850900</v>
      </c>
      <c r="H558" s="21" t="s">
        <v>59</v>
      </c>
      <c r="I558" s="21">
        <f>(Акции!$F558-F557)/F557</f>
        <v>5.3852526926263054E-3</v>
      </c>
    </row>
    <row r="559" spans="5:9" ht="15.75" customHeight="1" x14ac:dyDescent="0.2">
      <c r="E559" s="18">
        <v>42817</v>
      </c>
      <c r="F559" s="19">
        <v>24.25</v>
      </c>
      <c r="G559" s="20">
        <v>4410100</v>
      </c>
      <c r="H559" s="21" t="s">
        <v>59</v>
      </c>
      <c r="I559" s="21">
        <f>(Акции!$F559-F558)/F558</f>
        <v>-8.2406262875976818E-4</v>
      </c>
    </row>
    <row r="560" spans="5:9" ht="15.75" customHeight="1" x14ac:dyDescent="0.2">
      <c r="E560" s="18">
        <v>42818</v>
      </c>
      <c r="F560" s="19">
        <v>24.32</v>
      </c>
      <c r="G560" s="20">
        <v>3852900</v>
      </c>
      <c r="H560" s="21" t="s">
        <v>59</v>
      </c>
      <c r="I560" s="21">
        <f>(Акции!$F560-F559)/F559</f>
        <v>2.8865979381443416E-3</v>
      </c>
    </row>
    <row r="561" spans="5:9" ht="15.75" customHeight="1" x14ac:dyDescent="0.2">
      <c r="E561" s="18">
        <v>42821</v>
      </c>
      <c r="F561" s="19">
        <v>24.58</v>
      </c>
      <c r="G561" s="20">
        <v>7623400</v>
      </c>
      <c r="H561" s="21" t="s">
        <v>59</v>
      </c>
      <c r="I561" s="21">
        <f>(Акции!$F561-F560)/F560</f>
        <v>1.0690789473684129E-2</v>
      </c>
    </row>
    <row r="562" spans="5:9" ht="15.75" customHeight="1" x14ac:dyDescent="0.2">
      <c r="E562" s="18">
        <v>42822</v>
      </c>
      <c r="F562" s="19">
        <v>24.7</v>
      </c>
      <c r="G562" s="20">
        <v>5243900</v>
      </c>
      <c r="H562" s="21" t="s">
        <v>59</v>
      </c>
      <c r="I562" s="21">
        <f>(Акции!$F562-F561)/F561</f>
        <v>4.8820179007323435E-3</v>
      </c>
    </row>
    <row r="563" spans="5:9" ht="15.75" customHeight="1" x14ac:dyDescent="0.2">
      <c r="E563" s="18">
        <v>42823</v>
      </c>
      <c r="F563" s="19">
        <v>24.71</v>
      </c>
      <c r="G563" s="20">
        <v>6998700</v>
      </c>
      <c r="H563" s="21" t="s">
        <v>59</v>
      </c>
      <c r="I563" s="21">
        <f>(Акции!$F563-F562)/F562</f>
        <v>4.04858299595205E-4</v>
      </c>
    </row>
    <row r="564" spans="5:9" ht="15.75" customHeight="1" x14ac:dyDescent="0.2">
      <c r="E564" s="18">
        <v>42824</v>
      </c>
      <c r="F564" s="19">
        <v>24.45</v>
      </c>
      <c r="G564" s="20">
        <v>8448300</v>
      </c>
      <c r="H564" s="21" t="s">
        <v>59</v>
      </c>
      <c r="I564" s="21">
        <f>(Акции!$F564-F563)/F563</f>
        <v>-1.0522055847834947E-2</v>
      </c>
    </row>
    <row r="565" spans="5:9" ht="15.75" customHeight="1" x14ac:dyDescent="0.2">
      <c r="E565" s="18">
        <v>42825</v>
      </c>
      <c r="F565" s="19">
        <v>24.87</v>
      </c>
      <c r="G565" s="20">
        <v>13222000</v>
      </c>
      <c r="H565" s="21" t="s">
        <v>59</v>
      </c>
      <c r="I565" s="21">
        <f>(Акции!$F565-F564)/F564</f>
        <v>1.7177914110429519E-2</v>
      </c>
    </row>
    <row r="566" spans="5:9" ht="15.75" customHeight="1" x14ac:dyDescent="0.2">
      <c r="E566" s="18">
        <v>42828</v>
      </c>
      <c r="F566" s="19">
        <v>24.92</v>
      </c>
      <c r="G566" s="20">
        <v>9197200</v>
      </c>
      <c r="H566" s="21" t="s">
        <v>59</v>
      </c>
      <c r="I566" s="21">
        <f>(Акции!$F566-F565)/F565</f>
        <v>2.0104543626859954E-3</v>
      </c>
    </row>
    <row r="567" spans="5:9" ht="15.75" customHeight="1" x14ac:dyDescent="0.2">
      <c r="E567" s="18">
        <v>42829</v>
      </c>
      <c r="F567" s="19">
        <v>24.63</v>
      </c>
      <c r="G567" s="20">
        <v>8681400</v>
      </c>
      <c r="H567" s="21" t="s">
        <v>59</v>
      </c>
      <c r="I567" s="21">
        <f>(Акции!$F567-F566)/F566</f>
        <v>-1.1637239165329161E-2</v>
      </c>
    </row>
    <row r="568" spans="5:9" ht="15.75" customHeight="1" x14ac:dyDescent="0.2">
      <c r="E568" s="18">
        <v>42830</v>
      </c>
      <c r="F568" s="19">
        <v>24.42</v>
      </c>
      <c r="G568" s="20">
        <v>7997600</v>
      </c>
      <c r="H568" s="21" t="s">
        <v>59</v>
      </c>
      <c r="I568" s="21">
        <f>(Акции!$F568-F567)/F567</f>
        <v>-8.5261875761265659E-3</v>
      </c>
    </row>
    <row r="569" spans="5:9" ht="15.75" customHeight="1" x14ac:dyDescent="0.2">
      <c r="E569" s="18">
        <v>42831</v>
      </c>
      <c r="F569" s="19">
        <v>24.6</v>
      </c>
      <c r="G569" s="20">
        <v>8790100</v>
      </c>
      <c r="H569" s="21" t="s">
        <v>59</v>
      </c>
      <c r="I569" s="21">
        <f>(Акции!$F569-F568)/F568</f>
        <v>7.3710073710073591E-3</v>
      </c>
    </row>
    <row r="570" spans="5:9" ht="15.75" customHeight="1" x14ac:dyDescent="0.2">
      <c r="E570" s="18">
        <v>42832</v>
      </c>
      <c r="F570" s="19">
        <v>24.65</v>
      </c>
      <c r="G570" s="20">
        <v>5748800</v>
      </c>
      <c r="H570" s="21" t="s">
        <v>59</v>
      </c>
      <c r="I570" s="21">
        <f>(Акции!$F570-F569)/F569</f>
        <v>2.0325203252031365E-3</v>
      </c>
    </row>
    <row r="571" spans="5:9" ht="15.75" customHeight="1" x14ac:dyDescent="0.2">
      <c r="E571" s="18">
        <v>42835</v>
      </c>
      <c r="F571" s="19">
        <v>24.52</v>
      </c>
      <c r="G571" s="20">
        <v>6596400</v>
      </c>
      <c r="H571" s="21" t="s">
        <v>59</v>
      </c>
      <c r="I571" s="21">
        <f>(Акции!$F571-F570)/F570</f>
        <v>-5.2738336713995543E-3</v>
      </c>
    </row>
    <row r="572" spans="5:9" ht="15.75" customHeight="1" x14ac:dyDescent="0.2">
      <c r="E572" s="18">
        <v>42836</v>
      </c>
      <c r="F572" s="19">
        <v>24.57</v>
      </c>
      <c r="G572" s="20">
        <v>3990800</v>
      </c>
      <c r="H572" s="21" t="s">
        <v>59</v>
      </c>
      <c r="I572" s="21">
        <f>(Акции!$F572-F571)/F571</f>
        <v>2.0391517128874677E-3</v>
      </c>
    </row>
    <row r="573" spans="5:9" ht="15.75" customHeight="1" x14ac:dyDescent="0.2">
      <c r="E573" s="18">
        <v>42837</v>
      </c>
      <c r="F573" s="19">
        <v>24.53</v>
      </c>
      <c r="G573" s="20">
        <v>4647500</v>
      </c>
      <c r="H573" s="21" t="s">
        <v>59</v>
      </c>
      <c r="I573" s="21">
        <f>(Акции!$F573-F572)/F572</f>
        <v>-1.6280016280015932E-3</v>
      </c>
    </row>
    <row r="574" spans="5:9" ht="15.75" customHeight="1" x14ac:dyDescent="0.2">
      <c r="E574" s="18">
        <v>42838</v>
      </c>
      <c r="F574" s="19">
        <v>24.44</v>
      </c>
      <c r="G574" s="20">
        <v>3427100</v>
      </c>
      <c r="H574" s="21" t="s">
        <v>59</v>
      </c>
      <c r="I574" s="21">
        <f>(Акции!$F574-F573)/F573</f>
        <v>-3.6689767631471609E-3</v>
      </c>
    </row>
    <row r="575" spans="5:9" ht="15.75" customHeight="1" x14ac:dyDescent="0.2">
      <c r="E575" s="18">
        <v>42842</v>
      </c>
      <c r="F575" s="19">
        <v>24.62</v>
      </c>
      <c r="G575" s="20">
        <v>2589500</v>
      </c>
      <c r="H575" s="21" t="s">
        <v>59</v>
      </c>
      <c r="I575" s="21">
        <f>(Акции!$F575-F574)/F574</f>
        <v>7.3649754500818209E-3</v>
      </c>
    </row>
    <row r="576" spans="5:9" ht="15.75" customHeight="1" x14ac:dyDescent="0.2">
      <c r="E576" s="18">
        <v>42843</v>
      </c>
      <c r="F576" s="19">
        <v>24.47</v>
      </c>
      <c r="G576" s="20">
        <v>5355800</v>
      </c>
      <c r="H576" s="21" t="s">
        <v>59</v>
      </c>
      <c r="I576" s="21">
        <f>(Акции!$F576-F575)/F575</f>
        <v>-6.0926076360683238E-3</v>
      </c>
    </row>
    <row r="577" spans="5:9" ht="15.75" customHeight="1" x14ac:dyDescent="0.2">
      <c r="E577" s="18">
        <v>42844</v>
      </c>
      <c r="F577" s="19">
        <v>24.81</v>
      </c>
      <c r="G577" s="20">
        <v>8808300</v>
      </c>
      <c r="H577" s="21" t="s">
        <v>59</v>
      </c>
      <c r="I577" s="21">
        <f>(Акции!$F577-F576)/F576</f>
        <v>1.3894564773191658E-2</v>
      </c>
    </row>
    <row r="578" spans="5:9" ht="15.75" customHeight="1" x14ac:dyDescent="0.2">
      <c r="E578" s="18">
        <v>42845</v>
      </c>
      <c r="F578" s="19">
        <v>25.02</v>
      </c>
      <c r="G578" s="20">
        <v>5639300</v>
      </c>
      <c r="H578" s="21" t="s">
        <v>59</v>
      </c>
      <c r="I578" s="21">
        <f>(Акции!$F578-F577)/F577</f>
        <v>8.464328899637278E-3</v>
      </c>
    </row>
    <row r="579" spans="5:9" ht="15.75" customHeight="1" x14ac:dyDescent="0.2">
      <c r="E579" s="18">
        <v>42846</v>
      </c>
      <c r="F579" s="19">
        <v>24.86</v>
      </c>
      <c r="G579" s="20">
        <v>4287400</v>
      </c>
      <c r="H579" s="21" t="s">
        <v>59</v>
      </c>
      <c r="I579" s="21">
        <f>(Акции!$F579-F578)/F578</f>
        <v>-6.3948840927258253E-3</v>
      </c>
    </row>
    <row r="580" spans="5:9" ht="15.75" customHeight="1" x14ac:dyDescent="0.2">
      <c r="E580" s="18">
        <v>42849</v>
      </c>
      <c r="F580" s="19">
        <v>25.56</v>
      </c>
      <c r="G580" s="20">
        <v>14799500</v>
      </c>
      <c r="H580" s="21" t="s">
        <v>59</v>
      </c>
      <c r="I580" s="21">
        <f>(Акции!$F580-F579)/F579</f>
        <v>2.8157683024939633E-2</v>
      </c>
    </row>
    <row r="581" spans="5:9" ht="15.75" customHeight="1" x14ac:dyDescent="0.2">
      <c r="E581" s="18">
        <v>42850</v>
      </c>
      <c r="F581" s="19">
        <v>25.74</v>
      </c>
      <c r="G581" s="20">
        <v>10268000</v>
      </c>
      <c r="H581" s="21" t="s">
        <v>59</v>
      </c>
      <c r="I581" s="21">
        <f>(Акции!$F581-F580)/F580</f>
        <v>7.0422535211267494E-3</v>
      </c>
    </row>
    <row r="582" spans="5:9" ht="15.75" customHeight="1" x14ac:dyDescent="0.2">
      <c r="E582" s="18">
        <v>42851</v>
      </c>
      <c r="F582" s="19">
        <v>25.97</v>
      </c>
      <c r="G582" s="20">
        <v>9479900</v>
      </c>
      <c r="H582" s="21" t="s">
        <v>59</v>
      </c>
      <c r="I582" s="21">
        <f>(Акции!$F582-F581)/F581</f>
        <v>8.9355089355089533E-3</v>
      </c>
    </row>
    <row r="583" spans="5:9" ht="15.75" customHeight="1" x14ac:dyDescent="0.2">
      <c r="E583" s="18">
        <v>42852</v>
      </c>
      <c r="F583" s="19">
        <v>26.18</v>
      </c>
      <c r="G583" s="20">
        <v>12027300</v>
      </c>
      <c r="H583" s="21" t="s">
        <v>59</v>
      </c>
      <c r="I583" s="21">
        <f>(Акции!$F583-F582)/F582</f>
        <v>8.0862533692722706E-3</v>
      </c>
    </row>
    <row r="584" spans="5:9" ht="15.75" customHeight="1" x14ac:dyDescent="0.2">
      <c r="E584" s="18">
        <v>42853</v>
      </c>
      <c r="F584" s="19">
        <v>26.38</v>
      </c>
      <c r="G584" s="20">
        <v>9033400</v>
      </c>
      <c r="H584" s="21" t="s">
        <v>59</v>
      </c>
      <c r="I584" s="21">
        <f>(Акции!$F584-F583)/F583</f>
        <v>7.639419404125259E-3</v>
      </c>
    </row>
    <row r="585" spans="5:9" ht="15.75" customHeight="1" x14ac:dyDescent="0.2">
      <c r="E585" s="18">
        <v>42856</v>
      </c>
      <c r="F585" s="19">
        <v>26.4</v>
      </c>
      <c r="G585" s="20">
        <v>8322600</v>
      </c>
      <c r="H585" s="21" t="s">
        <v>59</v>
      </c>
      <c r="I585" s="21">
        <f>(Акции!$F585-F584)/F584</f>
        <v>7.581501137225009E-4</v>
      </c>
    </row>
    <row r="586" spans="5:9" ht="15.75" customHeight="1" x14ac:dyDescent="0.2">
      <c r="E586" s="18">
        <v>42857</v>
      </c>
      <c r="F586" s="19">
        <v>26.59</v>
      </c>
      <c r="G586" s="20">
        <v>5664200</v>
      </c>
      <c r="H586" s="21" t="s">
        <v>59</v>
      </c>
      <c r="I586" s="21">
        <f>(Акции!$F586-F585)/F585</f>
        <v>7.1969696969697459E-3</v>
      </c>
    </row>
    <row r="587" spans="5:9" ht="15.75" customHeight="1" x14ac:dyDescent="0.2">
      <c r="E587" s="18">
        <v>42858</v>
      </c>
      <c r="F587" s="19">
        <v>26.46</v>
      </c>
      <c r="G587" s="20">
        <v>3965700</v>
      </c>
      <c r="H587" s="21" t="s">
        <v>59</v>
      </c>
      <c r="I587" s="21">
        <f>(Акции!$F587-F586)/F586</f>
        <v>-4.8890560361037607E-3</v>
      </c>
    </row>
    <row r="588" spans="5:9" ht="15.75" customHeight="1" x14ac:dyDescent="0.2">
      <c r="E588" s="18">
        <v>42859</v>
      </c>
      <c r="F588" s="19">
        <v>26.35</v>
      </c>
      <c r="G588" s="20">
        <v>4620800</v>
      </c>
      <c r="H588" s="21" t="s">
        <v>59</v>
      </c>
      <c r="I588" s="21">
        <f>(Акции!$F588-F587)/F587</f>
        <v>-4.1572184429327069E-3</v>
      </c>
    </row>
    <row r="589" spans="5:9" ht="15.75" customHeight="1" x14ac:dyDescent="0.2">
      <c r="E589" s="18">
        <v>42860</v>
      </c>
      <c r="F589" s="19">
        <v>26.51</v>
      </c>
      <c r="G589" s="20">
        <v>3621700</v>
      </c>
      <c r="H589" s="21" t="s">
        <v>59</v>
      </c>
      <c r="I589" s="21">
        <f>(Акции!$F589-F588)/F588</f>
        <v>6.0721062618595877E-3</v>
      </c>
    </row>
    <row r="590" spans="5:9" ht="15.75" customHeight="1" x14ac:dyDescent="0.2">
      <c r="E590" s="18">
        <v>42863</v>
      </c>
      <c r="F590" s="19">
        <v>26.39</v>
      </c>
      <c r="G590" s="20">
        <v>4093000</v>
      </c>
      <c r="H590" s="21" t="s">
        <v>59</v>
      </c>
      <c r="I590" s="21">
        <f>(Акции!$F590-F589)/F589</f>
        <v>-4.5265937382120329E-3</v>
      </c>
    </row>
    <row r="591" spans="5:9" ht="15.75" customHeight="1" x14ac:dyDescent="0.2">
      <c r="E591" s="18">
        <v>42864</v>
      </c>
      <c r="F591" s="19">
        <v>26.38</v>
      </c>
      <c r="G591" s="20">
        <v>5435000</v>
      </c>
      <c r="H591" s="21" t="s">
        <v>59</v>
      </c>
      <c r="I591" s="21">
        <f>(Акции!$F591-F590)/F590</f>
        <v>-3.7893141341423128E-4</v>
      </c>
    </row>
    <row r="592" spans="5:9" ht="15.75" customHeight="1" x14ac:dyDescent="0.2">
      <c r="E592" s="18">
        <v>42865</v>
      </c>
      <c r="F592" s="19">
        <v>26.46</v>
      </c>
      <c r="G592" s="20">
        <v>4490500</v>
      </c>
      <c r="H592" s="21" t="s">
        <v>59</v>
      </c>
      <c r="I592" s="21">
        <f>(Акции!$F592-F591)/F591</f>
        <v>3.0326004548901385E-3</v>
      </c>
    </row>
    <row r="593" spans="5:9" ht="15.75" customHeight="1" x14ac:dyDescent="0.2">
      <c r="E593" s="18">
        <v>42866</v>
      </c>
      <c r="F593" s="19">
        <v>26.37</v>
      </c>
      <c r="G593" s="20">
        <v>6196400</v>
      </c>
      <c r="H593" s="21" t="s">
        <v>59</v>
      </c>
      <c r="I593" s="21">
        <f>(Акции!$F593-F592)/F592</f>
        <v>-3.4013605442176817E-3</v>
      </c>
    </row>
    <row r="594" spans="5:9" ht="15.75" customHeight="1" x14ac:dyDescent="0.2">
      <c r="E594" s="18">
        <v>42867</v>
      </c>
      <c r="F594" s="19">
        <v>26.23</v>
      </c>
      <c r="G594" s="20">
        <v>6206300</v>
      </c>
      <c r="H594" s="21" t="s">
        <v>59</v>
      </c>
      <c r="I594" s="21">
        <f>(Акции!$F594-F593)/F593</f>
        <v>-5.3090633295411662E-3</v>
      </c>
    </row>
    <row r="595" spans="5:9" ht="15.75" customHeight="1" x14ac:dyDescent="0.2">
      <c r="E595" s="18">
        <v>42870</v>
      </c>
      <c r="F595" s="19">
        <v>26.42</v>
      </c>
      <c r="G595" s="20">
        <v>8793900</v>
      </c>
      <c r="H595" s="21" t="s">
        <v>59</v>
      </c>
      <c r="I595" s="21">
        <f>(Акции!$F595-F594)/F594</f>
        <v>7.2436141822341321E-3</v>
      </c>
    </row>
    <row r="596" spans="5:9" ht="15.75" customHeight="1" x14ac:dyDescent="0.2">
      <c r="E596" s="18">
        <v>42871</v>
      </c>
      <c r="F596" s="19">
        <v>26.48</v>
      </c>
      <c r="G596" s="20">
        <v>10521200</v>
      </c>
      <c r="H596" s="21" t="s">
        <v>59</v>
      </c>
      <c r="I596" s="21">
        <f>(Акции!$F596-F595)/F595</f>
        <v>2.2710068130203905E-3</v>
      </c>
    </row>
    <row r="597" spans="5:9" ht="15.75" customHeight="1" x14ac:dyDescent="0.2">
      <c r="E597" s="18">
        <v>42872</v>
      </c>
      <c r="F597" s="19">
        <v>25.94</v>
      </c>
      <c r="G597" s="20">
        <v>7727000</v>
      </c>
      <c r="H597" s="21" t="s">
        <v>59</v>
      </c>
      <c r="I597" s="21">
        <f>(Акции!$F597-F596)/F596</f>
        <v>-2.039274924471296E-2</v>
      </c>
    </row>
    <row r="598" spans="5:9" ht="15.75" customHeight="1" x14ac:dyDescent="0.2">
      <c r="E598" s="18">
        <v>42873</v>
      </c>
      <c r="F598" s="19">
        <v>26.14</v>
      </c>
      <c r="G598" s="20">
        <v>5673600</v>
      </c>
      <c r="H598" s="21" t="s">
        <v>59</v>
      </c>
      <c r="I598" s="21">
        <f>(Акции!$F598-F597)/F597</f>
        <v>7.7101002313029795E-3</v>
      </c>
    </row>
    <row r="599" spans="5:9" ht="15.75" customHeight="1" x14ac:dyDescent="0.2">
      <c r="E599" s="18">
        <v>42874</v>
      </c>
      <c r="F599" s="19">
        <v>26.41</v>
      </c>
      <c r="G599" s="20">
        <v>7924600</v>
      </c>
      <c r="H599" s="21" t="s">
        <v>59</v>
      </c>
      <c r="I599" s="21">
        <f>(Акции!$F599-F598)/F598</f>
        <v>1.0328997704667161E-2</v>
      </c>
    </row>
    <row r="600" spans="5:9" ht="15.75" customHeight="1" x14ac:dyDescent="0.2">
      <c r="E600" s="18">
        <v>42877</v>
      </c>
      <c r="F600" s="19">
        <v>26.8</v>
      </c>
      <c r="G600" s="20">
        <v>7685000</v>
      </c>
      <c r="H600" s="21" t="s">
        <v>59</v>
      </c>
      <c r="I600" s="21">
        <f>(Акции!$F600-F599)/F599</f>
        <v>1.476713366149188E-2</v>
      </c>
    </row>
    <row r="601" spans="5:9" ht="15.75" customHeight="1" x14ac:dyDescent="0.2">
      <c r="E601" s="18">
        <v>42878</v>
      </c>
      <c r="F601" s="19">
        <v>26.67</v>
      </c>
      <c r="G601" s="20">
        <v>4190800</v>
      </c>
      <c r="H601" s="21" t="s">
        <v>59</v>
      </c>
      <c r="I601" s="21">
        <f>(Акции!$F601-F600)/F600</f>
        <v>-4.8507462686566789E-3</v>
      </c>
    </row>
    <row r="602" spans="5:9" ht="15.75" customHeight="1" x14ac:dyDescent="0.2">
      <c r="E602" s="18">
        <v>42879</v>
      </c>
      <c r="F602" s="19">
        <v>27.05</v>
      </c>
      <c r="G602" s="20">
        <v>5640000</v>
      </c>
      <c r="H602" s="21" t="s">
        <v>59</v>
      </c>
      <c r="I602" s="21">
        <f>(Акции!$F602-F601)/F601</f>
        <v>1.4248218972628384E-2</v>
      </c>
    </row>
    <row r="603" spans="5:9" ht="15.75" customHeight="1" x14ac:dyDescent="0.2">
      <c r="E603" s="18">
        <v>42880</v>
      </c>
      <c r="F603" s="19">
        <v>27.26</v>
      </c>
      <c r="G603" s="20">
        <v>4694800</v>
      </c>
      <c r="H603" s="21" t="s">
        <v>59</v>
      </c>
      <c r="I603" s="21">
        <f>(Акции!$F603-F602)/F602</f>
        <v>7.7634011090573322E-3</v>
      </c>
    </row>
    <row r="604" spans="5:9" ht="15.75" customHeight="1" x14ac:dyDescent="0.2">
      <c r="E604" s="18">
        <v>42881</v>
      </c>
      <c r="F604" s="19">
        <v>27.32</v>
      </c>
      <c r="G604" s="20">
        <v>4828000</v>
      </c>
      <c r="H604" s="21" t="s">
        <v>59</v>
      </c>
      <c r="I604" s="21">
        <f>(Акции!$F604-F603)/F603</f>
        <v>2.2010271460014205E-3</v>
      </c>
    </row>
    <row r="605" spans="5:9" ht="15.75" customHeight="1" x14ac:dyDescent="0.2">
      <c r="E605" s="18">
        <v>42885</v>
      </c>
      <c r="F605" s="19">
        <v>27.36</v>
      </c>
      <c r="G605" s="20">
        <v>4097100</v>
      </c>
      <c r="H605" s="21" t="s">
        <v>59</v>
      </c>
      <c r="I605" s="21">
        <f>(Акции!$F605-F604)/F604</f>
        <v>1.4641288433381826E-3</v>
      </c>
    </row>
    <row r="606" spans="5:9" ht="15.75" customHeight="1" x14ac:dyDescent="0.2">
      <c r="E606" s="18">
        <v>42886</v>
      </c>
      <c r="F606" s="19">
        <v>27.03</v>
      </c>
      <c r="G606" s="20">
        <v>12841400</v>
      </c>
      <c r="H606" s="21" t="s">
        <v>59</v>
      </c>
      <c r="I606" s="21">
        <f>(Акции!$F606-F605)/F605</f>
        <v>-1.2061403508771868E-2</v>
      </c>
    </row>
    <row r="607" spans="5:9" ht="15.75" customHeight="1" x14ac:dyDescent="0.2">
      <c r="E607" s="18">
        <v>42887</v>
      </c>
      <c r="F607" s="19">
        <v>27.61</v>
      </c>
      <c r="G607" s="20">
        <v>13257700</v>
      </c>
      <c r="H607" s="21" t="s">
        <v>59</v>
      </c>
      <c r="I607" s="21">
        <f>(Акции!$F607-F606)/F606</f>
        <v>2.1457639659637377E-2</v>
      </c>
    </row>
    <row r="608" spans="5:9" ht="15.75" customHeight="1" x14ac:dyDescent="0.2">
      <c r="E608" s="18">
        <v>42888</v>
      </c>
      <c r="F608" s="19">
        <v>27.6</v>
      </c>
      <c r="G608" s="20">
        <v>6432000</v>
      </c>
      <c r="H608" s="21" t="s">
        <v>59</v>
      </c>
      <c r="I608" s="21">
        <f>(Акции!$F608-F607)/F607</f>
        <v>-3.6218761318355708E-4</v>
      </c>
    </row>
    <row r="609" spans="5:9" ht="15.75" customHeight="1" x14ac:dyDescent="0.2">
      <c r="E609" s="18">
        <v>42891</v>
      </c>
      <c r="F609" s="19">
        <v>27.51</v>
      </c>
      <c r="G609" s="20">
        <v>4636200</v>
      </c>
      <c r="H609" s="21" t="s">
        <v>59</v>
      </c>
      <c r="I609" s="21">
        <f>(Акции!$F609-F608)/F608</f>
        <v>-3.2608695652173859E-3</v>
      </c>
    </row>
    <row r="610" spans="5:9" ht="15.75" customHeight="1" x14ac:dyDescent="0.2">
      <c r="E610" s="18">
        <v>42892</v>
      </c>
      <c r="F610" s="19">
        <v>27.5</v>
      </c>
      <c r="G610" s="20">
        <v>3772100</v>
      </c>
      <c r="H610" s="21" t="s">
        <v>59</v>
      </c>
      <c r="I610" s="21">
        <f>(Акции!$F610-F609)/F609</f>
        <v>-3.6350418029813022E-4</v>
      </c>
    </row>
    <row r="611" spans="5:9" ht="15.75" customHeight="1" x14ac:dyDescent="0.2">
      <c r="E611" s="18">
        <v>42893</v>
      </c>
      <c r="F611" s="19">
        <v>27.84</v>
      </c>
      <c r="G611" s="20">
        <v>4455400</v>
      </c>
      <c r="H611" s="21" t="s">
        <v>59</v>
      </c>
      <c r="I611" s="21">
        <f>(Акции!$F611-F610)/F610</f>
        <v>1.2363636363636358E-2</v>
      </c>
    </row>
    <row r="612" spans="5:9" ht="15.75" customHeight="1" x14ac:dyDescent="0.2">
      <c r="E612" s="18">
        <v>42894</v>
      </c>
      <c r="F612" s="19">
        <v>27.91</v>
      </c>
      <c r="G612" s="20">
        <v>6655300</v>
      </c>
      <c r="H612" s="21" t="s">
        <v>59</v>
      </c>
      <c r="I612" s="21">
        <f>(Акции!$F612-F611)/F611</f>
        <v>2.5143678160919644E-3</v>
      </c>
    </row>
    <row r="613" spans="5:9" ht="15.75" customHeight="1" x14ac:dyDescent="0.2">
      <c r="E613" s="18">
        <v>42895</v>
      </c>
      <c r="F613" s="19">
        <v>27.82</v>
      </c>
      <c r="G613" s="20">
        <v>6083900</v>
      </c>
      <c r="H613" s="21" t="s">
        <v>59</v>
      </c>
      <c r="I613" s="21">
        <f>(Акции!$F613-F612)/F612</f>
        <v>-3.2246506628448536E-3</v>
      </c>
    </row>
    <row r="614" spans="5:9" ht="15.75" customHeight="1" x14ac:dyDescent="0.2">
      <c r="E614" s="18">
        <v>42898</v>
      </c>
      <c r="F614" s="19">
        <v>27.75</v>
      </c>
      <c r="G614" s="20">
        <v>8737500</v>
      </c>
      <c r="H614" s="21" t="s">
        <v>59</v>
      </c>
      <c r="I614" s="21">
        <f>(Акции!$F614-F613)/F613</f>
        <v>-2.5161754133716852E-3</v>
      </c>
    </row>
    <row r="615" spans="5:9" ht="15.75" customHeight="1" x14ac:dyDescent="0.2">
      <c r="E615" s="18">
        <v>42899</v>
      </c>
      <c r="F615" s="19">
        <v>27.92</v>
      </c>
      <c r="G615" s="20">
        <v>5087500</v>
      </c>
      <c r="H615" s="21" t="s">
        <v>59</v>
      </c>
      <c r="I615" s="21">
        <f>(Акции!$F615-F614)/F614</f>
        <v>6.1261261261261876E-3</v>
      </c>
    </row>
    <row r="616" spans="5:9" ht="15.75" customHeight="1" x14ac:dyDescent="0.2">
      <c r="E616" s="18">
        <v>42900</v>
      </c>
      <c r="F616" s="19">
        <v>27.82</v>
      </c>
      <c r="G616" s="20">
        <v>3727300</v>
      </c>
      <c r="H616" s="21" t="s">
        <v>59</v>
      </c>
      <c r="I616" s="21">
        <f>(Акции!$F616-F615)/F615</f>
        <v>-3.581661891117529E-3</v>
      </c>
    </row>
    <row r="617" spans="5:9" ht="15.75" customHeight="1" x14ac:dyDescent="0.2">
      <c r="E617" s="18">
        <v>42901</v>
      </c>
      <c r="F617" s="19">
        <v>27.75</v>
      </c>
      <c r="G617" s="20">
        <v>4634900</v>
      </c>
      <c r="H617" s="21" t="s">
        <v>59</v>
      </c>
      <c r="I617" s="21">
        <f>(Акции!$F617-F616)/F616</f>
        <v>-2.5161754133716852E-3</v>
      </c>
    </row>
    <row r="618" spans="5:9" ht="15.75" customHeight="1" x14ac:dyDescent="0.2">
      <c r="E618" s="18">
        <v>42902</v>
      </c>
      <c r="F618" s="19">
        <v>27.75</v>
      </c>
      <c r="G618" s="20">
        <v>8520700</v>
      </c>
      <c r="H618" s="21" t="s">
        <v>59</v>
      </c>
      <c r="I618" s="21">
        <f>(Акции!$F618-F617)/F617</f>
        <v>0</v>
      </c>
    </row>
    <row r="619" spans="5:9" ht="15.75" customHeight="1" x14ac:dyDescent="0.2">
      <c r="E619" s="18">
        <v>42905</v>
      </c>
      <c r="F619" s="19">
        <v>28.25</v>
      </c>
      <c r="G619" s="20">
        <v>10571000</v>
      </c>
      <c r="H619" s="21" t="s">
        <v>59</v>
      </c>
      <c r="I619" s="21">
        <f>(Акции!$F619-F618)/F618</f>
        <v>1.8018018018018018E-2</v>
      </c>
    </row>
    <row r="620" spans="5:9" ht="15.75" customHeight="1" x14ac:dyDescent="0.2">
      <c r="E620" s="18">
        <v>42906</v>
      </c>
      <c r="F620" s="19">
        <v>28.01</v>
      </c>
      <c r="G620" s="20">
        <v>4828900</v>
      </c>
      <c r="H620" s="21" t="s">
        <v>59</v>
      </c>
      <c r="I620" s="21">
        <f>(Акции!$F620-F619)/F619</f>
        <v>-8.4955752212388831E-3</v>
      </c>
    </row>
    <row r="621" spans="5:9" ht="15.75" customHeight="1" x14ac:dyDescent="0.2">
      <c r="E621" s="18">
        <v>42907</v>
      </c>
      <c r="F621" s="19">
        <v>27.91</v>
      </c>
      <c r="G621" s="20">
        <v>9109500</v>
      </c>
      <c r="H621" s="21" t="s">
        <v>59</v>
      </c>
      <c r="I621" s="21">
        <f>(Акции!$F621-F620)/F620</f>
        <v>-3.5701535166012643E-3</v>
      </c>
    </row>
    <row r="622" spans="5:9" ht="15.75" customHeight="1" x14ac:dyDescent="0.2">
      <c r="E622" s="18">
        <v>42908</v>
      </c>
      <c r="F622" s="19">
        <v>27.86</v>
      </c>
      <c r="G622" s="20">
        <v>6819300</v>
      </c>
      <c r="H622" s="21" t="s">
        <v>59</v>
      </c>
      <c r="I622" s="21">
        <f>(Акции!$F622-F621)/F621</f>
        <v>-1.7914725904693912E-3</v>
      </c>
    </row>
    <row r="623" spans="5:9" ht="15.75" customHeight="1" x14ac:dyDescent="0.2">
      <c r="E623" s="18">
        <v>42909</v>
      </c>
      <c r="F623" s="19">
        <v>28.1</v>
      </c>
      <c r="G623" s="20">
        <v>8175200</v>
      </c>
      <c r="H623" s="21" t="s">
        <v>59</v>
      </c>
      <c r="I623" s="21">
        <f>(Акции!$F623-F622)/F622</f>
        <v>8.6145010768127056E-3</v>
      </c>
    </row>
    <row r="624" spans="5:9" ht="15.75" customHeight="1" x14ac:dyDescent="0.2">
      <c r="E624" s="18">
        <v>42912</v>
      </c>
      <c r="F624" s="19">
        <v>27.72</v>
      </c>
      <c r="G624" s="20">
        <v>8288700</v>
      </c>
      <c r="H624" s="21" t="s">
        <v>59</v>
      </c>
      <c r="I624" s="21">
        <f>(Акции!$F624-F623)/F623</f>
        <v>-1.3523131672597955E-2</v>
      </c>
    </row>
    <row r="625" spans="5:9" ht="15.75" customHeight="1" x14ac:dyDescent="0.2">
      <c r="E625" s="18">
        <v>42913</v>
      </c>
      <c r="F625" s="19">
        <v>27.81</v>
      </c>
      <c r="G625" s="20">
        <v>10896100</v>
      </c>
      <c r="H625" s="21" t="s">
        <v>59</v>
      </c>
      <c r="I625" s="21">
        <f>(Акции!$F625-F624)/F624</f>
        <v>3.2467532467532418E-3</v>
      </c>
    </row>
    <row r="626" spans="5:9" ht="15.75" customHeight="1" x14ac:dyDescent="0.2">
      <c r="E626" s="18">
        <v>42914</v>
      </c>
      <c r="F626" s="19">
        <v>28.12</v>
      </c>
      <c r="G626" s="20">
        <v>20242300</v>
      </c>
      <c r="H626" s="21" t="s">
        <v>59</v>
      </c>
      <c r="I626" s="21">
        <f>(Акции!$F626-F625)/F625</f>
        <v>1.1147069399496666E-2</v>
      </c>
    </row>
    <row r="627" spans="5:9" ht="15.75" customHeight="1" x14ac:dyDescent="0.2">
      <c r="E627" s="18">
        <v>42915</v>
      </c>
      <c r="F627" s="19">
        <v>27.82</v>
      </c>
      <c r="G627" s="20">
        <v>7478100</v>
      </c>
      <c r="H627" s="21" t="s">
        <v>59</v>
      </c>
      <c r="I627" s="21">
        <f>(Акции!$F627-F626)/F626</f>
        <v>-1.0668563300142273E-2</v>
      </c>
    </row>
    <row r="628" spans="5:9" ht="15.75" customHeight="1" x14ac:dyDescent="0.2">
      <c r="E628" s="18">
        <v>42916</v>
      </c>
      <c r="F628" s="19">
        <v>27.72</v>
      </c>
      <c r="G628" s="20">
        <v>5193700</v>
      </c>
      <c r="H628" s="21" t="s">
        <v>59</v>
      </c>
      <c r="I628" s="21">
        <f>(Акции!$F628-F627)/F627</f>
        <v>-3.5945363048167298E-3</v>
      </c>
    </row>
    <row r="629" spans="5:9" ht="15.75" customHeight="1" x14ac:dyDescent="0.2">
      <c r="E629" s="18">
        <v>42919</v>
      </c>
      <c r="F629" s="19">
        <v>27.63</v>
      </c>
      <c r="G629" s="20">
        <v>2402800</v>
      </c>
      <c r="H629" s="21" t="s">
        <v>59</v>
      </c>
      <c r="I629" s="21">
        <f>(Акции!$F629-F628)/F628</f>
        <v>-3.2467532467532418E-3</v>
      </c>
    </row>
    <row r="630" spans="5:9" ht="15.75" customHeight="1" x14ac:dyDescent="0.2">
      <c r="E630" s="18">
        <v>42921</v>
      </c>
      <c r="F630" s="19">
        <v>27.63</v>
      </c>
      <c r="G630" s="20">
        <v>7685500</v>
      </c>
      <c r="H630" s="21" t="s">
        <v>59</v>
      </c>
      <c r="I630" s="21">
        <f>(Акции!$F630-F629)/F629</f>
        <v>0</v>
      </c>
    </row>
    <row r="631" spans="5:9" ht="15.75" customHeight="1" x14ac:dyDescent="0.2">
      <c r="E631" s="18">
        <v>42922</v>
      </c>
      <c r="F631" s="19">
        <v>27.31</v>
      </c>
      <c r="G631" s="20">
        <v>5296500</v>
      </c>
      <c r="H631" s="21" t="s">
        <v>59</v>
      </c>
      <c r="I631" s="21">
        <f>(Акции!$F631-F630)/F630</f>
        <v>-1.158161418747739E-2</v>
      </c>
    </row>
    <row r="632" spans="5:9" ht="15.75" customHeight="1" x14ac:dyDescent="0.2">
      <c r="E632" s="18">
        <v>42923</v>
      </c>
      <c r="F632" s="19">
        <v>27.59</v>
      </c>
      <c r="G632" s="20">
        <v>4103300</v>
      </c>
      <c r="H632" s="21" t="s">
        <v>59</v>
      </c>
      <c r="I632" s="21">
        <f>(Акции!$F632-F631)/F631</f>
        <v>1.025265470523622E-2</v>
      </c>
    </row>
    <row r="633" spans="5:9" ht="15.75" customHeight="1" x14ac:dyDescent="0.2">
      <c r="E633" s="18">
        <v>42926</v>
      </c>
      <c r="F633" s="19">
        <v>27.56</v>
      </c>
      <c r="G633" s="20">
        <v>4123500</v>
      </c>
      <c r="H633" s="21" t="s">
        <v>59</v>
      </c>
      <c r="I633" s="21">
        <f>(Акции!$F633-F632)/F632</f>
        <v>-1.0873504893077614E-3</v>
      </c>
    </row>
    <row r="634" spans="5:9" ht="15.75" customHeight="1" x14ac:dyDescent="0.2">
      <c r="E634" s="18">
        <v>42927</v>
      </c>
      <c r="F634" s="19">
        <v>27.53</v>
      </c>
      <c r="G634" s="20">
        <v>6114700</v>
      </c>
      <c r="H634" s="21" t="s">
        <v>59</v>
      </c>
      <c r="I634" s="21">
        <f>(Акции!$F634-F633)/F633</f>
        <v>-1.0885341074019443E-3</v>
      </c>
    </row>
    <row r="635" spans="5:9" ht="15.75" customHeight="1" x14ac:dyDescent="0.2">
      <c r="E635" s="18">
        <v>42928</v>
      </c>
      <c r="F635" s="19">
        <v>27.82</v>
      </c>
      <c r="G635" s="20">
        <v>3573700</v>
      </c>
      <c r="H635" s="21" t="s">
        <v>59</v>
      </c>
      <c r="I635" s="21">
        <f>(Акции!$F635-F634)/F634</f>
        <v>1.0533962949509595E-2</v>
      </c>
    </row>
    <row r="636" spans="5:9" ht="15.75" customHeight="1" x14ac:dyDescent="0.2">
      <c r="E636" s="18">
        <v>42929</v>
      </c>
      <c r="F636" s="19">
        <v>27.59</v>
      </c>
      <c r="G636" s="20">
        <v>4206600</v>
      </c>
      <c r="H636" s="21" t="s">
        <v>59</v>
      </c>
      <c r="I636" s="21">
        <f>(Акции!$F636-F635)/F635</f>
        <v>-8.2674335010783761E-3</v>
      </c>
    </row>
    <row r="637" spans="5:9" ht="15.75" customHeight="1" x14ac:dyDescent="0.2">
      <c r="E637" s="18">
        <v>42930</v>
      </c>
      <c r="F637" s="19">
        <v>27.78</v>
      </c>
      <c r="G637" s="20">
        <v>3450000</v>
      </c>
      <c r="H637" s="21" t="s">
        <v>59</v>
      </c>
      <c r="I637" s="21">
        <f>(Акции!$F637-F636)/F636</f>
        <v>6.8865530989489412E-3</v>
      </c>
    </row>
    <row r="638" spans="5:9" ht="15.75" customHeight="1" x14ac:dyDescent="0.2">
      <c r="E638" s="18">
        <v>42933</v>
      </c>
      <c r="F638" s="19">
        <v>27.69</v>
      </c>
      <c r="G638" s="20">
        <v>4078800</v>
      </c>
      <c r="H638" s="21" t="s">
        <v>59</v>
      </c>
      <c r="I638" s="21">
        <f>(Акции!$F638-F637)/F637</f>
        <v>-3.239740820734336E-3</v>
      </c>
    </row>
    <row r="639" spans="5:9" ht="15.75" customHeight="1" x14ac:dyDescent="0.2">
      <c r="E639" s="18">
        <v>42934</v>
      </c>
      <c r="F639" s="19">
        <v>27.79</v>
      </c>
      <c r="G639" s="20">
        <v>3249000</v>
      </c>
      <c r="H639" s="21" t="s">
        <v>59</v>
      </c>
      <c r="I639" s="21">
        <f>(Акции!$F639-F638)/F638</f>
        <v>3.6114120621162102E-3</v>
      </c>
    </row>
    <row r="640" spans="5:9" ht="15.75" customHeight="1" x14ac:dyDescent="0.2">
      <c r="E640" s="18">
        <v>42935</v>
      </c>
      <c r="F640" s="19">
        <v>27.93</v>
      </c>
      <c r="G640" s="20">
        <v>3121000</v>
      </c>
      <c r="H640" s="21" t="s">
        <v>59</v>
      </c>
      <c r="I640" s="21">
        <f>(Акции!$F640-F639)/F639</f>
        <v>5.0377833753148821E-3</v>
      </c>
    </row>
    <row r="641" spans="5:9" ht="15.75" customHeight="1" x14ac:dyDescent="0.2">
      <c r="E641" s="18">
        <v>42936</v>
      </c>
      <c r="F641" s="19">
        <v>27.73</v>
      </c>
      <c r="G641" s="20">
        <v>6199800</v>
      </c>
      <c r="H641" s="21" t="s">
        <v>59</v>
      </c>
      <c r="I641" s="21">
        <f>(Акции!$F641-F640)/F640</f>
        <v>-7.1607590404582635E-3</v>
      </c>
    </row>
    <row r="642" spans="5:9" ht="15.75" customHeight="1" x14ac:dyDescent="0.2">
      <c r="E642" s="18">
        <v>42937</v>
      </c>
      <c r="F642" s="19">
        <v>27.62</v>
      </c>
      <c r="G642" s="20">
        <v>4648500</v>
      </c>
      <c r="H642" s="21" t="s">
        <v>59</v>
      </c>
      <c r="I642" s="21">
        <f>(Акции!$F642-F641)/F641</f>
        <v>-3.9668229354489519E-3</v>
      </c>
    </row>
    <row r="643" spans="5:9" ht="15.75" customHeight="1" x14ac:dyDescent="0.2">
      <c r="E643" s="18">
        <v>42940</v>
      </c>
      <c r="F643" s="19">
        <v>27.62</v>
      </c>
      <c r="G643" s="20">
        <v>5310500</v>
      </c>
      <c r="H643" s="21" t="s">
        <v>59</v>
      </c>
      <c r="I643" s="21">
        <f>(Акции!$F643-F642)/F642</f>
        <v>0</v>
      </c>
    </row>
    <row r="644" spans="5:9" ht="15.75" customHeight="1" x14ac:dyDescent="0.2">
      <c r="E644" s="18">
        <v>42941</v>
      </c>
      <c r="F644" s="19">
        <v>27.58</v>
      </c>
      <c r="G644" s="20">
        <v>4478800</v>
      </c>
      <c r="H644" s="21" t="s">
        <v>59</v>
      </c>
      <c r="I644" s="21">
        <f>(Акции!$F644-F643)/F643</f>
        <v>-1.4482259232441238E-3</v>
      </c>
    </row>
    <row r="645" spans="5:9" ht="15.75" customHeight="1" x14ac:dyDescent="0.2">
      <c r="E645" s="18">
        <v>42942</v>
      </c>
      <c r="F645" s="19">
        <v>27.42</v>
      </c>
      <c r="G645" s="20">
        <v>4554300</v>
      </c>
      <c r="H645" s="21" t="s">
        <v>59</v>
      </c>
      <c r="I645" s="21">
        <f>(Акции!$F645-F644)/F644</f>
        <v>-5.8013052936909575E-3</v>
      </c>
    </row>
    <row r="646" spans="5:9" ht="15.75" customHeight="1" x14ac:dyDescent="0.2">
      <c r="E646" s="18">
        <v>42943</v>
      </c>
      <c r="F646" s="19">
        <v>27.05</v>
      </c>
      <c r="G646" s="20">
        <v>13914600</v>
      </c>
      <c r="H646" s="21" t="s">
        <v>59</v>
      </c>
      <c r="I646" s="21">
        <f>(Акции!$F646-F645)/F645</f>
        <v>-1.3493800145878957E-2</v>
      </c>
    </row>
    <row r="647" spans="5:9" ht="15.75" customHeight="1" x14ac:dyDescent="0.2">
      <c r="E647" s="18">
        <v>42944</v>
      </c>
      <c r="F647" s="19">
        <v>27.01</v>
      </c>
      <c r="G647" s="20">
        <v>5172000</v>
      </c>
      <c r="H647" s="21" t="s">
        <v>59</v>
      </c>
      <c r="I647" s="21">
        <f>(Акции!$F647-F646)/F646</f>
        <v>-1.4787430683918354E-3</v>
      </c>
    </row>
    <row r="648" spans="5:9" ht="15.75" customHeight="1" x14ac:dyDescent="0.2">
      <c r="E648" s="18">
        <v>42947</v>
      </c>
      <c r="F648" s="19">
        <v>26.62</v>
      </c>
      <c r="G648" s="20">
        <v>7377400</v>
      </c>
      <c r="H648" s="21" t="s">
        <v>59</v>
      </c>
      <c r="I648" s="21">
        <f>(Акции!$F648-F647)/F647</f>
        <v>-1.4439096630877474E-2</v>
      </c>
    </row>
    <row r="649" spans="5:9" ht="15.75" customHeight="1" x14ac:dyDescent="0.2">
      <c r="E649" s="18">
        <v>42948</v>
      </c>
      <c r="F649" s="19">
        <v>26.48</v>
      </c>
      <c r="G649" s="20">
        <v>5614000</v>
      </c>
      <c r="H649" s="21" t="s">
        <v>59</v>
      </c>
      <c r="I649" s="21">
        <f>(Акции!$F649-F648)/F648</f>
        <v>-5.2592036063110652E-3</v>
      </c>
    </row>
    <row r="650" spans="5:9" ht="15.75" customHeight="1" x14ac:dyDescent="0.2">
      <c r="E650" s="18">
        <v>42949</v>
      </c>
      <c r="F650" s="19">
        <v>26.51</v>
      </c>
      <c r="G650" s="20">
        <v>6324900</v>
      </c>
      <c r="H650" s="21" t="s">
        <v>59</v>
      </c>
      <c r="I650" s="21">
        <f>(Акции!$F650-F649)/F649</f>
        <v>1.132930513595209E-3</v>
      </c>
    </row>
    <row r="651" spans="5:9" ht="15.75" customHeight="1" x14ac:dyDescent="0.2">
      <c r="E651" s="18">
        <v>42950</v>
      </c>
      <c r="F651" s="19">
        <v>26.74</v>
      </c>
      <c r="G651" s="20">
        <v>5046600</v>
      </c>
      <c r="H651" s="21" t="s">
        <v>59</v>
      </c>
      <c r="I651" s="21">
        <f>(Акции!$F651-F650)/F650</f>
        <v>8.6759713315728727E-3</v>
      </c>
    </row>
    <row r="652" spans="5:9" ht="15.75" customHeight="1" x14ac:dyDescent="0.2">
      <c r="E652" s="18">
        <v>42951</v>
      </c>
      <c r="F652" s="19">
        <v>26.83</v>
      </c>
      <c r="G652" s="20">
        <v>3568100</v>
      </c>
      <c r="H652" s="21" t="s">
        <v>59</v>
      </c>
      <c r="I652" s="21">
        <f>(Акции!$F652-F651)/F651</f>
        <v>3.3657442034405335E-3</v>
      </c>
    </row>
    <row r="653" spans="5:9" ht="15.75" customHeight="1" x14ac:dyDescent="0.2">
      <c r="E653" s="18">
        <v>42954</v>
      </c>
      <c r="F653" s="19">
        <v>26.76</v>
      </c>
      <c r="G653" s="20">
        <v>3415600</v>
      </c>
      <c r="H653" s="21" t="s">
        <v>59</v>
      </c>
      <c r="I653" s="21">
        <f>(Акции!$F653-F652)/F652</f>
        <v>-2.6090197540065874E-3</v>
      </c>
    </row>
    <row r="654" spans="5:9" ht="15.75" customHeight="1" x14ac:dyDescent="0.2">
      <c r="E654" s="18">
        <v>42955</v>
      </c>
      <c r="F654" s="19">
        <v>26.51</v>
      </c>
      <c r="G654" s="20">
        <v>4581400</v>
      </c>
      <c r="H654" s="21" t="s">
        <v>59</v>
      </c>
      <c r="I654" s="21">
        <f>(Акции!$F654-F653)/F653</f>
        <v>-9.3423019431988028E-3</v>
      </c>
    </row>
    <row r="655" spans="5:9" ht="15.75" customHeight="1" x14ac:dyDescent="0.2">
      <c r="E655" s="18">
        <v>42956</v>
      </c>
      <c r="F655" s="19">
        <v>26.57</v>
      </c>
      <c r="G655" s="20">
        <v>3405100</v>
      </c>
      <c r="H655" s="21" t="s">
        <v>59</v>
      </c>
      <c r="I655" s="21">
        <f>(Акции!$F655-F654)/F654</f>
        <v>2.2632968691059492E-3</v>
      </c>
    </row>
    <row r="656" spans="5:9" ht="15.75" customHeight="1" x14ac:dyDescent="0.2">
      <c r="E656" s="18">
        <v>42957</v>
      </c>
      <c r="F656" s="19">
        <v>26.26</v>
      </c>
      <c r="G656" s="20">
        <v>5854300</v>
      </c>
      <c r="H656" s="21" t="s">
        <v>59</v>
      </c>
      <c r="I656" s="21">
        <f>(Акции!$F656-F655)/F655</f>
        <v>-1.1667293940534389E-2</v>
      </c>
    </row>
    <row r="657" spans="5:9" ht="15.75" customHeight="1" x14ac:dyDescent="0.2">
      <c r="E657" s="18">
        <v>42958</v>
      </c>
      <c r="F657" s="19">
        <v>26.41</v>
      </c>
      <c r="G657" s="20">
        <v>3286000</v>
      </c>
      <c r="H657" s="21" t="s">
        <v>59</v>
      </c>
      <c r="I657" s="21">
        <f>(Акции!$F657-F656)/F656</f>
        <v>5.7121096725056579E-3</v>
      </c>
    </row>
    <row r="658" spans="5:9" ht="15.75" customHeight="1" x14ac:dyDescent="0.2">
      <c r="E658" s="18">
        <v>42961</v>
      </c>
      <c r="F658" s="19">
        <v>26.68</v>
      </c>
      <c r="G658" s="20">
        <v>3835600</v>
      </c>
      <c r="H658" s="21" t="s">
        <v>59</v>
      </c>
      <c r="I658" s="21">
        <f>(Акции!$F658-F657)/F657</f>
        <v>1.0223400227186655E-2</v>
      </c>
    </row>
    <row r="659" spans="5:9" ht="15.75" customHeight="1" x14ac:dyDescent="0.2">
      <c r="E659" s="18">
        <v>42962</v>
      </c>
      <c r="F659" s="19">
        <v>26.47</v>
      </c>
      <c r="G659" s="20">
        <v>5490200</v>
      </c>
      <c r="H659" s="21" t="s">
        <v>59</v>
      </c>
      <c r="I659" s="21">
        <f>(Акции!$F659-F658)/F658</f>
        <v>-7.8710644677661493E-3</v>
      </c>
    </row>
    <row r="660" spans="5:9" ht="15.75" customHeight="1" x14ac:dyDescent="0.2">
      <c r="E660" s="18">
        <v>42963</v>
      </c>
      <c r="F660" s="19">
        <v>26.68</v>
      </c>
      <c r="G660" s="20">
        <v>5930100</v>
      </c>
      <c r="H660" s="21" t="s">
        <v>59</v>
      </c>
      <c r="I660" s="21">
        <f>(Акции!$F660-F659)/F659</f>
        <v>7.9335096335474455E-3</v>
      </c>
    </row>
    <row r="661" spans="5:9" ht="15.75" customHeight="1" x14ac:dyDescent="0.2">
      <c r="E661" s="18">
        <v>42964</v>
      </c>
      <c r="F661" s="19">
        <v>26.64</v>
      </c>
      <c r="G661" s="20">
        <v>5933900</v>
      </c>
      <c r="H661" s="21" t="s">
        <v>59</v>
      </c>
      <c r="I661" s="21">
        <f>(Акции!$F661-F660)/F660</f>
        <v>-1.4992503748125618E-3</v>
      </c>
    </row>
    <row r="662" spans="5:9" ht="15.75" customHeight="1" x14ac:dyDescent="0.2">
      <c r="E662" s="18">
        <v>42965</v>
      </c>
      <c r="F662" s="19">
        <v>26.89</v>
      </c>
      <c r="G662" s="20">
        <v>5850200</v>
      </c>
      <c r="H662" s="21" t="s">
        <v>59</v>
      </c>
      <c r="I662" s="21">
        <f>(Акции!$F662-F661)/F661</f>
        <v>9.3843843843843845E-3</v>
      </c>
    </row>
    <row r="663" spans="5:9" ht="15.75" customHeight="1" x14ac:dyDescent="0.2">
      <c r="E663" s="18">
        <v>42968</v>
      </c>
      <c r="F663" s="19">
        <v>26.89</v>
      </c>
      <c r="G663" s="20">
        <v>4395700</v>
      </c>
      <c r="H663" s="21" t="s">
        <v>59</v>
      </c>
      <c r="I663" s="21">
        <f>(Акции!$F663-F662)/F662</f>
        <v>0</v>
      </c>
    </row>
    <row r="664" spans="5:9" ht="15.75" customHeight="1" x14ac:dyDescent="0.2">
      <c r="E664" s="18">
        <v>42969</v>
      </c>
      <c r="F664" s="19">
        <v>27.21</v>
      </c>
      <c r="G664" s="20">
        <v>4223900</v>
      </c>
      <c r="H664" s="21" t="s">
        <v>59</v>
      </c>
      <c r="I664" s="21">
        <f>(Акции!$F664-F663)/F663</f>
        <v>1.1900334696913361E-2</v>
      </c>
    </row>
    <row r="665" spans="5:9" ht="15.75" customHeight="1" x14ac:dyDescent="0.2">
      <c r="E665" s="18">
        <v>42970</v>
      </c>
      <c r="F665" s="19">
        <v>26.84</v>
      </c>
      <c r="G665" s="20">
        <v>3838700</v>
      </c>
      <c r="H665" s="21" t="s">
        <v>59</v>
      </c>
      <c r="I665" s="21">
        <f>(Акции!$F665-F664)/F664</f>
        <v>-1.3597941933112862E-2</v>
      </c>
    </row>
    <row r="666" spans="5:9" ht="15.75" customHeight="1" x14ac:dyDescent="0.2">
      <c r="E666" s="18">
        <v>42971</v>
      </c>
      <c r="F666" s="19">
        <v>26.71</v>
      </c>
      <c r="G666" s="20">
        <v>3998300</v>
      </c>
      <c r="H666" s="21" t="s">
        <v>59</v>
      </c>
      <c r="I666" s="21">
        <f>(Акции!$F666-F665)/F665</f>
        <v>-4.8435171385990692E-3</v>
      </c>
    </row>
    <row r="667" spans="5:9" ht="15.75" customHeight="1" x14ac:dyDescent="0.2">
      <c r="E667" s="18">
        <v>42972</v>
      </c>
      <c r="F667" s="19">
        <v>26.72</v>
      </c>
      <c r="G667" s="20">
        <v>3665900</v>
      </c>
      <c r="H667" s="21" t="s">
        <v>59</v>
      </c>
      <c r="I667" s="21">
        <f>(Акции!$F667-F666)/F666</f>
        <v>3.7439161362778022E-4</v>
      </c>
    </row>
    <row r="668" spans="5:9" ht="15.75" customHeight="1" x14ac:dyDescent="0.2">
      <c r="E668" s="18">
        <v>42975</v>
      </c>
      <c r="F668" s="19">
        <v>26.97</v>
      </c>
      <c r="G668" s="20">
        <v>3326600</v>
      </c>
      <c r="H668" s="21" t="s">
        <v>59</v>
      </c>
      <c r="I668" s="21">
        <f>(Акции!$F668-F667)/F667</f>
        <v>9.3562874251497015E-3</v>
      </c>
    </row>
    <row r="669" spans="5:9" ht="15.75" customHeight="1" x14ac:dyDescent="0.2">
      <c r="E669" s="18">
        <v>42976</v>
      </c>
      <c r="F669" s="19">
        <v>27.05</v>
      </c>
      <c r="G669" s="20">
        <v>3163100</v>
      </c>
      <c r="H669" s="21" t="s">
        <v>59</v>
      </c>
      <c r="I669" s="21">
        <f>(Акции!$F669-F668)/F668</f>
        <v>2.9662588060808993E-3</v>
      </c>
    </row>
    <row r="670" spans="5:9" ht="15.75" customHeight="1" x14ac:dyDescent="0.2">
      <c r="E670" s="18">
        <v>42977</v>
      </c>
      <c r="F670" s="19">
        <v>27.08</v>
      </c>
      <c r="G670" s="20">
        <v>2767100</v>
      </c>
      <c r="H670" s="21" t="s">
        <v>59</v>
      </c>
      <c r="I670" s="21">
        <f>(Акции!$F670-F669)/F669</f>
        <v>1.1090573012938107E-3</v>
      </c>
    </row>
    <row r="671" spans="5:9" ht="15.75" customHeight="1" x14ac:dyDescent="0.2">
      <c r="E671" s="18">
        <v>42978</v>
      </c>
      <c r="F671" s="19">
        <v>27.55</v>
      </c>
      <c r="G671" s="20">
        <v>6984100</v>
      </c>
      <c r="H671" s="21" t="s">
        <v>59</v>
      </c>
      <c r="I671" s="21">
        <f>(Акции!$F671-F670)/F670</f>
        <v>1.7355982274741596E-2</v>
      </c>
    </row>
    <row r="672" spans="5:9" ht="15.75" customHeight="1" x14ac:dyDescent="0.2">
      <c r="E672" s="18">
        <v>42979</v>
      </c>
      <c r="F672" s="19">
        <v>27.5</v>
      </c>
      <c r="G672" s="20">
        <v>4527600</v>
      </c>
      <c r="H672" s="21" t="s">
        <v>59</v>
      </c>
      <c r="I672" s="21">
        <f>(Акции!$F672-F671)/F671</f>
        <v>-1.8148820326679023E-3</v>
      </c>
    </row>
    <row r="673" spans="5:9" ht="15.75" customHeight="1" x14ac:dyDescent="0.2">
      <c r="E673" s="18">
        <v>42983</v>
      </c>
      <c r="F673" s="19">
        <v>27.57</v>
      </c>
      <c r="G673" s="20">
        <v>4769400</v>
      </c>
      <c r="H673" s="21" t="s">
        <v>59</v>
      </c>
      <c r="I673" s="21">
        <f>(Акции!$F673-F672)/F672</f>
        <v>2.5454545454545556E-3</v>
      </c>
    </row>
    <row r="674" spans="5:9" ht="15.75" customHeight="1" x14ac:dyDescent="0.2">
      <c r="E674" s="18">
        <v>42984</v>
      </c>
      <c r="F674" s="19">
        <v>28.22</v>
      </c>
      <c r="G674" s="20">
        <v>5904600</v>
      </c>
      <c r="H674" s="21" t="s">
        <v>59</v>
      </c>
      <c r="I674" s="21">
        <f>(Акции!$F674-F673)/F673</f>
        <v>2.3576351106274884E-2</v>
      </c>
    </row>
    <row r="675" spans="5:9" ht="15.75" customHeight="1" x14ac:dyDescent="0.2">
      <c r="E675" s="18">
        <v>42985</v>
      </c>
      <c r="F675" s="19">
        <v>28.54</v>
      </c>
      <c r="G675" s="20">
        <v>5791400</v>
      </c>
      <c r="H675" s="21" t="s">
        <v>59</v>
      </c>
      <c r="I675" s="21">
        <f>(Акции!$F675-F674)/F674</f>
        <v>1.1339475549255858E-2</v>
      </c>
    </row>
    <row r="676" spans="5:9" ht="15.75" customHeight="1" x14ac:dyDescent="0.2">
      <c r="E676" s="18">
        <v>42986</v>
      </c>
      <c r="F676" s="19">
        <v>28.79</v>
      </c>
      <c r="G676" s="20">
        <v>5336200</v>
      </c>
      <c r="H676" s="21" t="s">
        <v>59</v>
      </c>
      <c r="I676" s="21">
        <f>(Акции!$F676-F675)/F675</f>
        <v>8.7596355991590748E-3</v>
      </c>
    </row>
    <row r="677" spans="5:9" ht="15.75" customHeight="1" x14ac:dyDescent="0.2">
      <c r="E677" s="18">
        <v>42989</v>
      </c>
      <c r="F677" s="19">
        <v>28.95</v>
      </c>
      <c r="G677" s="20">
        <v>5695800</v>
      </c>
      <c r="H677" s="21" t="s">
        <v>59</v>
      </c>
      <c r="I677" s="21">
        <f>(Акции!$F677-F676)/F676</f>
        <v>5.5574852379298417E-3</v>
      </c>
    </row>
    <row r="678" spans="5:9" ht="15.75" customHeight="1" x14ac:dyDescent="0.2">
      <c r="E678" s="18">
        <v>42990</v>
      </c>
      <c r="F678" s="19">
        <v>29.01</v>
      </c>
      <c r="G678" s="20">
        <v>4497900</v>
      </c>
      <c r="H678" s="21" t="s">
        <v>59</v>
      </c>
      <c r="I678" s="21">
        <f>(Акции!$F678-F677)/F677</f>
        <v>2.0725388601037053E-3</v>
      </c>
    </row>
    <row r="679" spans="5:9" ht="15.75" customHeight="1" x14ac:dyDescent="0.2">
      <c r="E679" s="18">
        <v>42991</v>
      </c>
      <c r="F679" s="19">
        <v>29.08</v>
      </c>
      <c r="G679" s="20">
        <v>5966600</v>
      </c>
      <c r="H679" s="21" t="s">
        <v>59</v>
      </c>
      <c r="I679" s="21">
        <f>(Акции!$F679-F678)/F678</f>
        <v>2.4129610479143994E-3</v>
      </c>
    </row>
    <row r="680" spans="5:9" ht="15.75" customHeight="1" x14ac:dyDescent="0.2">
      <c r="E680" s="18">
        <v>42992</v>
      </c>
      <c r="F680" s="19">
        <v>28.97</v>
      </c>
      <c r="G680" s="20">
        <v>4785000</v>
      </c>
      <c r="H680" s="21" t="s">
        <v>59</v>
      </c>
      <c r="I680" s="21">
        <f>(Акции!$F680-F679)/F679</f>
        <v>-3.7826685006877385E-3</v>
      </c>
    </row>
    <row r="681" spans="5:9" ht="15.75" customHeight="1" x14ac:dyDescent="0.2">
      <c r="E681" s="18">
        <v>42993</v>
      </c>
      <c r="F681" s="19">
        <v>28.93</v>
      </c>
      <c r="G681" s="20">
        <v>7680400</v>
      </c>
      <c r="H681" s="21" t="s">
        <v>59</v>
      </c>
      <c r="I681" s="21">
        <f>(Акции!$F681-F680)/F680</f>
        <v>-1.3807386952019037E-3</v>
      </c>
    </row>
    <row r="682" spans="5:9" ht="15.75" customHeight="1" x14ac:dyDescent="0.2">
      <c r="E682" s="18">
        <v>42996</v>
      </c>
      <c r="F682" s="19">
        <v>28.99</v>
      </c>
      <c r="G682" s="20">
        <v>5067300</v>
      </c>
      <c r="H682" s="21" t="s">
        <v>59</v>
      </c>
      <c r="I682" s="21">
        <f>(Акции!$F682-F681)/F681</f>
        <v>2.0739716557206609E-3</v>
      </c>
    </row>
    <row r="683" spans="5:9" ht="15.75" customHeight="1" x14ac:dyDescent="0.2">
      <c r="E683" s="18">
        <v>42997</v>
      </c>
      <c r="F683" s="19">
        <v>28.69</v>
      </c>
      <c r="G683" s="20">
        <v>3247800</v>
      </c>
      <c r="H683" s="21" t="s">
        <v>59</v>
      </c>
      <c r="I683" s="21">
        <f>(Акции!$F683-F682)/F682</f>
        <v>-1.0348395998620117E-2</v>
      </c>
    </row>
    <row r="684" spans="5:9" ht="15.75" customHeight="1" x14ac:dyDescent="0.2">
      <c r="E684" s="18">
        <v>42998</v>
      </c>
      <c r="F684" s="19">
        <v>28.84</v>
      </c>
      <c r="G684" s="20">
        <v>3959900</v>
      </c>
      <c r="H684" s="21" t="s">
        <v>59</v>
      </c>
      <c r="I684" s="21">
        <f>(Акции!$F684-F683)/F683</f>
        <v>5.228302544440522E-3</v>
      </c>
    </row>
    <row r="685" spans="5:9" ht="15.75" customHeight="1" x14ac:dyDescent="0.2">
      <c r="E685" s="18">
        <v>42999</v>
      </c>
      <c r="F685" s="19">
        <v>28.76</v>
      </c>
      <c r="G685" s="20">
        <v>5167300</v>
      </c>
      <c r="H685" s="21" t="s">
        <v>59</v>
      </c>
      <c r="I685" s="21">
        <f>(Акции!$F685-F684)/F684</f>
        <v>-2.7739251040221325E-3</v>
      </c>
    </row>
    <row r="686" spans="5:9" ht="15.75" customHeight="1" x14ac:dyDescent="0.2">
      <c r="E686" s="18">
        <v>43000</v>
      </c>
      <c r="F686" s="19">
        <v>28.85</v>
      </c>
      <c r="G686" s="20">
        <v>3131600</v>
      </c>
      <c r="H686" s="21" t="s">
        <v>59</v>
      </c>
      <c r="I686" s="21">
        <f>(Акции!$F686-F685)/F685</f>
        <v>3.129346314325447E-3</v>
      </c>
    </row>
    <row r="687" spans="5:9" ht="15.75" customHeight="1" x14ac:dyDescent="0.2">
      <c r="E687" s="18">
        <v>43003</v>
      </c>
      <c r="F687" s="19">
        <v>28.75</v>
      </c>
      <c r="G687" s="20">
        <v>4361900</v>
      </c>
      <c r="H687" s="21" t="s">
        <v>59</v>
      </c>
      <c r="I687" s="21">
        <f>(Акции!$F687-F686)/F686</f>
        <v>-3.4662045060659071E-3</v>
      </c>
    </row>
    <row r="688" spans="5:9" ht="15.75" customHeight="1" x14ac:dyDescent="0.2">
      <c r="E688" s="18">
        <v>43004</v>
      </c>
      <c r="F688" s="19">
        <v>28.68</v>
      </c>
      <c r="G688" s="20">
        <v>3104300</v>
      </c>
      <c r="H688" s="21" t="s">
        <v>59</v>
      </c>
      <c r="I688" s="21">
        <f>(Акции!$F688-F687)/F687</f>
        <v>-2.4347826086956619E-3</v>
      </c>
    </row>
    <row r="689" spans="5:9" ht="15.75" customHeight="1" x14ac:dyDescent="0.2">
      <c r="E689" s="18">
        <v>43005</v>
      </c>
      <c r="F689" s="19">
        <v>28.86</v>
      </c>
      <c r="G689" s="20">
        <v>4173800</v>
      </c>
      <c r="H689" s="21" t="s">
        <v>59</v>
      </c>
      <c r="I689" s="21">
        <f>(Акции!$F689-F688)/F688</f>
        <v>6.2761506276150531E-3</v>
      </c>
    </row>
    <row r="690" spans="5:9" ht="15.75" customHeight="1" x14ac:dyDescent="0.2">
      <c r="E690" s="18">
        <v>43006</v>
      </c>
      <c r="F690" s="19">
        <v>28.74</v>
      </c>
      <c r="G690" s="20">
        <v>3712500</v>
      </c>
      <c r="H690" s="21" t="s">
        <v>59</v>
      </c>
      <c r="I690" s="21">
        <f>(Акции!$F690-F689)/F689</f>
        <v>-4.1580041580041929E-3</v>
      </c>
    </row>
    <row r="691" spans="5:9" ht="15.75" customHeight="1" x14ac:dyDescent="0.2">
      <c r="E691" s="18">
        <v>43007</v>
      </c>
      <c r="F691" s="19">
        <v>29.17</v>
      </c>
      <c r="G691" s="20">
        <v>4984000</v>
      </c>
      <c r="H691" s="21" t="s">
        <v>59</v>
      </c>
      <c r="I691" s="21">
        <f>(Акции!$F691-F690)/F690</f>
        <v>1.4961725817675828E-2</v>
      </c>
    </row>
    <row r="692" spans="5:9" ht="15.75" customHeight="1" x14ac:dyDescent="0.2">
      <c r="E692" s="18">
        <v>43010</v>
      </c>
      <c r="F692" s="19">
        <v>29.47</v>
      </c>
      <c r="G692" s="20">
        <v>5908800</v>
      </c>
      <c r="H692" s="21" t="s">
        <v>59</v>
      </c>
      <c r="I692" s="21">
        <f>(Акции!$F692-F691)/F691</f>
        <v>1.0284538909838778E-2</v>
      </c>
    </row>
    <row r="693" spans="5:9" ht="15.75" customHeight="1" x14ac:dyDescent="0.2">
      <c r="E693" s="18">
        <v>43011</v>
      </c>
      <c r="F693" s="19">
        <v>29.02</v>
      </c>
      <c r="G693" s="20">
        <v>3934200</v>
      </c>
      <c r="H693" s="21" t="s">
        <v>59</v>
      </c>
      <c r="I693" s="21">
        <f>(Акции!$F693-F692)/F692</f>
        <v>-1.5269765863590069E-2</v>
      </c>
    </row>
    <row r="694" spans="5:9" ht="15.75" customHeight="1" x14ac:dyDescent="0.2">
      <c r="E694" s="18">
        <v>43012</v>
      </c>
      <c r="F694" s="19">
        <v>29.24</v>
      </c>
      <c r="G694" s="20">
        <v>3681300</v>
      </c>
      <c r="H694" s="21" t="s">
        <v>59</v>
      </c>
      <c r="I694" s="21">
        <f>(Акции!$F694-F693)/F693</f>
        <v>7.5809786354238068E-3</v>
      </c>
    </row>
    <row r="695" spans="5:9" ht="15.75" customHeight="1" x14ac:dyDescent="0.2">
      <c r="E695" s="18">
        <v>43013</v>
      </c>
      <c r="F695" s="19">
        <v>29.43</v>
      </c>
      <c r="G695" s="20">
        <v>3702300</v>
      </c>
      <c r="H695" s="21" t="s">
        <v>59</v>
      </c>
      <c r="I695" s="21">
        <f>(Акции!$F695-F694)/F694</f>
        <v>6.4979480164159128E-3</v>
      </c>
    </row>
    <row r="696" spans="5:9" ht="15.75" customHeight="1" x14ac:dyDescent="0.2">
      <c r="E696" s="18">
        <v>43014</v>
      </c>
      <c r="F696" s="19">
        <v>29.5</v>
      </c>
      <c r="G696" s="20">
        <v>4980100</v>
      </c>
      <c r="H696" s="21" t="s">
        <v>59</v>
      </c>
      <c r="I696" s="21">
        <f>(Акции!$F696-F695)/F695</f>
        <v>2.3785253143051403E-3</v>
      </c>
    </row>
    <row r="697" spans="5:9" ht="15.75" customHeight="1" x14ac:dyDescent="0.2">
      <c r="E697" s="18">
        <v>43017</v>
      </c>
      <c r="F697" s="19">
        <v>29.33</v>
      </c>
      <c r="G697" s="20">
        <v>4343400</v>
      </c>
      <c r="H697" s="21" t="s">
        <v>59</v>
      </c>
      <c r="I697" s="21">
        <f>(Акции!$F697-F696)/F696</f>
        <v>-5.7627118644068371E-3</v>
      </c>
    </row>
    <row r="698" spans="5:9" ht="15.75" customHeight="1" x14ac:dyDescent="0.2">
      <c r="E698" s="18">
        <v>43018</v>
      </c>
      <c r="F698" s="19">
        <v>29.34</v>
      </c>
      <c r="G698" s="20">
        <v>3214300</v>
      </c>
      <c r="H698" s="21" t="s">
        <v>59</v>
      </c>
      <c r="I698" s="21">
        <f>(Акции!$F698-F697)/F697</f>
        <v>3.409478349813012E-4</v>
      </c>
    </row>
    <row r="699" spans="5:9" ht="15.75" customHeight="1" x14ac:dyDescent="0.2">
      <c r="E699" s="18">
        <v>43019</v>
      </c>
      <c r="F699" s="19">
        <v>29.27</v>
      </c>
      <c r="G699" s="20">
        <v>2664700</v>
      </c>
      <c r="H699" s="21" t="s">
        <v>59</v>
      </c>
      <c r="I699" s="21">
        <f>(Акции!$F699-F698)/F698</f>
        <v>-2.3858214042263219E-3</v>
      </c>
    </row>
    <row r="700" spans="5:9" ht="15.75" customHeight="1" x14ac:dyDescent="0.2">
      <c r="E700" s="18">
        <v>43020</v>
      </c>
      <c r="F700" s="19">
        <v>29.43</v>
      </c>
      <c r="G700" s="20">
        <v>3575700</v>
      </c>
      <c r="H700" s="21" t="s">
        <v>59</v>
      </c>
      <c r="I700" s="21">
        <f>(Акции!$F700-F699)/F699</f>
        <v>5.4663477963785498E-3</v>
      </c>
    </row>
    <row r="701" spans="5:9" ht="15.75" customHeight="1" x14ac:dyDescent="0.2">
      <c r="E701" s="18">
        <v>43021</v>
      </c>
      <c r="F701" s="19">
        <v>29.44</v>
      </c>
      <c r="G701" s="20">
        <v>3383700</v>
      </c>
      <c r="H701" s="21" t="s">
        <v>59</v>
      </c>
      <c r="I701" s="21">
        <f>(Акции!$F701-F700)/F700</f>
        <v>3.3978933061507179E-4</v>
      </c>
    </row>
    <row r="702" spans="5:9" ht="15.75" customHeight="1" x14ac:dyDescent="0.2">
      <c r="E702" s="18">
        <v>43024</v>
      </c>
      <c r="F702" s="19">
        <v>29.16</v>
      </c>
      <c r="G702" s="20">
        <v>4441300</v>
      </c>
      <c r="H702" s="21" t="s">
        <v>59</v>
      </c>
      <c r="I702" s="21">
        <f>(Акции!$F702-F701)/F701</f>
        <v>-9.5108695652174301E-3</v>
      </c>
    </row>
    <row r="703" spans="5:9" ht="15.75" customHeight="1" x14ac:dyDescent="0.2">
      <c r="E703" s="18">
        <v>43025</v>
      </c>
      <c r="F703" s="19">
        <v>29.4</v>
      </c>
      <c r="G703" s="20">
        <v>4726000</v>
      </c>
      <c r="H703" s="21" t="s">
        <v>59</v>
      </c>
      <c r="I703" s="21">
        <f>(Акции!$F703-F702)/F702</f>
        <v>8.2304526748970663E-3</v>
      </c>
    </row>
    <row r="704" spans="5:9" ht="15.75" customHeight="1" x14ac:dyDescent="0.2">
      <c r="E704" s="18">
        <v>43026</v>
      </c>
      <c r="F704" s="19">
        <v>29.52</v>
      </c>
      <c r="G704" s="20">
        <v>5313700</v>
      </c>
      <c r="H704" s="21" t="s">
        <v>59</v>
      </c>
      <c r="I704" s="21">
        <f>(Акции!$F704-F703)/F703</f>
        <v>4.0816326530612587E-3</v>
      </c>
    </row>
    <row r="705" spans="5:9" ht="15.75" customHeight="1" x14ac:dyDescent="0.2">
      <c r="E705" s="18">
        <v>43027</v>
      </c>
      <c r="F705" s="19">
        <v>29.57</v>
      </c>
      <c r="G705" s="20">
        <v>2590800</v>
      </c>
      <c r="H705" s="21" t="s">
        <v>59</v>
      </c>
      <c r="I705" s="21">
        <f>(Акции!$F705-F704)/F704</f>
        <v>1.6937669376694009E-3</v>
      </c>
    </row>
    <row r="706" spans="5:9" ht="15.75" customHeight="1" x14ac:dyDescent="0.2">
      <c r="E706" s="18">
        <v>43028</v>
      </c>
      <c r="F706" s="19">
        <v>29.69</v>
      </c>
      <c r="G706" s="20">
        <v>4708000</v>
      </c>
      <c r="H706" s="21" t="s">
        <v>59</v>
      </c>
      <c r="I706" s="21">
        <f>(Акции!$F706-F705)/F705</f>
        <v>4.0581670612107202E-3</v>
      </c>
    </row>
    <row r="707" spans="5:9" ht="15.75" customHeight="1" x14ac:dyDescent="0.2">
      <c r="E707" s="18">
        <v>43031</v>
      </c>
      <c r="F707" s="19">
        <v>29.61</v>
      </c>
      <c r="G707" s="20">
        <v>4495600</v>
      </c>
      <c r="H707" s="21" t="s">
        <v>59</v>
      </c>
      <c r="I707" s="21">
        <f>(Акции!$F707-F706)/F706</f>
        <v>-2.694509936005451E-3</v>
      </c>
    </row>
    <row r="708" spans="5:9" ht="15.75" customHeight="1" x14ac:dyDescent="0.2">
      <c r="E708" s="18">
        <v>43032</v>
      </c>
      <c r="F708" s="19">
        <v>29.8</v>
      </c>
      <c r="G708" s="20">
        <v>4468800</v>
      </c>
      <c r="H708" s="21" t="s">
        <v>59</v>
      </c>
      <c r="I708" s="21">
        <f>(Акции!$F708-F707)/F707</f>
        <v>6.416751097602205E-3</v>
      </c>
    </row>
    <row r="709" spans="5:9" ht="15.75" customHeight="1" x14ac:dyDescent="0.2">
      <c r="E709" s="18">
        <v>43033</v>
      </c>
      <c r="F709" s="19">
        <v>29.61</v>
      </c>
      <c r="G709" s="20">
        <v>7756900</v>
      </c>
      <c r="H709" s="21" t="s">
        <v>59</v>
      </c>
      <c r="I709" s="21">
        <f>(Акции!$F709-F708)/F708</f>
        <v>-6.3758389261745398E-3</v>
      </c>
    </row>
    <row r="710" spans="5:9" ht="15.75" customHeight="1" x14ac:dyDescent="0.2">
      <c r="E710" s="18">
        <v>43034</v>
      </c>
      <c r="F710" s="19">
        <v>28.82</v>
      </c>
      <c r="G710" s="20">
        <v>12223200</v>
      </c>
      <c r="H710" s="21" t="s">
        <v>59</v>
      </c>
      <c r="I710" s="21">
        <f>(Акции!$F710-F709)/F709</f>
        <v>-2.6680175616345801E-2</v>
      </c>
    </row>
    <row r="711" spans="5:9" ht="15.75" customHeight="1" x14ac:dyDescent="0.2">
      <c r="E711" s="18">
        <v>43035</v>
      </c>
      <c r="F711" s="19">
        <v>28.5</v>
      </c>
      <c r="G711" s="20">
        <v>10274500</v>
      </c>
      <c r="H711" s="21" t="s">
        <v>59</v>
      </c>
      <c r="I711" s="21">
        <f>(Акции!$F711-F710)/F710</f>
        <v>-1.1103400416377526E-2</v>
      </c>
    </row>
    <row r="712" spans="5:9" ht="15.75" customHeight="1" x14ac:dyDescent="0.2">
      <c r="E712" s="18">
        <v>43038</v>
      </c>
      <c r="F712" s="19">
        <v>28.16</v>
      </c>
      <c r="G712" s="20">
        <v>6885700</v>
      </c>
      <c r="H712" s="21" t="s">
        <v>59</v>
      </c>
      <c r="I712" s="21">
        <f>(Акции!$F712-F711)/F711</f>
        <v>-1.1929824561403504E-2</v>
      </c>
    </row>
    <row r="713" spans="5:9" ht="15.75" customHeight="1" x14ac:dyDescent="0.2">
      <c r="E713" s="18">
        <v>43039</v>
      </c>
      <c r="F713" s="19">
        <v>28.14</v>
      </c>
      <c r="G713" s="20">
        <v>8527800</v>
      </c>
      <c r="H713" s="21" t="s">
        <v>59</v>
      </c>
      <c r="I713" s="21">
        <f>(Акции!$F713-F712)/F712</f>
        <v>-7.1022727272725757E-4</v>
      </c>
    </row>
    <row r="714" spans="5:9" ht="15.75" customHeight="1" x14ac:dyDescent="0.2">
      <c r="E714" s="18">
        <v>43040</v>
      </c>
      <c r="F714" s="19">
        <v>27.85</v>
      </c>
      <c r="G714" s="20">
        <v>6185300</v>
      </c>
      <c r="H714" s="21" t="s">
        <v>59</v>
      </c>
      <c r="I714" s="21">
        <f>(Акции!$F714-F713)/F713</f>
        <v>-1.0305614783226693E-2</v>
      </c>
    </row>
    <row r="715" spans="5:9" ht="15.75" customHeight="1" x14ac:dyDescent="0.2">
      <c r="E715" s="18">
        <v>43041</v>
      </c>
      <c r="F715" s="19">
        <v>27.44</v>
      </c>
      <c r="G715" s="20">
        <v>13217200</v>
      </c>
      <c r="H715" s="21" t="s">
        <v>59</v>
      </c>
      <c r="I715" s="21">
        <f>(Акции!$F715-F714)/F714</f>
        <v>-1.4721723518850992E-2</v>
      </c>
    </row>
    <row r="716" spans="5:9" ht="15.75" customHeight="1" x14ac:dyDescent="0.2">
      <c r="E716" s="18">
        <v>43042</v>
      </c>
      <c r="F716" s="19">
        <v>27.86</v>
      </c>
      <c r="G716" s="20">
        <v>7182900</v>
      </c>
      <c r="H716" s="21" t="s">
        <v>59</v>
      </c>
      <c r="I716" s="21">
        <f>(Акции!$F716-F715)/F715</f>
        <v>1.5306122448979524E-2</v>
      </c>
    </row>
    <row r="717" spans="5:9" ht="15.75" customHeight="1" x14ac:dyDescent="0.2">
      <c r="E717" s="18">
        <v>43045</v>
      </c>
      <c r="F717" s="19">
        <v>27.81</v>
      </c>
      <c r="G717" s="20">
        <v>7661500</v>
      </c>
      <c r="H717" s="21" t="s">
        <v>59</v>
      </c>
      <c r="I717" s="21">
        <f>(Акции!$F717-F716)/F716</f>
        <v>-1.794687724335991E-3</v>
      </c>
    </row>
    <row r="718" spans="5:9" ht="15.75" customHeight="1" x14ac:dyDescent="0.2">
      <c r="E718" s="18">
        <v>43046</v>
      </c>
      <c r="F718" s="19">
        <v>27.96</v>
      </c>
      <c r="G718" s="20">
        <v>4884100</v>
      </c>
      <c r="H718" s="21" t="s">
        <v>59</v>
      </c>
      <c r="I718" s="21">
        <f>(Акции!$F718-F717)/F717</f>
        <v>5.3937432578210045E-3</v>
      </c>
    </row>
    <row r="719" spans="5:9" ht="15.75" customHeight="1" x14ac:dyDescent="0.2">
      <c r="E719" s="18">
        <v>43047</v>
      </c>
      <c r="F719" s="19">
        <v>28.1</v>
      </c>
      <c r="G719" s="20">
        <v>7645600</v>
      </c>
      <c r="H719" s="21" t="s">
        <v>59</v>
      </c>
      <c r="I719" s="21">
        <f>(Акции!$F719-F718)/F718</f>
        <v>5.0071530758226237E-3</v>
      </c>
    </row>
    <row r="720" spans="5:9" ht="15.75" customHeight="1" x14ac:dyDescent="0.2">
      <c r="E720" s="18">
        <v>43048</v>
      </c>
      <c r="F720" s="19">
        <v>28.59</v>
      </c>
      <c r="G720" s="20">
        <v>9619800</v>
      </c>
      <c r="H720" s="21" t="s">
        <v>59</v>
      </c>
      <c r="I720" s="21">
        <f>(Акции!$F720-F719)/F719</f>
        <v>1.7437722419928768E-2</v>
      </c>
    </row>
    <row r="721" spans="5:9" ht="15.75" customHeight="1" x14ac:dyDescent="0.2">
      <c r="E721" s="18">
        <v>43049</v>
      </c>
      <c r="F721" s="19">
        <v>28.36</v>
      </c>
      <c r="G721" s="20">
        <v>6526100</v>
      </c>
      <c r="H721" s="21" t="s">
        <v>59</v>
      </c>
      <c r="I721" s="21">
        <f>(Акции!$F721-F720)/F720</f>
        <v>-8.0447708989157193E-3</v>
      </c>
    </row>
    <row r="722" spans="5:9" ht="15.75" customHeight="1" x14ac:dyDescent="0.2">
      <c r="E722" s="18">
        <v>43052</v>
      </c>
      <c r="F722" s="19">
        <v>28.45</v>
      </c>
      <c r="G722" s="20">
        <v>4722000</v>
      </c>
      <c r="H722" s="21" t="s">
        <v>59</v>
      </c>
      <c r="I722" s="21">
        <f>(Акции!$F722-F721)/F721</f>
        <v>3.1734837799717863E-3</v>
      </c>
    </row>
    <row r="723" spans="5:9" ht="15.75" customHeight="1" x14ac:dyDescent="0.2">
      <c r="E723" s="18">
        <v>43053</v>
      </c>
      <c r="F723" s="19">
        <v>28.32</v>
      </c>
      <c r="G723" s="20">
        <v>6892500</v>
      </c>
      <c r="H723" s="21" t="s">
        <v>59</v>
      </c>
      <c r="I723" s="21">
        <f>(Акции!$F723-F722)/F722</f>
        <v>-4.5694200351493498E-3</v>
      </c>
    </row>
    <row r="724" spans="5:9" ht="15.75" customHeight="1" x14ac:dyDescent="0.2">
      <c r="E724" s="18">
        <v>43054</v>
      </c>
      <c r="F724" s="19">
        <v>28.01</v>
      </c>
      <c r="G724" s="20">
        <v>5377500</v>
      </c>
      <c r="H724" s="21" t="s">
        <v>59</v>
      </c>
      <c r="I724" s="21">
        <f>(Акции!$F724-F723)/F723</f>
        <v>-1.0946327683615774E-2</v>
      </c>
    </row>
    <row r="725" spans="5:9" ht="15.75" customHeight="1" x14ac:dyDescent="0.2">
      <c r="E725" s="18">
        <v>43055</v>
      </c>
      <c r="F725" s="19">
        <v>28.28</v>
      </c>
      <c r="G725" s="20">
        <v>3846400</v>
      </c>
      <c r="H725" s="21" t="s">
        <v>59</v>
      </c>
      <c r="I725" s="21">
        <f>(Акции!$F725-F724)/F724</f>
        <v>9.6394144948232612E-3</v>
      </c>
    </row>
    <row r="726" spans="5:9" ht="15.75" customHeight="1" x14ac:dyDescent="0.2">
      <c r="E726" s="18">
        <v>43056</v>
      </c>
      <c r="F726" s="19">
        <v>28.26</v>
      </c>
      <c r="G726" s="20">
        <v>5264100</v>
      </c>
      <c r="H726" s="21" t="s">
        <v>59</v>
      </c>
      <c r="I726" s="21">
        <f>(Акции!$F726-F725)/F725</f>
        <v>-7.0721357850069206E-4</v>
      </c>
    </row>
    <row r="727" spans="5:9" ht="15.75" customHeight="1" x14ac:dyDescent="0.2">
      <c r="E727" s="18">
        <v>43059</v>
      </c>
      <c r="F727" s="19">
        <v>28.35</v>
      </c>
      <c r="G727" s="20">
        <v>3410600</v>
      </c>
      <c r="H727" s="21" t="s">
        <v>59</v>
      </c>
      <c r="I727" s="21">
        <f>(Акции!$F727-F726)/F726</f>
        <v>3.1847133757961733E-3</v>
      </c>
    </row>
    <row r="728" spans="5:9" ht="15.75" customHeight="1" x14ac:dyDescent="0.2">
      <c r="E728" s="18">
        <v>43060</v>
      </c>
      <c r="F728" s="19">
        <v>28.8</v>
      </c>
      <c r="G728" s="20">
        <v>5998700</v>
      </c>
      <c r="H728" s="21" t="s">
        <v>59</v>
      </c>
      <c r="I728" s="21">
        <f>(Акции!$F728-F727)/F727</f>
        <v>1.5873015873015848E-2</v>
      </c>
    </row>
    <row r="729" spans="5:9" ht="15.75" customHeight="1" x14ac:dyDescent="0.2">
      <c r="E729" s="18">
        <v>43061</v>
      </c>
      <c r="F729" s="19">
        <v>28.47</v>
      </c>
      <c r="G729" s="20">
        <v>5265000</v>
      </c>
      <c r="H729" s="21" t="s">
        <v>59</v>
      </c>
      <c r="I729" s="21">
        <f>(Акции!$F729-F728)/F728</f>
        <v>-1.1458333333333397E-2</v>
      </c>
    </row>
    <row r="730" spans="5:9" ht="15.75" customHeight="1" x14ac:dyDescent="0.2">
      <c r="E730" s="18">
        <v>43063</v>
      </c>
      <c r="F730" s="19">
        <v>28.66</v>
      </c>
      <c r="G730" s="20">
        <v>1236800</v>
      </c>
      <c r="H730" s="21" t="s">
        <v>59</v>
      </c>
      <c r="I730" s="21">
        <f>(Акции!$F730-F729)/F729</f>
        <v>6.6736916051984996E-3</v>
      </c>
    </row>
    <row r="731" spans="5:9" ht="15.75" customHeight="1" x14ac:dyDescent="0.2">
      <c r="E731" s="18">
        <v>43066</v>
      </c>
      <c r="F731" s="19">
        <v>28.51</v>
      </c>
      <c r="G731" s="20">
        <v>3255100</v>
      </c>
      <c r="H731" s="21" t="s">
        <v>59</v>
      </c>
      <c r="I731" s="21">
        <f>(Акции!$F731-F730)/F730</f>
        <v>-5.2337752965805505E-3</v>
      </c>
    </row>
    <row r="732" spans="5:9" ht="15.75" customHeight="1" x14ac:dyDescent="0.2">
      <c r="E732" s="18">
        <v>43067</v>
      </c>
      <c r="F732" s="19">
        <v>26.39</v>
      </c>
      <c r="G732" s="20">
        <v>34262600</v>
      </c>
      <c r="H732" s="21" t="s">
        <v>59</v>
      </c>
      <c r="I732" s="21">
        <f>(Акции!$F732-F731)/F731</f>
        <v>-7.4359873728516337E-2</v>
      </c>
    </row>
    <row r="733" spans="5:9" ht="15.75" customHeight="1" x14ac:dyDescent="0.2">
      <c r="E733" s="18">
        <v>43068</v>
      </c>
      <c r="F733" s="19">
        <v>25.95</v>
      </c>
      <c r="G733" s="20">
        <v>25930400</v>
      </c>
      <c r="H733" s="21" t="s">
        <v>59</v>
      </c>
      <c r="I733" s="21">
        <f>(Акции!$F733-F732)/F732</f>
        <v>-1.6672982190223617E-2</v>
      </c>
    </row>
    <row r="734" spans="5:9" ht="15.75" customHeight="1" x14ac:dyDescent="0.2">
      <c r="E734" s="18">
        <v>43069</v>
      </c>
      <c r="F734" s="19">
        <v>26.28</v>
      </c>
      <c r="G734" s="20">
        <v>18722400</v>
      </c>
      <c r="H734" s="21" t="s">
        <v>59</v>
      </c>
      <c r="I734" s="21">
        <f>(Акции!$F734-F733)/F733</f>
        <v>1.2716763005780419E-2</v>
      </c>
    </row>
    <row r="735" spans="5:9" ht="15.75" customHeight="1" x14ac:dyDescent="0.2">
      <c r="E735" s="18">
        <v>43070</v>
      </c>
      <c r="F735" s="19">
        <v>26.15</v>
      </c>
      <c r="G735" s="20">
        <v>16183000</v>
      </c>
      <c r="H735" s="21" t="s">
        <v>59</v>
      </c>
      <c r="I735" s="21">
        <f>(Акции!$F735-F734)/F734</f>
        <v>-4.9467275494673724E-3</v>
      </c>
    </row>
    <row r="736" spans="5:9" ht="15.75" customHeight="1" x14ac:dyDescent="0.2">
      <c r="E736" s="18">
        <v>43073</v>
      </c>
      <c r="F736" s="19">
        <v>24.9</v>
      </c>
      <c r="G736" s="20">
        <v>20707900</v>
      </c>
      <c r="H736" s="21" t="s">
        <v>59</v>
      </c>
      <c r="I736" s="21">
        <f>(Акции!$F736-F735)/F735</f>
        <v>-4.7801147227533466E-2</v>
      </c>
    </row>
    <row r="737" spans="5:9" ht="15.75" customHeight="1" x14ac:dyDescent="0.2">
      <c r="E737" s="18">
        <v>43074</v>
      </c>
      <c r="F737" s="19">
        <v>24.94</v>
      </c>
      <c r="G737" s="20">
        <v>15065700</v>
      </c>
      <c r="H737" s="21" t="s">
        <v>59</v>
      </c>
      <c r="I737" s="21">
        <f>(Акции!$F737-F736)/F736</f>
        <v>1.6064257028113535E-3</v>
      </c>
    </row>
    <row r="738" spans="5:9" ht="15.75" customHeight="1" x14ac:dyDescent="0.2">
      <c r="E738" s="18">
        <v>43075</v>
      </c>
      <c r="F738" s="19">
        <v>25.24</v>
      </c>
      <c r="G738" s="20">
        <v>12018600</v>
      </c>
      <c r="H738" s="21" t="s">
        <v>59</v>
      </c>
      <c r="I738" s="21">
        <f>(Акции!$F738-F737)/F737</f>
        <v>1.2028869286286974E-2</v>
      </c>
    </row>
    <row r="739" spans="5:9" ht="15.75" customHeight="1" x14ac:dyDescent="0.2">
      <c r="E739" s="18">
        <v>43076</v>
      </c>
      <c r="F739" s="19">
        <v>25.04</v>
      </c>
      <c r="G739" s="20">
        <v>9674600</v>
      </c>
      <c r="H739" s="21" t="s">
        <v>59</v>
      </c>
      <c r="I739" s="21">
        <f>(Акции!$F739-F738)/F738</f>
        <v>-7.9239302694136017E-3</v>
      </c>
    </row>
    <row r="740" spans="5:9" ht="15.75" customHeight="1" x14ac:dyDescent="0.2">
      <c r="E740" s="18">
        <v>43077</v>
      </c>
      <c r="F740" s="19">
        <v>25.77</v>
      </c>
      <c r="G740" s="20">
        <v>14297600</v>
      </c>
      <c r="H740" s="21" t="s">
        <v>59</v>
      </c>
      <c r="I740" s="21">
        <f>(Акции!$F740-F739)/F739</f>
        <v>2.9153354632587877E-2</v>
      </c>
    </row>
    <row r="741" spans="5:9" ht="15.75" customHeight="1" x14ac:dyDescent="0.2">
      <c r="E741" s="18">
        <v>43080</v>
      </c>
      <c r="F741" s="19">
        <v>25.5</v>
      </c>
      <c r="G741" s="20">
        <v>9054700</v>
      </c>
      <c r="H741" s="21" t="s">
        <v>59</v>
      </c>
      <c r="I741" s="21">
        <f>(Акции!$F741-F740)/F740</f>
        <v>-1.0477299185098935E-2</v>
      </c>
    </row>
    <row r="742" spans="5:9" ht="15.75" customHeight="1" x14ac:dyDescent="0.2">
      <c r="E742" s="18">
        <v>43081</v>
      </c>
      <c r="F742" s="19">
        <v>25.61</v>
      </c>
      <c r="G742" s="20">
        <v>11201600</v>
      </c>
      <c r="H742" s="21" t="s">
        <v>59</v>
      </c>
      <c r="I742" s="21">
        <f>(Акции!$F742-F741)/F741</f>
        <v>4.3137254901960565E-3</v>
      </c>
    </row>
    <row r="743" spans="5:9" ht="15.75" customHeight="1" x14ac:dyDescent="0.2">
      <c r="E743" s="18">
        <v>43082</v>
      </c>
      <c r="F743" s="19">
        <v>25.71</v>
      </c>
      <c r="G743" s="20">
        <v>9586800</v>
      </c>
      <c r="H743" s="21" t="s">
        <v>59</v>
      </c>
      <c r="I743" s="21">
        <f>(Акции!$F743-F742)/F742</f>
        <v>3.9047247169075134E-3</v>
      </c>
    </row>
    <row r="744" spans="5:9" ht="15.75" customHeight="1" x14ac:dyDescent="0.2">
      <c r="E744" s="18">
        <v>43083</v>
      </c>
      <c r="F744" s="19">
        <v>25.62</v>
      </c>
      <c r="G744" s="20">
        <v>10489600</v>
      </c>
      <c r="H744" s="21" t="s">
        <v>59</v>
      </c>
      <c r="I744" s="21">
        <f>(Акции!$F744-F743)/F743</f>
        <v>-3.5005834305717565E-3</v>
      </c>
    </row>
    <row r="745" spans="5:9" ht="15.75" customHeight="1" x14ac:dyDescent="0.2">
      <c r="E745" s="18">
        <v>43084</v>
      </c>
      <c r="F745" s="19">
        <v>25.78</v>
      </c>
      <c r="G745" s="20">
        <v>12187000</v>
      </c>
      <c r="H745" s="21" t="s">
        <v>59</v>
      </c>
      <c r="I745" s="21">
        <f>(Акции!$F745-F744)/F744</f>
        <v>6.2451209992193651E-3</v>
      </c>
    </row>
    <row r="746" spans="5:9" ht="15.75" customHeight="1" x14ac:dyDescent="0.2">
      <c r="E746" s="18">
        <v>43087</v>
      </c>
      <c r="F746" s="19">
        <v>25.78</v>
      </c>
      <c r="G746" s="20">
        <v>8356800</v>
      </c>
      <c r="H746" s="21" t="s">
        <v>59</v>
      </c>
      <c r="I746" s="21">
        <f>(Акции!$F746-F745)/F745</f>
        <v>0</v>
      </c>
    </row>
    <row r="747" spans="5:9" ht="15.75" customHeight="1" x14ac:dyDescent="0.2">
      <c r="E747" s="18">
        <v>43088</v>
      </c>
      <c r="F747" s="19">
        <v>25.49</v>
      </c>
      <c r="G747" s="20">
        <v>8793200</v>
      </c>
      <c r="H747" s="21" t="s">
        <v>59</v>
      </c>
      <c r="I747" s="21">
        <f>(Акции!$F747-F746)/F746</f>
        <v>-1.1249030256012517E-2</v>
      </c>
    </row>
    <row r="748" spans="5:9" ht="15.75" customHeight="1" x14ac:dyDescent="0.2">
      <c r="E748" s="18">
        <v>43089</v>
      </c>
      <c r="F748" s="19">
        <v>25.37</v>
      </c>
      <c r="G748" s="20">
        <v>8204400</v>
      </c>
      <c r="H748" s="21" t="s">
        <v>59</v>
      </c>
      <c r="I748" s="21">
        <f>(Акции!$F748-F747)/F747</f>
        <v>-4.7077285209885227E-3</v>
      </c>
    </row>
    <row r="749" spans="5:9" ht="15.75" customHeight="1" x14ac:dyDescent="0.2">
      <c r="E749" s="18">
        <v>43090</v>
      </c>
      <c r="F749" s="19">
        <v>25.14</v>
      </c>
      <c r="G749" s="20">
        <v>5700200</v>
      </c>
      <c r="H749" s="21" t="s">
        <v>59</v>
      </c>
      <c r="I749" s="21">
        <f>(Акции!$F749-F748)/F748</f>
        <v>-9.0658257784785347E-3</v>
      </c>
    </row>
    <row r="750" spans="5:9" ht="15.75" customHeight="1" x14ac:dyDescent="0.2">
      <c r="E750" s="18">
        <v>43091</v>
      </c>
      <c r="F750" s="19">
        <v>25.1</v>
      </c>
      <c r="G750" s="20">
        <v>5358300</v>
      </c>
      <c r="H750" s="21" t="s">
        <v>59</v>
      </c>
      <c r="I750" s="21">
        <f>(Акции!$F750-F749)/F749</f>
        <v>-1.5910898965791228E-3</v>
      </c>
    </row>
    <row r="751" spans="5:9" ht="15.75" customHeight="1" x14ac:dyDescent="0.2">
      <c r="E751" s="18">
        <v>43095</v>
      </c>
      <c r="F751" s="19">
        <v>25.13</v>
      </c>
      <c r="G751" s="20">
        <v>2988200</v>
      </c>
      <c r="H751" s="21" t="s">
        <v>59</v>
      </c>
      <c r="I751" s="21">
        <f>(Акции!$F751-F750)/F750</f>
        <v>1.1952191235058798E-3</v>
      </c>
    </row>
    <row r="752" spans="5:9" ht="15.75" customHeight="1" x14ac:dyDescent="0.2">
      <c r="E752" s="18">
        <v>43096</v>
      </c>
      <c r="F752" s="19">
        <v>25.2</v>
      </c>
      <c r="G752" s="20">
        <v>3796300</v>
      </c>
      <c r="H752" s="21" t="s">
        <v>59</v>
      </c>
      <c r="I752" s="21">
        <f>(Акции!$F752-F751)/F751</f>
        <v>2.7855153203342731E-3</v>
      </c>
    </row>
    <row r="753" spans="5:9" ht="15.75" customHeight="1" x14ac:dyDescent="0.2">
      <c r="E753" s="18">
        <v>43097</v>
      </c>
      <c r="F753" s="19">
        <v>25.19</v>
      </c>
      <c r="G753" s="20">
        <v>6739400</v>
      </c>
      <c r="H753" s="21" t="s">
        <v>59</v>
      </c>
      <c r="I753" s="21">
        <f>(Акции!$F753-F752)/F752</f>
        <v>-3.968253968253179E-4</v>
      </c>
    </row>
    <row r="754" spans="5:9" ht="15.75" customHeight="1" x14ac:dyDescent="0.2">
      <c r="E754" s="18">
        <v>43098</v>
      </c>
      <c r="F754" s="19">
        <v>24.79</v>
      </c>
      <c r="G754" s="20">
        <v>6147000</v>
      </c>
      <c r="H754" s="21" t="s">
        <v>59</v>
      </c>
      <c r="I754" s="21">
        <f>(Акции!$F754-F753)/F753</f>
        <v>-1.5879317189360941E-2</v>
      </c>
    </row>
    <row r="755" spans="5:9" ht="15.75" customHeight="1" x14ac:dyDescent="0.2">
      <c r="E755" s="18">
        <v>43102</v>
      </c>
      <c r="F755" s="19">
        <v>25.28</v>
      </c>
      <c r="G755" s="20">
        <v>9980500</v>
      </c>
      <c r="H755" s="21" t="s">
        <v>59</v>
      </c>
      <c r="I755" s="21">
        <f>(Акции!$F755-F754)/F754</f>
        <v>1.9766034691407908E-2</v>
      </c>
    </row>
    <row r="756" spans="5:9" ht="15.75" customHeight="1" x14ac:dyDescent="0.2">
      <c r="E756" s="18">
        <v>43103</v>
      </c>
      <c r="F756" s="19">
        <v>25.56</v>
      </c>
      <c r="G756" s="20">
        <v>8543000</v>
      </c>
      <c r="H756" s="21" t="s">
        <v>59</v>
      </c>
      <c r="I756" s="21">
        <f>(Акции!$F756-F755)/F755</f>
        <v>1.1075949367088512E-2</v>
      </c>
    </row>
    <row r="757" spans="5:9" ht="15.75" customHeight="1" x14ac:dyDescent="0.2">
      <c r="E757" s="18">
        <v>43104</v>
      </c>
      <c r="F757" s="19">
        <v>25.32</v>
      </c>
      <c r="G757" s="20">
        <v>7928600</v>
      </c>
      <c r="H757" s="21" t="s">
        <v>59</v>
      </c>
      <c r="I757" s="21">
        <f>(Акции!$F757-F756)/F756</f>
        <v>-9.3896713615022869E-3</v>
      </c>
    </row>
    <row r="758" spans="5:9" ht="15.75" customHeight="1" x14ac:dyDescent="0.2">
      <c r="E758" s="18">
        <v>43105</v>
      </c>
      <c r="F758" s="19">
        <v>25.97</v>
      </c>
      <c r="G758" s="20">
        <v>14260400</v>
      </c>
      <c r="H758" s="21" t="s">
        <v>59</v>
      </c>
      <c r="I758" s="21">
        <f>(Акции!$F758-F757)/F757</f>
        <v>2.5671406003159501E-2</v>
      </c>
    </row>
    <row r="759" spans="5:9" ht="15.75" customHeight="1" x14ac:dyDescent="0.2">
      <c r="E759" s="18">
        <v>43108</v>
      </c>
      <c r="F759" s="19">
        <v>25.81</v>
      </c>
      <c r="G759" s="20">
        <v>10847100</v>
      </c>
      <c r="H759" s="21" t="s">
        <v>59</v>
      </c>
      <c r="I759" s="21">
        <f>(Акции!$F759-F758)/F758</f>
        <v>-6.1609549480169485E-3</v>
      </c>
    </row>
    <row r="760" spans="5:9" ht="15.75" customHeight="1" x14ac:dyDescent="0.2">
      <c r="E760" s="18">
        <v>43109</v>
      </c>
      <c r="F760" s="19">
        <v>27.96</v>
      </c>
      <c r="G760" s="20">
        <v>24987900</v>
      </c>
      <c r="H760" s="21" t="s">
        <v>59</v>
      </c>
      <c r="I760" s="21">
        <f>(Акции!$F760-F759)/F759</f>
        <v>8.3301046106160487E-2</v>
      </c>
    </row>
    <row r="761" spans="5:9" ht="15.75" customHeight="1" x14ac:dyDescent="0.2">
      <c r="E761" s="18">
        <v>43110</v>
      </c>
      <c r="F761" s="19">
        <v>27.52</v>
      </c>
      <c r="G761" s="20">
        <v>13011000</v>
      </c>
      <c r="H761" s="21" t="s">
        <v>59</v>
      </c>
      <c r="I761" s="21">
        <f>(Акции!$F761-F760)/F760</f>
        <v>-1.5736766809728228E-2</v>
      </c>
    </row>
    <row r="762" spans="5:9" ht="15.75" customHeight="1" x14ac:dyDescent="0.2">
      <c r="E762" s="18">
        <v>43111</v>
      </c>
      <c r="F762" s="19">
        <v>27.43</v>
      </c>
      <c r="G762" s="20">
        <v>8984300</v>
      </c>
      <c r="H762" s="21" t="s">
        <v>59</v>
      </c>
      <c r="I762" s="21">
        <f>(Акции!$F762-F761)/F761</f>
        <v>-3.2703488372092973E-3</v>
      </c>
    </row>
    <row r="763" spans="5:9" ht="15.75" customHeight="1" x14ac:dyDescent="0.2">
      <c r="E763" s="18">
        <v>43112</v>
      </c>
      <c r="F763" s="19">
        <v>27.46</v>
      </c>
      <c r="G763" s="20">
        <v>8746400</v>
      </c>
      <c r="H763" s="21" t="s">
        <v>59</v>
      </c>
      <c r="I763" s="21">
        <f>(Акции!$F763-F762)/F762</f>
        <v>1.0936930368210403E-3</v>
      </c>
    </row>
    <row r="764" spans="5:9" ht="15.75" customHeight="1" x14ac:dyDescent="0.2">
      <c r="E764" s="18">
        <v>43116</v>
      </c>
      <c r="F764" s="19">
        <v>26.98</v>
      </c>
      <c r="G764" s="20">
        <v>11087300</v>
      </c>
      <c r="H764" s="21" t="s">
        <v>59</v>
      </c>
      <c r="I764" s="21">
        <f>(Акции!$F764-F763)/F763</f>
        <v>-1.7479970866715239E-2</v>
      </c>
    </row>
    <row r="765" spans="5:9" ht="15.75" customHeight="1" x14ac:dyDescent="0.2">
      <c r="E765" s="18">
        <v>43117</v>
      </c>
      <c r="F765" s="19">
        <v>27.25</v>
      </c>
      <c r="G765" s="20">
        <v>5864700</v>
      </c>
      <c r="H765" s="21" t="s">
        <v>59</v>
      </c>
      <c r="I765" s="21">
        <f>(Акции!$F765-F764)/F764</f>
        <v>1.0007412898443275E-2</v>
      </c>
    </row>
    <row r="766" spans="5:9" ht="15.75" customHeight="1" x14ac:dyDescent="0.2">
      <c r="E766" s="18">
        <v>43118</v>
      </c>
      <c r="F766" s="19">
        <v>27.4</v>
      </c>
      <c r="G766" s="20">
        <v>6942000</v>
      </c>
      <c r="H766" s="21" t="s">
        <v>59</v>
      </c>
      <c r="I766" s="21">
        <f>(Акции!$F766-F765)/F765</f>
        <v>5.504587155963251E-3</v>
      </c>
    </row>
    <row r="767" spans="5:9" ht="15.75" customHeight="1" x14ac:dyDescent="0.2">
      <c r="E767" s="18">
        <v>43119</v>
      </c>
      <c r="F767" s="19">
        <v>27.65</v>
      </c>
      <c r="G767" s="20">
        <v>10023700</v>
      </c>
      <c r="H767" s="21" t="s">
        <v>59</v>
      </c>
      <c r="I767" s="21">
        <f>(Акции!$F767-F766)/F766</f>
        <v>9.1240875912408769E-3</v>
      </c>
    </row>
    <row r="768" spans="5:9" ht="15.75" customHeight="1" x14ac:dyDescent="0.2">
      <c r="E768" s="18">
        <v>43122</v>
      </c>
      <c r="F768" s="19">
        <v>27.71</v>
      </c>
      <c r="G768" s="20">
        <v>7973900</v>
      </c>
      <c r="H768" s="21" t="s">
        <v>59</v>
      </c>
      <c r="I768" s="21">
        <f>(Акции!$F768-F767)/F767</f>
        <v>2.1699819168174424E-3</v>
      </c>
    </row>
    <row r="769" spans="5:9" ht="15.75" customHeight="1" x14ac:dyDescent="0.2">
      <c r="E769" s="18">
        <v>43123</v>
      </c>
      <c r="F769" s="19">
        <v>27.82</v>
      </c>
      <c r="G769" s="20">
        <v>5609700</v>
      </c>
      <c r="H769" s="21" t="s">
        <v>59</v>
      </c>
      <c r="I769" s="21">
        <f>(Акции!$F769-F768)/F768</f>
        <v>3.9696860339227509E-3</v>
      </c>
    </row>
    <row r="770" spans="5:9" ht="15.75" customHeight="1" x14ac:dyDescent="0.2">
      <c r="E770" s="18">
        <v>43124</v>
      </c>
      <c r="F770" s="19">
        <v>27.91</v>
      </c>
      <c r="G770" s="20">
        <v>4514200</v>
      </c>
      <c r="H770" s="21" t="s">
        <v>59</v>
      </c>
      <c r="I770" s="21">
        <f>(Акции!$F770-F769)/F769</f>
        <v>3.2350826743350056E-3</v>
      </c>
    </row>
    <row r="771" spans="5:9" ht="15.75" customHeight="1" x14ac:dyDescent="0.2">
      <c r="E771" s="18">
        <v>43125</v>
      </c>
      <c r="F771" s="19">
        <v>28.26</v>
      </c>
      <c r="G771" s="20">
        <v>5563300</v>
      </c>
      <c r="H771" s="21" t="s">
        <v>59</v>
      </c>
      <c r="I771" s="21">
        <f>(Акции!$F771-F770)/F770</f>
        <v>1.2540308133285612E-2</v>
      </c>
    </row>
    <row r="772" spans="5:9" ht="15.75" customHeight="1" x14ac:dyDescent="0.2">
      <c r="E772" s="18">
        <v>43126</v>
      </c>
      <c r="F772" s="19">
        <v>28.42</v>
      </c>
      <c r="G772" s="20">
        <v>9570100</v>
      </c>
      <c r="H772" s="21" t="s">
        <v>59</v>
      </c>
      <c r="I772" s="21">
        <f>(Акции!$F772-F771)/F771</f>
        <v>5.6617126680820994E-3</v>
      </c>
    </row>
    <row r="773" spans="5:9" ht="15.75" customHeight="1" x14ac:dyDescent="0.2">
      <c r="E773" s="18">
        <v>43129</v>
      </c>
      <c r="F773" s="19">
        <v>28.33</v>
      </c>
      <c r="G773" s="20">
        <v>6041600</v>
      </c>
      <c r="H773" s="21" t="s">
        <v>59</v>
      </c>
      <c r="I773" s="21">
        <f>(Акции!$F773-F772)/F772</f>
        <v>-3.1667839549614145E-3</v>
      </c>
    </row>
    <row r="774" spans="5:9" ht="15.75" customHeight="1" x14ac:dyDescent="0.2">
      <c r="E774" s="18">
        <v>43130</v>
      </c>
      <c r="F774" s="19">
        <v>28.03</v>
      </c>
      <c r="G774" s="20">
        <v>8690200</v>
      </c>
      <c r="H774" s="21" t="s">
        <v>59</v>
      </c>
      <c r="I774" s="21">
        <f>(Акции!$F774-F773)/F773</f>
        <v>-1.0589481115425245E-2</v>
      </c>
    </row>
    <row r="775" spans="5:9" ht="15.75" customHeight="1" x14ac:dyDescent="0.2">
      <c r="E775" s="18">
        <v>43131</v>
      </c>
      <c r="F775" s="19">
        <v>27.96</v>
      </c>
      <c r="G775" s="20">
        <v>10130100</v>
      </c>
      <c r="H775" s="21" t="s">
        <v>59</v>
      </c>
      <c r="I775" s="21">
        <f>(Акции!$F775-F774)/F774</f>
        <v>-2.4973242953977982E-3</v>
      </c>
    </row>
    <row r="776" spans="5:9" ht="15.75" customHeight="1" x14ac:dyDescent="0.2">
      <c r="E776" s="18">
        <v>43132</v>
      </c>
      <c r="F776" s="19">
        <v>27.63</v>
      </c>
      <c r="G776" s="20">
        <v>13699200</v>
      </c>
      <c r="H776" s="21" t="s">
        <v>59</v>
      </c>
      <c r="I776" s="21">
        <f>(Акции!$F776-F775)/F775</f>
        <v>-1.1802575107296202E-2</v>
      </c>
    </row>
    <row r="777" spans="5:9" ht="15.75" customHeight="1" x14ac:dyDescent="0.2">
      <c r="E777" s="18">
        <v>43133</v>
      </c>
      <c r="F777" s="19">
        <v>27.39</v>
      </c>
      <c r="G777" s="20">
        <v>9756200</v>
      </c>
      <c r="H777" s="21" t="s">
        <v>59</v>
      </c>
      <c r="I777" s="21">
        <f>(Акции!$F777-F776)/F776</f>
        <v>-8.6862106406079779E-3</v>
      </c>
    </row>
    <row r="778" spans="5:9" ht="15.75" customHeight="1" x14ac:dyDescent="0.2">
      <c r="E778" s="18">
        <v>43136</v>
      </c>
      <c r="F778" s="19">
        <v>26.4</v>
      </c>
      <c r="G778" s="20">
        <v>13077200</v>
      </c>
      <c r="H778" s="21" t="s">
        <v>59</v>
      </c>
      <c r="I778" s="21">
        <f>(Акции!$F778-F777)/F777</f>
        <v>-3.6144578313253087E-2</v>
      </c>
    </row>
    <row r="779" spans="5:9" ht="15.75" customHeight="1" x14ac:dyDescent="0.2">
      <c r="E779" s="18">
        <v>43137</v>
      </c>
      <c r="F779" s="19">
        <v>26.72</v>
      </c>
      <c r="G779" s="20">
        <v>14089500</v>
      </c>
      <c r="H779" s="21" t="s">
        <v>59</v>
      </c>
      <c r="I779" s="21">
        <f>(Акции!$F779-F778)/F778</f>
        <v>1.2121212121212133E-2</v>
      </c>
    </row>
    <row r="780" spans="5:9" ht="15.75" customHeight="1" x14ac:dyDescent="0.2">
      <c r="E780" s="18">
        <v>43138</v>
      </c>
      <c r="F780" s="19">
        <v>26.32</v>
      </c>
      <c r="G780" s="20">
        <v>8216700</v>
      </c>
      <c r="H780" s="21" t="s">
        <v>59</v>
      </c>
      <c r="I780" s="21">
        <f>(Акции!$F780-F779)/F779</f>
        <v>-1.4970059880239469E-2</v>
      </c>
    </row>
    <row r="781" spans="5:9" ht="15.75" customHeight="1" x14ac:dyDescent="0.2">
      <c r="E781" s="18">
        <v>43139</v>
      </c>
      <c r="F781" s="19">
        <v>25.2</v>
      </c>
      <c r="G781" s="20">
        <v>12598200</v>
      </c>
      <c r="H781" s="21" t="s">
        <v>59</v>
      </c>
      <c r="I781" s="21">
        <f>(Акции!$F781-F780)/F780</f>
        <v>-4.2553191489361743E-2</v>
      </c>
    </row>
    <row r="782" spans="5:9" ht="15.75" customHeight="1" x14ac:dyDescent="0.2">
      <c r="E782" s="18">
        <v>43140</v>
      </c>
      <c r="F782" s="19">
        <v>25.92</v>
      </c>
      <c r="G782" s="20">
        <v>11066400</v>
      </c>
      <c r="H782" s="21" t="s">
        <v>59</v>
      </c>
      <c r="I782" s="21">
        <f>(Акции!$F782-F781)/F781</f>
        <v>2.8571428571428668E-2</v>
      </c>
    </row>
    <row r="783" spans="5:9" ht="15.75" customHeight="1" x14ac:dyDescent="0.2">
      <c r="E783" s="18">
        <v>43143</v>
      </c>
      <c r="F783" s="19">
        <v>26.18</v>
      </c>
      <c r="G783" s="20">
        <v>8449800</v>
      </c>
      <c r="H783" s="21" t="s">
        <v>59</v>
      </c>
      <c r="I783" s="21">
        <f>(Акции!$F783-F782)/F782</f>
        <v>1.0030864197530787E-2</v>
      </c>
    </row>
    <row r="784" spans="5:9" ht="15.75" customHeight="1" x14ac:dyDescent="0.2">
      <c r="E784" s="18">
        <v>43144</v>
      </c>
      <c r="F784" s="19">
        <v>26.11</v>
      </c>
      <c r="G784" s="20">
        <v>6249900</v>
      </c>
      <c r="H784" s="21" t="s">
        <v>59</v>
      </c>
      <c r="I784" s="21">
        <f>(Акции!$F784-F783)/F783</f>
        <v>-2.673796791443861E-3</v>
      </c>
    </row>
    <row r="785" spans="5:9" ht="15.75" customHeight="1" x14ac:dyDescent="0.2">
      <c r="E785" s="18">
        <v>43145</v>
      </c>
      <c r="F785" s="19">
        <v>26.81</v>
      </c>
      <c r="G785" s="20">
        <v>8048700</v>
      </c>
      <c r="H785" s="21" t="s">
        <v>59</v>
      </c>
      <c r="I785" s="21">
        <f>(Акции!$F785-F784)/F784</f>
        <v>2.6809651474530804E-2</v>
      </c>
    </row>
    <row r="786" spans="5:9" ht="15.75" customHeight="1" x14ac:dyDescent="0.2">
      <c r="E786" s="18">
        <v>43146</v>
      </c>
      <c r="F786" s="19">
        <v>27.09</v>
      </c>
      <c r="G786" s="20">
        <v>6340700</v>
      </c>
      <c r="H786" s="21" t="s">
        <v>59</v>
      </c>
      <c r="I786" s="21">
        <f>(Акции!$F786-F785)/F785</f>
        <v>1.0443864229765057E-2</v>
      </c>
    </row>
    <row r="787" spans="5:9" ht="15.75" customHeight="1" x14ac:dyDescent="0.2">
      <c r="E787" s="18">
        <v>43147</v>
      </c>
      <c r="F787" s="19">
        <v>27.2</v>
      </c>
      <c r="G787" s="20">
        <v>6707700</v>
      </c>
      <c r="H787" s="21" t="s">
        <v>59</v>
      </c>
      <c r="I787" s="21">
        <f>(Акции!$F787-F786)/F786</f>
        <v>4.0605389442598533E-3</v>
      </c>
    </row>
    <row r="788" spans="5:9" ht="15.75" customHeight="1" x14ac:dyDescent="0.2">
      <c r="E788" s="18">
        <v>43151</v>
      </c>
      <c r="F788" s="19">
        <v>26.83</v>
      </c>
      <c r="G788" s="20">
        <v>7059200</v>
      </c>
      <c r="H788" s="21" t="s">
        <v>59</v>
      </c>
      <c r="I788" s="21">
        <f>(Акции!$F788-F787)/F787</f>
        <v>-1.3602941176470625E-2</v>
      </c>
    </row>
    <row r="789" spans="5:9" ht="15.75" customHeight="1" x14ac:dyDescent="0.2">
      <c r="E789" s="18">
        <v>43152</v>
      </c>
      <c r="F789" s="19">
        <v>26.77</v>
      </c>
      <c r="G789" s="20">
        <v>4939600</v>
      </c>
      <c r="H789" s="21" t="s">
        <v>59</v>
      </c>
      <c r="I789" s="21">
        <f>(Акции!$F789-F788)/F788</f>
        <v>-2.2363026462914174E-3</v>
      </c>
    </row>
    <row r="790" spans="5:9" ht="15.75" customHeight="1" x14ac:dyDescent="0.2">
      <c r="E790" s="18">
        <v>43153</v>
      </c>
      <c r="F790" s="19">
        <v>26.48</v>
      </c>
      <c r="G790" s="20">
        <v>6074000</v>
      </c>
      <c r="H790" s="21" t="s">
        <v>59</v>
      </c>
      <c r="I790" s="21">
        <f>(Акции!$F790-F789)/F789</f>
        <v>-1.0833022039596532E-2</v>
      </c>
    </row>
    <row r="791" spans="5:9" ht="15.75" customHeight="1" x14ac:dyDescent="0.2">
      <c r="E791" s="18">
        <v>43154</v>
      </c>
      <c r="F791" s="19">
        <v>27.2</v>
      </c>
      <c r="G791" s="20">
        <v>5748900</v>
      </c>
      <c r="H791" s="21" t="s">
        <v>59</v>
      </c>
      <c r="I791" s="21">
        <f>(Акции!$F791-F790)/F790</f>
        <v>2.7190332326283945E-2</v>
      </c>
    </row>
    <row r="792" spans="5:9" ht="15.75" customHeight="1" x14ac:dyDescent="0.2">
      <c r="E792" s="18">
        <v>43157</v>
      </c>
      <c r="F792" s="19">
        <v>27.62</v>
      </c>
      <c r="G792" s="20">
        <v>6706200</v>
      </c>
      <c r="H792" s="21" t="s">
        <v>59</v>
      </c>
      <c r="I792" s="21">
        <f>(Акции!$F792-F791)/F791</f>
        <v>1.5441176470588298E-2</v>
      </c>
    </row>
    <row r="793" spans="5:9" ht="15.75" customHeight="1" x14ac:dyDescent="0.2">
      <c r="E793" s="18">
        <v>43158</v>
      </c>
      <c r="F793" s="19">
        <v>27.45</v>
      </c>
      <c r="G793" s="20">
        <v>6330000</v>
      </c>
      <c r="H793" s="21" t="s">
        <v>59</v>
      </c>
      <c r="I793" s="21">
        <f>(Акции!$F793-F792)/F792</f>
        <v>-6.1549601737871723E-3</v>
      </c>
    </row>
    <row r="794" spans="5:9" ht="15.75" customHeight="1" x14ac:dyDescent="0.2">
      <c r="E794" s="18">
        <v>43159</v>
      </c>
      <c r="F794" s="19">
        <v>27.26</v>
      </c>
      <c r="G794" s="20">
        <v>5857400</v>
      </c>
      <c r="H794" s="21" t="s">
        <v>59</v>
      </c>
      <c r="I794" s="21">
        <f>(Акции!$F794-F793)/F793</f>
        <v>-6.9216757741347081E-3</v>
      </c>
    </row>
    <row r="795" spans="5:9" ht="15.75" customHeight="1" x14ac:dyDescent="0.2">
      <c r="E795" s="18">
        <v>43160</v>
      </c>
      <c r="F795" s="19">
        <v>26.5</v>
      </c>
      <c r="G795" s="20">
        <v>8827300</v>
      </c>
      <c r="H795" s="21" t="s">
        <v>59</v>
      </c>
      <c r="I795" s="21">
        <f>(Акции!$F795-F794)/F794</f>
        <v>-2.787967718268531E-2</v>
      </c>
    </row>
    <row r="796" spans="5:9" ht="15.75" customHeight="1" x14ac:dyDescent="0.2">
      <c r="E796" s="18">
        <v>43161</v>
      </c>
      <c r="F796" s="19">
        <v>26.77</v>
      </c>
      <c r="G796" s="20">
        <v>10191200</v>
      </c>
      <c r="H796" s="21" t="s">
        <v>59</v>
      </c>
      <c r="I796" s="21">
        <f>(Акции!$F796-F795)/F795</f>
        <v>1.0188679245283003E-2</v>
      </c>
    </row>
    <row r="797" spans="5:9" ht="15.75" customHeight="1" x14ac:dyDescent="0.2">
      <c r="E797" s="18">
        <v>43164</v>
      </c>
      <c r="F797" s="19">
        <v>27.41</v>
      </c>
      <c r="G797" s="20">
        <v>5949300</v>
      </c>
      <c r="H797" s="21" t="s">
        <v>59</v>
      </c>
      <c r="I797" s="21">
        <f>(Акции!$F797-F796)/F796</f>
        <v>2.3907358983937265E-2</v>
      </c>
    </row>
    <row r="798" spans="5:9" ht="15.75" customHeight="1" x14ac:dyDescent="0.2">
      <c r="E798" s="18">
        <v>43165</v>
      </c>
      <c r="F798" s="19">
        <v>27.41</v>
      </c>
      <c r="G798" s="20">
        <v>5067900</v>
      </c>
      <c r="H798" s="21" t="s">
        <v>59</v>
      </c>
      <c r="I798" s="21">
        <f>(Акции!$F798-F797)/F797</f>
        <v>0</v>
      </c>
    </row>
    <row r="799" spans="5:9" ht="15.75" customHeight="1" x14ac:dyDescent="0.2">
      <c r="E799" s="18">
        <v>43166</v>
      </c>
      <c r="F799" s="19">
        <v>27.59</v>
      </c>
      <c r="G799" s="20">
        <v>4006700</v>
      </c>
      <c r="H799" s="21" t="s">
        <v>59</v>
      </c>
      <c r="I799" s="21">
        <f>(Акции!$F799-F798)/F798</f>
        <v>6.5669463699379689E-3</v>
      </c>
    </row>
    <row r="800" spans="5:9" ht="15.75" customHeight="1" x14ac:dyDescent="0.2">
      <c r="E800" s="18">
        <v>43167</v>
      </c>
      <c r="F800" s="19">
        <v>27.85</v>
      </c>
      <c r="G800" s="20">
        <v>5694200</v>
      </c>
      <c r="H800" s="21" t="s">
        <v>59</v>
      </c>
      <c r="I800" s="21">
        <f>(Акции!$F800-F799)/F799</f>
        <v>9.4237042406669653E-3</v>
      </c>
    </row>
    <row r="801" spans="5:9" ht="15.75" customHeight="1" x14ac:dyDescent="0.2">
      <c r="E801" s="18">
        <v>43168</v>
      </c>
      <c r="F801" s="19">
        <v>28.54</v>
      </c>
      <c r="G801" s="20">
        <v>7702200</v>
      </c>
      <c r="H801" s="21" t="s">
        <v>59</v>
      </c>
      <c r="I801" s="21">
        <f>(Акции!$F801-F800)/F800</f>
        <v>2.4775583482944261E-2</v>
      </c>
    </row>
    <row r="802" spans="5:9" ht="15.75" customHeight="1" x14ac:dyDescent="0.2">
      <c r="E802" s="18">
        <v>43171</v>
      </c>
      <c r="F802" s="19">
        <v>28.54</v>
      </c>
      <c r="G802" s="20">
        <v>7963400</v>
      </c>
      <c r="H802" s="21" t="s">
        <v>59</v>
      </c>
      <c r="I802" s="21">
        <f>(Акции!$F802-F801)/F801</f>
        <v>0</v>
      </c>
    </row>
    <row r="803" spans="5:9" ht="15.75" customHeight="1" x14ac:dyDescent="0.2">
      <c r="E803" s="18">
        <v>43172</v>
      </c>
      <c r="F803" s="19">
        <v>28.43</v>
      </c>
      <c r="G803" s="20">
        <v>3804700</v>
      </c>
      <c r="H803" s="21" t="s">
        <v>59</v>
      </c>
      <c r="I803" s="21">
        <f>(Акции!$F803-F802)/F802</f>
        <v>-3.8542396636299732E-3</v>
      </c>
    </row>
    <row r="804" spans="5:9" ht="15.75" customHeight="1" x14ac:dyDescent="0.2">
      <c r="E804" s="18">
        <v>43173</v>
      </c>
      <c r="F804" s="19">
        <v>28.01</v>
      </c>
      <c r="G804" s="20">
        <v>8571700</v>
      </c>
      <c r="H804" s="21" t="s">
        <v>59</v>
      </c>
      <c r="I804" s="21">
        <f>(Акции!$F804-F803)/F803</f>
        <v>-1.4773126978543726E-2</v>
      </c>
    </row>
    <row r="805" spans="5:9" ht="15.75" customHeight="1" x14ac:dyDescent="0.2">
      <c r="E805" s="18">
        <v>43174</v>
      </c>
      <c r="F805" s="19">
        <v>27.84</v>
      </c>
      <c r="G805" s="20">
        <v>6244600</v>
      </c>
      <c r="H805" s="21" t="s">
        <v>59</v>
      </c>
      <c r="I805" s="21">
        <f>(Акции!$F805-F804)/F804</f>
        <v>-6.0692609782221239E-3</v>
      </c>
    </row>
    <row r="806" spans="5:9" ht="15.75" customHeight="1" x14ac:dyDescent="0.2">
      <c r="E806" s="18">
        <v>43175</v>
      </c>
      <c r="F806" s="19">
        <v>27.93</v>
      </c>
      <c r="G806" s="20">
        <v>7858900</v>
      </c>
      <c r="H806" s="21" t="s">
        <v>59</v>
      </c>
      <c r="I806" s="21">
        <f>(Акции!$F806-F805)/F805</f>
        <v>3.2327586206896499E-3</v>
      </c>
    </row>
    <row r="807" spans="5:9" ht="15.75" customHeight="1" x14ac:dyDescent="0.2">
      <c r="E807" s="18">
        <v>43178</v>
      </c>
      <c r="F807" s="19">
        <v>27.62</v>
      </c>
      <c r="G807" s="20">
        <v>5204700</v>
      </c>
      <c r="H807" s="21" t="s">
        <v>59</v>
      </c>
      <c r="I807" s="21">
        <f>(Акции!$F807-F806)/F806</f>
        <v>-1.1099176512710302E-2</v>
      </c>
    </row>
    <row r="808" spans="5:9" ht="15.75" customHeight="1" x14ac:dyDescent="0.2">
      <c r="E808" s="18">
        <v>43179</v>
      </c>
      <c r="F808" s="19">
        <v>27.67</v>
      </c>
      <c r="G808" s="20">
        <v>3722700</v>
      </c>
      <c r="H808" s="21" t="s">
        <v>59</v>
      </c>
      <c r="I808" s="21">
        <f>(Акции!$F808-F807)/F807</f>
        <v>1.8102824040550582E-3</v>
      </c>
    </row>
    <row r="809" spans="5:9" ht="15.75" customHeight="1" x14ac:dyDescent="0.2">
      <c r="E809" s="18">
        <v>43180</v>
      </c>
      <c r="F809" s="19">
        <v>27.66</v>
      </c>
      <c r="G809" s="20">
        <v>4499300</v>
      </c>
      <c r="H809" s="21" t="s">
        <v>59</v>
      </c>
      <c r="I809" s="21">
        <f>(Акции!$F809-F808)/F808</f>
        <v>-3.6140224069394875E-4</v>
      </c>
    </row>
    <row r="810" spans="5:9" ht="15.75" customHeight="1" x14ac:dyDescent="0.2">
      <c r="E810" s="18">
        <v>43181</v>
      </c>
      <c r="F810" s="19">
        <v>26.94</v>
      </c>
      <c r="G810" s="20">
        <v>6294500</v>
      </c>
      <c r="H810" s="21" t="s">
        <v>59</v>
      </c>
      <c r="I810" s="21">
        <f>(Акции!$F810-F809)/F809</f>
        <v>-2.6030368763557441E-2</v>
      </c>
    </row>
    <row r="811" spans="5:9" ht="15.75" customHeight="1" x14ac:dyDescent="0.2">
      <c r="E811" s="18">
        <v>43182</v>
      </c>
      <c r="F811" s="19">
        <v>26.3</v>
      </c>
      <c r="G811" s="20">
        <v>7242800</v>
      </c>
      <c r="H811" s="21" t="s">
        <v>59</v>
      </c>
      <c r="I811" s="21">
        <f>(Акции!$F811-F810)/F810</f>
        <v>-2.3756495916852284E-2</v>
      </c>
    </row>
    <row r="812" spans="5:9" ht="15.75" customHeight="1" x14ac:dyDescent="0.2">
      <c r="E812" s="18">
        <v>43185</v>
      </c>
      <c r="F812" s="19">
        <v>27.25</v>
      </c>
      <c r="G812" s="20">
        <v>7456600</v>
      </c>
      <c r="H812" s="21" t="s">
        <v>59</v>
      </c>
      <c r="I812" s="21">
        <f>(Акции!$F812-F811)/F811</f>
        <v>3.612167300380225E-2</v>
      </c>
    </row>
    <row r="813" spans="5:9" ht="15.75" customHeight="1" x14ac:dyDescent="0.2">
      <c r="E813" s="18">
        <v>43186</v>
      </c>
      <c r="F813" s="19">
        <v>27.03</v>
      </c>
      <c r="G813" s="20">
        <v>8868800</v>
      </c>
      <c r="H813" s="21" t="s">
        <v>59</v>
      </c>
      <c r="I813" s="21">
        <f>(Акции!$F813-F812)/F812</f>
        <v>-8.0733944954128022E-3</v>
      </c>
    </row>
    <row r="814" spans="5:9" ht="15.75" customHeight="1" x14ac:dyDescent="0.2">
      <c r="E814" s="18">
        <v>43187</v>
      </c>
      <c r="F814" s="19">
        <v>26.68</v>
      </c>
      <c r="G814" s="20">
        <v>5372300</v>
      </c>
      <c r="H814" s="21" t="s">
        <v>59</v>
      </c>
      <c r="I814" s="21">
        <f>(Акции!$F814-F813)/F813</f>
        <v>-1.2948575656677817E-2</v>
      </c>
    </row>
    <row r="815" spans="5:9" ht="15.75" customHeight="1" x14ac:dyDescent="0.2">
      <c r="E815" s="18">
        <v>43188</v>
      </c>
      <c r="F815" s="19">
        <v>27.32</v>
      </c>
      <c r="G815" s="20">
        <v>11113800</v>
      </c>
      <c r="H815" s="21" t="s">
        <v>59</v>
      </c>
      <c r="I815" s="21">
        <f>(Акции!$F815-F814)/F814</f>
        <v>2.3988005997001519E-2</v>
      </c>
    </row>
    <row r="816" spans="5:9" ht="15.75" customHeight="1" x14ac:dyDescent="0.2">
      <c r="E816" s="18">
        <v>43192</v>
      </c>
      <c r="F816" s="19">
        <v>26.84</v>
      </c>
      <c r="G816" s="20">
        <v>8562300</v>
      </c>
      <c r="H816" s="21" t="s">
        <v>59</v>
      </c>
      <c r="I816" s="21">
        <f>(Акции!$F816-F815)/F815</f>
        <v>-1.756954612005858E-2</v>
      </c>
    </row>
    <row r="817" spans="5:9" ht="15.75" customHeight="1" x14ac:dyDescent="0.2">
      <c r="E817" s="18">
        <v>43193</v>
      </c>
      <c r="F817" s="19">
        <v>27.46</v>
      </c>
      <c r="G817" s="20">
        <v>9050600</v>
      </c>
      <c r="H817" s="21" t="s">
        <v>59</v>
      </c>
      <c r="I817" s="21">
        <f>(Акции!$F817-F816)/F816</f>
        <v>2.3099850968703466E-2</v>
      </c>
    </row>
    <row r="818" spans="5:9" ht="15.75" customHeight="1" x14ac:dyDescent="0.2">
      <c r="E818" s="18">
        <v>43194</v>
      </c>
      <c r="F818" s="19">
        <v>27.74</v>
      </c>
      <c r="G818" s="20">
        <v>7775500</v>
      </c>
      <c r="H818" s="21" t="s">
        <v>59</v>
      </c>
      <c r="I818" s="21">
        <f>(Акции!$F818-F817)/F817</f>
        <v>1.0196649672250459E-2</v>
      </c>
    </row>
    <row r="819" spans="5:9" ht="15.75" customHeight="1" x14ac:dyDescent="0.2">
      <c r="E819" s="18">
        <v>43195</v>
      </c>
      <c r="F819" s="19">
        <v>28.09</v>
      </c>
      <c r="G819" s="20">
        <v>5880800</v>
      </c>
      <c r="H819" s="21" t="s">
        <v>59</v>
      </c>
      <c r="I819" s="21">
        <f>(Акции!$F819-F818)/F818</f>
        <v>1.261715933669796E-2</v>
      </c>
    </row>
    <row r="820" spans="5:9" ht="15.75" customHeight="1" x14ac:dyDescent="0.2">
      <c r="E820" s="18">
        <v>43196</v>
      </c>
      <c r="F820" s="19">
        <v>27.35</v>
      </c>
      <c r="G820" s="20">
        <v>6451400</v>
      </c>
      <c r="H820" s="21" t="s">
        <v>59</v>
      </c>
      <c r="I820" s="21">
        <f>(Акции!$F820-F819)/F819</f>
        <v>-2.6343894624421448E-2</v>
      </c>
    </row>
    <row r="821" spans="5:9" ht="15.75" customHeight="1" x14ac:dyDescent="0.2">
      <c r="E821" s="18">
        <v>43199</v>
      </c>
      <c r="F821" s="19">
        <v>27.51</v>
      </c>
      <c r="G821" s="20">
        <v>4867100</v>
      </c>
      <c r="H821" s="21" t="s">
        <v>59</v>
      </c>
      <c r="I821" s="21">
        <f>(Акции!$F821-F820)/F820</f>
        <v>5.8500914076782496E-3</v>
      </c>
    </row>
    <row r="822" spans="5:9" ht="15.75" customHeight="1" x14ac:dyDescent="0.2">
      <c r="E822" s="18">
        <v>43200</v>
      </c>
      <c r="F822" s="19">
        <v>27.9</v>
      </c>
      <c r="G822" s="20">
        <v>5422300</v>
      </c>
      <c r="H822" s="21" t="s">
        <v>59</v>
      </c>
      <c r="I822" s="21">
        <f>(Акции!$F822-F821)/F821</f>
        <v>1.4176663031624754E-2</v>
      </c>
    </row>
    <row r="823" spans="5:9" ht="15.75" customHeight="1" x14ac:dyDescent="0.2">
      <c r="E823" s="18">
        <v>43201</v>
      </c>
      <c r="F823" s="19">
        <v>27.93</v>
      </c>
      <c r="G823" s="20">
        <v>4429900</v>
      </c>
      <c r="H823" s="21" t="s">
        <v>59</v>
      </c>
      <c r="I823" s="21">
        <f>(Акции!$F823-F822)/F822</f>
        <v>1.0752688172043418E-3</v>
      </c>
    </row>
    <row r="824" spans="5:9" ht="15.75" customHeight="1" x14ac:dyDescent="0.2">
      <c r="E824" s="18">
        <v>43202</v>
      </c>
      <c r="F824" s="19">
        <v>28.23</v>
      </c>
      <c r="G824" s="20">
        <v>11798700</v>
      </c>
      <c r="H824" s="21" t="s">
        <v>59</v>
      </c>
      <c r="I824" s="21">
        <f>(Акции!$F824-F823)/F823</f>
        <v>1.0741138560687459E-2</v>
      </c>
    </row>
    <row r="825" spans="5:9" ht="15.75" customHeight="1" x14ac:dyDescent="0.2">
      <c r="E825" s="18">
        <v>43203</v>
      </c>
      <c r="F825" s="19">
        <v>28.31</v>
      </c>
      <c r="G825" s="20">
        <v>7787800</v>
      </c>
      <c r="H825" s="21" t="s">
        <v>59</v>
      </c>
      <c r="I825" s="21">
        <f>(Акции!$F825-F824)/F824</f>
        <v>2.8338646829613283E-3</v>
      </c>
    </row>
    <row r="826" spans="5:9" ht="15.75" customHeight="1" x14ac:dyDescent="0.2">
      <c r="E826" s="18">
        <v>43206</v>
      </c>
      <c r="F826" s="19">
        <v>28.83</v>
      </c>
      <c r="G826" s="20">
        <v>9003800</v>
      </c>
      <c r="H826" s="21" t="s">
        <v>59</v>
      </c>
      <c r="I826" s="21">
        <f>(Акции!$F826-F825)/F825</f>
        <v>1.8368067820558092E-2</v>
      </c>
    </row>
    <row r="827" spans="5:9" ht="15.75" customHeight="1" x14ac:dyDescent="0.2">
      <c r="E827" s="18">
        <v>43207</v>
      </c>
      <c r="F827" s="19">
        <v>28.86</v>
      </c>
      <c r="G827" s="20">
        <v>10078300</v>
      </c>
      <c r="H827" s="21" t="s">
        <v>59</v>
      </c>
      <c r="I827" s="21">
        <f>(Акции!$F827-F826)/F826</f>
        <v>1.0405827263267825E-3</v>
      </c>
    </row>
    <row r="828" spans="5:9" ht="15.75" customHeight="1" x14ac:dyDescent="0.2">
      <c r="E828" s="18">
        <v>43208</v>
      </c>
      <c r="F828" s="19">
        <v>28.94</v>
      </c>
      <c r="G828" s="20">
        <v>5352200</v>
      </c>
      <c r="H828" s="21" t="s">
        <v>59</v>
      </c>
      <c r="I828" s="21">
        <f>(Акции!$F828-F827)/F827</f>
        <v>2.7720027720028362E-3</v>
      </c>
    </row>
    <row r="829" spans="5:9" ht="15.75" customHeight="1" x14ac:dyDescent="0.2">
      <c r="E829" s="18">
        <v>43209</v>
      </c>
      <c r="F829" s="19">
        <v>28.89</v>
      </c>
      <c r="G829" s="20">
        <v>5764900</v>
      </c>
      <c r="H829" s="21" t="s">
        <v>59</v>
      </c>
      <c r="I829" s="21">
        <f>(Акции!$F829-F828)/F828</f>
        <v>-1.7277125086385869E-3</v>
      </c>
    </row>
    <row r="830" spans="5:9" ht="15.75" customHeight="1" x14ac:dyDescent="0.2">
      <c r="E830" s="18">
        <v>43210</v>
      </c>
      <c r="F830" s="19">
        <v>28.84</v>
      </c>
      <c r="G830" s="20">
        <v>8661000</v>
      </c>
      <c r="H830" s="21" t="s">
        <v>59</v>
      </c>
      <c r="I830" s="21">
        <f>(Акции!$F830-F829)/F829</f>
        <v>-1.7307026652821291E-3</v>
      </c>
    </row>
    <row r="831" spans="5:9" ht="15.75" customHeight="1" x14ac:dyDescent="0.2">
      <c r="E831" s="18">
        <v>43213</v>
      </c>
      <c r="F831" s="19">
        <v>28.82</v>
      </c>
      <c r="G831" s="20">
        <v>5702800</v>
      </c>
      <c r="H831" s="21" t="s">
        <v>59</v>
      </c>
      <c r="I831" s="21">
        <f>(Акции!$F831-F830)/F830</f>
        <v>-6.9348127600553312E-4</v>
      </c>
    </row>
    <row r="832" spans="5:9" ht="15.75" customHeight="1" x14ac:dyDescent="0.2">
      <c r="E832" s="18">
        <v>43214</v>
      </c>
      <c r="F832" s="19">
        <v>28.5</v>
      </c>
      <c r="G832" s="20">
        <v>8332600</v>
      </c>
      <c r="H832" s="21" t="s">
        <v>59</v>
      </c>
      <c r="I832" s="21">
        <f>(Акции!$F832-F831)/F831</f>
        <v>-1.1103400416377526E-2</v>
      </c>
    </row>
    <row r="833" spans="5:9" ht="15.75" customHeight="1" x14ac:dyDescent="0.2">
      <c r="E833" s="18">
        <v>43215</v>
      </c>
      <c r="F833" s="19">
        <v>29.42</v>
      </c>
      <c r="G833" s="20">
        <v>15887100</v>
      </c>
      <c r="H833" s="21" t="s">
        <v>59</v>
      </c>
      <c r="I833" s="21">
        <f>(Акции!$F833-F832)/F832</f>
        <v>3.2280701754386028E-2</v>
      </c>
    </row>
    <row r="834" spans="5:9" ht="15.75" customHeight="1" x14ac:dyDescent="0.2">
      <c r="E834" s="18">
        <v>43216</v>
      </c>
      <c r="F834" s="19">
        <v>29.45</v>
      </c>
      <c r="G834" s="20">
        <v>6884600</v>
      </c>
      <c r="H834" s="21" t="s">
        <v>59</v>
      </c>
      <c r="I834" s="21">
        <f>(Акции!$F834-F833)/F833</f>
        <v>1.0197144799455331E-3</v>
      </c>
    </row>
    <row r="835" spans="5:9" ht="15.75" customHeight="1" x14ac:dyDescent="0.2">
      <c r="E835" s="18">
        <v>43217</v>
      </c>
      <c r="F835" s="19">
        <v>29.23</v>
      </c>
      <c r="G835" s="20">
        <v>7468800</v>
      </c>
      <c r="H835" s="21" t="s">
        <v>59</v>
      </c>
      <c r="I835" s="21">
        <f>(Акции!$F835-F834)/F834</f>
        <v>-7.4702886247877374E-3</v>
      </c>
    </row>
    <row r="836" spans="5:9" ht="15.75" customHeight="1" x14ac:dyDescent="0.2">
      <c r="E836" s="18">
        <v>43220</v>
      </c>
      <c r="F836" s="19">
        <v>28.72</v>
      </c>
      <c r="G836" s="20">
        <v>16530100</v>
      </c>
      <c r="H836" s="21" t="s">
        <v>59</v>
      </c>
      <c r="I836" s="21">
        <f>(Акции!$F836-F835)/F835</f>
        <v>-1.7447827574409908E-2</v>
      </c>
    </row>
    <row r="837" spans="5:9" ht="15.75" customHeight="1" x14ac:dyDescent="0.2">
      <c r="E837" s="18">
        <v>43221</v>
      </c>
      <c r="F837" s="19">
        <v>29.48</v>
      </c>
      <c r="G837" s="20">
        <v>9709200</v>
      </c>
      <c r="H837" s="21" t="s">
        <v>59</v>
      </c>
      <c r="I837" s="21">
        <f>(Акции!$F837-F836)/F836</f>
        <v>2.6462395543175542E-2</v>
      </c>
    </row>
    <row r="838" spans="5:9" ht="15.75" customHeight="1" x14ac:dyDescent="0.2">
      <c r="E838" s="18">
        <v>43222</v>
      </c>
      <c r="F838" s="19">
        <v>29.27</v>
      </c>
      <c r="G838" s="20">
        <v>7367800</v>
      </c>
      <c r="H838" s="21" t="s">
        <v>59</v>
      </c>
      <c r="I838" s="21">
        <f>(Акции!$F838-F837)/F837</f>
        <v>-7.1234735413840183E-3</v>
      </c>
    </row>
    <row r="839" spans="5:9" ht="15.75" customHeight="1" x14ac:dyDescent="0.2">
      <c r="E839" s="18">
        <v>43223</v>
      </c>
      <c r="F839" s="19">
        <v>29.43</v>
      </c>
      <c r="G839" s="20">
        <v>7967700</v>
      </c>
      <c r="H839" s="21" t="s">
        <v>59</v>
      </c>
      <c r="I839" s="21">
        <f>(Акции!$F839-F838)/F838</f>
        <v>5.4663477963785498E-3</v>
      </c>
    </row>
    <row r="840" spans="5:9" ht="15.75" customHeight="1" x14ac:dyDescent="0.2">
      <c r="E840" s="18">
        <v>43224</v>
      </c>
      <c r="F840" s="19">
        <v>29.55</v>
      </c>
      <c r="G840" s="20">
        <v>5138900</v>
      </c>
      <c r="H840" s="21" t="s">
        <v>59</v>
      </c>
      <c r="I840" s="21">
        <f>(Акции!$F840-F839)/F839</f>
        <v>4.0774719673802584E-3</v>
      </c>
    </row>
    <row r="841" spans="5:9" ht="15.75" customHeight="1" x14ac:dyDescent="0.2">
      <c r="E841" s="18">
        <v>43227</v>
      </c>
      <c r="F841" s="19">
        <v>29.94</v>
      </c>
      <c r="G841" s="20">
        <v>5734900</v>
      </c>
      <c r="H841" s="21" t="s">
        <v>59</v>
      </c>
      <c r="I841" s="21">
        <f>(Акции!$F841-F840)/F840</f>
        <v>1.3197969543147227E-2</v>
      </c>
    </row>
    <row r="842" spans="5:9" ht="15.75" customHeight="1" x14ac:dyDescent="0.2">
      <c r="E842" s="18">
        <v>43228</v>
      </c>
      <c r="F842" s="19">
        <v>29.83</v>
      </c>
      <c r="G842" s="20">
        <v>5647100</v>
      </c>
      <c r="H842" s="21" t="s">
        <v>59</v>
      </c>
      <c r="I842" s="21">
        <f>(Акции!$F842-F841)/F841</f>
        <v>-3.6740146960588839E-3</v>
      </c>
    </row>
    <row r="843" spans="5:9" ht="15.75" customHeight="1" x14ac:dyDescent="0.2">
      <c r="E843" s="18">
        <v>43229</v>
      </c>
      <c r="F843" s="19">
        <v>29.83</v>
      </c>
      <c r="G843" s="20">
        <v>4007900</v>
      </c>
      <c r="H843" s="21" t="s">
        <v>59</v>
      </c>
      <c r="I843" s="21">
        <f>(Акции!$F843-F842)/F842</f>
        <v>0</v>
      </c>
    </row>
    <row r="844" spans="5:9" ht="15.75" customHeight="1" x14ac:dyDescent="0.2">
      <c r="E844" s="18">
        <v>43230</v>
      </c>
      <c r="F844" s="19">
        <v>30.28</v>
      </c>
      <c r="G844" s="20">
        <v>4569700</v>
      </c>
      <c r="H844" s="21" t="s">
        <v>59</v>
      </c>
      <c r="I844" s="21">
        <f>(Акции!$F844-F843)/F843</f>
        <v>1.5085484411666204E-2</v>
      </c>
    </row>
    <row r="845" spans="5:9" ht="15.75" customHeight="1" x14ac:dyDescent="0.2">
      <c r="E845" s="18">
        <v>43231</v>
      </c>
      <c r="F845" s="19">
        <v>29.97</v>
      </c>
      <c r="G845" s="20">
        <v>6404900</v>
      </c>
      <c r="H845" s="21" t="s">
        <v>59</v>
      </c>
      <c r="I845" s="21">
        <f>(Акции!$F845-F844)/F844</f>
        <v>-1.0237780713342215E-2</v>
      </c>
    </row>
    <row r="846" spans="5:9" ht="15.75" customHeight="1" x14ac:dyDescent="0.2">
      <c r="E846" s="18">
        <v>43234</v>
      </c>
      <c r="F846" s="19">
        <v>29.86</v>
      </c>
      <c r="G846" s="20">
        <v>8855700</v>
      </c>
      <c r="H846" s="21" t="s">
        <v>59</v>
      </c>
      <c r="I846" s="21">
        <f>(Акции!$F846-F845)/F845</f>
        <v>-3.670337003670318E-3</v>
      </c>
    </row>
    <row r="847" spans="5:9" ht="15.75" customHeight="1" x14ac:dyDescent="0.2">
      <c r="E847" s="18">
        <v>43235</v>
      </c>
      <c r="F847" s="19">
        <v>29.62</v>
      </c>
      <c r="G847" s="20">
        <v>5272400</v>
      </c>
      <c r="H847" s="21" t="s">
        <v>59</v>
      </c>
      <c r="I847" s="21">
        <f>(Акции!$F847-F846)/F846</f>
        <v>-8.0375083724045018E-3</v>
      </c>
    </row>
    <row r="848" spans="5:9" ht="15.75" customHeight="1" x14ac:dyDescent="0.2">
      <c r="E848" s="18">
        <v>43236</v>
      </c>
      <c r="F848" s="19">
        <v>29.97</v>
      </c>
      <c r="G848" s="20">
        <v>7238200</v>
      </c>
      <c r="H848" s="21" t="s">
        <v>59</v>
      </c>
      <c r="I848" s="21">
        <f>(Акции!$F848-F847)/F847</f>
        <v>1.1816340310600873E-2</v>
      </c>
    </row>
    <row r="849" spans="5:9" ht="15.75" customHeight="1" x14ac:dyDescent="0.2">
      <c r="E849" s="18">
        <v>43237</v>
      </c>
      <c r="F849" s="19">
        <v>30.32</v>
      </c>
      <c r="G849" s="20">
        <v>7304400</v>
      </c>
      <c r="H849" s="21" t="s">
        <v>59</v>
      </c>
      <c r="I849" s="21">
        <f>(Акции!$F849-F848)/F848</f>
        <v>1.1678345011678392E-2</v>
      </c>
    </row>
    <row r="850" spans="5:9" ht="15.75" customHeight="1" x14ac:dyDescent="0.2">
      <c r="E850" s="18">
        <v>43238</v>
      </c>
      <c r="F850" s="19">
        <v>30.45</v>
      </c>
      <c r="G850" s="20">
        <v>3984400</v>
      </c>
      <c r="H850" s="21" t="s">
        <v>59</v>
      </c>
      <c r="I850" s="21">
        <f>(Акции!$F850-F849)/F849</f>
        <v>4.2875989445909958E-3</v>
      </c>
    </row>
    <row r="851" spans="5:9" ht="15.75" customHeight="1" x14ac:dyDescent="0.2">
      <c r="E851" s="18">
        <v>43241</v>
      </c>
      <c r="F851" s="19">
        <v>30.65</v>
      </c>
      <c r="G851" s="20">
        <v>7187500</v>
      </c>
      <c r="H851" s="21" t="s">
        <v>59</v>
      </c>
      <c r="I851" s="21">
        <f>(Акции!$F851-F850)/F850</f>
        <v>6.5681444991789592E-3</v>
      </c>
    </row>
    <row r="852" spans="5:9" ht="15.75" customHeight="1" x14ac:dyDescent="0.2">
      <c r="E852" s="18">
        <v>43242</v>
      </c>
      <c r="F852" s="19">
        <v>30.27</v>
      </c>
      <c r="G852" s="20">
        <v>7567200</v>
      </c>
      <c r="H852" s="21" t="s">
        <v>59</v>
      </c>
      <c r="I852" s="21">
        <f>(Акции!$F852-F851)/F851</f>
        <v>-1.2398042414355596E-2</v>
      </c>
    </row>
    <row r="853" spans="5:9" ht="15.75" customHeight="1" x14ac:dyDescent="0.2">
      <c r="E853" s="18">
        <v>43243</v>
      </c>
      <c r="F853" s="19">
        <v>30.46</v>
      </c>
      <c r="G853" s="20">
        <v>4660100</v>
      </c>
      <c r="H853" s="21" t="s">
        <v>59</v>
      </c>
      <c r="I853" s="21">
        <f>(Акции!$F853-F852)/F852</f>
        <v>6.2768417575157342E-3</v>
      </c>
    </row>
    <row r="854" spans="5:9" ht="15.75" customHeight="1" x14ac:dyDescent="0.2">
      <c r="E854" s="18">
        <v>43244</v>
      </c>
      <c r="F854" s="19">
        <v>30.4</v>
      </c>
      <c r="G854" s="20">
        <v>3234400</v>
      </c>
      <c r="H854" s="21" t="s">
        <v>59</v>
      </c>
      <c r="I854" s="21">
        <f>(Акции!$F854-F853)/F853</f>
        <v>-1.9697964543664566E-3</v>
      </c>
    </row>
    <row r="855" spans="5:9" ht="15.75" customHeight="1" x14ac:dyDescent="0.2">
      <c r="E855" s="18">
        <v>43245</v>
      </c>
      <c r="F855" s="19">
        <v>30.31</v>
      </c>
      <c r="G855" s="20">
        <v>2685700</v>
      </c>
      <c r="H855" s="21" t="s">
        <v>59</v>
      </c>
      <c r="I855" s="21">
        <f>(Акции!$F855-F854)/F854</f>
        <v>-2.960526315789469E-3</v>
      </c>
    </row>
    <row r="856" spans="5:9" ht="15.75" customHeight="1" x14ac:dyDescent="0.2">
      <c r="E856" s="18">
        <v>43249</v>
      </c>
      <c r="F856" s="19">
        <v>30.2</v>
      </c>
      <c r="G856" s="20">
        <v>3882500</v>
      </c>
      <c r="H856" s="21" t="s">
        <v>59</v>
      </c>
      <c r="I856" s="21">
        <f>(Акции!$F856-F855)/F855</f>
        <v>-3.6291652919828252E-3</v>
      </c>
    </row>
    <row r="857" spans="5:9" ht="15.75" customHeight="1" x14ac:dyDescent="0.2">
      <c r="E857" s="18">
        <v>43250</v>
      </c>
      <c r="F857" s="19">
        <v>30.51</v>
      </c>
      <c r="G857" s="20">
        <v>4794200</v>
      </c>
      <c r="H857" s="21" t="s">
        <v>59</v>
      </c>
      <c r="I857" s="21">
        <f>(Акции!$F857-F856)/F856</f>
        <v>1.0264900662251731E-2</v>
      </c>
    </row>
    <row r="858" spans="5:9" ht="15.75" customHeight="1" x14ac:dyDescent="0.2">
      <c r="E858" s="18">
        <v>43251</v>
      </c>
      <c r="F858" s="19">
        <v>30.39</v>
      </c>
      <c r="G858" s="20">
        <v>7302100</v>
      </c>
      <c r="H858" s="21" t="s">
        <v>59</v>
      </c>
      <c r="I858" s="21">
        <f>(Акции!$F858-F857)/F857</f>
        <v>-3.9331366764995407E-3</v>
      </c>
    </row>
    <row r="859" spans="5:9" ht="15.75" customHeight="1" x14ac:dyDescent="0.2">
      <c r="E859" s="18">
        <v>43252</v>
      </c>
      <c r="F859" s="19">
        <v>30.59</v>
      </c>
      <c r="G859" s="20">
        <v>7102800</v>
      </c>
      <c r="H859" s="21" t="s">
        <v>59</v>
      </c>
      <c r="I859" s="21">
        <f>(Акции!$F859-F858)/F858</f>
        <v>6.5811122079631225E-3</v>
      </c>
    </row>
    <row r="860" spans="5:9" ht="15.75" customHeight="1" x14ac:dyDescent="0.2">
      <c r="E860" s="18">
        <v>43255</v>
      </c>
      <c r="F860" s="19">
        <v>30.6</v>
      </c>
      <c r="G860" s="20">
        <v>4085200</v>
      </c>
      <c r="H860" s="21" t="s">
        <v>59</v>
      </c>
      <c r="I860" s="21">
        <f>(Акции!$F860-F859)/F859</f>
        <v>3.2690421706445125E-4</v>
      </c>
    </row>
    <row r="861" spans="5:9" ht="15.75" customHeight="1" x14ac:dyDescent="0.2">
      <c r="E861" s="18">
        <v>43256</v>
      </c>
      <c r="F861" s="19">
        <v>30.72</v>
      </c>
      <c r="G861" s="20">
        <v>6452400</v>
      </c>
      <c r="H861" s="21" t="s">
        <v>59</v>
      </c>
      <c r="I861" s="21">
        <f>(Акции!$F861-F860)/F860</f>
        <v>3.9215686274508962E-3</v>
      </c>
    </row>
    <row r="862" spans="5:9" ht="15.75" customHeight="1" x14ac:dyDescent="0.2">
      <c r="E862" s="18">
        <v>43257</v>
      </c>
      <c r="F862" s="19">
        <v>30.8</v>
      </c>
      <c r="G862" s="20">
        <v>6337300</v>
      </c>
      <c r="H862" s="21" t="s">
        <v>59</v>
      </c>
      <c r="I862" s="21">
        <f>(Акции!$F862-F861)/F861</f>
        <v>2.6041666666667268E-3</v>
      </c>
    </row>
    <row r="863" spans="5:9" ht="15.75" customHeight="1" x14ac:dyDescent="0.2">
      <c r="E863" s="18">
        <v>43258</v>
      </c>
      <c r="F863" s="19">
        <v>31.03</v>
      </c>
      <c r="G863" s="20">
        <v>10856100</v>
      </c>
      <c r="H863" s="21" t="s">
        <v>59</v>
      </c>
      <c r="I863" s="21">
        <f>(Акции!$F863-F862)/F862</f>
        <v>7.4675324675324813E-3</v>
      </c>
    </row>
    <row r="864" spans="5:9" ht="15.75" customHeight="1" x14ac:dyDescent="0.2">
      <c r="E864" s="18">
        <v>43259</v>
      </c>
      <c r="F864" s="19">
        <v>31.95</v>
      </c>
      <c r="G864" s="20">
        <v>14035800</v>
      </c>
      <c r="H864" s="21" t="s">
        <v>59</v>
      </c>
      <c r="I864" s="21">
        <f>(Акции!$F864-F863)/F863</f>
        <v>2.9648727038349924E-2</v>
      </c>
    </row>
    <row r="865" spans="5:9" ht="15.75" customHeight="1" x14ac:dyDescent="0.2">
      <c r="E865" s="18">
        <v>43262</v>
      </c>
      <c r="F865" s="19">
        <v>34.32</v>
      </c>
      <c r="G865" s="20">
        <v>34449400</v>
      </c>
      <c r="H865" s="21" t="s">
        <v>59</v>
      </c>
      <c r="I865" s="21">
        <f>(Акции!$F865-F864)/F864</f>
        <v>7.417840375586858E-2</v>
      </c>
    </row>
    <row r="866" spans="5:9" ht="15.75" customHeight="1" x14ac:dyDescent="0.2">
      <c r="E866" s="18">
        <v>43263</v>
      </c>
      <c r="F866" s="19">
        <v>33.840000000000003</v>
      </c>
      <c r="G866" s="20">
        <v>21974300</v>
      </c>
      <c r="H866" s="21" t="s">
        <v>59</v>
      </c>
      <c r="I866" s="21">
        <f>(Акции!$F866-F865)/F865</f>
        <v>-1.3986013986013894E-2</v>
      </c>
    </row>
    <row r="867" spans="5:9" ht="15.75" customHeight="1" x14ac:dyDescent="0.2">
      <c r="E867" s="18">
        <v>43264</v>
      </c>
      <c r="F867" s="19">
        <v>31.73</v>
      </c>
      <c r="G867" s="20">
        <v>22257000</v>
      </c>
      <c r="H867" s="21" t="s">
        <v>59</v>
      </c>
      <c r="I867" s="21">
        <f>(Акции!$F867-F866)/F866</f>
        <v>-6.2352245862884244E-2</v>
      </c>
    </row>
    <row r="868" spans="5:9" ht="15.75" customHeight="1" x14ac:dyDescent="0.2">
      <c r="E868" s="18">
        <v>43265</v>
      </c>
      <c r="F868" s="19">
        <v>32.51</v>
      </c>
      <c r="G868" s="20">
        <v>12428800</v>
      </c>
      <c r="H868" s="21" t="s">
        <v>59</v>
      </c>
      <c r="I868" s="21">
        <f>(Акции!$F868-F867)/F867</f>
        <v>2.4582414119130085E-2</v>
      </c>
    </row>
    <row r="869" spans="5:9" ht="15.75" customHeight="1" x14ac:dyDescent="0.2">
      <c r="E869" s="18">
        <v>43266</v>
      </c>
      <c r="F869" s="19">
        <v>32.96</v>
      </c>
      <c r="G869" s="20">
        <v>12738400</v>
      </c>
      <c r="H869" s="21" t="s">
        <v>59</v>
      </c>
      <c r="I869" s="21">
        <f>(Акции!$F869-F868)/F868</f>
        <v>1.3841894801599596E-2</v>
      </c>
    </row>
    <row r="870" spans="5:9" ht="15.75" customHeight="1" x14ac:dyDescent="0.2">
      <c r="E870" s="18">
        <v>43269</v>
      </c>
      <c r="F870" s="19">
        <v>32.29</v>
      </c>
      <c r="G870" s="20">
        <v>6433000</v>
      </c>
      <c r="H870" s="21" t="s">
        <v>59</v>
      </c>
      <c r="I870" s="21">
        <f>(Акции!$F870-F869)/F869</f>
        <v>-2.0327669902912671E-2</v>
      </c>
    </row>
    <row r="871" spans="5:9" ht="15.75" customHeight="1" x14ac:dyDescent="0.2">
      <c r="E871" s="18">
        <v>43270</v>
      </c>
      <c r="F871" s="19">
        <v>31.92</v>
      </c>
      <c r="G871" s="20">
        <v>6482800</v>
      </c>
      <c r="H871" s="21" t="s">
        <v>59</v>
      </c>
      <c r="I871" s="21">
        <f>(Акции!$F871-F870)/F870</f>
        <v>-1.1458655930628598E-2</v>
      </c>
    </row>
    <row r="872" spans="5:9" ht="15.75" customHeight="1" x14ac:dyDescent="0.2">
      <c r="E872" s="18">
        <v>43271</v>
      </c>
      <c r="F872" s="19">
        <v>32.229999999999997</v>
      </c>
      <c r="G872" s="20">
        <v>6642500</v>
      </c>
      <c r="H872" s="21" t="s">
        <v>59</v>
      </c>
      <c r="I872" s="21">
        <f>(Акции!$F872-F871)/F871</f>
        <v>9.7117794486214024E-3</v>
      </c>
    </row>
    <row r="873" spans="5:9" ht="15.75" customHeight="1" x14ac:dyDescent="0.2">
      <c r="E873" s="18">
        <v>43272</v>
      </c>
      <c r="F873" s="19">
        <v>32.15</v>
      </c>
      <c r="G873" s="20">
        <v>4500800</v>
      </c>
      <c r="H873" s="21" t="s">
        <v>59</v>
      </c>
      <c r="I873" s="21">
        <f>(Акции!$F873-F872)/F872</f>
        <v>-2.4821594787464568E-3</v>
      </c>
    </row>
    <row r="874" spans="5:9" ht="15.75" customHeight="1" x14ac:dyDescent="0.2">
      <c r="E874" s="18">
        <v>43273</v>
      </c>
      <c r="F874" s="19">
        <v>32.619999999999997</v>
      </c>
      <c r="G874" s="20">
        <v>8499400</v>
      </c>
      <c r="H874" s="21" t="s">
        <v>59</v>
      </c>
      <c r="I874" s="21">
        <f>(Акции!$F874-F873)/F873</f>
        <v>1.4618973561430758E-2</v>
      </c>
    </row>
    <row r="875" spans="5:9" ht="15.75" customHeight="1" x14ac:dyDescent="0.2">
      <c r="E875" s="18">
        <v>43276</v>
      </c>
      <c r="F875" s="19">
        <v>32.119999999999997</v>
      </c>
      <c r="G875" s="20">
        <v>4098100</v>
      </c>
      <c r="H875" s="21" t="s">
        <v>59</v>
      </c>
      <c r="I875" s="21">
        <f>(Акции!$F875-F874)/F874</f>
        <v>-1.5328019619865114E-2</v>
      </c>
    </row>
    <row r="876" spans="5:9" ht="15.75" customHeight="1" x14ac:dyDescent="0.2">
      <c r="E876" s="18">
        <v>43277</v>
      </c>
      <c r="F876" s="19">
        <v>32</v>
      </c>
      <c r="G876" s="20">
        <v>5636300</v>
      </c>
      <c r="H876" s="21" t="s">
        <v>59</v>
      </c>
      <c r="I876" s="21">
        <f>(Акции!$F876-F875)/F875</f>
        <v>-3.7359900373598212E-3</v>
      </c>
    </row>
    <row r="877" spans="5:9" ht="15.75" customHeight="1" x14ac:dyDescent="0.2">
      <c r="E877" s="18">
        <v>43278</v>
      </c>
      <c r="F877" s="19">
        <v>31.85</v>
      </c>
      <c r="G877" s="20">
        <v>5918800</v>
      </c>
      <c r="H877" s="21" t="s">
        <v>59</v>
      </c>
      <c r="I877" s="21">
        <f>(Акции!$F877-F876)/F876</f>
        <v>-4.6874999999999556E-3</v>
      </c>
    </row>
    <row r="878" spans="5:9" ht="15.75" customHeight="1" x14ac:dyDescent="0.2">
      <c r="E878" s="18">
        <v>43279</v>
      </c>
      <c r="F878" s="19">
        <v>32.5</v>
      </c>
      <c r="G878" s="20">
        <v>5674100</v>
      </c>
      <c r="H878" s="21" t="s">
        <v>59</v>
      </c>
      <c r="I878" s="21">
        <f>(Акции!$F878-F877)/F877</f>
        <v>2.0408163265306076E-2</v>
      </c>
    </row>
    <row r="879" spans="5:9" ht="15.75" customHeight="1" x14ac:dyDescent="0.2">
      <c r="E879" s="18">
        <v>43280</v>
      </c>
      <c r="F879" s="19">
        <v>32.700000000000003</v>
      </c>
      <c r="G879" s="20">
        <v>8657000</v>
      </c>
      <c r="H879" s="21" t="s">
        <v>59</v>
      </c>
      <c r="I879" s="21">
        <f>(Акции!$F879-F878)/F878</f>
        <v>6.1538461538462414E-3</v>
      </c>
    </row>
    <row r="880" spans="5:9" ht="15.75" customHeight="1" x14ac:dyDescent="0.2">
      <c r="E880" s="18">
        <v>43283</v>
      </c>
      <c r="F880" s="19">
        <v>32.83</v>
      </c>
      <c r="G880" s="20">
        <v>4860900</v>
      </c>
      <c r="H880" s="21" t="s">
        <v>59</v>
      </c>
      <c r="I880" s="21">
        <f>(Акции!$F880-F879)/F879</f>
        <v>3.9755351681955795E-3</v>
      </c>
    </row>
    <row r="881" spans="5:9" ht="15.75" customHeight="1" x14ac:dyDescent="0.2">
      <c r="E881" s="18">
        <v>43284</v>
      </c>
      <c r="F881" s="19">
        <v>33.21</v>
      </c>
      <c r="G881" s="20">
        <v>4173000</v>
      </c>
      <c r="H881" s="21" t="s">
        <v>59</v>
      </c>
      <c r="I881" s="21">
        <f>(Акции!$F881-F880)/F880</f>
        <v>1.1574779165397581E-2</v>
      </c>
    </row>
    <row r="882" spans="5:9" ht="15.75" customHeight="1" x14ac:dyDescent="0.2">
      <c r="E882" s="18">
        <v>43286</v>
      </c>
      <c r="F882" s="19">
        <v>33.22</v>
      </c>
      <c r="G882" s="20">
        <v>6763300</v>
      </c>
      <c r="H882" s="21" t="s">
        <v>59</v>
      </c>
      <c r="I882" s="21">
        <f>(Акции!$F882-F881)/F881</f>
        <v>3.0111412225227374E-4</v>
      </c>
    </row>
    <row r="883" spans="5:9" ht="15.75" customHeight="1" x14ac:dyDescent="0.2">
      <c r="E883" s="18">
        <v>43287</v>
      </c>
      <c r="F883" s="19">
        <v>33.61</v>
      </c>
      <c r="G883" s="20">
        <v>4170600</v>
      </c>
      <c r="H883" s="21" t="s">
        <v>59</v>
      </c>
      <c r="I883" s="21">
        <f>(Акции!$F883-F882)/F882</f>
        <v>1.1739915713425664E-2</v>
      </c>
    </row>
    <row r="884" spans="5:9" ht="15.75" customHeight="1" x14ac:dyDescent="0.2">
      <c r="E884" s="18">
        <v>43290</v>
      </c>
      <c r="F884" s="19">
        <v>33.79</v>
      </c>
      <c r="G884" s="20">
        <v>3770700</v>
      </c>
      <c r="H884" s="21" t="s">
        <v>59</v>
      </c>
      <c r="I884" s="21">
        <f>(Акции!$F884-F883)/F883</f>
        <v>5.3555489437667279E-3</v>
      </c>
    </row>
    <row r="885" spans="5:9" ht="15.75" customHeight="1" x14ac:dyDescent="0.2">
      <c r="E885" s="18">
        <v>43291</v>
      </c>
      <c r="F885" s="19">
        <v>33.56</v>
      </c>
      <c r="G885" s="20">
        <v>6807000</v>
      </c>
      <c r="H885" s="21" t="s">
        <v>59</v>
      </c>
      <c r="I885" s="21">
        <f>(Акции!$F885-F884)/F884</f>
        <v>-6.8067475584491534E-3</v>
      </c>
    </row>
    <row r="886" spans="5:9" ht="15.75" customHeight="1" x14ac:dyDescent="0.2">
      <c r="E886" s="18">
        <v>43292</v>
      </c>
      <c r="F886" s="19">
        <v>33.340000000000003</v>
      </c>
      <c r="G886" s="20">
        <v>4038300</v>
      </c>
      <c r="H886" s="21" t="s">
        <v>59</v>
      </c>
      <c r="I886" s="21">
        <f>(Акции!$F886-F885)/F885</f>
        <v>-6.5554231227651621E-3</v>
      </c>
    </row>
    <row r="887" spans="5:9" ht="15.75" customHeight="1" x14ac:dyDescent="0.2">
      <c r="E887" s="18">
        <v>43293</v>
      </c>
      <c r="F887" s="19">
        <v>33.340000000000003</v>
      </c>
      <c r="G887" s="20">
        <v>4704200</v>
      </c>
      <c r="H887" s="21" t="s">
        <v>59</v>
      </c>
      <c r="I887" s="21">
        <f>(Акции!$F887-F886)/F886</f>
        <v>0</v>
      </c>
    </row>
    <row r="888" spans="5:9" ht="15.75" customHeight="1" x14ac:dyDescent="0.2">
      <c r="E888" s="18">
        <v>43294</v>
      </c>
      <c r="F888" s="19">
        <v>33.35</v>
      </c>
      <c r="G888" s="20">
        <v>4994400</v>
      </c>
      <c r="H888" s="21" t="s">
        <v>59</v>
      </c>
      <c r="I888" s="21">
        <f>(Акции!$F888-F887)/F887</f>
        <v>2.9994001199754077E-4</v>
      </c>
    </row>
    <row r="889" spans="5:9" ht="15.75" customHeight="1" x14ac:dyDescent="0.2">
      <c r="E889" s="18">
        <v>43297</v>
      </c>
      <c r="F889" s="19">
        <v>33.15</v>
      </c>
      <c r="G889" s="20">
        <v>7234800</v>
      </c>
      <c r="H889" s="21" t="s">
        <v>59</v>
      </c>
      <c r="I889" s="21">
        <f>(Акции!$F889-F888)/F888</f>
        <v>-5.9970014992504596E-3</v>
      </c>
    </row>
    <row r="890" spans="5:9" ht="15.75" customHeight="1" x14ac:dyDescent="0.2">
      <c r="E890" s="18">
        <v>43298</v>
      </c>
      <c r="F890" s="19">
        <v>33.950000000000003</v>
      </c>
      <c r="G890" s="20">
        <v>8800400</v>
      </c>
      <c r="H890" s="21" t="s">
        <v>59</v>
      </c>
      <c r="I890" s="21">
        <f>(Акции!$F890-F889)/F889</f>
        <v>2.4132730015083086E-2</v>
      </c>
    </row>
    <row r="891" spans="5:9" ht="15.75" customHeight="1" x14ac:dyDescent="0.2">
      <c r="E891" s="18">
        <v>43299</v>
      </c>
      <c r="F891" s="19">
        <v>33.74</v>
      </c>
      <c r="G891" s="20">
        <v>6430900</v>
      </c>
      <c r="H891" s="21" t="s">
        <v>59</v>
      </c>
      <c r="I891" s="21">
        <f>(Акции!$F891-F890)/F890</f>
        <v>-6.1855670103093032E-3</v>
      </c>
    </row>
    <row r="892" spans="5:9" ht="15.75" customHeight="1" x14ac:dyDescent="0.2">
      <c r="E892" s="18">
        <v>43300</v>
      </c>
      <c r="F892" s="19">
        <v>33.72</v>
      </c>
      <c r="G892" s="20">
        <v>2756800</v>
      </c>
      <c r="H892" s="21" t="s">
        <v>59</v>
      </c>
      <c r="I892" s="21">
        <f>(Акции!$F892-F891)/F891</f>
        <v>-5.9276822762309206E-4</v>
      </c>
    </row>
    <row r="893" spans="5:9" ht="15.75" customHeight="1" x14ac:dyDescent="0.2">
      <c r="E893" s="18">
        <v>43301</v>
      </c>
      <c r="F893" s="19">
        <v>33.770000000000003</v>
      </c>
      <c r="G893" s="20">
        <v>5145300</v>
      </c>
      <c r="H893" s="21" t="s">
        <v>59</v>
      </c>
      <c r="I893" s="21">
        <f>(Акции!$F893-F892)/F892</f>
        <v>1.4827995255042783E-3</v>
      </c>
    </row>
    <row r="894" spans="5:9" ht="15.75" customHeight="1" x14ac:dyDescent="0.2">
      <c r="E894" s="18">
        <v>43304</v>
      </c>
      <c r="F894" s="19">
        <v>33.71</v>
      </c>
      <c r="G894" s="20">
        <v>5941400</v>
      </c>
      <c r="H894" s="21" t="s">
        <v>59</v>
      </c>
      <c r="I894" s="21">
        <f>(Акции!$F894-F893)/F893</f>
        <v>-1.7767249037608016E-3</v>
      </c>
    </row>
    <row r="895" spans="5:9" ht="15.75" customHeight="1" x14ac:dyDescent="0.2">
      <c r="E895" s="18">
        <v>43305</v>
      </c>
      <c r="F895" s="19">
        <v>33.57</v>
      </c>
      <c r="G895" s="20">
        <v>9193600</v>
      </c>
      <c r="H895" s="21" t="s">
        <v>59</v>
      </c>
      <c r="I895" s="21">
        <f>(Акции!$F895-F894)/F894</f>
        <v>-4.1530703055473323E-3</v>
      </c>
    </row>
    <row r="896" spans="5:9" ht="15.75" customHeight="1" x14ac:dyDescent="0.2">
      <c r="E896" s="18">
        <v>43306</v>
      </c>
      <c r="F896" s="19">
        <v>34.32</v>
      </c>
      <c r="G896" s="20">
        <v>11988600</v>
      </c>
      <c r="H896" s="21" t="s">
        <v>59</v>
      </c>
      <c r="I896" s="21">
        <f>(Акции!$F896-F895)/F895</f>
        <v>2.2341376228775692E-2</v>
      </c>
    </row>
    <row r="897" spans="5:9" ht="15.75" customHeight="1" x14ac:dyDescent="0.2">
      <c r="E897" s="18">
        <v>43307</v>
      </c>
      <c r="F897" s="19">
        <v>34.33</v>
      </c>
      <c r="G897" s="20">
        <v>6327900</v>
      </c>
      <c r="H897" s="21" t="s">
        <v>59</v>
      </c>
      <c r="I897" s="21">
        <f>(Акции!$F897-F896)/F896</f>
        <v>2.9137529137523342E-4</v>
      </c>
    </row>
    <row r="898" spans="5:9" ht="15.75" customHeight="1" x14ac:dyDescent="0.2">
      <c r="E898" s="18">
        <v>43308</v>
      </c>
      <c r="F898" s="19">
        <v>33.770000000000003</v>
      </c>
      <c r="G898" s="20">
        <v>5458800</v>
      </c>
      <c r="H898" s="21" t="s">
        <v>59</v>
      </c>
      <c r="I898" s="21">
        <f>(Акции!$F898-F897)/F897</f>
        <v>-1.6312263326536416E-2</v>
      </c>
    </row>
    <row r="899" spans="5:9" ht="15.75" customHeight="1" x14ac:dyDescent="0.2">
      <c r="E899" s="18">
        <v>43311</v>
      </c>
      <c r="F899" s="19">
        <v>32.93</v>
      </c>
      <c r="G899" s="20">
        <v>9844900</v>
      </c>
      <c r="H899" s="21" t="s">
        <v>59</v>
      </c>
      <c r="I899" s="21">
        <f>(Акции!$F899-F898)/F898</f>
        <v>-2.487414865265038E-2</v>
      </c>
    </row>
    <row r="900" spans="5:9" ht="15.75" customHeight="1" x14ac:dyDescent="0.2">
      <c r="E900" s="18">
        <v>43312</v>
      </c>
      <c r="F900" s="19">
        <v>33.61</v>
      </c>
      <c r="G900" s="20">
        <v>9438100</v>
      </c>
      <c r="H900" s="21" t="s">
        <v>59</v>
      </c>
      <c r="I900" s="21">
        <f>(Акции!$F900-F899)/F899</f>
        <v>2.0649863346492551E-2</v>
      </c>
    </row>
    <row r="901" spans="5:9" ht="15.75" customHeight="1" x14ac:dyDescent="0.2">
      <c r="E901" s="18">
        <v>43313</v>
      </c>
      <c r="F901" s="19">
        <v>33.39</v>
      </c>
      <c r="G901" s="20">
        <v>5737200</v>
      </c>
      <c r="H901" s="21" t="s">
        <v>59</v>
      </c>
      <c r="I901" s="21">
        <f>(Акции!$F901-F900)/F900</f>
        <v>-6.5456709312704218E-3</v>
      </c>
    </row>
    <row r="902" spans="5:9" ht="15.75" customHeight="1" x14ac:dyDescent="0.2">
      <c r="E902" s="18">
        <v>43314</v>
      </c>
      <c r="F902" s="19">
        <v>33.380000000000003</v>
      </c>
      <c r="G902" s="20">
        <v>6269200</v>
      </c>
      <c r="H902" s="21" t="s">
        <v>59</v>
      </c>
      <c r="I902" s="21">
        <f>(Акции!$F902-F901)/F901</f>
        <v>-2.9949086552854176E-4</v>
      </c>
    </row>
    <row r="903" spans="5:9" ht="15.75" customHeight="1" x14ac:dyDescent="0.2">
      <c r="E903" s="18">
        <v>43315</v>
      </c>
      <c r="F903" s="19">
        <v>33.53</v>
      </c>
      <c r="G903" s="20">
        <v>4425900</v>
      </c>
      <c r="H903" s="21" t="s">
        <v>59</v>
      </c>
      <c r="I903" s="21">
        <f>(Акции!$F903-F902)/F902</f>
        <v>4.4937088076692205E-3</v>
      </c>
    </row>
    <row r="904" spans="5:9" ht="15.75" customHeight="1" x14ac:dyDescent="0.2">
      <c r="E904" s="18">
        <v>43318</v>
      </c>
      <c r="F904" s="19">
        <v>33.15</v>
      </c>
      <c r="G904" s="20">
        <v>5421800</v>
      </c>
      <c r="H904" s="21" t="s">
        <v>59</v>
      </c>
      <c r="I904" s="21">
        <f>(Акции!$F904-F903)/F903</f>
        <v>-1.1333134506412244E-2</v>
      </c>
    </row>
    <row r="905" spans="5:9" ht="15.75" customHeight="1" x14ac:dyDescent="0.2">
      <c r="E905" s="18">
        <v>43319</v>
      </c>
      <c r="F905" s="19">
        <v>33.22</v>
      </c>
      <c r="G905" s="20">
        <v>4189200</v>
      </c>
      <c r="H905" s="21" t="s">
        <v>59</v>
      </c>
      <c r="I905" s="21">
        <f>(Акции!$F905-F904)/F904</f>
        <v>2.1116138763197672E-3</v>
      </c>
    </row>
    <row r="906" spans="5:9" ht="15.75" customHeight="1" x14ac:dyDescent="0.2">
      <c r="E906" s="18">
        <v>43320</v>
      </c>
      <c r="F906" s="19">
        <v>34.29</v>
      </c>
      <c r="G906" s="20">
        <v>9790800</v>
      </c>
      <c r="H906" s="21" t="s">
        <v>59</v>
      </c>
      <c r="I906" s="21">
        <f>(Акции!$F906-F905)/F905</f>
        <v>3.2209512341962683E-2</v>
      </c>
    </row>
    <row r="907" spans="5:9" ht="15.75" customHeight="1" x14ac:dyDescent="0.2">
      <c r="E907" s="18">
        <v>43321</v>
      </c>
      <c r="F907" s="19">
        <v>33.85</v>
      </c>
      <c r="G907" s="20">
        <v>8309200</v>
      </c>
      <c r="H907" s="21" t="s">
        <v>59</v>
      </c>
      <c r="I907" s="21">
        <f>(Акции!$F907-F906)/F906</f>
        <v>-1.2831729367162372E-2</v>
      </c>
    </row>
    <row r="908" spans="5:9" ht="15.75" customHeight="1" x14ac:dyDescent="0.2">
      <c r="E908" s="18">
        <v>43322</v>
      </c>
      <c r="F908" s="19">
        <v>33.549999999999997</v>
      </c>
      <c r="G908" s="20">
        <v>4486000</v>
      </c>
      <c r="H908" s="21" t="s">
        <v>59</v>
      </c>
      <c r="I908" s="21">
        <f>(Акции!$F908-F907)/F907</f>
        <v>-8.8626292466766395E-3</v>
      </c>
    </row>
    <row r="909" spans="5:9" ht="15.75" customHeight="1" x14ac:dyDescent="0.2">
      <c r="E909" s="18">
        <v>43325</v>
      </c>
      <c r="F909" s="19">
        <v>33.299999999999997</v>
      </c>
      <c r="G909" s="20">
        <v>4552800</v>
      </c>
      <c r="H909" s="21" t="s">
        <v>59</v>
      </c>
      <c r="I909" s="21">
        <f>(Акции!$F909-F908)/F908</f>
        <v>-7.4515648286140098E-3</v>
      </c>
    </row>
    <row r="910" spans="5:9" ht="15.75" customHeight="1" x14ac:dyDescent="0.2">
      <c r="E910" s="18">
        <v>43326</v>
      </c>
      <c r="F910" s="19">
        <v>33.700000000000003</v>
      </c>
      <c r="G910" s="20">
        <v>7462400</v>
      </c>
      <c r="H910" s="21" t="s">
        <v>59</v>
      </c>
      <c r="I910" s="21">
        <f>(Акции!$F910-F909)/F909</f>
        <v>1.2012012012012184E-2</v>
      </c>
    </row>
    <row r="911" spans="5:9" ht="15.75" customHeight="1" x14ac:dyDescent="0.2">
      <c r="E911" s="18">
        <v>43327</v>
      </c>
      <c r="F911" s="19">
        <v>34.89</v>
      </c>
      <c r="G911" s="20">
        <v>16216500</v>
      </c>
      <c r="H911" s="21" t="s">
        <v>59</v>
      </c>
      <c r="I911" s="21">
        <f>(Акции!$F911-F910)/F910</f>
        <v>3.5311572700296667E-2</v>
      </c>
    </row>
    <row r="912" spans="5:9" ht="15.75" customHeight="1" x14ac:dyDescent="0.2">
      <c r="E912" s="18">
        <v>43328</v>
      </c>
      <c r="F912" s="19">
        <v>34.29</v>
      </c>
      <c r="G912" s="20">
        <v>7195700</v>
      </c>
      <c r="H912" s="21" t="s">
        <v>59</v>
      </c>
      <c r="I912" s="21">
        <f>(Акции!$F912-F911)/F911</f>
        <v>-1.7196904557179749E-2</v>
      </c>
    </row>
    <row r="913" spans="5:9" ht="15.75" customHeight="1" x14ac:dyDescent="0.2">
      <c r="E913" s="18">
        <v>43329</v>
      </c>
      <c r="F913" s="19">
        <v>34.409999999999997</v>
      </c>
      <c r="G913" s="20">
        <v>5113900</v>
      </c>
      <c r="H913" s="21" t="s">
        <v>59</v>
      </c>
      <c r="I913" s="21">
        <f>(Акции!$F913-F912)/F912</f>
        <v>3.4995625546805904E-3</v>
      </c>
    </row>
    <row r="914" spans="5:9" ht="15.75" customHeight="1" x14ac:dyDescent="0.2">
      <c r="E914" s="18">
        <v>43332</v>
      </c>
      <c r="F914" s="19">
        <v>34.57</v>
      </c>
      <c r="G914" s="20">
        <v>5244100</v>
      </c>
      <c r="H914" s="21" t="s">
        <v>59</v>
      </c>
      <c r="I914" s="21">
        <f>(Акции!$F914-F913)/F913</f>
        <v>4.6498111014241124E-3</v>
      </c>
    </row>
    <row r="915" spans="5:9" ht="15.75" customHeight="1" x14ac:dyDescent="0.2">
      <c r="E915" s="18">
        <v>43333</v>
      </c>
      <c r="F915" s="19">
        <v>34.49</v>
      </c>
      <c r="G915" s="20">
        <v>6883900</v>
      </c>
      <c r="H915" s="21" t="s">
        <v>59</v>
      </c>
      <c r="I915" s="21">
        <f>(Акции!$F915-F914)/F914</f>
        <v>-2.3141452126120422E-3</v>
      </c>
    </row>
    <row r="916" spans="5:9" ht="15.75" customHeight="1" x14ac:dyDescent="0.2">
      <c r="E916" s="18">
        <v>43334</v>
      </c>
      <c r="F916" s="19">
        <v>34.47</v>
      </c>
      <c r="G916" s="20">
        <v>4153100</v>
      </c>
      <c r="H916" s="21" t="s">
        <v>59</v>
      </c>
      <c r="I916" s="21">
        <f>(Акции!$F916-F915)/F915</f>
        <v>-5.7987822557272037E-4</v>
      </c>
    </row>
    <row r="917" spans="5:9" ht="15.75" customHeight="1" x14ac:dyDescent="0.2">
      <c r="E917" s="18">
        <v>43335</v>
      </c>
      <c r="F917" s="19">
        <v>34.35</v>
      </c>
      <c r="G917" s="20">
        <v>3732400</v>
      </c>
      <c r="H917" s="21" t="s">
        <v>59</v>
      </c>
      <c r="I917" s="21">
        <f>(Акции!$F917-F916)/F916</f>
        <v>-3.4812880765882634E-3</v>
      </c>
    </row>
    <row r="918" spans="5:9" ht="15.75" customHeight="1" x14ac:dyDescent="0.2">
      <c r="E918" s="18">
        <v>43336</v>
      </c>
      <c r="F918" s="19">
        <v>34.72</v>
      </c>
      <c r="G918" s="20">
        <v>5511100</v>
      </c>
      <c r="H918" s="21" t="s">
        <v>59</v>
      </c>
      <c r="I918" s="21">
        <f>(Акции!$F918-F917)/F917</f>
        <v>1.0771470160116373E-2</v>
      </c>
    </row>
    <row r="919" spans="5:9" ht="15.75" customHeight="1" x14ac:dyDescent="0.2">
      <c r="E919" s="18">
        <v>43339</v>
      </c>
      <c r="F919" s="19">
        <v>34.94</v>
      </c>
      <c r="G919" s="20">
        <v>4225400</v>
      </c>
      <c r="H919" s="21" t="s">
        <v>59</v>
      </c>
      <c r="I919" s="21">
        <f>(Акции!$F919-F918)/F918</f>
        <v>6.3364055299538844E-3</v>
      </c>
    </row>
    <row r="920" spans="5:9" ht="15.75" customHeight="1" x14ac:dyDescent="0.2">
      <c r="E920" s="18">
        <v>43340</v>
      </c>
      <c r="F920" s="19">
        <v>35.06</v>
      </c>
      <c r="G920" s="20">
        <v>5539700</v>
      </c>
      <c r="H920" s="21" t="s">
        <v>59</v>
      </c>
      <c r="I920" s="21">
        <f>(Акции!$F920-F919)/F919</f>
        <v>3.4344590726961806E-3</v>
      </c>
    </row>
    <row r="921" spans="5:9" ht="15.75" customHeight="1" x14ac:dyDescent="0.2">
      <c r="E921" s="18">
        <v>43341</v>
      </c>
      <c r="F921" s="19">
        <v>35.54</v>
      </c>
      <c r="G921" s="20">
        <v>6682600</v>
      </c>
      <c r="H921" s="21" t="s">
        <v>59</v>
      </c>
      <c r="I921" s="21">
        <f>(Акции!$F921-F920)/F920</f>
        <v>1.3690815744438017E-2</v>
      </c>
    </row>
    <row r="922" spans="5:9" ht="15.75" customHeight="1" x14ac:dyDescent="0.2">
      <c r="E922" s="18">
        <v>43342</v>
      </c>
      <c r="F922" s="19">
        <v>35.4</v>
      </c>
      <c r="G922" s="20">
        <v>4220000</v>
      </c>
      <c r="H922" s="21" t="s">
        <v>59</v>
      </c>
      <c r="I922" s="21">
        <f>(Акции!$F922-F921)/F921</f>
        <v>-3.939223410241997E-3</v>
      </c>
    </row>
    <row r="923" spans="5:9" ht="15.75" customHeight="1" x14ac:dyDescent="0.2">
      <c r="E923" s="18">
        <v>43343</v>
      </c>
      <c r="F923" s="19">
        <v>35.56</v>
      </c>
      <c r="G923" s="20">
        <v>5012800</v>
      </c>
      <c r="H923" s="21" t="s">
        <v>59</v>
      </c>
      <c r="I923" s="21">
        <f>(Акции!$F923-F922)/F922</f>
        <v>4.5197740112995393E-3</v>
      </c>
    </row>
    <row r="924" spans="5:9" ht="15.75" customHeight="1" x14ac:dyDescent="0.2">
      <c r="E924" s="18">
        <v>43347</v>
      </c>
      <c r="F924" s="19">
        <v>36.049999999999997</v>
      </c>
      <c r="G924" s="20">
        <v>8512800</v>
      </c>
      <c r="H924" s="21" t="s">
        <v>59</v>
      </c>
      <c r="I924" s="21">
        <f>(Акции!$F924-F923)/F923</f>
        <v>1.3779527559054974E-2</v>
      </c>
    </row>
    <row r="925" spans="5:9" ht="15.75" customHeight="1" x14ac:dyDescent="0.2">
      <c r="E925" s="18">
        <v>43348</v>
      </c>
      <c r="F925" s="19">
        <v>35.75</v>
      </c>
      <c r="G925" s="20">
        <v>5798700</v>
      </c>
      <c r="H925" s="21" t="s">
        <v>59</v>
      </c>
      <c r="I925" s="21">
        <f>(Акции!$F925-F924)/F924</f>
        <v>-8.3217753120664959E-3</v>
      </c>
    </row>
    <row r="926" spans="5:9" ht="15.75" customHeight="1" x14ac:dyDescent="0.2">
      <c r="E926" s="18">
        <v>43349</v>
      </c>
      <c r="F926" s="19">
        <v>35.99</v>
      </c>
      <c r="G926" s="20">
        <v>5033000</v>
      </c>
      <c r="H926" s="21" t="s">
        <v>59</v>
      </c>
      <c r="I926" s="21">
        <f>(Акции!$F926-F925)/F925</f>
        <v>6.7132867132867688E-3</v>
      </c>
    </row>
    <row r="927" spans="5:9" ht="15.75" customHeight="1" x14ac:dyDescent="0.2">
      <c r="E927" s="18">
        <v>43350</v>
      </c>
      <c r="F927" s="19">
        <v>35.85</v>
      </c>
      <c r="G927" s="20">
        <v>4512500</v>
      </c>
      <c r="H927" s="21" t="s">
        <v>59</v>
      </c>
      <c r="I927" s="21">
        <f>(Акции!$F927-F926)/F926</f>
        <v>-3.8899694359544475E-3</v>
      </c>
    </row>
    <row r="928" spans="5:9" ht="15.75" customHeight="1" x14ac:dyDescent="0.2">
      <c r="E928" s="18">
        <v>43353</v>
      </c>
      <c r="F928" s="19">
        <v>35.840000000000003</v>
      </c>
      <c r="G928" s="20">
        <v>3765200</v>
      </c>
      <c r="H928" s="21" t="s">
        <v>59</v>
      </c>
      <c r="I928" s="21">
        <f>(Акции!$F928-F927)/F927</f>
        <v>-2.7894002789394728E-4</v>
      </c>
    </row>
    <row r="929" spans="5:9" ht="15.75" customHeight="1" x14ac:dyDescent="0.2">
      <c r="E929" s="18">
        <v>43354</v>
      </c>
      <c r="F929" s="19">
        <v>36.14</v>
      </c>
      <c r="G929" s="20">
        <v>5396400</v>
      </c>
      <c r="H929" s="21" t="s">
        <v>59</v>
      </c>
      <c r="I929" s="21">
        <f>(Акции!$F929-F928)/F928</f>
        <v>8.3705357142856342E-3</v>
      </c>
    </row>
    <row r="930" spans="5:9" ht="15.75" customHeight="1" x14ac:dyDescent="0.2">
      <c r="E930" s="18">
        <v>43355</v>
      </c>
      <c r="F930" s="19">
        <v>36.44</v>
      </c>
      <c r="G930" s="20">
        <v>5704300</v>
      </c>
      <c r="H930" s="21" t="s">
        <v>59</v>
      </c>
      <c r="I930" s="21">
        <f>(Акции!$F930-F929)/F929</f>
        <v>8.3010514665190129E-3</v>
      </c>
    </row>
    <row r="931" spans="5:9" ht="15.75" customHeight="1" x14ac:dyDescent="0.2">
      <c r="E931" s="18">
        <v>43356</v>
      </c>
      <c r="F931" s="19">
        <v>37.619999999999997</v>
      </c>
      <c r="G931" s="20">
        <v>14332500</v>
      </c>
      <c r="H931" s="21" t="s">
        <v>59</v>
      </c>
      <c r="I931" s="21">
        <f>(Акции!$F931-F930)/F930</f>
        <v>3.2381997804610312E-2</v>
      </c>
    </row>
    <row r="932" spans="5:9" ht="15.75" customHeight="1" x14ac:dyDescent="0.2">
      <c r="E932" s="18">
        <v>43357</v>
      </c>
      <c r="F932" s="19">
        <v>37.39</v>
      </c>
      <c r="G932" s="20">
        <v>8119500</v>
      </c>
      <c r="H932" s="21" t="s">
        <v>59</v>
      </c>
      <c r="I932" s="21">
        <f>(Акции!$F932-F931)/F931</f>
        <v>-6.1137692716639255E-3</v>
      </c>
    </row>
    <row r="933" spans="5:9" ht="15.75" customHeight="1" x14ac:dyDescent="0.2">
      <c r="E933" s="18">
        <v>43360</v>
      </c>
      <c r="F933" s="19">
        <v>37.270000000000003</v>
      </c>
      <c r="G933" s="20">
        <v>6155600</v>
      </c>
      <c r="H933" s="21" t="s">
        <v>59</v>
      </c>
      <c r="I933" s="21">
        <f>(Акции!$F933-F932)/F932</f>
        <v>-3.2094142818934858E-3</v>
      </c>
    </row>
    <row r="934" spans="5:9" ht="15.75" customHeight="1" x14ac:dyDescent="0.2">
      <c r="E934" s="18">
        <v>43361</v>
      </c>
      <c r="F934" s="19">
        <v>37.619999999999997</v>
      </c>
      <c r="G934" s="20">
        <v>5847800</v>
      </c>
      <c r="H934" s="21" t="s">
        <v>59</v>
      </c>
      <c r="I934" s="21">
        <f>(Акции!$F934-F933)/F933</f>
        <v>9.3909310437347536E-3</v>
      </c>
    </row>
    <row r="935" spans="5:9" ht="15.75" customHeight="1" x14ac:dyDescent="0.2">
      <c r="E935" s="18">
        <v>43362</v>
      </c>
      <c r="F935" s="19">
        <v>37.49</v>
      </c>
      <c r="G935" s="20">
        <v>4633100</v>
      </c>
      <c r="H935" s="21" t="s">
        <v>59</v>
      </c>
      <c r="I935" s="21">
        <f>(Акции!$F935-F934)/F934</f>
        <v>-3.4556087187664927E-3</v>
      </c>
    </row>
    <row r="936" spans="5:9" ht="15.75" customHeight="1" x14ac:dyDescent="0.2">
      <c r="E936" s="18">
        <v>43363</v>
      </c>
      <c r="F936" s="19">
        <v>37.82</v>
      </c>
      <c r="G936" s="20">
        <v>4742100</v>
      </c>
      <c r="H936" s="21" t="s">
        <v>59</v>
      </c>
      <c r="I936" s="21">
        <f>(Акции!$F936-F935)/F935</f>
        <v>8.8023472926113174E-3</v>
      </c>
    </row>
    <row r="937" spans="5:9" ht="15.75" customHeight="1" x14ac:dyDescent="0.2">
      <c r="E937" s="18">
        <v>43364</v>
      </c>
      <c r="F937" s="19">
        <v>37.770000000000003</v>
      </c>
      <c r="G937" s="20">
        <v>7887700</v>
      </c>
      <c r="H937" s="21" t="s">
        <v>59</v>
      </c>
      <c r="I937" s="21">
        <f>(Акции!$F937-F936)/F936</f>
        <v>-1.3220518244314425E-3</v>
      </c>
    </row>
    <row r="938" spans="5:9" ht="15.75" customHeight="1" x14ac:dyDescent="0.2">
      <c r="E938" s="18">
        <v>43367</v>
      </c>
      <c r="F938" s="19">
        <v>38.4</v>
      </c>
      <c r="G938" s="20">
        <v>6910400</v>
      </c>
      <c r="H938" s="21" t="s">
        <v>59</v>
      </c>
      <c r="I938" s="21">
        <f>(Акции!$F938-F937)/F937</f>
        <v>1.6679904686258813E-2</v>
      </c>
    </row>
    <row r="939" spans="5:9" ht="15.75" customHeight="1" x14ac:dyDescent="0.2">
      <c r="E939" s="18">
        <v>43368</v>
      </c>
      <c r="F939" s="19">
        <v>38.61</v>
      </c>
      <c r="G939" s="20">
        <v>8731800</v>
      </c>
      <c r="H939" s="21" t="s">
        <v>59</v>
      </c>
      <c r="I939" s="21">
        <f>(Акции!$F939-F938)/F938</f>
        <v>5.4687500000000222E-3</v>
      </c>
    </row>
    <row r="940" spans="5:9" ht="15.75" customHeight="1" x14ac:dyDescent="0.2">
      <c r="E940" s="18">
        <v>43369</v>
      </c>
      <c r="F940" s="19">
        <v>38.630000000000003</v>
      </c>
      <c r="G940" s="20">
        <v>8444200</v>
      </c>
      <c r="H940" s="21" t="s">
        <v>59</v>
      </c>
      <c r="I940" s="21">
        <f>(Акции!$F940-F939)/F939</f>
        <v>5.1800051800059903E-4</v>
      </c>
    </row>
    <row r="941" spans="5:9" ht="15.75" customHeight="1" x14ac:dyDescent="0.2">
      <c r="E941" s="18">
        <v>43370</v>
      </c>
      <c r="F941" s="19">
        <v>38.340000000000003</v>
      </c>
      <c r="G941" s="20">
        <v>5881200</v>
      </c>
      <c r="H941" s="21" t="s">
        <v>59</v>
      </c>
      <c r="I941" s="21">
        <f>(Акции!$F941-F940)/F940</f>
        <v>-7.5071188195702599E-3</v>
      </c>
    </row>
    <row r="942" spans="5:9" ht="15.75" customHeight="1" x14ac:dyDescent="0.2">
      <c r="E942" s="18">
        <v>43371</v>
      </c>
      <c r="F942" s="19">
        <v>38.5</v>
      </c>
      <c r="G942" s="20">
        <v>6482500</v>
      </c>
      <c r="H942" s="21" t="s">
        <v>59</v>
      </c>
      <c r="I942" s="21">
        <f>(Акции!$F942-F941)/F941</f>
        <v>4.1731872717787315E-3</v>
      </c>
    </row>
    <row r="943" spans="5:9" ht="15.75" customHeight="1" x14ac:dyDescent="0.2">
      <c r="E943" s="18">
        <v>43374</v>
      </c>
      <c r="F943" s="19">
        <v>38.979999999999997</v>
      </c>
      <c r="G943" s="20">
        <v>8289700</v>
      </c>
      <c r="H943" s="21" t="s">
        <v>59</v>
      </c>
      <c r="I943" s="21">
        <f>(Акции!$F943-F942)/F942</f>
        <v>1.2467532467532386E-2</v>
      </c>
    </row>
    <row r="944" spans="5:9" ht="15.75" customHeight="1" x14ac:dyDescent="0.2">
      <c r="E944" s="18">
        <v>43375</v>
      </c>
      <c r="F944" s="19">
        <v>39.04</v>
      </c>
      <c r="G944" s="20">
        <v>6064800</v>
      </c>
      <c r="H944" s="21" t="s">
        <v>59</v>
      </c>
      <c r="I944" s="21">
        <f>(Акции!$F944-F943)/F943</f>
        <v>1.5392508978964155E-3</v>
      </c>
    </row>
    <row r="945" spans="5:9" ht="15.75" customHeight="1" x14ac:dyDescent="0.2">
      <c r="E945" s="18">
        <v>43376</v>
      </c>
      <c r="F945" s="19">
        <v>38.61</v>
      </c>
      <c r="G945" s="20">
        <v>5930200</v>
      </c>
      <c r="H945" s="21" t="s">
        <v>59</v>
      </c>
      <c r="I945" s="21">
        <f>(Акции!$F945-F944)/F944</f>
        <v>-1.1014344262295075E-2</v>
      </c>
    </row>
    <row r="946" spans="5:9" ht="15.75" customHeight="1" x14ac:dyDescent="0.2">
      <c r="E946" s="18">
        <v>43377</v>
      </c>
      <c r="F946" s="19">
        <v>38</v>
      </c>
      <c r="G946" s="20">
        <v>6461000</v>
      </c>
      <c r="H946" s="21" t="s">
        <v>59</v>
      </c>
      <c r="I946" s="21">
        <f>(Акции!$F946-F945)/F945</f>
        <v>-1.5799015799015784E-2</v>
      </c>
    </row>
    <row r="947" spans="5:9" ht="15.75" customHeight="1" x14ac:dyDescent="0.2">
      <c r="E947" s="18">
        <v>43378</v>
      </c>
      <c r="F947" s="19">
        <v>37.85</v>
      </c>
      <c r="G947" s="20">
        <v>5306100</v>
      </c>
      <c r="H947" s="21" t="s">
        <v>59</v>
      </c>
      <c r="I947" s="21">
        <f>(Акции!$F947-F946)/F946</f>
        <v>-3.9473684210525944E-3</v>
      </c>
    </row>
    <row r="948" spans="5:9" ht="15.75" customHeight="1" x14ac:dyDescent="0.2">
      <c r="E948" s="18">
        <v>43381</v>
      </c>
      <c r="F948" s="19">
        <v>37.299999999999997</v>
      </c>
      <c r="G948" s="20">
        <v>6896500</v>
      </c>
      <c r="H948" s="21" t="s">
        <v>59</v>
      </c>
      <c r="I948" s="21">
        <f>(Акции!$F948-F947)/F947</f>
        <v>-1.4531043593130892E-2</v>
      </c>
    </row>
    <row r="949" spans="5:9" ht="15.75" customHeight="1" x14ac:dyDescent="0.2">
      <c r="E949" s="18">
        <v>43382</v>
      </c>
      <c r="F949" s="19">
        <v>37.409999999999997</v>
      </c>
      <c r="G949" s="20">
        <v>6492100</v>
      </c>
      <c r="H949" s="21" t="s">
        <v>59</v>
      </c>
      <c r="I949" s="21">
        <f>(Акции!$F949-F948)/F948</f>
        <v>2.9490616621983762E-3</v>
      </c>
    </row>
    <row r="950" spans="5:9" ht="15.75" customHeight="1" x14ac:dyDescent="0.2">
      <c r="E950" s="18">
        <v>43383</v>
      </c>
      <c r="F950" s="19">
        <v>36.11</v>
      </c>
      <c r="G950" s="20">
        <v>12220700</v>
      </c>
      <c r="H950" s="21" t="s">
        <v>59</v>
      </c>
      <c r="I950" s="21">
        <f>(Акции!$F950-F949)/F949</f>
        <v>-3.4750066827051521E-2</v>
      </c>
    </row>
    <row r="951" spans="5:9" ht="15.75" customHeight="1" x14ac:dyDescent="0.2">
      <c r="E951" s="18">
        <v>43384</v>
      </c>
      <c r="F951" s="19">
        <v>36</v>
      </c>
      <c r="G951" s="20">
        <v>11330600</v>
      </c>
      <c r="H951" s="21" t="s">
        <v>59</v>
      </c>
      <c r="I951" s="21">
        <f>(Акции!$F951-F950)/F950</f>
        <v>-3.0462475768485027E-3</v>
      </c>
    </row>
    <row r="952" spans="5:9" ht="15.75" customHeight="1" x14ac:dyDescent="0.2">
      <c r="E952" s="18">
        <v>43385</v>
      </c>
      <c r="F952" s="19">
        <v>36.99</v>
      </c>
      <c r="G952" s="20">
        <v>8744300</v>
      </c>
      <c r="H952" s="21" t="s">
        <v>59</v>
      </c>
      <c r="I952" s="21">
        <f>(Акции!$F952-F951)/F951</f>
        <v>2.7500000000000056E-2</v>
      </c>
    </row>
    <row r="953" spans="5:9" ht="15.75" customHeight="1" x14ac:dyDescent="0.2">
      <c r="E953" s="18">
        <v>43388</v>
      </c>
      <c r="F953" s="19">
        <v>36.43</v>
      </c>
      <c r="G953" s="20">
        <v>5792700</v>
      </c>
      <c r="H953" s="21" t="s">
        <v>59</v>
      </c>
      <c r="I953" s="21">
        <f>(Акции!$F953-F952)/F952</f>
        <v>-1.5139226818058996E-2</v>
      </c>
    </row>
    <row r="954" spans="5:9" ht="15.75" customHeight="1" x14ac:dyDescent="0.2">
      <c r="E954" s="18">
        <v>43389</v>
      </c>
      <c r="F954" s="19">
        <v>38.11</v>
      </c>
      <c r="G954" s="20">
        <v>9195100</v>
      </c>
      <c r="H954" s="21" t="s">
        <v>59</v>
      </c>
      <c r="I954" s="21">
        <f>(Акции!$F954-F953)/F953</f>
        <v>4.611583859456491E-2</v>
      </c>
    </row>
    <row r="955" spans="5:9" ht="15.75" customHeight="1" x14ac:dyDescent="0.2">
      <c r="E955" s="18">
        <v>43390</v>
      </c>
      <c r="F955" s="19">
        <v>38</v>
      </c>
      <c r="G955" s="20">
        <v>9311700</v>
      </c>
      <c r="H955" s="21" t="s">
        <v>59</v>
      </c>
      <c r="I955" s="21">
        <f>(Акции!$F955-F954)/F954</f>
        <v>-2.8863815271582111E-3</v>
      </c>
    </row>
    <row r="956" spans="5:9" ht="15.75" customHeight="1" x14ac:dyDescent="0.2">
      <c r="E956" s="18">
        <v>43391</v>
      </c>
      <c r="F956" s="19">
        <v>37.53</v>
      </c>
      <c r="G956" s="20">
        <v>7009000</v>
      </c>
      <c r="H956" s="21" t="s">
        <v>59</v>
      </c>
      <c r="I956" s="21">
        <f>(Акции!$F956-F955)/F955</f>
        <v>-1.2368421052631549E-2</v>
      </c>
    </row>
    <row r="957" spans="5:9" ht="15.75" customHeight="1" x14ac:dyDescent="0.2">
      <c r="E957" s="18">
        <v>43392</v>
      </c>
      <c r="F957" s="19">
        <v>36.54</v>
      </c>
      <c r="G957" s="20">
        <v>8448500</v>
      </c>
      <c r="H957" s="21" t="s">
        <v>59</v>
      </c>
      <c r="I957" s="21">
        <f>(Акции!$F957-F956)/F956</f>
        <v>-2.6378896882494056E-2</v>
      </c>
    </row>
    <row r="958" spans="5:9" ht="15.75" customHeight="1" x14ac:dyDescent="0.2">
      <c r="E958" s="18">
        <v>43395</v>
      </c>
      <c r="F958" s="19">
        <v>36.619999999999997</v>
      </c>
      <c r="G958" s="20">
        <v>6492800</v>
      </c>
      <c r="H958" s="21" t="s">
        <v>59</v>
      </c>
      <c r="I958" s="21">
        <f>(Акции!$F958-F957)/F957</f>
        <v>2.1893814997262805E-3</v>
      </c>
    </row>
    <row r="959" spans="5:9" ht="15.75" customHeight="1" x14ac:dyDescent="0.2">
      <c r="E959" s="18">
        <v>43396</v>
      </c>
      <c r="F959" s="19">
        <v>36.03</v>
      </c>
      <c r="G959" s="20">
        <v>10958100</v>
      </c>
      <c r="H959" s="21" t="s">
        <v>59</v>
      </c>
      <c r="I959" s="21">
        <f>(Акции!$F959-F958)/F958</f>
        <v>-1.6111414527580456E-2</v>
      </c>
    </row>
    <row r="960" spans="5:9" ht="15.75" customHeight="1" x14ac:dyDescent="0.2">
      <c r="E960" s="18">
        <v>43397</v>
      </c>
      <c r="F960" s="19">
        <v>35.68</v>
      </c>
      <c r="G960" s="20">
        <v>12603100</v>
      </c>
      <c r="H960" s="21" t="s">
        <v>59</v>
      </c>
      <c r="I960" s="21">
        <f>(Акции!$F960-F959)/F959</f>
        <v>-9.7141271162920189E-3</v>
      </c>
    </row>
    <row r="961" spans="5:9" ht="15.75" customHeight="1" x14ac:dyDescent="0.2">
      <c r="E961" s="18">
        <v>43398</v>
      </c>
      <c r="F961" s="19">
        <v>36.39</v>
      </c>
      <c r="G961" s="20">
        <v>8974900</v>
      </c>
      <c r="H961" s="21" t="s">
        <v>59</v>
      </c>
      <c r="I961" s="21">
        <f>(Акции!$F961-F960)/F960</f>
        <v>1.9899103139013476E-2</v>
      </c>
    </row>
    <row r="962" spans="5:9" ht="15.75" customHeight="1" x14ac:dyDescent="0.2">
      <c r="E962" s="18">
        <v>43399</v>
      </c>
      <c r="F962" s="19">
        <v>35.83</v>
      </c>
      <c r="G962" s="20">
        <v>9468100</v>
      </c>
      <c r="H962" s="21" t="s">
        <v>59</v>
      </c>
      <c r="I962" s="21">
        <f>(Акции!$F962-F961)/F961</f>
        <v>-1.5388843088760712E-2</v>
      </c>
    </row>
    <row r="963" spans="5:9" ht="15.75" customHeight="1" x14ac:dyDescent="0.2">
      <c r="E963" s="18">
        <v>43402</v>
      </c>
      <c r="F963" s="19">
        <v>35.380000000000003</v>
      </c>
      <c r="G963" s="20">
        <v>11133700</v>
      </c>
      <c r="H963" s="21" t="s">
        <v>59</v>
      </c>
      <c r="I963" s="21">
        <f>(Акции!$F963-F962)/F962</f>
        <v>-1.2559307842589891E-2</v>
      </c>
    </row>
    <row r="964" spans="5:9" ht="15.75" customHeight="1" x14ac:dyDescent="0.2">
      <c r="E964" s="18">
        <v>43403</v>
      </c>
      <c r="F964" s="19">
        <v>35.909999999999997</v>
      </c>
      <c r="G964" s="20">
        <v>8167300</v>
      </c>
      <c r="H964" s="21" t="s">
        <v>59</v>
      </c>
      <c r="I964" s="21">
        <f>(Акции!$F964-F963)/F963</f>
        <v>1.4980214810627304E-2</v>
      </c>
    </row>
    <row r="965" spans="5:9" ht="15.75" customHeight="1" x14ac:dyDescent="0.2">
      <c r="E965" s="18">
        <v>43404</v>
      </c>
      <c r="F965" s="19">
        <v>36.14</v>
      </c>
      <c r="G965" s="20">
        <v>9220600</v>
      </c>
      <c r="H965" s="21" t="s">
        <v>59</v>
      </c>
      <c r="I965" s="21">
        <f>(Акции!$F965-F964)/F964</f>
        <v>6.4049011417433585E-3</v>
      </c>
    </row>
    <row r="966" spans="5:9" ht="15.75" customHeight="1" x14ac:dyDescent="0.2">
      <c r="E966" s="18">
        <v>43405</v>
      </c>
      <c r="F966" s="19">
        <v>36.99</v>
      </c>
      <c r="G966" s="20">
        <v>9581200</v>
      </c>
      <c r="H966" s="21" t="s">
        <v>59</v>
      </c>
      <c r="I966" s="21">
        <f>(Акции!$F966-F965)/F965</f>
        <v>2.3519645821804134E-2</v>
      </c>
    </row>
    <row r="967" spans="5:9" ht="15.75" customHeight="1" x14ac:dyDescent="0.2">
      <c r="E967" s="18">
        <v>43406</v>
      </c>
      <c r="F967" s="19">
        <v>36.81</v>
      </c>
      <c r="G967" s="20">
        <v>4560900</v>
      </c>
      <c r="H967" s="21" t="s">
        <v>59</v>
      </c>
      <c r="I967" s="21">
        <f>(Акции!$F967-F966)/F966</f>
        <v>-4.8661800486617928E-3</v>
      </c>
    </row>
    <row r="968" spans="5:9" ht="15.75" customHeight="1" x14ac:dyDescent="0.2">
      <c r="E968" s="18">
        <v>43409</v>
      </c>
      <c r="F968" s="19">
        <v>36.36</v>
      </c>
      <c r="G968" s="20">
        <v>4764900</v>
      </c>
      <c r="H968" s="21" t="s">
        <v>59</v>
      </c>
      <c r="I968" s="21">
        <f>(Акции!$F968-F967)/F967</f>
        <v>-1.2224938875305701E-2</v>
      </c>
    </row>
    <row r="969" spans="5:9" ht="15.75" customHeight="1" x14ac:dyDescent="0.2">
      <c r="E969" s="18">
        <v>43410</v>
      </c>
      <c r="F969" s="19">
        <v>36.85</v>
      </c>
      <c r="G969" s="20">
        <v>4151000</v>
      </c>
      <c r="H969" s="21" t="s">
        <v>59</v>
      </c>
      <c r="I969" s="21">
        <f>(Акции!$F969-F968)/F968</f>
        <v>1.3476347634763531E-2</v>
      </c>
    </row>
    <row r="970" spans="5:9" ht="15.75" customHeight="1" x14ac:dyDescent="0.2">
      <c r="E970" s="18">
        <v>43411</v>
      </c>
      <c r="F970" s="19">
        <v>37.950000000000003</v>
      </c>
      <c r="G970" s="20">
        <v>6746000</v>
      </c>
      <c r="H970" s="21" t="s">
        <v>59</v>
      </c>
      <c r="I970" s="21">
        <f>(Акции!$F970-F969)/F969</f>
        <v>2.9850746268656754E-2</v>
      </c>
    </row>
    <row r="971" spans="5:9" ht="15.75" customHeight="1" x14ac:dyDescent="0.2">
      <c r="E971" s="18">
        <v>43412</v>
      </c>
      <c r="F971" s="19">
        <v>38.44</v>
      </c>
      <c r="G971" s="20">
        <v>5021300</v>
      </c>
      <c r="H971" s="21" t="s">
        <v>59</v>
      </c>
      <c r="I971" s="21">
        <f>(Акции!$F971-F970)/F970</f>
        <v>1.291172595520408E-2</v>
      </c>
    </row>
    <row r="972" spans="5:9" ht="15.75" customHeight="1" x14ac:dyDescent="0.2">
      <c r="E972" s="18">
        <v>43413</v>
      </c>
      <c r="F972" s="19">
        <v>38.6</v>
      </c>
      <c r="G972" s="20">
        <v>9208800</v>
      </c>
      <c r="H972" s="21" t="s">
        <v>59</v>
      </c>
      <c r="I972" s="21">
        <f>(Акции!$F972-F971)/F971</f>
        <v>4.1623309053070686E-3</v>
      </c>
    </row>
    <row r="973" spans="5:9" ht="15.75" customHeight="1" x14ac:dyDescent="0.2">
      <c r="E973" s="18">
        <v>43416</v>
      </c>
      <c r="F973" s="19">
        <v>36.93</v>
      </c>
      <c r="G973" s="20">
        <v>6556700</v>
      </c>
      <c r="H973" s="21" t="s">
        <v>59</v>
      </c>
      <c r="I973" s="21">
        <f>(Акции!$F973-F972)/F972</f>
        <v>-4.3264248704663257E-2</v>
      </c>
    </row>
    <row r="974" spans="5:9" ht="15.75" customHeight="1" x14ac:dyDescent="0.2">
      <c r="E974" s="18">
        <v>43417</v>
      </c>
      <c r="F974" s="19">
        <v>36.659999999999997</v>
      </c>
      <c r="G974" s="20">
        <v>3622100</v>
      </c>
      <c r="H974" s="21" t="s">
        <v>59</v>
      </c>
      <c r="I974" s="21">
        <f>(Акции!$F974-F973)/F973</f>
        <v>-7.3111291632819691E-3</v>
      </c>
    </row>
    <row r="975" spans="5:9" ht="15.75" customHeight="1" x14ac:dyDescent="0.2">
      <c r="E975" s="18">
        <v>43418</v>
      </c>
      <c r="F975" s="19">
        <v>36.21</v>
      </c>
      <c r="G975" s="20">
        <v>5520800</v>
      </c>
      <c r="H975" s="21" t="s">
        <v>59</v>
      </c>
      <c r="I975" s="21">
        <f>(Акции!$F975-F974)/F974</f>
        <v>-1.2274959083469606E-2</v>
      </c>
    </row>
    <row r="976" spans="5:9" ht="15.75" customHeight="1" x14ac:dyDescent="0.2">
      <c r="E976" s="18">
        <v>43419</v>
      </c>
      <c r="F976" s="19">
        <v>36.47</v>
      </c>
      <c r="G976" s="20">
        <v>9055200</v>
      </c>
      <c r="H976" s="21" t="s">
        <v>59</v>
      </c>
      <c r="I976" s="21">
        <f>(Акции!$F976-F975)/F975</f>
        <v>7.1803369235017402E-3</v>
      </c>
    </row>
    <row r="977" spans="5:9" ht="15.75" customHeight="1" x14ac:dyDescent="0.2">
      <c r="E977" s="18">
        <v>43420</v>
      </c>
      <c r="F977" s="19">
        <v>37.21</v>
      </c>
      <c r="G977" s="20">
        <v>7537500</v>
      </c>
      <c r="H977" s="21" t="s">
        <v>59</v>
      </c>
      <c r="I977" s="21">
        <f>(Акции!$F977-F976)/F976</f>
        <v>2.029064984919117E-2</v>
      </c>
    </row>
    <row r="978" spans="5:9" ht="15.75" customHeight="1" x14ac:dyDescent="0.2">
      <c r="E978" s="18">
        <v>43423</v>
      </c>
      <c r="F978" s="19">
        <v>35.29</v>
      </c>
      <c r="G978" s="20">
        <v>10485500</v>
      </c>
      <c r="H978" s="21" t="s">
        <v>59</v>
      </c>
      <c r="I978" s="21">
        <f>(Акции!$F978-F977)/F977</f>
        <v>-5.1599032518140332E-2</v>
      </c>
    </row>
    <row r="979" spans="5:9" ht="15.75" customHeight="1" x14ac:dyDescent="0.2">
      <c r="E979" s="18">
        <v>43424</v>
      </c>
      <c r="F979" s="19">
        <v>34.049999999999997</v>
      </c>
      <c r="G979" s="20">
        <v>19874400</v>
      </c>
      <c r="H979" s="21" t="s">
        <v>59</v>
      </c>
      <c r="I979" s="21">
        <f>(Акции!$F979-F978)/F978</f>
        <v>-3.513743270048178E-2</v>
      </c>
    </row>
    <row r="980" spans="5:9" ht="15.75" customHeight="1" x14ac:dyDescent="0.2">
      <c r="E980" s="18">
        <v>43425</v>
      </c>
      <c r="F980" s="19">
        <v>34.6</v>
      </c>
      <c r="G980" s="20">
        <v>6972100</v>
      </c>
      <c r="H980" s="21" t="s">
        <v>59</v>
      </c>
      <c r="I980" s="21">
        <f>(Акции!$F980-F979)/F979</f>
        <v>1.6152716593245353E-2</v>
      </c>
    </row>
    <row r="981" spans="5:9" ht="15.75" customHeight="1" x14ac:dyDescent="0.2">
      <c r="E981" s="18">
        <v>43427</v>
      </c>
      <c r="F981" s="19">
        <v>34.799999999999997</v>
      </c>
      <c r="G981" s="20">
        <v>2313400</v>
      </c>
      <c r="H981" s="21" t="s">
        <v>59</v>
      </c>
      <c r="I981" s="21">
        <f>(Акции!$F981-F980)/F980</f>
        <v>5.7803468208091251E-3</v>
      </c>
    </row>
    <row r="982" spans="5:9" ht="15.75" customHeight="1" x14ac:dyDescent="0.2">
      <c r="E982" s="18">
        <v>43430</v>
      </c>
      <c r="F982" s="19">
        <v>35.01</v>
      </c>
      <c r="G982" s="20">
        <v>6987600</v>
      </c>
      <c r="H982" s="21" t="s">
        <v>59</v>
      </c>
      <c r="I982" s="21">
        <f>(Акции!$F982-F981)/F981</f>
        <v>6.0344827586207147E-3</v>
      </c>
    </row>
    <row r="983" spans="5:9" ht="15.75" customHeight="1" x14ac:dyDescent="0.2">
      <c r="E983" s="18">
        <v>43431</v>
      </c>
      <c r="F983" s="19">
        <v>35.26</v>
      </c>
      <c r="G983" s="20">
        <v>7797000</v>
      </c>
      <c r="H983" s="21" t="s">
        <v>59</v>
      </c>
      <c r="I983" s="21">
        <f>(Акции!$F983-F982)/F982</f>
        <v>7.1408169094544418E-3</v>
      </c>
    </row>
    <row r="984" spans="5:9" ht="15.75" customHeight="1" x14ac:dyDescent="0.2">
      <c r="E984" s="18">
        <v>43432</v>
      </c>
      <c r="F984" s="19">
        <v>36.65</v>
      </c>
      <c r="G984" s="20">
        <v>8455200</v>
      </c>
      <c r="H984" s="21" t="s">
        <v>59</v>
      </c>
      <c r="I984" s="21">
        <f>(Акции!$F984-F983)/F983</f>
        <v>3.9421440726035185E-2</v>
      </c>
    </row>
    <row r="985" spans="5:9" ht="15.75" customHeight="1" x14ac:dyDescent="0.2">
      <c r="E985" s="18">
        <v>43433</v>
      </c>
      <c r="F985" s="19">
        <v>37.04</v>
      </c>
      <c r="G985" s="20">
        <v>6152800</v>
      </c>
      <c r="H985" s="21" t="s">
        <v>59</v>
      </c>
      <c r="I985" s="21">
        <f>(Акции!$F985-F984)/F984</f>
        <v>1.0641200545702608E-2</v>
      </c>
    </row>
    <row r="986" spans="5:9" ht="15.75" customHeight="1" x14ac:dyDescent="0.2">
      <c r="E986" s="18">
        <v>43434</v>
      </c>
      <c r="F986" s="19">
        <v>37.67</v>
      </c>
      <c r="G986" s="20">
        <v>9795100</v>
      </c>
      <c r="H986" s="21" t="s">
        <v>59</v>
      </c>
      <c r="I986" s="21">
        <f>(Акции!$F986-F985)/F985</f>
        <v>1.700863930885536E-2</v>
      </c>
    </row>
    <row r="987" spans="5:9" ht="15.75" customHeight="1" x14ac:dyDescent="0.2">
      <c r="E987" s="18">
        <v>43437</v>
      </c>
      <c r="F987" s="19">
        <v>38.51</v>
      </c>
      <c r="G987" s="20">
        <v>8315200</v>
      </c>
      <c r="H987" s="21" t="s">
        <v>59</v>
      </c>
      <c r="I987" s="21">
        <f>(Акции!$F987-F986)/F986</f>
        <v>2.2298911600743199E-2</v>
      </c>
    </row>
    <row r="988" spans="5:9" ht="15.75" customHeight="1" x14ac:dyDescent="0.2">
      <c r="E988" s="18">
        <v>43438</v>
      </c>
      <c r="F988" s="19">
        <v>36.520000000000003</v>
      </c>
      <c r="G988" s="20">
        <v>8966200</v>
      </c>
      <c r="H988" s="21" t="s">
        <v>59</v>
      </c>
      <c r="I988" s="21">
        <f>(Акции!$F988-F987)/F987</f>
        <v>-5.1674889639054658E-2</v>
      </c>
    </row>
    <row r="989" spans="5:9" ht="15.75" customHeight="1" x14ac:dyDescent="0.2">
      <c r="E989" s="18">
        <v>43440</v>
      </c>
      <c r="F989" s="19">
        <v>36.770000000000003</v>
      </c>
      <c r="G989" s="20">
        <v>9679700</v>
      </c>
      <c r="H989" s="21" t="s">
        <v>59</v>
      </c>
      <c r="I989" s="21">
        <f>(Акции!$F989-F988)/F988</f>
        <v>6.8455640744797368E-3</v>
      </c>
    </row>
    <row r="990" spans="5:9" ht="15.75" customHeight="1" x14ac:dyDescent="0.2">
      <c r="E990" s="18">
        <v>43441</v>
      </c>
      <c r="F990" s="19">
        <v>35.479999999999997</v>
      </c>
      <c r="G990" s="20">
        <v>7395800</v>
      </c>
      <c r="H990" s="21" t="s">
        <v>59</v>
      </c>
      <c r="I990" s="21">
        <f>(Акции!$F990-F989)/F989</f>
        <v>-3.5082948055480179E-2</v>
      </c>
    </row>
    <row r="991" spans="5:9" ht="15.75" customHeight="1" x14ac:dyDescent="0.2">
      <c r="E991" s="18">
        <v>43444</v>
      </c>
      <c r="F991" s="19">
        <v>36.15</v>
      </c>
      <c r="G991" s="20">
        <v>5739000</v>
      </c>
      <c r="H991" s="21" t="s">
        <v>59</v>
      </c>
      <c r="I991" s="21">
        <f>(Акции!$F991-F990)/F990</f>
        <v>1.8883878241262732E-2</v>
      </c>
    </row>
    <row r="992" spans="5:9" ht="15.75" customHeight="1" x14ac:dyDescent="0.2">
      <c r="E992" s="18">
        <v>43445</v>
      </c>
      <c r="F992" s="19">
        <v>36.56</v>
      </c>
      <c r="G992" s="20">
        <v>5806500</v>
      </c>
      <c r="H992" s="21" t="s">
        <v>59</v>
      </c>
      <c r="I992" s="21">
        <f>(Акции!$F992-F991)/F991</f>
        <v>1.1341632088520157E-2</v>
      </c>
    </row>
    <row r="993" spans="5:9" ht="15.75" customHeight="1" x14ac:dyDescent="0.2">
      <c r="E993" s="18">
        <v>43446</v>
      </c>
      <c r="F993" s="19">
        <v>37.1</v>
      </c>
      <c r="G993" s="20">
        <v>6993700</v>
      </c>
      <c r="H993" s="21" t="s">
        <v>59</v>
      </c>
      <c r="I993" s="21">
        <f>(Акции!$F993-F992)/F992</f>
        <v>1.4770240700218795E-2</v>
      </c>
    </row>
    <row r="994" spans="5:9" ht="15.75" customHeight="1" x14ac:dyDescent="0.2">
      <c r="E994" s="18">
        <v>43447</v>
      </c>
      <c r="F994" s="19">
        <v>36.979999999999997</v>
      </c>
      <c r="G994" s="20">
        <v>5070800</v>
      </c>
      <c r="H994" s="21" t="s">
        <v>59</v>
      </c>
      <c r="I994" s="21">
        <f>(Акции!$F994-F993)/F993</f>
        <v>-3.2345013477090173E-3</v>
      </c>
    </row>
    <row r="995" spans="5:9" ht="15.75" customHeight="1" x14ac:dyDescent="0.2">
      <c r="E995" s="18">
        <v>43448</v>
      </c>
      <c r="F995" s="19">
        <v>35.799999999999997</v>
      </c>
      <c r="G995" s="20">
        <v>6822500</v>
      </c>
      <c r="H995" s="21" t="s">
        <v>59</v>
      </c>
      <c r="I995" s="21">
        <f>(Акции!$F995-F994)/F994</f>
        <v>-3.1909140075716595E-2</v>
      </c>
    </row>
    <row r="996" spans="5:9" ht="15.75" customHeight="1" x14ac:dyDescent="0.2">
      <c r="E996" s="18">
        <v>43451</v>
      </c>
      <c r="F996" s="19">
        <v>34.049999999999997</v>
      </c>
      <c r="G996" s="20">
        <v>9913200</v>
      </c>
      <c r="H996" s="21" t="s">
        <v>59</v>
      </c>
      <c r="I996" s="21">
        <f>(Акции!$F996-F995)/F995</f>
        <v>-4.8882681564245814E-2</v>
      </c>
    </row>
    <row r="997" spans="5:9" ht="15.75" customHeight="1" x14ac:dyDescent="0.2">
      <c r="E997" s="18">
        <v>43452</v>
      </c>
      <c r="F997" s="19">
        <v>34.31</v>
      </c>
      <c r="G997" s="20">
        <v>9258600</v>
      </c>
      <c r="H997" s="21" t="s">
        <v>59</v>
      </c>
      <c r="I997" s="21">
        <f>(Акции!$F997-F996)/F996</f>
        <v>7.6358296622615314E-3</v>
      </c>
    </row>
    <row r="998" spans="5:9" ht="15.75" customHeight="1" x14ac:dyDescent="0.2">
      <c r="E998" s="18">
        <v>43453</v>
      </c>
      <c r="F998" s="19">
        <v>33.979999999999997</v>
      </c>
      <c r="G998" s="20">
        <v>7302900</v>
      </c>
      <c r="H998" s="21" t="s">
        <v>59</v>
      </c>
      <c r="I998" s="21">
        <f>(Акции!$F998-F997)/F997</f>
        <v>-9.618187117458623E-3</v>
      </c>
    </row>
    <row r="999" spans="5:9" ht="15.75" customHeight="1" x14ac:dyDescent="0.2">
      <c r="E999" s="18">
        <v>43454</v>
      </c>
      <c r="F999" s="19">
        <v>33.26</v>
      </c>
      <c r="G999" s="20">
        <v>9200700</v>
      </c>
      <c r="H999" s="21" t="s">
        <v>59</v>
      </c>
      <c r="I999" s="21">
        <f>(Акции!$F999-F998)/F998</f>
        <v>-2.118893466745141E-2</v>
      </c>
    </row>
    <row r="1000" spans="5:9" ht="15.75" customHeight="1" x14ac:dyDescent="0.2">
      <c r="E1000" s="18">
        <v>43455</v>
      </c>
      <c r="F1000" s="19">
        <v>32.83</v>
      </c>
      <c r="G1000" s="20">
        <v>14305300</v>
      </c>
      <c r="H1000" s="21" t="s">
        <v>59</v>
      </c>
      <c r="I1000" s="21">
        <f>(Акции!$F1000-F999)/F999</f>
        <v>-1.2928442573662048E-2</v>
      </c>
    </row>
    <row r="1001" spans="5:9" ht="15.75" customHeight="1" x14ac:dyDescent="0.2">
      <c r="E1001" s="18">
        <v>43458</v>
      </c>
      <c r="F1001" s="19">
        <v>31.73</v>
      </c>
      <c r="G1001" s="20">
        <v>4005000</v>
      </c>
      <c r="H1001" s="21" t="s">
        <v>59</v>
      </c>
      <c r="I1001" s="21">
        <f>(Акции!$F1001-F1000)/F1000</f>
        <v>-3.3505939689308498E-2</v>
      </c>
    </row>
    <row r="1002" spans="5:9" ht="15.75" customHeight="1" x14ac:dyDescent="0.2">
      <c r="E1002" s="18">
        <v>43460</v>
      </c>
      <c r="F1002" s="19">
        <v>33.68</v>
      </c>
      <c r="G1002" s="20">
        <v>6578000</v>
      </c>
      <c r="H1002" s="21" t="s">
        <v>59</v>
      </c>
      <c r="I1002" s="21">
        <f>(Акции!$F1002-F1001)/F1001</f>
        <v>6.1456035297825382E-2</v>
      </c>
    </row>
    <row r="1003" spans="5:9" ht="15.75" customHeight="1" x14ac:dyDescent="0.2">
      <c r="E1003" s="18">
        <v>43461</v>
      </c>
      <c r="F1003" s="19">
        <v>34.479999999999997</v>
      </c>
      <c r="G1003" s="20">
        <v>7353600</v>
      </c>
      <c r="H1003" s="21" t="s">
        <v>59</v>
      </c>
      <c r="I1003" s="21">
        <f>(Акции!$F1003-F1002)/F1002</f>
        <v>2.3752969121140059E-2</v>
      </c>
    </row>
    <row r="1004" spans="5:9" ht="15.75" customHeight="1" x14ac:dyDescent="0.2">
      <c r="E1004" s="18">
        <v>43462</v>
      </c>
      <c r="F1004" s="19">
        <v>34.67</v>
      </c>
      <c r="G1004" s="20">
        <v>6441900</v>
      </c>
      <c r="H1004" s="21" t="s">
        <v>59</v>
      </c>
      <c r="I1004" s="21">
        <f>(Акции!$F1004-F1003)/F1003</f>
        <v>5.5104408352669616E-3</v>
      </c>
    </row>
    <row r="1005" spans="5:9" ht="15.75" customHeight="1" x14ac:dyDescent="0.2">
      <c r="E1005" s="18">
        <v>43465</v>
      </c>
      <c r="F1005" s="19">
        <v>35.340000000000003</v>
      </c>
      <c r="G1005" s="20">
        <v>4434600</v>
      </c>
      <c r="H1005" s="21" t="s">
        <v>59</v>
      </c>
      <c r="I1005" s="21">
        <f>(Акции!$F1005-F1004)/F1004</f>
        <v>1.9325064897606048E-2</v>
      </c>
    </row>
    <row r="1006" spans="5:9" ht="15.75" customHeight="1" x14ac:dyDescent="0.2">
      <c r="E1006" s="18">
        <v>43467</v>
      </c>
      <c r="F1006" s="19">
        <v>34.46</v>
      </c>
      <c r="G1006" s="20">
        <v>6336900</v>
      </c>
      <c r="H1006" s="21" t="s">
        <v>59</v>
      </c>
      <c r="I1006" s="21">
        <f>(Акции!$F1006-F1005)/F1005</f>
        <v>-2.4900962082625988E-2</v>
      </c>
    </row>
    <row r="1007" spans="5:9" ht="15.75" customHeight="1" x14ac:dyDescent="0.2">
      <c r="E1007" s="18">
        <v>43468</v>
      </c>
      <c r="F1007" s="19">
        <v>32.909999999999997</v>
      </c>
      <c r="G1007" s="20">
        <v>10488900</v>
      </c>
      <c r="H1007" s="21" t="s">
        <v>59</v>
      </c>
      <c r="I1007" s="21">
        <f>(Акции!$F1007-F1006)/F1006</f>
        <v>-4.4979686593151602E-2</v>
      </c>
    </row>
    <row r="1008" spans="5:9" ht="15.75" customHeight="1" x14ac:dyDescent="0.2">
      <c r="E1008" s="18">
        <v>43469</v>
      </c>
      <c r="F1008" s="19">
        <v>34.21</v>
      </c>
      <c r="G1008" s="20">
        <v>8072500</v>
      </c>
      <c r="H1008" s="21" t="s">
        <v>59</v>
      </c>
      <c r="I1008" s="21">
        <f>(Акции!$F1008-F1007)/F1007</f>
        <v>3.9501671224551942E-2</v>
      </c>
    </row>
    <row r="1009" spans="5:9" ht="15.75" customHeight="1" x14ac:dyDescent="0.2">
      <c r="E1009" s="18">
        <v>43472</v>
      </c>
      <c r="F1009" s="19">
        <v>34.42</v>
      </c>
      <c r="G1009" s="20">
        <v>6473900</v>
      </c>
      <c r="H1009" s="21" t="s">
        <v>59</v>
      </c>
      <c r="I1009" s="21">
        <f>(Акции!$F1009-F1008)/F1008</f>
        <v>6.1385559777842984E-3</v>
      </c>
    </row>
    <row r="1010" spans="5:9" ht="15.75" customHeight="1" x14ac:dyDescent="0.2">
      <c r="E1010" s="18">
        <v>43473</v>
      </c>
      <c r="F1010" s="19">
        <v>35.380000000000003</v>
      </c>
      <c r="G1010" s="20">
        <v>10263700</v>
      </c>
      <c r="H1010" s="21" t="s">
        <v>59</v>
      </c>
      <c r="I1010" s="21">
        <f>(Акции!$F1010-F1009)/F1009</f>
        <v>2.7890761185357375E-2</v>
      </c>
    </row>
    <row r="1011" spans="5:9" ht="15.75" customHeight="1" x14ac:dyDescent="0.2">
      <c r="E1011" s="18">
        <v>43474</v>
      </c>
      <c r="F1011" s="19">
        <v>35.880000000000003</v>
      </c>
      <c r="G1011" s="20">
        <v>7518100</v>
      </c>
      <c r="H1011" s="21" t="s">
        <v>59</v>
      </c>
      <c r="I1011" s="21">
        <f>(Акции!$F1011-F1010)/F1010</f>
        <v>1.4132278123233465E-2</v>
      </c>
    </row>
    <row r="1012" spans="5:9" ht="15.75" customHeight="1" x14ac:dyDescent="0.2">
      <c r="E1012" s="18">
        <v>43475</v>
      </c>
      <c r="F1012" s="19">
        <v>35.950000000000003</v>
      </c>
      <c r="G1012" s="20">
        <v>5123600</v>
      </c>
      <c r="H1012" s="21" t="s">
        <v>59</v>
      </c>
      <c r="I1012" s="21">
        <f>(Акции!$F1012-F1011)/F1011</f>
        <v>1.950947603121524E-3</v>
      </c>
    </row>
    <row r="1013" spans="5:9" ht="15.75" customHeight="1" x14ac:dyDescent="0.2">
      <c r="E1013" s="18">
        <v>43476</v>
      </c>
      <c r="F1013" s="19">
        <v>35.56</v>
      </c>
      <c r="G1013" s="20">
        <v>5494500</v>
      </c>
      <c r="H1013" s="21" t="s">
        <v>59</v>
      </c>
      <c r="I1013" s="21">
        <f>(Акции!$F1013-F1012)/F1012</f>
        <v>-1.0848400556328248E-2</v>
      </c>
    </row>
    <row r="1014" spans="5:9" ht="15.75" customHeight="1" x14ac:dyDescent="0.2">
      <c r="E1014" s="18">
        <v>43479</v>
      </c>
      <c r="F1014" s="19">
        <v>35.31</v>
      </c>
      <c r="G1014" s="20">
        <v>3817400</v>
      </c>
      <c r="H1014" s="21" t="s">
        <v>59</v>
      </c>
      <c r="I1014" s="21">
        <f>(Акции!$F1014-F1013)/F1013</f>
        <v>-7.0303712035995492E-3</v>
      </c>
    </row>
    <row r="1015" spans="5:9" ht="15.75" customHeight="1" x14ac:dyDescent="0.2">
      <c r="E1015" s="18">
        <v>43480</v>
      </c>
      <c r="F1015" s="19">
        <v>36.72</v>
      </c>
      <c r="G1015" s="20">
        <v>10873900</v>
      </c>
      <c r="H1015" s="21" t="s">
        <v>59</v>
      </c>
      <c r="I1015" s="21">
        <f>(Акции!$F1015-F1014)/F1014</f>
        <v>3.9932030586236095E-2</v>
      </c>
    </row>
    <row r="1016" spans="5:9" ht="15.75" customHeight="1" x14ac:dyDescent="0.2">
      <c r="E1016" s="18">
        <v>43481</v>
      </c>
      <c r="F1016" s="19">
        <v>36.619999999999997</v>
      </c>
      <c r="G1016" s="20">
        <v>5535800</v>
      </c>
      <c r="H1016" s="21" t="s">
        <v>59</v>
      </c>
      <c r="I1016" s="21">
        <f>(Акции!$F1016-F1015)/F1015</f>
        <v>-2.7233115468409974E-3</v>
      </c>
    </row>
    <row r="1017" spans="5:9" ht="15.75" customHeight="1" x14ac:dyDescent="0.2">
      <c r="E1017" s="18">
        <v>43482</v>
      </c>
      <c r="F1017" s="19">
        <v>36.81</v>
      </c>
      <c r="G1017" s="20">
        <v>6405200</v>
      </c>
      <c r="H1017" s="21" t="s">
        <v>59</v>
      </c>
      <c r="I1017" s="21">
        <f>(Акции!$F1017-F1016)/F1016</f>
        <v>5.188421627526074E-3</v>
      </c>
    </row>
    <row r="1018" spans="5:9" ht="15.75" customHeight="1" x14ac:dyDescent="0.2">
      <c r="E1018" s="18">
        <v>43483</v>
      </c>
      <c r="F1018" s="19">
        <v>37.69</v>
      </c>
      <c r="G1018" s="20">
        <v>9464800</v>
      </c>
      <c r="H1018" s="21" t="s">
        <v>59</v>
      </c>
      <c r="I1018" s="21">
        <f>(Акции!$F1018-F1017)/F1017</f>
        <v>2.3906547133930874E-2</v>
      </c>
    </row>
    <row r="1019" spans="5:9" ht="15.75" customHeight="1" x14ac:dyDescent="0.2">
      <c r="E1019" s="18">
        <v>43487</v>
      </c>
      <c r="F1019" s="19">
        <v>37.26</v>
      </c>
      <c r="G1019" s="20">
        <v>5865900</v>
      </c>
      <c r="H1019" s="21" t="s">
        <v>59</v>
      </c>
      <c r="I1019" s="21">
        <f>(Акции!$F1019-F1018)/F1018</f>
        <v>-1.1408861767046955E-2</v>
      </c>
    </row>
    <row r="1020" spans="5:9" ht="15.75" customHeight="1" x14ac:dyDescent="0.2">
      <c r="E1020" s="18">
        <v>43488</v>
      </c>
      <c r="F1020" s="19">
        <v>37.19</v>
      </c>
      <c r="G1020" s="20">
        <v>3862700</v>
      </c>
      <c r="H1020" s="21" t="s">
        <v>59</v>
      </c>
      <c r="I1020" s="21">
        <f>(Акции!$F1020-F1019)/F1019</f>
        <v>-1.8786902844873936E-3</v>
      </c>
    </row>
    <row r="1021" spans="5:9" ht="15.75" customHeight="1" x14ac:dyDescent="0.2">
      <c r="E1021" s="18">
        <v>43489</v>
      </c>
      <c r="F1021" s="19">
        <v>37.229999999999997</v>
      </c>
      <c r="G1021" s="20">
        <v>5939700</v>
      </c>
      <c r="H1021" s="21" t="s">
        <v>59</v>
      </c>
      <c r="I1021" s="21">
        <f>(Акции!$F1021-F1020)/F1020</f>
        <v>1.0755579456843008E-3</v>
      </c>
    </row>
    <row r="1022" spans="5:9" ht="15.75" customHeight="1" x14ac:dyDescent="0.2">
      <c r="E1022" s="18">
        <v>43490</v>
      </c>
      <c r="F1022" s="19">
        <v>37.450000000000003</v>
      </c>
      <c r="G1022" s="20">
        <v>3919200</v>
      </c>
      <c r="H1022" s="21" t="s">
        <v>59</v>
      </c>
      <c r="I1022" s="21">
        <f>(Акции!$F1022-F1021)/F1021</f>
        <v>5.9092130002687615E-3</v>
      </c>
    </row>
    <row r="1023" spans="5:9" ht="15.75" customHeight="1" x14ac:dyDescent="0.2">
      <c r="E1023" s="18">
        <v>43493</v>
      </c>
      <c r="F1023" s="19">
        <v>36.85</v>
      </c>
      <c r="G1023" s="20">
        <v>5259000</v>
      </c>
      <c r="H1023" s="21" t="s">
        <v>59</v>
      </c>
      <c r="I1023" s="21">
        <f>(Акции!$F1023-F1022)/F1022</f>
        <v>-1.6021361815754375E-2</v>
      </c>
    </row>
    <row r="1024" spans="5:9" ht="15.75" customHeight="1" x14ac:dyDescent="0.2">
      <c r="E1024" s="18">
        <v>43494</v>
      </c>
      <c r="F1024" s="19">
        <v>37.01</v>
      </c>
      <c r="G1024" s="20">
        <v>8032700</v>
      </c>
      <c r="H1024" s="21" t="s">
        <v>59</v>
      </c>
      <c r="I1024" s="21">
        <f>(Акции!$F1024-F1023)/F1023</f>
        <v>4.341926729986339E-3</v>
      </c>
    </row>
    <row r="1025" spans="5:9" ht="15.75" customHeight="1" x14ac:dyDescent="0.2">
      <c r="E1025" s="18">
        <v>43495</v>
      </c>
      <c r="F1025" s="19">
        <v>37.42</v>
      </c>
      <c r="G1025" s="20">
        <v>13212500</v>
      </c>
      <c r="H1025" s="21" t="s">
        <v>59</v>
      </c>
      <c r="I1025" s="21">
        <f>(Акции!$F1025-F1024)/F1024</f>
        <v>1.1078087003512664E-2</v>
      </c>
    </row>
    <row r="1026" spans="5:9" ht="15.75" customHeight="1" x14ac:dyDescent="0.2">
      <c r="E1026" s="18">
        <v>43496</v>
      </c>
      <c r="F1026" s="19">
        <v>38.15</v>
      </c>
      <c r="G1026" s="20">
        <v>10807100</v>
      </c>
      <c r="H1026" s="21" t="s">
        <v>59</v>
      </c>
      <c r="I1026" s="21">
        <f>(Акции!$F1026-F1025)/F1025</f>
        <v>1.9508284339925089E-2</v>
      </c>
    </row>
    <row r="1027" spans="5:9" ht="15.75" customHeight="1" x14ac:dyDescent="0.2">
      <c r="E1027" s="18">
        <v>43497</v>
      </c>
      <c r="F1027" s="19">
        <v>37.93</v>
      </c>
      <c r="G1027" s="20">
        <v>6005200</v>
      </c>
      <c r="H1027" s="21" t="s">
        <v>59</v>
      </c>
      <c r="I1027" s="21">
        <f>(Акции!$F1027-F1026)/F1026</f>
        <v>-5.7667103538662874E-3</v>
      </c>
    </row>
    <row r="1028" spans="5:9" ht="15.75" customHeight="1" x14ac:dyDescent="0.2">
      <c r="E1028" s="18">
        <v>43500</v>
      </c>
      <c r="F1028" s="19">
        <v>37.93</v>
      </c>
      <c r="G1028" s="20">
        <v>6794000</v>
      </c>
      <c r="H1028" s="21" t="s">
        <v>59</v>
      </c>
      <c r="I1028" s="21">
        <f>(Акции!$F1028-F1027)/F1027</f>
        <v>0</v>
      </c>
    </row>
    <row r="1029" spans="5:9" ht="15.75" customHeight="1" x14ac:dyDescent="0.2">
      <c r="E1029" s="18">
        <v>43501</v>
      </c>
      <c r="F1029" s="19">
        <v>37.75</v>
      </c>
      <c r="G1029" s="20">
        <v>11034200</v>
      </c>
      <c r="H1029" s="21" t="s">
        <v>59</v>
      </c>
      <c r="I1029" s="21">
        <f>(Акции!$F1029-F1028)/F1028</f>
        <v>-4.7455839704719149E-3</v>
      </c>
    </row>
    <row r="1030" spans="5:9" ht="15.75" customHeight="1" x14ac:dyDescent="0.2">
      <c r="E1030" s="18">
        <v>43502</v>
      </c>
      <c r="F1030" s="19">
        <v>38.770000000000003</v>
      </c>
      <c r="G1030" s="20">
        <v>11376600</v>
      </c>
      <c r="H1030" s="21" t="s">
        <v>59</v>
      </c>
      <c r="I1030" s="21">
        <f>(Акции!$F1030-F1029)/F1029</f>
        <v>2.7019867549668956E-2</v>
      </c>
    </row>
    <row r="1031" spans="5:9" ht="15.75" customHeight="1" x14ac:dyDescent="0.2">
      <c r="E1031" s="18">
        <v>43503</v>
      </c>
      <c r="F1031" s="19">
        <v>38.85</v>
      </c>
      <c r="G1031" s="20">
        <v>9183500</v>
      </c>
      <c r="H1031" s="21" t="s">
        <v>59</v>
      </c>
      <c r="I1031" s="21">
        <f>(Акции!$F1031-F1030)/F1030</f>
        <v>2.0634511220015035E-3</v>
      </c>
    </row>
    <row r="1032" spans="5:9" ht="15.75" customHeight="1" x14ac:dyDescent="0.2">
      <c r="E1032" s="18">
        <v>43504</v>
      </c>
      <c r="F1032" s="19">
        <v>39.19</v>
      </c>
      <c r="G1032" s="20">
        <v>6419700</v>
      </c>
      <c r="H1032" s="21" t="s">
        <v>59</v>
      </c>
      <c r="I1032" s="21">
        <f>(Акции!$F1032-F1031)/F1031</f>
        <v>8.7516087516086565E-3</v>
      </c>
    </row>
    <row r="1033" spans="5:9" ht="15.75" customHeight="1" x14ac:dyDescent="0.2">
      <c r="E1033" s="18">
        <v>43507</v>
      </c>
      <c r="F1033" s="19">
        <v>39.31</v>
      </c>
      <c r="G1033" s="20">
        <v>5842000</v>
      </c>
      <c r="H1033" s="21" t="s">
        <v>59</v>
      </c>
      <c r="I1033" s="21">
        <f>(Акции!$F1033-F1032)/F1032</f>
        <v>3.0620056136770745E-3</v>
      </c>
    </row>
    <row r="1034" spans="5:9" ht="15.75" customHeight="1" x14ac:dyDescent="0.2">
      <c r="E1034" s="18">
        <v>43508</v>
      </c>
      <c r="F1034" s="19">
        <v>40.04</v>
      </c>
      <c r="G1034" s="20">
        <v>7507300</v>
      </c>
      <c r="H1034" s="21" t="s">
        <v>59</v>
      </c>
      <c r="I1034" s="21">
        <f>(Акции!$F1034-F1033)/F1033</f>
        <v>1.8570338336301114E-2</v>
      </c>
    </row>
    <row r="1035" spans="5:9" ht="15.75" customHeight="1" x14ac:dyDescent="0.2">
      <c r="E1035" s="18">
        <v>43509</v>
      </c>
      <c r="F1035" s="19">
        <v>39.6</v>
      </c>
      <c r="G1035" s="20">
        <v>6236600</v>
      </c>
      <c r="H1035" s="21" t="s">
        <v>59</v>
      </c>
      <c r="I1035" s="21">
        <f>(Акции!$F1035-F1034)/F1034</f>
        <v>-1.0989010989010933E-2</v>
      </c>
    </row>
    <row r="1036" spans="5:9" ht="15.75" customHeight="1" x14ac:dyDescent="0.2">
      <c r="E1036" s="18">
        <v>43510</v>
      </c>
      <c r="F1036" s="19">
        <v>39.92</v>
      </c>
      <c r="G1036" s="20">
        <v>5203300</v>
      </c>
      <c r="H1036" s="21" t="s">
        <v>59</v>
      </c>
      <c r="I1036" s="21">
        <f>(Акции!$F1036-F1035)/F1035</f>
        <v>8.0808080808080877E-3</v>
      </c>
    </row>
    <row r="1037" spans="5:9" ht="15.75" customHeight="1" x14ac:dyDescent="0.2">
      <c r="E1037" s="18">
        <v>43511</v>
      </c>
      <c r="F1037" s="19">
        <v>40.01</v>
      </c>
      <c r="G1037" s="20">
        <v>10376200</v>
      </c>
      <c r="H1037" s="21" t="s">
        <v>59</v>
      </c>
      <c r="I1037" s="21">
        <f>(Акции!$F1037-F1036)/F1036</f>
        <v>2.2545090180359794E-3</v>
      </c>
    </row>
    <row r="1038" spans="5:9" ht="15.75" customHeight="1" x14ac:dyDescent="0.2">
      <c r="E1038" s="18">
        <v>43515</v>
      </c>
      <c r="F1038" s="19">
        <v>39.86</v>
      </c>
      <c r="G1038" s="20">
        <v>4050700</v>
      </c>
      <c r="H1038" s="21" t="s">
        <v>59</v>
      </c>
      <c r="I1038" s="21">
        <f>(Акции!$F1038-F1037)/F1037</f>
        <v>-3.7490627343163855E-3</v>
      </c>
    </row>
    <row r="1039" spans="5:9" ht="15.75" customHeight="1" x14ac:dyDescent="0.2">
      <c r="E1039" s="18">
        <v>43516</v>
      </c>
      <c r="F1039" s="19">
        <v>40.11</v>
      </c>
      <c r="G1039" s="20">
        <v>7687500</v>
      </c>
      <c r="H1039" s="21" t="s">
        <v>59</v>
      </c>
      <c r="I1039" s="21">
        <f>(Акции!$F1039-F1038)/F1038</f>
        <v>6.2719518314099353E-3</v>
      </c>
    </row>
    <row r="1040" spans="5:9" ht="15.75" customHeight="1" x14ac:dyDescent="0.2">
      <c r="E1040" s="18">
        <v>43517</v>
      </c>
      <c r="F1040" s="19">
        <v>40.119999999999997</v>
      </c>
      <c r="G1040" s="20">
        <v>8418000</v>
      </c>
      <c r="H1040" s="21" t="s">
        <v>59</v>
      </c>
      <c r="I1040" s="21">
        <f>(Акции!$F1040-F1039)/F1039</f>
        <v>2.493143854399903E-4</v>
      </c>
    </row>
    <row r="1041" spans="5:9" ht="15.75" customHeight="1" x14ac:dyDescent="0.2">
      <c r="E1041" s="18">
        <v>43518</v>
      </c>
      <c r="F1041" s="19">
        <v>40.520000000000003</v>
      </c>
      <c r="G1041" s="20">
        <v>9321500</v>
      </c>
      <c r="H1041" s="21" t="s">
        <v>59</v>
      </c>
      <c r="I1041" s="21">
        <f>(Акции!$F1041-F1040)/F1040</f>
        <v>9.9700897308077196E-3</v>
      </c>
    </row>
    <row r="1042" spans="5:9" ht="15.75" customHeight="1" x14ac:dyDescent="0.2">
      <c r="E1042" s="18">
        <v>43521</v>
      </c>
      <c r="F1042" s="19">
        <v>39.99</v>
      </c>
      <c r="G1042" s="20">
        <v>12139000</v>
      </c>
      <c r="H1042" s="21" t="s">
        <v>59</v>
      </c>
      <c r="I1042" s="21">
        <f>(Акции!$F1042-F1041)/F1041</f>
        <v>-1.3079960513326779E-2</v>
      </c>
    </row>
    <row r="1043" spans="5:9" ht="15.75" customHeight="1" x14ac:dyDescent="0.2">
      <c r="E1043" s="18">
        <v>43522</v>
      </c>
      <c r="F1043" s="19">
        <v>39.86</v>
      </c>
      <c r="G1043" s="20">
        <v>4397300</v>
      </c>
      <c r="H1043" s="21" t="s">
        <v>59</v>
      </c>
      <c r="I1043" s="21">
        <f>(Акции!$F1043-F1042)/F1042</f>
        <v>-3.2508127031758579E-3</v>
      </c>
    </row>
    <row r="1044" spans="5:9" ht="15.75" customHeight="1" x14ac:dyDescent="0.2">
      <c r="E1044" s="18">
        <v>43523</v>
      </c>
      <c r="F1044" s="19">
        <v>39.93</v>
      </c>
      <c r="G1044" s="20">
        <v>5260200</v>
      </c>
      <c r="H1044" s="21" t="s">
        <v>59</v>
      </c>
      <c r="I1044" s="21">
        <f>(Акции!$F1044-F1043)/F1043</f>
        <v>1.7561465127947889E-3</v>
      </c>
    </row>
    <row r="1045" spans="5:9" ht="15.75" customHeight="1" x14ac:dyDescent="0.2">
      <c r="E1045" s="18">
        <v>43524</v>
      </c>
      <c r="F1045" s="19">
        <v>40.119999999999997</v>
      </c>
      <c r="G1045" s="20">
        <v>5797300</v>
      </c>
      <c r="H1045" s="21" t="s">
        <v>59</v>
      </c>
      <c r="I1045" s="21">
        <f>(Акции!$F1045-F1044)/F1044</f>
        <v>4.7583270723766027E-3</v>
      </c>
    </row>
    <row r="1046" spans="5:9" ht="15.75" customHeight="1" x14ac:dyDescent="0.2">
      <c r="E1046" s="18">
        <v>43525</v>
      </c>
      <c r="F1046" s="19">
        <v>40.75</v>
      </c>
      <c r="G1046" s="20">
        <v>5828000</v>
      </c>
      <c r="H1046" s="21" t="s">
        <v>59</v>
      </c>
      <c r="I1046" s="21">
        <f>(Акции!$F1046-F1045)/F1045</f>
        <v>1.5702891326021998E-2</v>
      </c>
    </row>
    <row r="1047" spans="5:9" ht="15.75" customHeight="1" x14ac:dyDescent="0.2">
      <c r="E1047" s="18">
        <v>43528</v>
      </c>
      <c r="F1047" s="19">
        <v>40.299999999999997</v>
      </c>
      <c r="G1047" s="20">
        <v>7911500</v>
      </c>
      <c r="H1047" s="21" t="s">
        <v>59</v>
      </c>
      <c r="I1047" s="21">
        <f>(Акции!$F1047-F1046)/F1046</f>
        <v>-1.1042944785276143E-2</v>
      </c>
    </row>
    <row r="1048" spans="5:9" ht="15.75" customHeight="1" x14ac:dyDescent="0.2">
      <c r="E1048" s="18">
        <v>43529</v>
      </c>
      <c r="F1048" s="19">
        <v>40.19</v>
      </c>
      <c r="G1048" s="20">
        <v>4268700</v>
      </c>
      <c r="H1048" s="21" t="s">
        <v>59</v>
      </c>
      <c r="I1048" s="21">
        <f>(Акции!$F1048-F1047)/F1047</f>
        <v>-2.729528535980135E-3</v>
      </c>
    </row>
    <row r="1049" spans="5:9" ht="15.75" customHeight="1" x14ac:dyDescent="0.2">
      <c r="E1049" s="18">
        <v>43530</v>
      </c>
      <c r="F1049" s="19">
        <v>39.78</v>
      </c>
      <c r="G1049" s="20">
        <v>3914200</v>
      </c>
      <c r="H1049" s="21" t="s">
        <v>59</v>
      </c>
      <c r="I1049" s="21">
        <f>(Акции!$F1049-F1048)/F1048</f>
        <v>-1.020154267230646E-2</v>
      </c>
    </row>
    <row r="1050" spans="5:9" ht="15.75" customHeight="1" x14ac:dyDescent="0.2">
      <c r="E1050" s="18">
        <v>43531</v>
      </c>
      <c r="F1050" s="19">
        <v>39.590000000000003</v>
      </c>
      <c r="G1050" s="20">
        <v>4793400</v>
      </c>
      <c r="H1050" s="21" t="s">
        <v>59</v>
      </c>
      <c r="I1050" s="21">
        <f>(Акции!$F1050-F1049)/F1049</f>
        <v>-4.7762694821517782E-3</v>
      </c>
    </row>
    <row r="1051" spans="5:9" ht="15.75" customHeight="1" x14ac:dyDescent="0.2">
      <c r="E1051" s="18">
        <v>43532</v>
      </c>
      <c r="F1051" s="19">
        <v>39.51</v>
      </c>
      <c r="G1051" s="20">
        <v>4583100</v>
      </c>
      <c r="H1051" s="21" t="s">
        <v>59</v>
      </c>
      <c r="I1051" s="21">
        <f>(Акции!$F1051-F1050)/F1050</f>
        <v>-2.0207123010862692E-3</v>
      </c>
    </row>
    <row r="1052" spans="5:9" ht="15.75" customHeight="1" x14ac:dyDescent="0.2">
      <c r="E1052" s="18">
        <v>43535</v>
      </c>
      <c r="F1052" s="19">
        <v>39.9</v>
      </c>
      <c r="G1052" s="20">
        <v>4580100</v>
      </c>
      <c r="H1052" s="21" t="s">
        <v>59</v>
      </c>
      <c r="I1052" s="21">
        <f>(Акции!$F1052-F1051)/F1051</f>
        <v>9.870918754745649E-3</v>
      </c>
    </row>
    <row r="1053" spans="5:9" ht="15.75" customHeight="1" x14ac:dyDescent="0.2">
      <c r="E1053" s="18">
        <v>43536</v>
      </c>
      <c r="F1053" s="19">
        <v>40.26</v>
      </c>
      <c r="G1053" s="20">
        <v>3474200</v>
      </c>
      <c r="H1053" s="21" t="s">
        <v>59</v>
      </c>
      <c r="I1053" s="21">
        <f>(Акции!$F1053-F1052)/F1052</f>
        <v>9.0225563909774303E-3</v>
      </c>
    </row>
    <row r="1054" spans="5:9" ht="15.75" customHeight="1" x14ac:dyDescent="0.2">
      <c r="E1054" s="18">
        <v>43537</v>
      </c>
      <c r="F1054" s="19">
        <v>40.229999999999997</v>
      </c>
      <c r="G1054" s="20">
        <v>6060500</v>
      </c>
      <c r="H1054" s="21" t="s">
        <v>59</v>
      </c>
      <c r="I1054" s="21">
        <f>(Акции!$F1054-F1053)/F1053</f>
        <v>-7.4515648286142919E-4</v>
      </c>
    </row>
    <row r="1055" spans="5:9" ht="15.75" customHeight="1" x14ac:dyDescent="0.2">
      <c r="E1055" s="18">
        <v>43538</v>
      </c>
      <c r="F1055" s="19">
        <v>40.049999999999997</v>
      </c>
      <c r="G1055" s="20">
        <v>6345700</v>
      </c>
      <c r="H1055" s="21" t="s">
        <v>59</v>
      </c>
      <c r="I1055" s="21">
        <f>(Акции!$F1055-F1054)/F1054</f>
        <v>-4.4742729306487625E-3</v>
      </c>
    </row>
    <row r="1056" spans="5:9" ht="15.75" customHeight="1" x14ac:dyDescent="0.2">
      <c r="E1056" s="18">
        <v>43539</v>
      </c>
      <c r="F1056" s="19">
        <v>40.21</v>
      </c>
      <c r="G1056" s="20">
        <v>9811700</v>
      </c>
      <c r="H1056" s="21" t="s">
        <v>59</v>
      </c>
      <c r="I1056" s="21">
        <f>(Акции!$F1056-F1055)/F1055</f>
        <v>3.9950062421973461E-3</v>
      </c>
    </row>
    <row r="1057" spans="5:9" ht="15.75" customHeight="1" x14ac:dyDescent="0.2">
      <c r="E1057" s="18">
        <v>43542</v>
      </c>
      <c r="F1057" s="19">
        <v>37.97</v>
      </c>
      <c r="G1057" s="20">
        <v>19132300</v>
      </c>
      <c r="H1057" s="21" t="s">
        <v>59</v>
      </c>
      <c r="I1057" s="21">
        <f>(Акции!$F1057-F1056)/F1056</f>
        <v>-5.5707535438945584E-2</v>
      </c>
    </row>
    <row r="1058" spans="5:9" ht="15.75" customHeight="1" x14ac:dyDescent="0.2">
      <c r="E1058" s="18">
        <v>43543</v>
      </c>
      <c r="F1058" s="19">
        <v>38.17</v>
      </c>
      <c r="G1058" s="20">
        <v>10570100</v>
      </c>
      <c r="H1058" s="21" t="s">
        <v>59</v>
      </c>
      <c r="I1058" s="21">
        <f>(Акции!$F1058-F1057)/F1057</f>
        <v>5.2673163023440311E-3</v>
      </c>
    </row>
    <row r="1059" spans="5:9" ht="15.75" customHeight="1" x14ac:dyDescent="0.2">
      <c r="E1059" s="18">
        <v>43544</v>
      </c>
      <c r="F1059" s="19">
        <v>37.86</v>
      </c>
      <c r="G1059" s="20">
        <v>9626800</v>
      </c>
      <c r="H1059" s="21" t="s">
        <v>59</v>
      </c>
      <c r="I1059" s="21">
        <f>(Акции!$F1059-F1058)/F1058</f>
        <v>-8.1215614356825328E-3</v>
      </c>
    </row>
    <row r="1060" spans="5:9" ht="15.75" customHeight="1" x14ac:dyDescent="0.2">
      <c r="E1060" s="18">
        <v>43545</v>
      </c>
      <c r="F1060" s="19">
        <v>38.15</v>
      </c>
      <c r="G1060" s="20">
        <v>8094300</v>
      </c>
      <c r="H1060" s="21" t="s">
        <v>59</v>
      </c>
      <c r="I1060" s="21">
        <f>(Акции!$F1060-F1059)/F1059</f>
        <v>7.6597992604331526E-3</v>
      </c>
    </row>
    <row r="1061" spans="5:9" ht="15.75" customHeight="1" x14ac:dyDescent="0.2">
      <c r="E1061" s="18">
        <v>43546</v>
      </c>
      <c r="F1061" s="19">
        <v>37.299999999999997</v>
      </c>
      <c r="G1061" s="20">
        <v>6679900</v>
      </c>
      <c r="H1061" s="21" t="s">
        <v>59</v>
      </c>
      <c r="I1061" s="21">
        <f>(Акции!$F1061-F1060)/F1060</f>
        <v>-2.2280471821756263E-2</v>
      </c>
    </row>
    <row r="1062" spans="5:9" ht="15.75" customHeight="1" x14ac:dyDescent="0.2">
      <c r="E1062" s="18">
        <v>43549</v>
      </c>
      <c r="F1062" s="19">
        <v>37.64</v>
      </c>
      <c r="G1062" s="20">
        <v>8377900</v>
      </c>
      <c r="H1062" s="21" t="s">
        <v>59</v>
      </c>
      <c r="I1062" s="21">
        <f>(Акции!$F1062-F1061)/F1061</f>
        <v>9.1152815013405743E-3</v>
      </c>
    </row>
    <row r="1063" spans="5:9" ht="15.75" customHeight="1" x14ac:dyDescent="0.2">
      <c r="E1063" s="18">
        <v>43550</v>
      </c>
      <c r="F1063" s="19">
        <v>37.840000000000003</v>
      </c>
      <c r="G1063" s="20">
        <v>7302500</v>
      </c>
      <c r="H1063" s="21" t="s">
        <v>59</v>
      </c>
      <c r="I1063" s="21">
        <f>(Акции!$F1063-F1062)/F1062</f>
        <v>5.3134962805526792E-3</v>
      </c>
    </row>
    <row r="1064" spans="5:9" ht="15.75" customHeight="1" x14ac:dyDescent="0.2">
      <c r="E1064" s="18">
        <v>43551</v>
      </c>
      <c r="F1064" s="19">
        <v>37.49</v>
      </c>
      <c r="G1064" s="20">
        <v>4763600</v>
      </c>
      <c r="H1064" s="21" t="s">
        <v>59</v>
      </c>
      <c r="I1064" s="21">
        <f>(Акции!$F1064-F1063)/F1063</f>
        <v>-9.2494714587738214E-3</v>
      </c>
    </row>
    <row r="1065" spans="5:9" ht="15.75" customHeight="1" x14ac:dyDescent="0.2">
      <c r="E1065" s="18">
        <v>43552</v>
      </c>
      <c r="F1065" s="19">
        <v>37.92</v>
      </c>
      <c r="G1065" s="20">
        <v>4708800</v>
      </c>
      <c r="H1065" s="21" t="s">
        <v>59</v>
      </c>
      <c r="I1065" s="21">
        <f>(Акции!$F1065-F1064)/F1064</f>
        <v>1.1469725260069343E-2</v>
      </c>
    </row>
    <row r="1066" spans="5:9" ht="15.75" customHeight="1" x14ac:dyDescent="0.2">
      <c r="E1066" s="18">
        <v>43553</v>
      </c>
      <c r="F1066" s="19">
        <v>38.380000000000003</v>
      </c>
      <c r="G1066" s="20">
        <v>7767900</v>
      </c>
      <c r="H1066" s="21" t="s">
        <v>59</v>
      </c>
      <c r="I1066" s="21">
        <f>(Акции!$F1066-F1065)/F1065</f>
        <v>1.2130801687763735E-2</v>
      </c>
    </row>
    <row r="1067" spans="5:9" ht="15.75" customHeight="1" x14ac:dyDescent="0.2">
      <c r="E1067" s="18">
        <v>43556</v>
      </c>
      <c r="F1067" s="19">
        <v>38.659999999999997</v>
      </c>
      <c r="G1067" s="20">
        <v>11464900</v>
      </c>
      <c r="H1067" s="21" t="s">
        <v>59</v>
      </c>
      <c r="I1067" s="21">
        <f>(Акции!$F1067-F1066)/F1066</f>
        <v>7.2954663887439819E-3</v>
      </c>
    </row>
    <row r="1068" spans="5:9" ht="15.75" customHeight="1" x14ac:dyDescent="0.2">
      <c r="E1068" s="18">
        <v>43557</v>
      </c>
      <c r="F1068" s="19">
        <v>38.520000000000003</v>
      </c>
      <c r="G1068" s="20">
        <v>5725200</v>
      </c>
      <c r="H1068" s="21" t="s">
        <v>59</v>
      </c>
      <c r="I1068" s="21">
        <f>(Акции!$F1068-F1067)/F1067</f>
        <v>-3.621314019658393E-3</v>
      </c>
    </row>
    <row r="1069" spans="5:9" ht="15.75" customHeight="1" x14ac:dyDescent="0.2">
      <c r="E1069" s="18">
        <v>43558</v>
      </c>
      <c r="F1069" s="19">
        <v>38.33</v>
      </c>
      <c r="G1069" s="20">
        <v>6895800</v>
      </c>
      <c r="H1069" s="21" t="s">
        <v>59</v>
      </c>
      <c r="I1069" s="21">
        <f>(Акции!$F1069-F1068)/F1068</f>
        <v>-4.9325025960541228E-3</v>
      </c>
    </row>
    <row r="1070" spans="5:9" ht="15.75" customHeight="1" x14ac:dyDescent="0.2">
      <c r="E1070" s="18">
        <v>43559</v>
      </c>
      <c r="F1070" s="19">
        <v>38.159999999999997</v>
      </c>
      <c r="G1070" s="20">
        <v>4049900</v>
      </c>
      <c r="H1070" s="21" t="s">
        <v>59</v>
      </c>
      <c r="I1070" s="21">
        <f>(Акции!$F1070-F1069)/F1069</f>
        <v>-4.4351682755022622E-3</v>
      </c>
    </row>
    <row r="1071" spans="5:9" ht="15.75" customHeight="1" x14ac:dyDescent="0.2">
      <c r="E1071" s="18">
        <v>43560</v>
      </c>
      <c r="F1071" s="19">
        <v>38.159999999999997</v>
      </c>
      <c r="G1071" s="20">
        <v>4630100</v>
      </c>
      <c r="H1071" s="21" t="s">
        <v>59</v>
      </c>
      <c r="I1071" s="21">
        <f>(Акции!$F1071-F1070)/F1070</f>
        <v>0</v>
      </c>
    </row>
    <row r="1072" spans="5:9" ht="15.75" customHeight="1" x14ac:dyDescent="0.2">
      <c r="E1072" s="18">
        <v>43563</v>
      </c>
      <c r="F1072" s="19">
        <v>38.15</v>
      </c>
      <c r="G1072" s="20">
        <v>4870800</v>
      </c>
      <c r="H1072" s="21" t="s">
        <v>59</v>
      </c>
      <c r="I1072" s="21">
        <f>(Акции!$F1072-F1071)/F1071</f>
        <v>-2.6205450733747407E-4</v>
      </c>
    </row>
    <row r="1073" spans="5:9" ht="15.75" customHeight="1" x14ac:dyDescent="0.2">
      <c r="E1073" s="18">
        <v>43564</v>
      </c>
      <c r="F1073" s="19">
        <v>38.21</v>
      </c>
      <c r="G1073" s="20">
        <v>4627500</v>
      </c>
      <c r="H1073" s="21" t="s">
        <v>59</v>
      </c>
      <c r="I1073" s="21">
        <f>(Акции!$F1073-F1072)/F1072</f>
        <v>1.5727391874181462E-3</v>
      </c>
    </row>
    <row r="1074" spans="5:9" ht="15.75" customHeight="1" x14ac:dyDescent="0.2">
      <c r="E1074" s="18">
        <v>43565</v>
      </c>
      <c r="F1074" s="19">
        <v>38.36</v>
      </c>
      <c r="G1074" s="20">
        <v>5896200</v>
      </c>
      <c r="H1074" s="21" t="s">
        <v>59</v>
      </c>
      <c r="I1074" s="21">
        <f>(Акции!$F1074-F1073)/F1073</f>
        <v>3.9256739073540584E-3</v>
      </c>
    </row>
    <row r="1075" spans="5:9" ht="15.75" customHeight="1" x14ac:dyDescent="0.2">
      <c r="E1075" s="18">
        <v>43566</v>
      </c>
      <c r="F1075" s="19">
        <v>37.92</v>
      </c>
      <c r="G1075" s="20">
        <v>4887600</v>
      </c>
      <c r="H1075" s="21" t="s">
        <v>59</v>
      </c>
      <c r="I1075" s="21">
        <f>(Акции!$F1075-F1074)/F1074</f>
        <v>-1.1470281543274185E-2</v>
      </c>
    </row>
    <row r="1076" spans="5:9" ht="15.75" customHeight="1" x14ac:dyDescent="0.2">
      <c r="E1076" s="18">
        <v>43567</v>
      </c>
      <c r="F1076" s="19">
        <v>37.729999999999997</v>
      </c>
      <c r="G1076" s="20">
        <v>4800100</v>
      </c>
      <c r="H1076" s="21" t="s">
        <v>59</v>
      </c>
      <c r="I1076" s="21">
        <f>(Акции!$F1076-F1075)/F1075</f>
        <v>-5.0105485232068781E-3</v>
      </c>
    </row>
    <row r="1077" spans="5:9" ht="15.75" customHeight="1" x14ac:dyDescent="0.2">
      <c r="E1077" s="18">
        <v>43570</v>
      </c>
      <c r="F1077" s="19">
        <v>37.81</v>
      </c>
      <c r="G1077" s="20">
        <v>5124100</v>
      </c>
      <c r="H1077" s="21" t="s">
        <v>59</v>
      </c>
      <c r="I1077" s="21">
        <f>(Акции!$F1077-F1076)/F1076</f>
        <v>2.1203286509410392E-3</v>
      </c>
    </row>
    <row r="1078" spans="5:9" ht="15.75" customHeight="1" x14ac:dyDescent="0.2">
      <c r="E1078" s="18">
        <v>43571</v>
      </c>
      <c r="F1078" s="19">
        <v>36.17</v>
      </c>
      <c r="G1078" s="20">
        <v>32945500</v>
      </c>
      <c r="H1078" s="21" t="s">
        <v>59</v>
      </c>
      <c r="I1078" s="21">
        <f>(Акции!$F1078-F1077)/F1077</f>
        <v>-4.3374768579740819E-2</v>
      </c>
    </row>
    <row r="1079" spans="5:9" ht="15.75" customHeight="1" x14ac:dyDescent="0.2">
      <c r="E1079" s="18">
        <v>43572</v>
      </c>
      <c r="F1079" s="19">
        <v>34.909999999999997</v>
      </c>
      <c r="G1079" s="20">
        <v>16029700</v>
      </c>
      <c r="H1079" s="21" t="s">
        <v>59</v>
      </c>
      <c r="I1079" s="21">
        <f>(Акции!$F1079-F1078)/F1078</f>
        <v>-3.4835499032347388E-2</v>
      </c>
    </row>
    <row r="1080" spans="5:9" ht="15.75" customHeight="1" x14ac:dyDescent="0.2">
      <c r="E1080" s="18">
        <v>43573</v>
      </c>
      <c r="F1080" s="19">
        <v>35.11</v>
      </c>
      <c r="G1080" s="20">
        <v>10281000</v>
      </c>
      <c r="H1080" s="21" t="s">
        <v>59</v>
      </c>
      <c r="I1080" s="21">
        <f>(Акции!$F1080-F1079)/F1079</f>
        <v>5.7290174735033766E-3</v>
      </c>
    </row>
    <row r="1081" spans="5:9" ht="15.75" customHeight="1" x14ac:dyDescent="0.2">
      <c r="E1081" s="18">
        <v>43577</v>
      </c>
      <c r="F1081" s="19">
        <v>34.93</v>
      </c>
      <c r="G1081" s="20">
        <v>7824200</v>
      </c>
      <c r="H1081" s="21" t="s">
        <v>59</v>
      </c>
      <c r="I1081" s="21">
        <f>(Акции!$F1081-F1080)/F1080</f>
        <v>-5.12674451723155E-3</v>
      </c>
    </row>
    <row r="1082" spans="5:9" ht="15.75" customHeight="1" x14ac:dyDescent="0.2">
      <c r="E1082" s="18">
        <v>43578</v>
      </c>
      <c r="F1082" s="19">
        <v>35.89</v>
      </c>
      <c r="G1082" s="20">
        <v>13874000</v>
      </c>
      <c r="H1082" s="21" t="s">
        <v>59</v>
      </c>
      <c r="I1082" s="21">
        <f>(Акции!$F1082-F1081)/F1081</f>
        <v>2.7483538505582619E-2</v>
      </c>
    </row>
    <row r="1083" spans="5:9" ht="15.75" customHeight="1" x14ac:dyDescent="0.2">
      <c r="E1083" s="18">
        <v>43579</v>
      </c>
      <c r="F1083" s="19">
        <v>35.44</v>
      </c>
      <c r="G1083" s="20">
        <v>19865500</v>
      </c>
      <c r="H1083" s="21" t="s">
        <v>59</v>
      </c>
      <c r="I1083" s="21">
        <f>(Акции!$F1083-F1082)/F1082</f>
        <v>-1.2538311507383751E-2</v>
      </c>
    </row>
    <row r="1084" spans="5:9" ht="15.75" customHeight="1" x14ac:dyDescent="0.2">
      <c r="E1084" s="18">
        <v>43580</v>
      </c>
      <c r="F1084" s="19">
        <v>36.93</v>
      </c>
      <c r="G1084" s="20">
        <v>13209900</v>
      </c>
      <c r="H1084" s="21" t="s">
        <v>59</v>
      </c>
      <c r="I1084" s="21">
        <f>(Акции!$F1084-F1083)/F1083</f>
        <v>4.2042889390519249E-2</v>
      </c>
    </row>
    <row r="1085" spans="5:9" ht="15.75" customHeight="1" x14ac:dyDescent="0.2">
      <c r="E1085" s="18">
        <v>43581</v>
      </c>
      <c r="F1085" s="19">
        <v>37.380000000000003</v>
      </c>
      <c r="G1085" s="20">
        <v>9621600</v>
      </c>
      <c r="H1085" s="21" t="s">
        <v>59</v>
      </c>
      <c r="I1085" s="21">
        <f>(Акции!$F1085-F1084)/F1084</f>
        <v>1.2185215272136552E-2</v>
      </c>
    </row>
    <row r="1086" spans="5:9" ht="15.75" customHeight="1" x14ac:dyDescent="0.2">
      <c r="E1086" s="18">
        <v>43584</v>
      </c>
      <c r="F1086" s="19">
        <v>36.729999999999997</v>
      </c>
      <c r="G1086" s="20">
        <v>6018000</v>
      </c>
      <c r="H1086" s="21" t="s">
        <v>59</v>
      </c>
      <c r="I1086" s="21">
        <f>(Акции!$F1086-F1085)/F1085</f>
        <v>-1.7388978063135517E-2</v>
      </c>
    </row>
    <row r="1087" spans="5:9" ht="15.75" customHeight="1" x14ac:dyDescent="0.2">
      <c r="E1087" s="18">
        <v>43585</v>
      </c>
      <c r="F1087" s="19">
        <v>37.119999999999997</v>
      </c>
      <c r="G1087" s="20">
        <v>7938900</v>
      </c>
      <c r="H1087" s="21" t="s">
        <v>59</v>
      </c>
      <c r="I1087" s="21">
        <f>(Акции!$F1087-F1086)/F1086</f>
        <v>1.061802341410293E-2</v>
      </c>
    </row>
    <row r="1088" spans="5:9" ht="15.75" customHeight="1" x14ac:dyDescent="0.2">
      <c r="E1088" s="18">
        <v>43586</v>
      </c>
      <c r="F1088" s="19">
        <v>36.380000000000003</v>
      </c>
      <c r="G1088" s="20">
        <v>6081000</v>
      </c>
      <c r="H1088" s="21" t="s">
        <v>59</v>
      </c>
      <c r="I1088" s="21">
        <f>(Акции!$F1088-F1087)/F1087</f>
        <v>-1.993534482758607E-2</v>
      </c>
    </row>
    <row r="1089" spans="5:9" ht="15.75" customHeight="1" x14ac:dyDescent="0.2">
      <c r="E1089" s="18">
        <v>43587</v>
      </c>
      <c r="F1089" s="19">
        <v>36.89</v>
      </c>
      <c r="G1089" s="20">
        <v>10698600</v>
      </c>
      <c r="H1089" s="21" t="s">
        <v>59</v>
      </c>
      <c r="I1089" s="21">
        <f>(Акции!$F1089-F1088)/F1088</f>
        <v>1.4018691588784991E-2</v>
      </c>
    </row>
    <row r="1090" spans="5:9" ht="15.75" customHeight="1" x14ac:dyDescent="0.2">
      <c r="E1090" s="18">
        <v>43588</v>
      </c>
      <c r="F1090" s="19">
        <v>37.200000000000003</v>
      </c>
      <c r="G1090" s="20">
        <v>7869300</v>
      </c>
      <c r="H1090" s="21" t="s">
        <v>59</v>
      </c>
      <c r="I1090" s="21">
        <f>(Акции!$F1090-F1089)/F1089</f>
        <v>8.4033613445378772E-3</v>
      </c>
    </row>
    <row r="1091" spans="5:9" ht="15.75" customHeight="1" x14ac:dyDescent="0.2">
      <c r="E1091" s="18">
        <v>43591</v>
      </c>
      <c r="F1091" s="19">
        <v>37.369999999999997</v>
      </c>
      <c r="G1091" s="20">
        <v>7742300</v>
      </c>
      <c r="H1091" s="21" t="s">
        <v>59</v>
      </c>
      <c r="I1091" s="21">
        <f>(Акции!$F1091-F1090)/F1090</f>
        <v>4.569892473118134E-3</v>
      </c>
    </row>
    <row r="1092" spans="5:9" ht="15.75" customHeight="1" x14ac:dyDescent="0.2">
      <c r="E1092" s="18">
        <v>43592</v>
      </c>
      <c r="F1092" s="19">
        <v>36.770000000000003</v>
      </c>
      <c r="G1092" s="20">
        <v>6403000</v>
      </c>
      <c r="H1092" s="21" t="s">
        <v>59</v>
      </c>
      <c r="I1092" s="21">
        <f>(Акции!$F1092-F1091)/F1091</f>
        <v>-1.6055659620015903E-2</v>
      </c>
    </row>
    <row r="1093" spans="5:9" ht="15.75" customHeight="1" x14ac:dyDescent="0.2">
      <c r="E1093" s="18">
        <v>43593</v>
      </c>
      <c r="F1093" s="19">
        <v>36.700000000000003</v>
      </c>
      <c r="G1093" s="20">
        <v>7128900</v>
      </c>
      <c r="H1093" s="21" t="s">
        <v>59</v>
      </c>
      <c r="I1093" s="21">
        <f>(Акции!$F1093-F1092)/F1092</f>
        <v>-1.903725863475667E-3</v>
      </c>
    </row>
    <row r="1094" spans="5:9" ht="15.75" customHeight="1" x14ac:dyDescent="0.2">
      <c r="E1094" s="18">
        <v>43594</v>
      </c>
      <c r="F1094" s="19">
        <v>37.07</v>
      </c>
      <c r="G1094" s="20">
        <v>8510500</v>
      </c>
      <c r="H1094" s="21" t="s">
        <v>59</v>
      </c>
      <c r="I1094" s="21">
        <f>(Акции!$F1094-F1093)/F1093</f>
        <v>1.008174386920974E-2</v>
      </c>
    </row>
    <row r="1095" spans="5:9" ht="15.75" customHeight="1" x14ac:dyDescent="0.2">
      <c r="E1095" s="18">
        <v>43595</v>
      </c>
      <c r="F1095" s="19">
        <v>36.58</v>
      </c>
      <c r="G1095" s="20">
        <v>7458700</v>
      </c>
      <c r="H1095" s="21" t="s">
        <v>59</v>
      </c>
      <c r="I1095" s="21">
        <f>(Акции!$F1095-F1094)/F1094</f>
        <v>-1.3218235770164607E-2</v>
      </c>
    </row>
    <row r="1096" spans="5:9" ht="15.75" customHeight="1" x14ac:dyDescent="0.2">
      <c r="E1096" s="18">
        <v>43598</v>
      </c>
      <c r="F1096" s="19">
        <v>35.97</v>
      </c>
      <c r="G1096" s="20">
        <v>5476000</v>
      </c>
      <c r="H1096" s="21" t="s">
        <v>59</v>
      </c>
      <c r="I1096" s="21">
        <f>(Акции!$F1096-F1095)/F1095</f>
        <v>-1.6675779114270078E-2</v>
      </c>
    </row>
    <row r="1097" spans="5:9" ht="15.75" customHeight="1" x14ac:dyDescent="0.2">
      <c r="E1097" s="18">
        <v>43599</v>
      </c>
      <c r="F1097" s="19">
        <v>36.76</v>
      </c>
      <c r="G1097" s="20">
        <v>6567200</v>
      </c>
      <c r="H1097" s="21" t="s">
        <v>59</v>
      </c>
      <c r="I1097" s="21">
        <f>(Акции!$F1097-F1096)/F1096</f>
        <v>2.1962746733388914E-2</v>
      </c>
    </row>
    <row r="1098" spans="5:9" ht="15.75" customHeight="1" x14ac:dyDescent="0.2">
      <c r="E1098" s="18">
        <v>43600</v>
      </c>
      <c r="F1098" s="19">
        <v>37.07</v>
      </c>
      <c r="G1098" s="20">
        <v>8536900</v>
      </c>
      <c r="H1098" s="21" t="s">
        <v>59</v>
      </c>
      <c r="I1098" s="21">
        <f>(Акции!$F1098-F1097)/F1097</f>
        <v>8.4330794341676354E-3</v>
      </c>
    </row>
    <row r="1099" spans="5:9" ht="15.75" customHeight="1" x14ac:dyDescent="0.2">
      <c r="E1099" s="18">
        <v>43601</v>
      </c>
      <c r="F1099" s="19">
        <v>37.619999999999997</v>
      </c>
      <c r="G1099" s="20">
        <v>7498800</v>
      </c>
      <c r="H1099" s="21" t="s">
        <v>59</v>
      </c>
      <c r="I1099" s="21">
        <f>(Акции!$F1099-F1098)/F1098</f>
        <v>1.4836795252225442E-2</v>
      </c>
    </row>
    <row r="1100" spans="5:9" ht="15.75" customHeight="1" x14ac:dyDescent="0.2">
      <c r="E1100" s="18">
        <v>43602</v>
      </c>
      <c r="F1100" s="19">
        <v>37.32</v>
      </c>
      <c r="G1100" s="20">
        <v>5482100</v>
      </c>
      <c r="H1100" s="21" t="s">
        <v>59</v>
      </c>
      <c r="I1100" s="21">
        <f>(Акции!$F1100-F1099)/F1099</f>
        <v>-7.9744816586921098E-3</v>
      </c>
    </row>
    <row r="1101" spans="5:9" ht="15.75" customHeight="1" x14ac:dyDescent="0.2">
      <c r="E1101" s="18">
        <v>43605</v>
      </c>
      <c r="F1101" s="19">
        <v>37.29</v>
      </c>
      <c r="G1101" s="20">
        <v>5053300</v>
      </c>
      <c r="H1101" s="21" t="s">
        <v>59</v>
      </c>
      <c r="I1101" s="21">
        <f>(Акции!$F1101-F1100)/F1100</f>
        <v>-8.03858520900352E-4</v>
      </c>
    </row>
    <row r="1102" spans="5:9" ht="15.75" customHeight="1" x14ac:dyDescent="0.2">
      <c r="E1102" s="18">
        <v>43606</v>
      </c>
      <c r="F1102" s="19">
        <v>37.700000000000003</v>
      </c>
      <c r="G1102" s="20">
        <v>7933000</v>
      </c>
      <c r="H1102" s="21" t="s">
        <v>59</v>
      </c>
      <c r="I1102" s="21">
        <f>(Акции!$F1102-F1101)/F1101</f>
        <v>1.0994904800214634E-2</v>
      </c>
    </row>
    <row r="1103" spans="5:9" ht="15.75" customHeight="1" x14ac:dyDescent="0.2">
      <c r="E1103" s="18">
        <v>43607</v>
      </c>
      <c r="F1103" s="19">
        <v>37.729999999999997</v>
      </c>
      <c r="G1103" s="20">
        <v>3714200</v>
      </c>
      <c r="H1103" s="21" t="s">
        <v>59</v>
      </c>
      <c r="I1103" s="21">
        <f>(Акции!$F1103-F1102)/F1102</f>
        <v>7.9575596816960285E-4</v>
      </c>
    </row>
    <row r="1104" spans="5:9" ht="15.75" customHeight="1" x14ac:dyDescent="0.2">
      <c r="E1104" s="18">
        <v>43608</v>
      </c>
      <c r="F1104" s="19">
        <v>37.79</v>
      </c>
      <c r="G1104" s="20">
        <v>6282500</v>
      </c>
      <c r="H1104" s="21" t="s">
        <v>59</v>
      </c>
      <c r="I1104" s="21">
        <f>(Акции!$F1104-F1103)/F1103</f>
        <v>1.5902464882057324E-3</v>
      </c>
    </row>
    <row r="1105" spans="5:9" ht="15.75" customHeight="1" x14ac:dyDescent="0.2">
      <c r="E1105" s="18">
        <v>43609</v>
      </c>
      <c r="F1105" s="19">
        <v>38.47</v>
      </c>
      <c r="G1105" s="20">
        <v>8232400</v>
      </c>
      <c r="H1105" s="21" t="s">
        <v>59</v>
      </c>
      <c r="I1105" s="21">
        <f>(Акции!$F1105-F1104)/F1104</f>
        <v>1.7994178354061915E-2</v>
      </c>
    </row>
    <row r="1106" spans="5:9" ht="15.75" customHeight="1" x14ac:dyDescent="0.2">
      <c r="E1106" s="18">
        <v>43613</v>
      </c>
      <c r="F1106" s="19">
        <v>38.450000000000003</v>
      </c>
      <c r="G1106" s="20">
        <v>14470400</v>
      </c>
      <c r="H1106" s="21" t="s">
        <v>59</v>
      </c>
      <c r="I1106" s="21">
        <f>(Акции!$F1106-F1105)/F1105</f>
        <v>-5.1988562516236088E-4</v>
      </c>
    </row>
    <row r="1107" spans="5:9" ht="15.75" customHeight="1" x14ac:dyDescent="0.2">
      <c r="E1107" s="18">
        <v>43614</v>
      </c>
      <c r="F1107" s="19">
        <v>38.07</v>
      </c>
      <c r="G1107" s="20">
        <v>6052500</v>
      </c>
      <c r="H1107" s="21" t="s">
        <v>59</v>
      </c>
      <c r="I1107" s="21">
        <f>(Акции!$F1107-F1106)/F1106</f>
        <v>-9.8829648894669057E-3</v>
      </c>
    </row>
    <row r="1108" spans="5:9" ht="15.75" customHeight="1" x14ac:dyDescent="0.2">
      <c r="E1108" s="18">
        <v>43615</v>
      </c>
      <c r="F1108" s="19">
        <v>38.44</v>
      </c>
      <c r="G1108" s="20">
        <v>6964500</v>
      </c>
      <c r="H1108" s="21" t="s">
        <v>59</v>
      </c>
      <c r="I1108" s="21">
        <f>(Акции!$F1108-F1107)/F1107</f>
        <v>9.7189387969529133E-3</v>
      </c>
    </row>
    <row r="1109" spans="5:9" ht="15.75" customHeight="1" x14ac:dyDescent="0.2">
      <c r="E1109" s="18">
        <v>43616</v>
      </c>
      <c r="F1109" s="19">
        <v>38.409999999999997</v>
      </c>
      <c r="G1109" s="20">
        <v>6825900</v>
      </c>
      <c r="H1109" s="21" t="s">
        <v>59</v>
      </c>
      <c r="I1109" s="21">
        <f>(Акции!$F1109-F1108)/F1108</f>
        <v>-7.804370447450869E-4</v>
      </c>
    </row>
    <row r="1110" spans="5:9" ht="15.75" customHeight="1" x14ac:dyDescent="0.2">
      <c r="E1110" s="18">
        <v>43619</v>
      </c>
      <c r="F1110" s="19">
        <v>38.29</v>
      </c>
      <c r="G1110" s="20">
        <v>5730800</v>
      </c>
      <c r="H1110" s="21" t="s">
        <v>59</v>
      </c>
      <c r="I1110" s="21">
        <f>(Акции!$F1110-F1109)/F1109</f>
        <v>-3.1241864097890509E-3</v>
      </c>
    </row>
    <row r="1111" spans="5:9" ht="15.75" customHeight="1" x14ac:dyDescent="0.2">
      <c r="E1111" s="18">
        <v>43620</v>
      </c>
      <c r="F1111" s="19">
        <v>39.049999999999997</v>
      </c>
      <c r="G1111" s="20">
        <v>6981900</v>
      </c>
      <c r="H1111" s="21" t="s">
        <v>59</v>
      </c>
      <c r="I1111" s="21">
        <f>(Акции!$F1111-F1110)/F1110</f>
        <v>1.9848524418908279E-2</v>
      </c>
    </row>
    <row r="1112" spans="5:9" ht="15.75" customHeight="1" x14ac:dyDescent="0.2">
      <c r="E1112" s="18">
        <v>43621</v>
      </c>
      <c r="F1112" s="19">
        <v>40.01</v>
      </c>
      <c r="G1112" s="20">
        <v>11081400</v>
      </c>
      <c r="H1112" s="21" t="s">
        <v>59</v>
      </c>
      <c r="I1112" s="21">
        <f>(Акции!$F1112-F1111)/F1111</f>
        <v>2.4583866837387988E-2</v>
      </c>
    </row>
    <row r="1113" spans="5:9" ht="15.75" customHeight="1" x14ac:dyDescent="0.2">
      <c r="E1113" s="18">
        <v>43622</v>
      </c>
      <c r="F1113" s="19">
        <v>40.54</v>
      </c>
      <c r="G1113" s="20">
        <v>12114700</v>
      </c>
      <c r="H1113" s="21" t="s">
        <v>59</v>
      </c>
      <c r="I1113" s="21">
        <f>(Акции!$F1113-F1112)/F1112</f>
        <v>1.324668832791805E-2</v>
      </c>
    </row>
    <row r="1114" spans="5:9" ht="15.75" customHeight="1" x14ac:dyDescent="0.2">
      <c r="E1114" s="18">
        <v>43623</v>
      </c>
      <c r="F1114" s="19">
        <v>41.28</v>
      </c>
      <c r="G1114" s="20">
        <v>17415500</v>
      </c>
      <c r="H1114" s="21" t="s">
        <v>59</v>
      </c>
      <c r="I1114" s="21">
        <f>(Акции!$F1114-F1113)/F1113</f>
        <v>1.8253576714356241E-2</v>
      </c>
    </row>
    <row r="1115" spans="5:9" ht="15.75" customHeight="1" x14ac:dyDescent="0.2">
      <c r="E1115" s="18">
        <v>43626</v>
      </c>
      <c r="F1115" s="19">
        <v>41.45</v>
      </c>
      <c r="G1115" s="20">
        <v>8012400</v>
      </c>
      <c r="H1115" s="21" t="s">
        <v>59</v>
      </c>
      <c r="I1115" s="21">
        <f>(Акции!$F1115-F1114)/F1114</f>
        <v>4.118217054263607E-3</v>
      </c>
    </row>
    <row r="1116" spans="5:9" ht="15.75" customHeight="1" x14ac:dyDescent="0.2">
      <c r="E1116" s="18">
        <v>43627</v>
      </c>
      <c r="F1116" s="19">
        <v>41.17</v>
      </c>
      <c r="G1116" s="20">
        <v>8341700</v>
      </c>
      <c r="H1116" s="21" t="s">
        <v>59</v>
      </c>
      <c r="I1116" s="21">
        <f>(Акции!$F1116-F1115)/F1115</f>
        <v>-6.7551266586248762E-3</v>
      </c>
    </row>
    <row r="1117" spans="5:9" ht="15.75" customHeight="1" x14ac:dyDescent="0.2">
      <c r="E1117" s="18">
        <v>43628</v>
      </c>
      <c r="F1117" s="19">
        <v>40.799999999999997</v>
      </c>
      <c r="G1117" s="20">
        <v>7019100</v>
      </c>
      <c r="H1117" s="21" t="s">
        <v>59</v>
      </c>
      <c r="I1117" s="21">
        <f>(Акции!$F1117-F1116)/F1116</f>
        <v>-8.9871265484577252E-3</v>
      </c>
    </row>
    <row r="1118" spans="5:9" ht="15.75" customHeight="1" x14ac:dyDescent="0.2">
      <c r="E1118" s="18">
        <v>43629</v>
      </c>
      <c r="F1118" s="19">
        <v>40.659999999999997</v>
      </c>
      <c r="G1118" s="20">
        <v>7260900</v>
      </c>
      <c r="H1118" s="21" t="s">
        <v>59</v>
      </c>
      <c r="I1118" s="21">
        <f>(Акции!$F1118-F1117)/F1117</f>
        <v>-3.4313725490196221E-3</v>
      </c>
    </row>
    <row r="1119" spans="5:9" ht="15.75" customHeight="1" x14ac:dyDescent="0.2">
      <c r="E1119" s="18">
        <v>43630</v>
      </c>
      <c r="F1119" s="19">
        <v>40.42</v>
      </c>
      <c r="G1119" s="20">
        <v>5410000</v>
      </c>
      <c r="H1119" s="21" t="s">
        <v>59</v>
      </c>
      <c r="I1119" s="21">
        <f>(Акции!$F1119-F1118)/F1118</f>
        <v>-5.9026069847514734E-3</v>
      </c>
    </row>
    <row r="1120" spans="5:9" ht="15.75" customHeight="1" x14ac:dyDescent="0.2">
      <c r="E1120" s="18">
        <v>43633</v>
      </c>
      <c r="F1120" s="19">
        <v>40.68</v>
      </c>
      <c r="G1120" s="20">
        <v>3746000</v>
      </c>
      <c r="H1120" s="21" t="s">
        <v>59</v>
      </c>
      <c r="I1120" s="21">
        <f>(Акции!$F1120-F1119)/F1119</f>
        <v>6.4324591786243937E-3</v>
      </c>
    </row>
    <row r="1121" spans="5:9" ht="15.75" customHeight="1" x14ac:dyDescent="0.2">
      <c r="E1121" s="18">
        <v>43634</v>
      </c>
      <c r="F1121" s="19">
        <v>40.94</v>
      </c>
      <c r="G1121" s="20">
        <v>5983000</v>
      </c>
      <c r="H1121" s="21" t="s">
        <v>59</v>
      </c>
      <c r="I1121" s="21">
        <f>(Акции!$F1121-F1120)/F1120</f>
        <v>6.3913470993116521E-3</v>
      </c>
    </row>
    <row r="1122" spans="5:9" ht="15.75" customHeight="1" x14ac:dyDescent="0.2">
      <c r="E1122" s="18">
        <v>43635</v>
      </c>
      <c r="F1122" s="19">
        <v>41.66</v>
      </c>
      <c r="G1122" s="20">
        <v>6328700</v>
      </c>
      <c r="H1122" s="21" t="s">
        <v>59</v>
      </c>
      <c r="I1122" s="21">
        <f>(Акции!$F1122-F1121)/F1121</f>
        <v>1.7586712261846577E-2</v>
      </c>
    </row>
    <row r="1123" spans="5:9" ht="15.75" customHeight="1" x14ac:dyDescent="0.2">
      <c r="E1123" s="18">
        <v>43636</v>
      </c>
      <c r="F1123" s="19">
        <v>41.86</v>
      </c>
      <c r="G1123" s="20">
        <v>6131600</v>
      </c>
      <c r="H1123" s="21" t="s">
        <v>59</v>
      </c>
      <c r="I1123" s="21">
        <f>(Акции!$F1123-F1122)/F1122</f>
        <v>4.8007681228997325E-3</v>
      </c>
    </row>
    <row r="1124" spans="5:9" ht="15.75" customHeight="1" x14ac:dyDescent="0.2">
      <c r="E1124" s="18">
        <v>43637</v>
      </c>
      <c r="F1124" s="19">
        <v>41.69</v>
      </c>
      <c r="G1124" s="20">
        <v>8605800</v>
      </c>
      <c r="H1124" s="21" t="s">
        <v>59</v>
      </c>
      <c r="I1124" s="21">
        <f>(Акции!$F1124-F1123)/F1123</f>
        <v>-4.0611562350693197E-3</v>
      </c>
    </row>
    <row r="1125" spans="5:9" ht="15.75" customHeight="1" x14ac:dyDescent="0.2">
      <c r="E1125" s="18">
        <v>43640</v>
      </c>
      <c r="F1125" s="19">
        <v>42.01</v>
      </c>
      <c r="G1125" s="20">
        <v>5407000</v>
      </c>
      <c r="H1125" s="21" t="s">
        <v>59</v>
      </c>
      <c r="I1125" s="21">
        <f>(Акции!$F1125-F1124)/F1124</f>
        <v>7.6757016071000309E-3</v>
      </c>
    </row>
    <row r="1126" spans="5:9" ht="15.75" customHeight="1" x14ac:dyDescent="0.2">
      <c r="E1126" s="18">
        <v>43641</v>
      </c>
      <c r="F1126" s="19">
        <v>41.72</v>
      </c>
      <c r="G1126" s="20">
        <v>5624400</v>
      </c>
      <c r="H1126" s="21" t="s">
        <v>59</v>
      </c>
      <c r="I1126" s="21">
        <f>(Акции!$F1126-F1125)/F1125</f>
        <v>-6.903118305165417E-3</v>
      </c>
    </row>
    <row r="1127" spans="5:9" ht="15.75" customHeight="1" x14ac:dyDescent="0.2">
      <c r="E1127" s="18">
        <v>43642</v>
      </c>
      <c r="F1127" s="19">
        <v>41.39</v>
      </c>
      <c r="G1127" s="20">
        <v>6176900</v>
      </c>
      <c r="H1127" s="21" t="s">
        <v>59</v>
      </c>
      <c r="I1127" s="21">
        <f>(Акции!$F1127-F1126)/F1126</f>
        <v>-7.9098753595397489E-3</v>
      </c>
    </row>
    <row r="1128" spans="5:9" ht="15.75" customHeight="1" x14ac:dyDescent="0.2">
      <c r="E1128" s="18">
        <v>43643</v>
      </c>
      <c r="F1128" s="19">
        <v>41.93</v>
      </c>
      <c r="G1128" s="20">
        <v>8356900</v>
      </c>
      <c r="H1128" s="21" t="s">
        <v>59</v>
      </c>
      <c r="I1128" s="21">
        <f>(Акции!$F1128-F1127)/F1127</f>
        <v>1.3046629620681304E-2</v>
      </c>
    </row>
    <row r="1129" spans="5:9" ht="15.75" customHeight="1" x14ac:dyDescent="0.2">
      <c r="E1129" s="18">
        <v>43644</v>
      </c>
      <c r="F1129" s="19">
        <v>42.98</v>
      </c>
      <c r="G1129" s="20">
        <v>12753800</v>
      </c>
      <c r="H1129" s="21" t="s">
        <v>59</v>
      </c>
      <c r="I1129" s="21">
        <f>(Акции!$F1129-F1128)/F1128</f>
        <v>2.5041736227045006E-2</v>
      </c>
    </row>
    <row r="1130" spans="5:9" ht="15.75" customHeight="1" x14ac:dyDescent="0.2">
      <c r="E1130" s="18">
        <v>43647</v>
      </c>
      <c r="F1130" s="19">
        <v>42.9</v>
      </c>
      <c r="G1130" s="20">
        <v>7523300</v>
      </c>
      <c r="H1130" s="21" t="s">
        <v>59</v>
      </c>
      <c r="I1130" s="21">
        <f>(Акции!$F1130-F1129)/F1129</f>
        <v>-1.861330851558825E-3</v>
      </c>
    </row>
    <row r="1131" spans="5:9" ht="15.75" customHeight="1" x14ac:dyDescent="0.2">
      <c r="E1131" s="18">
        <v>43648</v>
      </c>
      <c r="F1131" s="19">
        <v>42.69</v>
      </c>
      <c r="G1131" s="20">
        <v>7757300</v>
      </c>
      <c r="H1131" s="21" t="s">
        <v>59</v>
      </c>
      <c r="I1131" s="21">
        <f>(Акции!$F1131-F1130)/F1130</f>
        <v>-4.8951048951049155E-3</v>
      </c>
    </row>
    <row r="1132" spans="5:9" ht="15.75" customHeight="1" x14ac:dyDescent="0.2">
      <c r="E1132" s="18">
        <v>43649</v>
      </c>
      <c r="F1132" s="19">
        <v>42.63</v>
      </c>
      <c r="G1132" s="20">
        <v>3683600</v>
      </c>
      <c r="H1132" s="21" t="s">
        <v>59</v>
      </c>
      <c r="I1132" s="21">
        <f>(Акции!$F1132-F1131)/F1131</f>
        <v>-1.4054813773716366E-3</v>
      </c>
    </row>
    <row r="1133" spans="5:9" ht="15.75" customHeight="1" x14ac:dyDescent="0.2">
      <c r="E1133" s="18">
        <v>43651</v>
      </c>
      <c r="F1133" s="19">
        <v>42.62</v>
      </c>
      <c r="G1133" s="20">
        <v>4121700</v>
      </c>
      <c r="H1133" s="21" t="s">
        <v>59</v>
      </c>
      <c r="I1133" s="21">
        <f>(Акции!$F1133-F1132)/F1132</f>
        <v>-2.3457658925651219E-4</v>
      </c>
    </row>
    <row r="1134" spans="5:9" ht="15.75" customHeight="1" x14ac:dyDescent="0.2">
      <c r="E1134" s="18">
        <v>43654</v>
      </c>
      <c r="F1134" s="19">
        <v>42.61</v>
      </c>
      <c r="G1134" s="20">
        <v>6206500</v>
      </c>
      <c r="H1134" s="21" t="s">
        <v>59</v>
      </c>
      <c r="I1134" s="21">
        <f>(Акции!$F1134-F1133)/F1133</f>
        <v>-2.3463162834345405E-4</v>
      </c>
    </row>
    <row r="1135" spans="5:9" ht="15.75" customHeight="1" x14ac:dyDescent="0.2">
      <c r="E1135" s="18">
        <v>43655</v>
      </c>
      <c r="F1135" s="19">
        <v>43.06</v>
      </c>
      <c r="G1135" s="20">
        <v>5833900</v>
      </c>
      <c r="H1135" s="21" t="s">
        <v>59</v>
      </c>
      <c r="I1135" s="21">
        <f>(Акции!$F1135-F1134)/F1134</f>
        <v>1.0560901196902202E-2</v>
      </c>
    </row>
    <row r="1136" spans="5:9" ht="15.75" customHeight="1" x14ac:dyDescent="0.2">
      <c r="E1136" s="18">
        <v>43656</v>
      </c>
      <c r="F1136" s="19">
        <v>42.89</v>
      </c>
      <c r="G1136" s="20">
        <v>6689500</v>
      </c>
      <c r="H1136" s="21" t="s">
        <v>59</v>
      </c>
      <c r="I1136" s="21">
        <f>(Акции!$F1136-F1135)/F1135</f>
        <v>-3.9479795633999464E-3</v>
      </c>
    </row>
    <row r="1137" spans="5:9" ht="15.75" customHeight="1" x14ac:dyDescent="0.2">
      <c r="E1137" s="18">
        <v>43657</v>
      </c>
      <c r="F1137" s="19">
        <v>43.2</v>
      </c>
      <c r="G1137" s="20">
        <v>4745300</v>
      </c>
      <c r="H1137" s="21" t="s">
        <v>59</v>
      </c>
      <c r="I1137" s="21">
        <f>(Акции!$F1137-F1136)/F1136</f>
        <v>7.2277920261133661E-3</v>
      </c>
    </row>
    <row r="1138" spans="5:9" ht="15.75" customHeight="1" x14ac:dyDescent="0.2">
      <c r="E1138" s="18">
        <v>43658</v>
      </c>
      <c r="F1138" s="19">
        <v>42.25</v>
      </c>
      <c r="G1138" s="20">
        <v>8970600</v>
      </c>
      <c r="H1138" s="21" t="s">
        <v>59</v>
      </c>
      <c r="I1138" s="21">
        <f>(Акции!$F1138-F1137)/F1137</f>
        <v>-2.1990740740740804E-2</v>
      </c>
    </row>
    <row r="1139" spans="5:9" ht="15.75" customHeight="1" x14ac:dyDescent="0.2">
      <c r="E1139" s="18">
        <v>43661</v>
      </c>
      <c r="F1139" s="19">
        <v>42.45</v>
      </c>
      <c r="G1139" s="20">
        <v>4466100</v>
      </c>
      <c r="H1139" s="21" t="s">
        <v>59</v>
      </c>
      <c r="I1139" s="21">
        <f>(Акции!$F1139-F1138)/F1138</f>
        <v>4.7337278106509544E-3</v>
      </c>
    </row>
    <row r="1140" spans="5:9" ht="15.75" customHeight="1" x14ac:dyDescent="0.2">
      <c r="E1140" s="18">
        <v>43662</v>
      </c>
      <c r="F1140" s="19">
        <v>41.86</v>
      </c>
      <c r="G1140" s="20">
        <v>4966300</v>
      </c>
      <c r="H1140" s="21" t="s">
        <v>59</v>
      </c>
      <c r="I1140" s="21">
        <f>(Акции!$F1140-F1139)/F1139</f>
        <v>-1.3898704358068396E-2</v>
      </c>
    </row>
    <row r="1141" spans="5:9" ht="15.75" customHeight="1" x14ac:dyDescent="0.2">
      <c r="E1141" s="18">
        <v>43663</v>
      </c>
      <c r="F1141" s="19">
        <v>42.24</v>
      </c>
      <c r="G1141" s="20">
        <v>6087700</v>
      </c>
      <c r="H1141" s="21" t="s">
        <v>59</v>
      </c>
      <c r="I1141" s="21">
        <f>(Акции!$F1141-F1140)/F1140</f>
        <v>9.0778786430960948E-3</v>
      </c>
    </row>
    <row r="1142" spans="5:9" ht="15.75" customHeight="1" x14ac:dyDescent="0.2">
      <c r="E1142" s="18">
        <v>43664</v>
      </c>
      <c r="F1142" s="19">
        <v>42.64</v>
      </c>
      <c r="G1142" s="20">
        <v>6095900</v>
      </c>
      <c r="H1142" s="21" t="s">
        <v>59</v>
      </c>
      <c r="I1142" s="21">
        <f>(Акции!$F1142-F1141)/F1141</f>
        <v>9.4696969696969353E-3</v>
      </c>
    </row>
    <row r="1143" spans="5:9" ht="15.75" customHeight="1" x14ac:dyDescent="0.2">
      <c r="E1143" s="18">
        <v>43665</v>
      </c>
      <c r="F1143" s="19">
        <v>42.25</v>
      </c>
      <c r="G1143" s="20">
        <v>6840100</v>
      </c>
      <c r="H1143" s="21" t="s">
        <v>59</v>
      </c>
      <c r="I1143" s="21">
        <f>(Акции!$F1143-F1142)/F1142</f>
        <v>-9.1463414634146475E-3</v>
      </c>
    </row>
    <row r="1144" spans="5:9" ht="15.75" customHeight="1" x14ac:dyDescent="0.2">
      <c r="E1144" s="18">
        <v>43668</v>
      </c>
      <c r="F1144" s="19">
        <v>42.5</v>
      </c>
      <c r="G1144" s="20">
        <v>5291000</v>
      </c>
      <c r="H1144" s="21" t="s">
        <v>59</v>
      </c>
      <c r="I1144" s="21">
        <f>(Акции!$F1144-F1143)/F1143</f>
        <v>5.9171597633136093E-3</v>
      </c>
    </row>
    <row r="1145" spans="5:9" ht="15.75" customHeight="1" x14ac:dyDescent="0.2">
      <c r="E1145" s="18">
        <v>43669</v>
      </c>
      <c r="F1145" s="19">
        <v>42.88</v>
      </c>
      <c r="G1145" s="20">
        <v>6836400</v>
      </c>
      <c r="H1145" s="21" t="s">
        <v>59</v>
      </c>
      <c r="I1145" s="21">
        <f>(Акции!$F1145-F1144)/F1144</f>
        <v>8.9411764705882961E-3</v>
      </c>
    </row>
    <row r="1146" spans="5:9" ht="15.75" customHeight="1" x14ac:dyDescent="0.2">
      <c r="E1146" s="18">
        <v>43670</v>
      </c>
      <c r="F1146" s="19">
        <v>42.87</v>
      </c>
      <c r="G1146" s="20">
        <v>8422000</v>
      </c>
      <c r="H1146" s="21" t="s">
        <v>59</v>
      </c>
      <c r="I1146" s="21">
        <f>(Акции!$F1146-F1145)/F1145</f>
        <v>-2.3320895522399988E-4</v>
      </c>
    </row>
    <row r="1147" spans="5:9" ht="15.75" customHeight="1" x14ac:dyDescent="0.2">
      <c r="E1147" s="18">
        <v>43671</v>
      </c>
      <c r="F1147" s="19">
        <v>42.01</v>
      </c>
      <c r="G1147" s="20">
        <v>6209400</v>
      </c>
      <c r="H1147" s="21" t="s">
        <v>59</v>
      </c>
      <c r="I1147" s="21">
        <f>(Акции!$F1147-F1146)/F1146</f>
        <v>-2.0060648472125017E-2</v>
      </c>
    </row>
    <row r="1148" spans="5:9" ht="15.75" customHeight="1" x14ac:dyDescent="0.2">
      <c r="E1148" s="18">
        <v>43672</v>
      </c>
      <c r="F1148" s="19">
        <v>42.08</v>
      </c>
      <c r="G1148" s="20">
        <v>4943200</v>
      </c>
      <c r="H1148" s="21" t="s">
        <v>59</v>
      </c>
      <c r="I1148" s="21">
        <f>(Акции!$F1148-F1147)/F1147</f>
        <v>1.6662699357295951E-3</v>
      </c>
    </row>
    <row r="1149" spans="5:9" ht="15.75" customHeight="1" x14ac:dyDescent="0.2">
      <c r="E1149" s="18">
        <v>43675</v>
      </c>
      <c r="F1149" s="19">
        <v>42.29</v>
      </c>
      <c r="G1149" s="20">
        <v>3951600</v>
      </c>
      <c r="H1149" s="21" t="s">
        <v>59</v>
      </c>
      <c r="I1149" s="21">
        <f>(Акции!$F1149-F1148)/F1148</f>
        <v>4.9904942965779669E-3</v>
      </c>
    </row>
    <row r="1150" spans="5:9" ht="15.75" customHeight="1" x14ac:dyDescent="0.2">
      <c r="E1150" s="18">
        <v>43676</v>
      </c>
      <c r="F1150" s="19">
        <v>42.86</v>
      </c>
      <c r="G1150" s="20">
        <v>4635200</v>
      </c>
      <c r="H1150" s="21" t="s">
        <v>59</v>
      </c>
      <c r="I1150" s="21">
        <f>(Акции!$F1150-F1149)/F1149</f>
        <v>1.347836367935683E-2</v>
      </c>
    </row>
    <row r="1151" spans="5:9" ht="15.75" customHeight="1" x14ac:dyDescent="0.2">
      <c r="E1151" s="18">
        <v>43677</v>
      </c>
      <c r="F1151" s="19">
        <v>42.46</v>
      </c>
      <c r="G1151" s="20">
        <v>6861500</v>
      </c>
      <c r="H1151" s="21" t="s">
        <v>59</v>
      </c>
      <c r="I1151" s="21">
        <f>(Акции!$F1151-F1150)/F1150</f>
        <v>-9.3327111525897937E-3</v>
      </c>
    </row>
    <row r="1152" spans="5:9" ht="15.75" customHeight="1" x14ac:dyDescent="0.2">
      <c r="E1152" s="18">
        <v>43678</v>
      </c>
      <c r="F1152" s="19">
        <v>42.61</v>
      </c>
      <c r="G1152" s="20">
        <v>7800400</v>
      </c>
      <c r="H1152" s="21" t="s">
        <v>59</v>
      </c>
      <c r="I1152" s="21">
        <f>(Акции!$F1152-F1151)/F1151</f>
        <v>3.5327366933584213E-3</v>
      </c>
    </row>
    <row r="1153" spans="5:9" ht="15.75" customHeight="1" x14ac:dyDescent="0.2">
      <c r="E1153" s="18">
        <v>43679</v>
      </c>
      <c r="F1153" s="19">
        <v>42.75</v>
      </c>
      <c r="G1153" s="20">
        <v>5341300</v>
      </c>
      <c r="H1153" s="21" t="s">
        <v>59</v>
      </c>
      <c r="I1153" s="21">
        <f>(Акции!$F1153-F1152)/F1152</f>
        <v>3.2856137057028999E-3</v>
      </c>
    </row>
    <row r="1154" spans="5:9" ht="15.75" customHeight="1" x14ac:dyDescent="0.2">
      <c r="E1154" s="18">
        <v>43682</v>
      </c>
      <c r="F1154" s="19">
        <v>41.36</v>
      </c>
      <c r="G1154" s="20">
        <v>7200100</v>
      </c>
      <c r="H1154" s="21" t="s">
        <v>59</v>
      </c>
      <c r="I1154" s="21">
        <f>(Акции!$F1154-F1153)/F1153</f>
        <v>-3.2514619883040947E-2</v>
      </c>
    </row>
    <row r="1155" spans="5:9" ht="15.75" customHeight="1" x14ac:dyDescent="0.2">
      <c r="E1155" s="18">
        <v>43683</v>
      </c>
      <c r="F1155" s="19">
        <v>42.33</v>
      </c>
      <c r="G1155" s="20">
        <v>4301500</v>
      </c>
      <c r="H1155" s="21" t="s">
        <v>59</v>
      </c>
      <c r="I1155" s="21">
        <f>(Акции!$F1155-F1154)/F1154</f>
        <v>2.3452611218568637E-2</v>
      </c>
    </row>
    <row r="1156" spans="5:9" ht="15.75" customHeight="1" x14ac:dyDescent="0.2">
      <c r="E1156" s="18">
        <v>43684</v>
      </c>
      <c r="F1156" s="19">
        <v>42.18</v>
      </c>
      <c r="G1156" s="20">
        <v>5671900</v>
      </c>
      <c r="H1156" s="21" t="s">
        <v>59</v>
      </c>
      <c r="I1156" s="21">
        <f>(Акции!$F1156-F1155)/F1155</f>
        <v>-3.5435861091424187E-3</v>
      </c>
    </row>
    <row r="1157" spans="5:9" ht="15.75" customHeight="1" x14ac:dyDescent="0.2">
      <c r="E1157" s="18">
        <v>43685</v>
      </c>
      <c r="F1157" s="19">
        <v>42.76</v>
      </c>
      <c r="G1157" s="20">
        <v>5057700</v>
      </c>
      <c r="H1157" s="21" t="s">
        <v>59</v>
      </c>
      <c r="I1157" s="21">
        <f>(Акции!$F1157-F1156)/F1156</f>
        <v>1.3750592697961079E-2</v>
      </c>
    </row>
    <row r="1158" spans="5:9" ht="15.75" customHeight="1" x14ac:dyDescent="0.2">
      <c r="E1158" s="18">
        <v>43686</v>
      </c>
      <c r="F1158" s="19">
        <v>43.2</v>
      </c>
      <c r="G1158" s="20">
        <v>4827200</v>
      </c>
      <c r="H1158" s="21" t="s">
        <v>59</v>
      </c>
      <c r="I1158" s="21">
        <f>(Акции!$F1158-F1157)/F1157</f>
        <v>1.0289990645463163E-2</v>
      </c>
    </row>
    <row r="1159" spans="5:9" ht="15.75" customHeight="1" x14ac:dyDescent="0.2">
      <c r="E1159" s="18">
        <v>43689</v>
      </c>
      <c r="F1159" s="19">
        <v>42.33</v>
      </c>
      <c r="G1159" s="20">
        <v>3070700</v>
      </c>
      <c r="H1159" s="21" t="s">
        <v>59</v>
      </c>
      <c r="I1159" s="21">
        <f>(Акции!$F1159-F1158)/F1158</f>
        <v>-2.0138888888888994E-2</v>
      </c>
    </row>
    <row r="1160" spans="5:9" ht="15.75" customHeight="1" x14ac:dyDescent="0.2">
      <c r="E1160" s="18">
        <v>43690</v>
      </c>
      <c r="F1160" s="19">
        <v>42.86</v>
      </c>
      <c r="G1160" s="20">
        <v>3449000</v>
      </c>
      <c r="H1160" s="21" t="s">
        <v>59</v>
      </c>
      <c r="I1160" s="21">
        <f>(Акции!$F1160-F1159)/F1159</f>
        <v>1.2520670918970024E-2</v>
      </c>
    </row>
    <row r="1161" spans="5:9" ht="15.75" customHeight="1" x14ac:dyDescent="0.2">
      <c r="E1161" s="18">
        <v>43691</v>
      </c>
      <c r="F1161" s="19">
        <v>41.43</v>
      </c>
      <c r="G1161" s="20">
        <v>5677000</v>
      </c>
      <c r="H1161" s="21" t="s">
        <v>59</v>
      </c>
      <c r="I1161" s="21">
        <f>(Акции!$F1161-F1160)/F1160</f>
        <v>-3.3364442370508625E-2</v>
      </c>
    </row>
    <row r="1162" spans="5:9" ht="15.75" customHeight="1" x14ac:dyDescent="0.2">
      <c r="E1162" s="18">
        <v>43692</v>
      </c>
      <c r="F1162" s="19">
        <v>41.87</v>
      </c>
      <c r="G1162" s="20">
        <v>4467300</v>
      </c>
      <c r="H1162" s="21" t="s">
        <v>59</v>
      </c>
      <c r="I1162" s="21">
        <f>(Акции!$F1162-F1161)/F1161</f>
        <v>1.0620323437122802E-2</v>
      </c>
    </row>
    <row r="1163" spans="5:9" ht="15.75" customHeight="1" x14ac:dyDescent="0.2">
      <c r="E1163" s="18">
        <v>43693</v>
      </c>
      <c r="F1163" s="19">
        <v>42.15</v>
      </c>
      <c r="G1163" s="20">
        <v>3274900</v>
      </c>
      <c r="H1163" s="21" t="s">
        <v>59</v>
      </c>
      <c r="I1163" s="21">
        <f>(Акции!$F1163-F1162)/F1162</f>
        <v>6.6873656556006959E-3</v>
      </c>
    </row>
    <row r="1164" spans="5:9" ht="15.75" customHeight="1" x14ac:dyDescent="0.2">
      <c r="E1164" s="18">
        <v>43696</v>
      </c>
      <c r="F1164" s="19">
        <v>42.74</v>
      </c>
      <c r="G1164" s="20">
        <v>2755400</v>
      </c>
      <c r="H1164" s="21" t="s">
        <v>59</v>
      </c>
      <c r="I1164" s="21">
        <f>(Акции!$F1164-F1163)/F1163</f>
        <v>1.3997627520759275E-2</v>
      </c>
    </row>
    <row r="1165" spans="5:9" ht="15.75" customHeight="1" x14ac:dyDescent="0.2">
      <c r="E1165" s="18">
        <v>43697</v>
      </c>
      <c r="F1165" s="19">
        <v>42.5</v>
      </c>
      <c r="G1165" s="20">
        <v>4168900</v>
      </c>
      <c r="H1165" s="21" t="s">
        <v>59</v>
      </c>
      <c r="I1165" s="21">
        <f>(Акции!$F1165-F1164)/F1164</f>
        <v>-5.6153486195601775E-3</v>
      </c>
    </row>
    <row r="1166" spans="5:9" ht="15.75" customHeight="1" x14ac:dyDescent="0.2">
      <c r="E1166" s="18">
        <v>43698</v>
      </c>
      <c r="F1166" s="19">
        <v>42.55</v>
      </c>
      <c r="G1166" s="20">
        <v>3742700</v>
      </c>
      <c r="H1166" s="21" t="s">
        <v>59</v>
      </c>
      <c r="I1166" s="21">
        <f>(Акции!$F1166-F1165)/F1165</f>
        <v>1.1764705882352272E-3</v>
      </c>
    </row>
    <row r="1167" spans="5:9" ht="15.75" customHeight="1" x14ac:dyDescent="0.2">
      <c r="E1167" s="18">
        <v>43699</v>
      </c>
      <c r="F1167" s="19">
        <v>42.69</v>
      </c>
      <c r="G1167" s="20">
        <v>3333700</v>
      </c>
      <c r="H1167" s="21" t="s">
        <v>59</v>
      </c>
      <c r="I1167" s="21">
        <f>(Акции!$F1167-F1166)/F1166</f>
        <v>3.2902467685076518E-3</v>
      </c>
    </row>
    <row r="1168" spans="5:9" ht="15.75" customHeight="1" x14ac:dyDescent="0.2">
      <c r="E1168" s="18">
        <v>43700</v>
      </c>
      <c r="F1168" s="19">
        <v>41.17</v>
      </c>
      <c r="G1168" s="20">
        <v>5308100</v>
      </c>
      <c r="H1168" s="21" t="s">
        <v>59</v>
      </c>
      <c r="I1168" s="21">
        <f>(Акции!$F1168-F1167)/F1167</f>
        <v>-3.5605528226750907E-2</v>
      </c>
    </row>
    <row r="1169" spans="5:9" ht="15.75" customHeight="1" x14ac:dyDescent="0.2">
      <c r="E1169" s="18">
        <v>43703</v>
      </c>
      <c r="F1169" s="19">
        <v>41.85</v>
      </c>
      <c r="G1169" s="20">
        <v>3434800</v>
      </c>
      <c r="H1169" s="21" t="s">
        <v>59</v>
      </c>
      <c r="I1169" s="21">
        <f>(Акции!$F1169-F1168)/F1168</f>
        <v>1.6516881224192367E-2</v>
      </c>
    </row>
    <row r="1170" spans="5:9" ht="15.75" customHeight="1" x14ac:dyDescent="0.2">
      <c r="E1170" s="18">
        <v>43704</v>
      </c>
      <c r="F1170" s="19">
        <v>42.22</v>
      </c>
      <c r="G1170" s="20">
        <v>5996700</v>
      </c>
      <c r="H1170" s="21" t="s">
        <v>59</v>
      </c>
      <c r="I1170" s="21">
        <f>(Акции!$F1170-F1169)/F1169</f>
        <v>8.8410991636797467E-3</v>
      </c>
    </row>
    <row r="1171" spans="5:9" ht="15.75" customHeight="1" x14ac:dyDescent="0.2">
      <c r="E1171" s="18">
        <v>43705</v>
      </c>
      <c r="F1171" s="19">
        <v>42.49</v>
      </c>
      <c r="G1171" s="20">
        <v>4208100</v>
      </c>
      <c r="H1171" s="21" t="s">
        <v>59</v>
      </c>
      <c r="I1171" s="21">
        <f>(Акции!$F1171-F1170)/F1170</f>
        <v>6.3950734249171755E-3</v>
      </c>
    </row>
    <row r="1172" spans="5:9" ht="15.75" customHeight="1" x14ac:dyDescent="0.2">
      <c r="E1172" s="18">
        <v>43706</v>
      </c>
      <c r="F1172" s="19">
        <v>42.84</v>
      </c>
      <c r="G1172" s="20">
        <v>5804900</v>
      </c>
      <c r="H1172" s="21" t="s">
        <v>59</v>
      </c>
      <c r="I1172" s="21">
        <f>(Акции!$F1172-F1171)/F1171</f>
        <v>8.2372322899506092E-3</v>
      </c>
    </row>
    <row r="1173" spans="5:9" ht="15.75" customHeight="1" x14ac:dyDescent="0.2">
      <c r="E1173" s="18">
        <v>43707</v>
      </c>
      <c r="F1173" s="19">
        <v>42.73</v>
      </c>
      <c r="G1173" s="20">
        <v>3234400</v>
      </c>
      <c r="H1173" s="21" t="s">
        <v>59</v>
      </c>
      <c r="I1173" s="21">
        <f>(Акции!$F1173-F1172)/F1172</f>
        <v>-2.5676937441644846E-3</v>
      </c>
    </row>
    <row r="1174" spans="5:9" ht="15.75" customHeight="1" x14ac:dyDescent="0.2">
      <c r="E1174" s="18">
        <v>43711</v>
      </c>
      <c r="F1174" s="19">
        <v>41.67</v>
      </c>
      <c r="G1174" s="20">
        <v>4695500</v>
      </c>
      <c r="H1174" s="21" t="s">
        <v>59</v>
      </c>
      <c r="I1174" s="21">
        <f>(Акции!$F1174-F1173)/F1173</f>
        <v>-2.4806927217411543E-2</v>
      </c>
    </row>
    <row r="1175" spans="5:9" ht="15.75" customHeight="1" x14ac:dyDescent="0.2">
      <c r="E1175" s="18">
        <v>43712</v>
      </c>
      <c r="F1175" s="19">
        <v>42.05</v>
      </c>
      <c r="G1175" s="20">
        <v>3490900</v>
      </c>
      <c r="H1175" s="21" t="s">
        <v>59</v>
      </c>
      <c r="I1175" s="21">
        <f>(Акции!$F1175-F1174)/F1174</f>
        <v>9.1192704583632211E-3</v>
      </c>
    </row>
    <row r="1176" spans="5:9" ht="15.75" customHeight="1" x14ac:dyDescent="0.2">
      <c r="E1176" s="18">
        <v>43713</v>
      </c>
      <c r="F1176" s="19">
        <v>42.61</v>
      </c>
      <c r="G1176" s="20">
        <v>4867000</v>
      </c>
      <c r="H1176" s="21" t="s">
        <v>59</v>
      </c>
      <c r="I1176" s="21">
        <f>(Акции!$F1176-F1175)/F1175</f>
        <v>1.3317479191438818E-2</v>
      </c>
    </row>
    <row r="1177" spans="5:9" ht="15.75" customHeight="1" x14ac:dyDescent="0.2">
      <c r="E1177" s="18">
        <v>43714</v>
      </c>
      <c r="F1177" s="19">
        <v>43.45</v>
      </c>
      <c r="G1177" s="20">
        <v>6349400</v>
      </c>
      <c r="H1177" s="21" t="s">
        <v>59</v>
      </c>
      <c r="I1177" s="21">
        <f>(Акции!$F1177-F1176)/F1176</f>
        <v>1.9713682234217399E-2</v>
      </c>
    </row>
    <row r="1178" spans="5:9" ht="15.75" customHeight="1" x14ac:dyDescent="0.2">
      <c r="E1178" s="18">
        <v>43717</v>
      </c>
      <c r="F1178" s="19">
        <v>41.74</v>
      </c>
      <c r="G1178" s="20">
        <v>6171300</v>
      </c>
      <c r="H1178" s="21" t="s">
        <v>59</v>
      </c>
      <c r="I1178" s="21">
        <f>(Акции!$F1178-F1177)/F1177</f>
        <v>-3.9355581127733047E-2</v>
      </c>
    </row>
    <row r="1179" spans="5:9" ht="15.75" customHeight="1" x14ac:dyDescent="0.2">
      <c r="E1179" s="18">
        <v>43718</v>
      </c>
      <c r="F1179" s="19">
        <v>41.3</v>
      </c>
      <c r="G1179" s="20">
        <v>10912200</v>
      </c>
      <c r="H1179" s="21" t="s">
        <v>59</v>
      </c>
      <c r="I1179" s="21">
        <f>(Акции!$F1179-F1178)/F1178</f>
        <v>-1.0541447053186508E-2</v>
      </c>
    </row>
    <row r="1180" spans="5:9" ht="15.75" customHeight="1" x14ac:dyDescent="0.2">
      <c r="E1180" s="18">
        <v>43719</v>
      </c>
      <c r="F1180" s="19">
        <v>42.3</v>
      </c>
      <c r="G1180" s="20">
        <v>6370400</v>
      </c>
      <c r="H1180" s="21" t="s">
        <v>59</v>
      </c>
      <c r="I1180" s="21">
        <f>(Акции!$F1180-F1179)/F1179</f>
        <v>2.4213075060532691E-2</v>
      </c>
    </row>
    <row r="1181" spans="5:9" ht="15.75" customHeight="1" x14ac:dyDescent="0.2">
      <c r="E1181" s="18">
        <v>43720</v>
      </c>
      <c r="F1181" s="19">
        <v>42.24</v>
      </c>
      <c r="G1181" s="20">
        <v>5676800</v>
      </c>
      <c r="H1181" s="21" t="s">
        <v>59</v>
      </c>
      <c r="I1181" s="21">
        <f>(Акции!$F1181-F1180)/F1180</f>
        <v>-1.4184397163119426E-3</v>
      </c>
    </row>
    <row r="1182" spans="5:9" ht="15.75" customHeight="1" x14ac:dyDescent="0.2">
      <c r="E1182" s="18">
        <v>43721</v>
      </c>
      <c r="F1182" s="19">
        <v>41.81</v>
      </c>
      <c r="G1182" s="20">
        <v>4535400</v>
      </c>
      <c r="H1182" s="21" t="s">
        <v>59</v>
      </c>
      <c r="I1182" s="21">
        <f>(Акции!$F1182-F1181)/F1181</f>
        <v>-1.0179924242424235E-2</v>
      </c>
    </row>
    <row r="1183" spans="5:9" ht="15.75" customHeight="1" x14ac:dyDescent="0.2">
      <c r="E1183" s="18">
        <v>43724</v>
      </c>
      <c r="F1183" s="19">
        <v>41.94</v>
      </c>
      <c r="G1183" s="20">
        <v>3097000</v>
      </c>
      <c r="H1183" s="21" t="s">
        <v>59</v>
      </c>
      <c r="I1183" s="21">
        <f>(Акции!$F1183-F1182)/F1182</f>
        <v>3.1093039942596376E-3</v>
      </c>
    </row>
    <row r="1184" spans="5:9" ht="15.75" customHeight="1" x14ac:dyDescent="0.2">
      <c r="E1184" s="18">
        <v>43725</v>
      </c>
      <c r="F1184" s="19">
        <v>42.32</v>
      </c>
      <c r="G1184" s="20">
        <v>3935900</v>
      </c>
      <c r="H1184" s="21" t="s">
        <v>59</v>
      </c>
      <c r="I1184" s="21">
        <f>(Акции!$F1184-F1183)/F1183</f>
        <v>9.0605627086314394E-3</v>
      </c>
    </row>
    <row r="1185" spans="5:9" ht="15.75" customHeight="1" x14ac:dyDescent="0.2">
      <c r="E1185" s="18">
        <v>43726</v>
      </c>
      <c r="F1185" s="19">
        <v>42.9</v>
      </c>
      <c r="G1185" s="20">
        <v>3971300</v>
      </c>
      <c r="H1185" s="21" t="s">
        <v>59</v>
      </c>
      <c r="I1185" s="21">
        <f>(Акции!$F1185-F1184)/F1184</f>
        <v>1.3705103969754212E-2</v>
      </c>
    </row>
    <row r="1186" spans="5:9" ht="15.75" customHeight="1" x14ac:dyDescent="0.2">
      <c r="E1186" s="18">
        <v>43727</v>
      </c>
      <c r="F1186" s="19">
        <v>43.06</v>
      </c>
      <c r="G1186" s="20">
        <v>6465900</v>
      </c>
      <c r="H1186" s="21" t="s">
        <v>59</v>
      </c>
      <c r="I1186" s="21">
        <f>(Акции!$F1186-F1185)/F1185</f>
        <v>3.7296037296038159E-3</v>
      </c>
    </row>
    <row r="1187" spans="5:9" ht="15.75" customHeight="1" x14ac:dyDescent="0.2">
      <c r="E1187" s="18">
        <v>43728</v>
      </c>
      <c r="F1187" s="19">
        <v>43.29</v>
      </c>
      <c r="G1187" s="20">
        <v>7963700</v>
      </c>
      <c r="H1187" s="21" t="s">
        <v>59</v>
      </c>
      <c r="I1187" s="21">
        <f>(Акции!$F1187-F1186)/F1186</f>
        <v>5.3413841151880364E-3</v>
      </c>
    </row>
    <row r="1188" spans="5:9" ht="15.75" customHeight="1" x14ac:dyDescent="0.2">
      <c r="E1188" s="18">
        <v>43731</v>
      </c>
      <c r="F1188" s="19">
        <v>43.15</v>
      </c>
      <c r="G1188" s="20">
        <v>4025100</v>
      </c>
      <c r="H1188" s="21" t="s">
        <v>59</v>
      </c>
      <c r="I1188" s="21">
        <f>(Акции!$F1188-F1187)/F1187</f>
        <v>-3.2340032340032474E-3</v>
      </c>
    </row>
    <row r="1189" spans="5:9" ht="15.75" customHeight="1" x14ac:dyDescent="0.2">
      <c r="E1189" s="18">
        <v>43732</v>
      </c>
      <c r="F1189" s="19">
        <v>42.33</v>
      </c>
      <c r="G1189" s="20">
        <v>6496200</v>
      </c>
      <c r="H1189" s="21" t="s">
        <v>59</v>
      </c>
      <c r="I1189" s="21">
        <f>(Акции!$F1189-F1188)/F1188</f>
        <v>-1.90034762456547E-2</v>
      </c>
    </row>
    <row r="1190" spans="5:9" ht="15.75" customHeight="1" x14ac:dyDescent="0.2">
      <c r="E1190" s="18">
        <v>43733</v>
      </c>
      <c r="F1190" s="19">
        <v>42.2</v>
      </c>
      <c r="G1190" s="20">
        <v>4364300</v>
      </c>
      <c r="H1190" s="21" t="s">
        <v>59</v>
      </c>
      <c r="I1190" s="21">
        <f>(Акции!$F1190-F1189)/F1189</f>
        <v>-3.0711079612566845E-3</v>
      </c>
    </row>
    <row r="1191" spans="5:9" ht="15.75" customHeight="1" x14ac:dyDescent="0.2">
      <c r="E1191" s="18">
        <v>43734</v>
      </c>
      <c r="F1191" s="19">
        <v>42.35</v>
      </c>
      <c r="G1191" s="20">
        <v>5157500</v>
      </c>
      <c r="H1191" s="21" t="s">
        <v>59</v>
      </c>
      <c r="I1191" s="21">
        <f>(Акции!$F1191-F1190)/F1190</f>
        <v>3.5545023696682125E-3</v>
      </c>
    </row>
    <row r="1192" spans="5:9" ht="15.75" customHeight="1" x14ac:dyDescent="0.2">
      <c r="E1192" s="18">
        <v>43735</v>
      </c>
      <c r="F1192" s="19">
        <v>40.31</v>
      </c>
      <c r="G1192" s="20">
        <v>10846000</v>
      </c>
      <c r="H1192" s="21" t="s">
        <v>59</v>
      </c>
      <c r="I1192" s="21">
        <f>(Акции!$F1192-F1191)/F1191</f>
        <v>-4.8170011806375423E-2</v>
      </c>
    </row>
    <row r="1193" spans="5:9" ht="15.75" customHeight="1" x14ac:dyDescent="0.2">
      <c r="E1193" s="18">
        <v>43738</v>
      </c>
      <c r="F1193" s="19">
        <v>40.69</v>
      </c>
      <c r="G1193" s="20">
        <v>8016300</v>
      </c>
      <c r="H1193" s="21" t="s">
        <v>59</v>
      </c>
      <c r="I1193" s="21">
        <f>(Акции!$F1193-F1192)/F1192</f>
        <v>9.4269412056560507E-3</v>
      </c>
    </row>
    <row r="1194" spans="5:9" ht="15.75" customHeight="1" x14ac:dyDescent="0.2">
      <c r="E1194" s="18">
        <v>43739</v>
      </c>
      <c r="F1194" s="19">
        <v>40.24</v>
      </c>
      <c r="G1194" s="20">
        <v>6121400</v>
      </c>
      <c r="H1194" s="21" t="s">
        <v>59</v>
      </c>
      <c r="I1194" s="21">
        <f>(Акции!$F1194-F1193)/F1193</f>
        <v>-1.1059228311624373E-2</v>
      </c>
    </row>
    <row r="1195" spans="5:9" ht="15.75" customHeight="1" x14ac:dyDescent="0.2">
      <c r="E1195" s="18">
        <v>43740</v>
      </c>
      <c r="F1195" s="19">
        <v>39.15</v>
      </c>
      <c r="G1195" s="20">
        <v>8009800</v>
      </c>
      <c r="H1195" s="21" t="s">
        <v>59</v>
      </c>
      <c r="I1195" s="21">
        <f>(Акции!$F1195-F1194)/F1194</f>
        <v>-2.708747514910545E-2</v>
      </c>
    </row>
    <row r="1196" spans="5:9" ht="15.75" customHeight="1" x14ac:dyDescent="0.2">
      <c r="E1196" s="18">
        <v>43741</v>
      </c>
      <c r="F1196" s="19">
        <v>39.75</v>
      </c>
      <c r="G1196" s="20">
        <v>5459000</v>
      </c>
      <c r="H1196" s="21" t="s">
        <v>59</v>
      </c>
      <c r="I1196" s="21">
        <f>(Акции!$F1196-F1195)/F1195</f>
        <v>1.5325670498084329E-2</v>
      </c>
    </row>
    <row r="1197" spans="5:9" ht="15.75" customHeight="1" x14ac:dyDescent="0.2">
      <c r="E1197" s="18">
        <v>43742</v>
      </c>
      <c r="F1197" s="19">
        <v>40.53</v>
      </c>
      <c r="G1197" s="20">
        <v>6229600</v>
      </c>
      <c r="H1197" s="21" t="s">
        <v>59</v>
      </c>
      <c r="I1197" s="21">
        <f>(Акции!$F1197-F1196)/F1196</f>
        <v>1.9622641509433991E-2</v>
      </c>
    </row>
    <row r="1198" spans="5:9" ht="15.75" customHeight="1" x14ac:dyDescent="0.2">
      <c r="E1198" s="18">
        <v>43745</v>
      </c>
      <c r="F1198" s="19">
        <v>40.35</v>
      </c>
      <c r="G1198" s="20">
        <v>3601500</v>
      </c>
      <c r="H1198" s="21" t="s">
        <v>59</v>
      </c>
      <c r="I1198" s="21">
        <f>(Акции!$F1198-F1197)/F1197</f>
        <v>-4.4411547002220506E-3</v>
      </c>
    </row>
    <row r="1199" spans="5:9" ht="15.75" customHeight="1" x14ac:dyDescent="0.2">
      <c r="E1199" s="18">
        <v>43746</v>
      </c>
      <c r="F1199" s="19">
        <v>37.869999999999997</v>
      </c>
      <c r="G1199" s="20">
        <v>19410700</v>
      </c>
      <c r="H1199" s="21" t="s">
        <v>59</v>
      </c>
      <c r="I1199" s="21">
        <f>(Акции!$F1199-F1198)/F1198</f>
        <v>-6.1462205700124013E-2</v>
      </c>
    </row>
    <row r="1200" spans="5:9" ht="15.75" customHeight="1" x14ac:dyDescent="0.2">
      <c r="E1200" s="18">
        <v>43747</v>
      </c>
      <c r="F1200" s="19">
        <v>38.61</v>
      </c>
      <c r="G1200" s="20">
        <v>8593300</v>
      </c>
      <c r="H1200" s="21" t="s">
        <v>59</v>
      </c>
      <c r="I1200" s="21">
        <f>(Акции!$F1200-F1199)/F1199</f>
        <v>1.9540533403749723E-2</v>
      </c>
    </row>
    <row r="1201" spans="5:9" ht="15.75" customHeight="1" x14ac:dyDescent="0.2">
      <c r="E1201" s="18">
        <v>43748</v>
      </c>
      <c r="F1201" s="19">
        <v>37.979999999999997</v>
      </c>
      <c r="G1201" s="20">
        <v>17235800</v>
      </c>
      <c r="H1201" s="21" t="s">
        <v>59</v>
      </c>
      <c r="I1201" s="21">
        <f>(Акции!$F1201-F1200)/F1200</f>
        <v>-1.6317016317016382E-2</v>
      </c>
    </row>
    <row r="1202" spans="5:9" ht="15.75" customHeight="1" x14ac:dyDescent="0.2">
      <c r="E1202" s="18">
        <v>43749</v>
      </c>
      <c r="F1202" s="19">
        <v>38.229999999999997</v>
      </c>
      <c r="G1202" s="20">
        <v>16058100</v>
      </c>
      <c r="H1202" s="21" t="s">
        <v>59</v>
      </c>
      <c r="I1202" s="21">
        <f>(Акции!$F1202-F1201)/F1201</f>
        <v>6.5824117956819386E-3</v>
      </c>
    </row>
    <row r="1203" spans="5:9" ht="15.75" customHeight="1" x14ac:dyDescent="0.2">
      <c r="E1203" s="18">
        <v>43752</v>
      </c>
      <c r="F1203" s="19">
        <v>37.97</v>
      </c>
      <c r="G1203" s="20">
        <v>5479900</v>
      </c>
      <c r="H1203" s="21" t="s">
        <v>59</v>
      </c>
      <c r="I1203" s="21">
        <f>(Акции!$F1203-F1202)/F1202</f>
        <v>-6.8009416688464041E-3</v>
      </c>
    </row>
    <row r="1204" spans="5:9" ht="15.75" customHeight="1" x14ac:dyDescent="0.2">
      <c r="E1204" s="18">
        <v>43753</v>
      </c>
      <c r="F1204" s="19">
        <v>38.46</v>
      </c>
      <c r="G1204" s="20">
        <v>10241400</v>
      </c>
      <c r="H1204" s="21" t="s">
        <v>59</v>
      </c>
      <c r="I1204" s="21">
        <f>(Акции!$F1204-F1203)/F1203</f>
        <v>1.2904924940742744E-2</v>
      </c>
    </row>
    <row r="1205" spans="5:9" ht="15.75" customHeight="1" x14ac:dyDescent="0.2">
      <c r="E1205" s="18">
        <v>43754</v>
      </c>
      <c r="F1205" s="19">
        <v>38.18</v>
      </c>
      <c r="G1205" s="20">
        <v>14814100</v>
      </c>
      <c r="H1205" s="21" t="s">
        <v>59</v>
      </c>
      <c r="I1205" s="21">
        <f>(Акции!$F1205-F1204)/F1204</f>
        <v>-7.2802912116484951E-3</v>
      </c>
    </row>
    <row r="1206" spans="5:9" ht="15.75" customHeight="1" x14ac:dyDescent="0.2">
      <c r="E1206" s="18">
        <v>43755</v>
      </c>
      <c r="F1206" s="19">
        <v>38.17</v>
      </c>
      <c r="G1206" s="20">
        <v>6319400</v>
      </c>
      <c r="H1206" s="21" t="s">
        <v>59</v>
      </c>
      <c r="I1206" s="21">
        <f>(Акции!$F1206-F1205)/F1205</f>
        <v>-2.6191723415395525E-4</v>
      </c>
    </row>
    <row r="1207" spans="5:9" ht="15.75" customHeight="1" x14ac:dyDescent="0.2">
      <c r="E1207" s="18">
        <v>43756</v>
      </c>
      <c r="F1207" s="19">
        <v>38.47</v>
      </c>
      <c r="G1207" s="20">
        <v>10584800</v>
      </c>
      <c r="H1207" s="21" t="s">
        <v>59</v>
      </c>
      <c r="I1207" s="21">
        <f>(Акции!$F1207-F1206)/F1206</f>
        <v>7.8595755829184467E-3</v>
      </c>
    </row>
    <row r="1208" spans="5:9" ht="15.75" customHeight="1" x14ac:dyDescent="0.2">
      <c r="E1208" s="18">
        <v>43759</v>
      </c>
      <c r="F1208" s="19">
        <v>38.65</v>
      </c>
      <c r="G1208" s="20">
        <v>8590100</v>
      </c>
      <c r="H1208" s="21" t="s">
        <v>59</v>
      </c>
      <c r="I1208" s="21">
        <f>(Акции!$F1208-F1207)/F1207</f>
        <v>4.6789706264621714E-3</v>
      </c>
    </row>
    <row r="1209" spans="5:9" ht="15.75" customHeight="1" x14ac:dyDescent="0.2">
      <c r="E1209" s="18">
        <v>43760</v>
      </c>
      <c r="F1209" s="19">
        <v>38.18</v>
      </c>
      <c r="G1209" s="20">
        <v>9707000</v>
      </c>
      <c r="H1209" s="21" t="s">
        <v>59</v>
      </c>
      <c r="I1209" s="21">
        <f>(Акции!$F1209-F1208)/F1208</f>
        <v>-1.2160413971539427E-2</v>
      </c>
    </row>
    <row r="1210" spans="5:9" ht="15.75" customHeight="1" x14ac:dyDescent="0.2">
      <c r="E1210" s="18">
        <v>43761</v>
      </c>
      <c r="F1210" s="19">
        <v>40.090000000000003</v>
      </c>
      <c r="G1210" s="20">
        <v>21256800</v>
      </c>
      <c r="H1210" s="21" t="s">
        <v>59</v>
      </c>
      <c r="I1210" s="21">
        <f>(Акции!$F1210-F1209)/F1209</f>
        <v>5.0026191723415499E-2</v>
      </c>
    </row>
    <row r="1211" spans="5:9" ht="15.75" customHeight="1" x14ac:dyDescent="0.2">
      <c r="E1211" s="18">
        <v>43762</v>
      </c>
      <c r="F1211" s="19">
        <v>40.54</v>
      </c>
      <c r="G1211" s="20">
        <v>10727900</v>
      </c>
      <c r="H1211" s="21" t="s">
        <v>59</v>
      </c>
      <c r="I1211" s="21">
        <f>(Акции!$F1211-F1210)/F1210</f>
        <v>1.122474432526804E-2</v>
      </c>
    </row>
    <row r="1212" spans="5:9" ht="15.75" customHeight="1" x14ac:dyDescent="0.2">
      <c r="E1212" s="18">
        <v>43763</v>
      </c>
      <c r="F1212" s="19">
        <v>40.85</v>
      </c>
      <c r="G1212" s="20">
        <v>6549000</v>
      </c>
      <c r="H1212" s="21" t="s">
        <v>59</v>
      </c>
      <c r="I1212" s="21">
        <f>(Акции!$F1212-F1211)/F1211</f>
        <v>7.6467686235817036E-3</v>
      </c>
    </row>
    <row r="1213" spans="5:9" ht="15.75" customHeight="1" x14ac:dyDescent="0.2">
      <c r="E1213" s="18">
        <v>43766</v>
      </c>
      <c r="F1213" s="19">
        <v>41.57</v>
      </c>
      <c r="G1213" s="20">
        <v>6527800</v>
      </c>
      <c r="H1213" s="21" t="s">
        <v>59</v>
      </c>
      <c r="I1213" s="21">
        <f>(Акции!$F1213-F1212)/F1212</f>
        <v>1.7625458996327999E-2</v>
      </c>
    </row>
    <row r="1214" spans="5:9" ht="15.75" customHeight="1" x14ac:dyDescent="0.2">
      <c r="E1214" s="18">
        <v>43767</v>
      </c>
      <c r="F1214" s="19">
        <v>41.75</v>
      </c>
      <c r="G1214" s="20">
        <v>4831300</v>
      </c>
      <c r="H1214" s="21" t="s">
        <v>59</v>
      </c>
      <c r="I1214" s="21">
        <f>(Акции!$F1214-F1213)/F1213</f>
        <v>4.3300457060380009E-3</v>
      </c>
    </row>
    <row r="1215" spans="5:9" ht="15.75" customHeight="1" x14ac:dyDescent="0.2">
      <c r="E1215" s="18">
        <v>43768</v>
      </c>
      <c r="F1215" s="19">
        <v>42.01</v>
      </c>
      <c r="G1215" s="20">
        <v>4275000</v>
      </c>
      <c r="H1215" s="21" t="s">
        <v>59</v>
      </c>
      <c r="I1215" s="21">
        <f>(Акции!$F1215-F1214)/F1214</f>
        <v>6.2275449101795929E-3</v>
      </c>
    </row>
    <row r="1216" spans="5:9" ht="15.75" customHeight="1" x14ac:dyDescent="0.2">
      <c r="E1216" s="18">
        <v>43769</v>
      </c>
      <c r="F1216" s="19">
        <v>41.7</v>
      </c>
      <c r="G1216" s="20">
        <v>5321700</v>
      </c>
      <c r="H1216" s="21" t="s">
        <v>59</v>
      </c>
      <c r="I1216" s="21">
        <f>(Акции!$F1216-F1215)/F1215</f>
        <v>-7.3791954296594901E-3</v>
      </c>
    </row>
    <row r="1217" spans="5:9" ht="15.75" customHeight="1" x14ac:dyDescent="0.2">
      <c r="E1217" s="18">
        <v>43770</v>
      </c>
      <c r="F1217" s="19">
        <v>41.51</v>
      </c>
      <c r="G1217" s="20">
        <v>7382400</v>
      </c>
      <c r="H1217" s="21" t="s">
        <v>59</v>
      </c>
      <c r="I1217" s="21">
        <f>(Акции!$F1217-F1216)/F1216</f>
        <v>-4.5563549160672614E-3</v>
      </c>
    </row>
    <row r="1218" spans="5:9" ht="15.75" customHeight="1" x14ac:dyDescent="0.2">
      <c r="E1218" s="18">
        <v>43773</v>
      </c>
      <c r="F1218" s="19">
        <v>40.98</v>
      </c>
      <c r="G1218" s="20">
        <v>6187200</v>
      </c>
      <c r="H1218" s="21" t="s">
        <v>59</v>
      </c>
      <c r="I1218" s="21">
        <f>(Акции!$F1218-F1217)/F1217</f>
        <v>-1.2768007708985814E-2</v>
      </c>
    </row>
    <row r="1219" spans="5:9" ht="15.75" customHeight="1" x14ac:dyDescent="0.2">
      <c r="E1219" s="18">
        <v>43774</v>
      </c>
      <c r="F1219" s="19">
        <v>40.590000000000003</v>
      </c>
      <c r="G1219" s="20">
        <v>5801200</v>
      </c>
      <c r="H1219" s="21" t="s">
        <v>59</v>
      </c>
      <c r="I1219" s="21">
        <f>(Акции!$F1219-F1218)/F1218</f>
        <v>-9.5168374816982301E-3</v>
      </c>
    </row>
    <row r="1220" spans="5:9" ht="15.75" customHeight="1" x14ac:dyDescent="0.2">
      <c r="E1220" s="18">
        <v>43775</v>
      </c>
      <c r="F1220" s="19">
        <v>40.72</v>
      </c>
      <c r="G1220" s="20">
        <v>4296000</v>
      </c>
      <c r="H1220" s="21" t="s">
        <v>59</v>
      </c>
      <c r="I1220" s="21">
        <f>(Акции!$F1220-F1219)/F1219</f>
        <v>3.2027593003201636E-3</v>
      </c>
    </row>
    <row r="1221" spans="5:9" ht="15.75" customHeight="1" x14ac:dyDescent="0.2">
      <c r="E1221" s="18">
        <v>43776</v>
      </c>
      <c r="F1221" s="19">
        <v>40.72</v>
      </c>
      <c r="G1221" s="20">
        <v>4586100</v>
      </c>
      <c r="H1221" s="21" t="s">
        <v>59</v>
      </c>
      <c r="I1221" s="21">
        <f>(Акции!$F1221-F1220)/F1220</f>
        <v>0</v>
      </c>
    </row>
    <row r="1222" spans="5:9" ht="15.75" customHeight="1" x14ac:dyDescent="0.2">
      <c r="E1222" s="18">
        <v>43777</v>
      </c>
      <c r="F1222" s="19">
        <v>40.51</v>
      </c>
      <c r="G1222" s="20">
        <v>3235600</v>
      </c>
      <c r="H1222" s="21" t="s">
        <v>59</v>
      </c>
      <c r="I1222" s="21">
        <f>(Акции!$F1222-F1221)/F1221</f>
        <v>-5.157170923379196E-3</v>
      </c>
    </row>
    <row r="1223" spans="5:9" ht="15.75" customHeight="1" x14ac:dyDescent="0.2">
      <c r="E1223" s="18">
        <v>43780</v>
      </c>
      <c r="F1223" s="19">
        <v>40.17</v>
      </c>
      <c r="G1223" s="20">
        <v>5199700</v>
      </c>
      <c r="H1223" s="21" t="s">
        <v>59</v>
      </c>
      <c r="I1223" s="21">
        <f>(Акции!$F1223-F1222)/F1222</f>
        <v>-8.3929893853368631E-3</v>
      </c>
    </row>
    <row r="1224" spans="5:9" ht="15.75" customHeight="1" x14ac:dyDescent="0.2">
      <c r="E1224" s="18">
        <v>43781</v>
      </c>
      <c r="F1224" s="19">
        <v>41.22</v>
      </c>
      <c r="G1224" s="20">
        <v>7076700</v>
      </c>
      <c r="H1224" s="21" t="s">
        <v>59</v>
      </c>
      <c r="I1224" s="21">
        <f>(Акции!$F1224-F1223)/F1223</f>
        <v>2.6138909634055192E-2</v>
      </c>
    </row>
    <row r="1225" spans="5:9" ht="15.75" customHeight="1" x14ac:dyDescent="0.2">
      <c r="E1225" s="18">
        <v>43782</v>
      </c>
      <c r="F1225" s="19">
        <v>41.42</v>
      </c>
      <c r="G1225" s="20">
        <v>5097400</v>
      </c>
      <c r="H1225" s="21" t="s">
        <v>59</v>
      </c>
      <c r="I1225" s="21">
        <f>(Акции!$F1225-F1224)/F1224</f>
        <v>4.8520135856381088E-3</v>
      </c>
    </row>
    <row r="1226" spans="5:9" ht="15.75" customHeight="1" x14ac:dyDescent="0.2">
      <c r="E1226" s="18">
        <v>43783</v>
      </c>
      <c r="F1226" s="19">
        <v>41.57</v>
      </c>
      <c r="G1226" s="20">
        <v>4674500</v>
      </c>
      <c r="H1226" s="21" t="s">
        <v>59</v>
      </c>
      <c r="I1226" s="21">
        <f>(Акции!$F1226-F1225)/F1225</f>
        <v>3.6214389183968753E-3</v>
      </c>
    </row>
    <row r="1227" spans="5:9" ht="15.75" customHeight="1" x14ac:dyDescent="0.2">
      <c r="E1227" s="18">
        <v>43784</v>
      </c>
      <c r="F1227" s="19">
        <v>42.31</v>
      </c>
      <c r="G1227" s="20">
        <v>7513700</v>
      </c>
      <c r="H1227" s="21" t="s">
        <v>59</v>
      </c>
      <c r="I1227" s="21">
        <f>(Акции!$F1227-F1226)/F1226</f>
        <v>1.7801299013711858E-2</v>
      </c>
    </row>
    <row r="1228" spans="5:9" ht="15.75" customHeight="1" x14ac:dyDescent="0.2">
      <c r="E1228" s="18">
        <v>43787</v>
      </c>
      <c r="F1228" s="19">
        <v>42.29</v>
      </c>
      <c r="G1228" s="20">
        <v>11969800</v>
      </c>
      <c r="H1228" s="21" t="s">
        <v>59</v>
      </c>
      <c r="I1228" s="21">
        <f>(Акции!$F1228-F1227)/F1227</f>
        <v>-4.7270148900976423E-4</v>
      </c>
    </row>
    <row r="1229" spans="5:9" ht="15.75" customHeight="1" x14ac:dyDescent="0.2">
      <c r="E1229" s="18">
        <v>43788</v>
      </c>
      <c r="F1229" s="19">
        <v>42.63</v>
      </c>
      <c r="G1229" s="20">
        <v>5389200</v>
      </c>
      <c r="H1229" s="21" t="s">
        <v>59</v>
      </c>
      <c r="I1229" s="21">
        <f>(Акции!$F1229-F1228)/F1228</f>
        <v>8.0397257034760805E-3</v>
      </c>
    </row>
    <row r="1230" spans="5:9" ht="15.75" customHeight="1" x14ac:dyDescent="0.2">
      <c r="E1230" s="18">
        <v>43789</v>
      </c>
      <c r="F1230" s="19">
        <v>42.61</v>
      </c>
      <c r="G1230" s="20">
        <v>5274400</v>
      </c>
      <c r="H1230" s="21" t="s">
        <v>59</v>
      </c>
      <c r="I1230" s="21">
        <f>(Акции!$F1230-F1229)/F1229</f>
        <v>-4.6915317851285775E-4</v>
      </c>
    </row>
    <row r="1231" spans="5:9" ht="15.75" customHeight="1" x14ac:dyDescent="0.2">
      <c r="E1231" s="18">
        <v>43790</v>
      </c>
      <c r="F1231" s="19">
        <v>42.36</v>
      </c>
      <c r="G1231" s="20">
        <v>3935700</v>
      </c>
      <c r="H1231" s="21" t="s">
        <v>59</v>
      </c>
      <c r="I1231" s="21">
        <f>(Акции!$F1231-F1230)/F1230</f>
        <v>-5.8671673316122979E-3</v>
      </c>
    </row>
    <row r="1232" spans="5:9" ht="15.75" customHeight="1" x14ac:dyDescent="0.2">
      <c r="E1232" s="18">
        <v>43791</v>
      </c>
      <c r="F1232" s="19">
        <v>41.85</v>
      </c>
      <c r="G1232" s="20">
        <v>5655500</v>
      </c>
      <c r="H1232" s="21" t="s">
        <v>59</v>
      </c>
      <c r="I1232" s="21">
        <f>(Акции!$F1232-F1231)/F1231</f>
        <v>-1.2039660056657178E-2</v>
      </c>
    </row>
    <row r="1233" spans="5:9" ht="15.75" customHeight="1" x14ac:dyDescent="0.2">
      <c r="E1233" s="18">
        <v>43794</v>
      </c>
      <c r="F1233" s="19">
        <v>42.85</v>
      </c>
      <c r="G1233" s="20">
        <v>5029900</v>
      </c>
      <c r="H1233" s="21" t="s">
        <v>59</v>
      </c>
      <c r="I1233" s="21">
        <f>(Акции!$F1233-F1232)/F1232</f>
        <v>2.3894862604540022E-2</v>
      </c>
    </row>
    <row r="1234" spans="5:9" ht="15.75" customHeight="1" x14ac:dyDescent="0.2">
      <c r="E1234" s="18">
        <v>43795</v>
      </c>
      <c r="F1234" s="19">
        <v>42.83</v>
      </c>
      <c r="G1234" s="20">
        <v>5847900</v>
      </c>
      <c r="H1234" s="21" t="s">
        <v>59</v>
      </c>
      <c r="I1234" s="21">
        <f>(Акции!$F1234-F1233)/F1233</f>
        <v>-4.667444574096412E-4</v>
      </c>
    </row>
    <row r="1235" spans="5:9" ht="15.75" customHeight="1" x14ac:dyDescent="0.2">
      <c r="E1235" s="18">
        <v>43796</v>
      </c>
      <c r="F1235" s="19">
        <v>43.21</v>
      </c>
      <c r="G1235" s="20">
        <v>4736000</v>
      </c>
      <c r="H1235" s="21" t="s">
        <v>59</v>
      </c>
      <c r="I1235" s="21">
        <f>(Акции!$F1235-F1234)/F1234</f>
        <v>8.8722857809946896E-3</v>
      </c>
    </row>
    <row r="1236" spans="5:9" ht="15.75" customHeight="1" x14ac:dyDescent="0.2">
      <c r="E1236" s="18">
        <v>43798</v>
      </c>
      <c r="F1236" s="19">
        <v>43.25</v>
      </c>
      <c r="G1236" s="20">
        <v>2375500</v>
      </c>
      <c r="H1236" s="21" t="s">
        <v>59</v>
      </c>
      <c r="I1236" s="21">
        <f>(Акции!$F1236-F1235)/F1235</f>
        <v>9.2571164082386366E-4</v>
      </c>
    </row>
    <row r="1237" spans="5:9" ht="15.75" customHeight="1" x14ac:dyDescent="0.2">
      <c r="E1237" s="18">
        <v>43801</v>
      </c>
      <c r="F1237" s="19">
        <v>42.72</v>
      </c>
      <c r="G1237" s="20">
        <v>4920700</v>
      </c>
      <c r="H1237" s="21" t="s">
        <v>59</v>
      </c>
      <c r="I1237" s="21">
        <f>(Акции!$F1237-F1236)/F1236</f>
        <v>-1.2254335260115634E-2</v>
      </c>
    </row>
    <row r="1238" spans="5:9" ht="15.75" customHeight="1" x14ac:dyDescent="0.2">
      <c r="E1238" s="18">
        <v>43802</v>
      </c>
      <c r="F1238" s="19">
        <v>42.61</v>
      </c>
      <c r="G1238" s="20">
        <v>3176200</v>
      </c>
      <c r="H1238" s="21" t="s">
        <v>59</v>
      </c>
      <c r="I1238" s="21">
        <f>(Акции!$F1238-F1237)/F1237</f>
        <v>-2.5749063670411853E-3</v>
      </c>
    </row>
    <row r="1239" spans="5:9" ht="15.75" customHeight="1" x14ac:dyDescent="0.2">
      <c r="E1239" s="18">
        <v>43803</v>
      </c>
      <c r="F1239" s="19">
        <v>43.01</v>
      </c>
      <c r="G1239" s="20">
        <v>3657700</v>
      </c>
      <c r="H1239" s="21" t="s">
        <v>59</v>
      </c>
      <c r="I1239" s="21">
        <f>(Акции!$F1239-F1238)/F1238</f>
        <v>9.3874677305796437E-3</v>
      </c>
    </row>
    <row r="1240" spans="5:9" ht="15.75" customHeight="1" x14ac:dyDescent="0.2">
      <c r="E1240" s="18">
        <v>43804</v>
      </c>
      <c r="F1240" s="19">
        <v>43.26</v>
      </c>
      <c r="G1240" s="20">
        <v>5409200</v>
      </c>
      <c r="H1240" s="21" t="s">
        <v>59</v>
      </c>
      <c r="I1240" s="21">
        <f>(Акции!$F1240-F1239)/F1239</f>
        <v>5.8126017205301092E-3</v>
      </c>
    </row>
    <row r="1241" spans="5:9" ht="15.75" customHeight="1" x14ac:dyDescent="0.2">
      <c r="E1241" s="18">
        <v>43805</v>
      </c>
      <c r="F1241" s="19">
        <v>44.08</v>
      </c>
      <c r="G1241" s="20">
        <v>7951400</v>
      </c>
      <c r="H1241" s="21" t="s">
        <v>59</v>
      </c>
      <c r="I1241" s="21">
        <f>(Акции!$F1241-F1240)/F1240</f>
        <v>1.8955154877484982E-2</v>
      </c>
    </row>
    <row r="1242" spans="5:9" ht="15.75" customHeight="1" x14ac:dyDescent="0.2">
      <c r="E1242" s="18">
        <v>43808</v>
      </c>
      <c r="F1242" s="19">
        <v>43.71</v>
      </c>
      <c r="G1242" s="20">
        <v>9749900</v>
      </c>
      <c r="H1242" s="21" t="s">
        <v>59</v>
      </c>
      <c r="I1242" s="21">
        <f>(Акции!$F1242-F1241)/F1241</f>
        <v>-8.3938294010888707E-3</v>
      </c>
    </row>
    <row r="1243" spans="5:9" ht="15.75" customHeight="1" x14ac:dyDescent="0.2">
      <c r="E1243" s="18">
        <v>43809</v>
      </c>
      <c r="F1243" s="19">
        <v>44.01</v>
      </c>
      <c r="G1243" s="20">
        <v>5704800</v>
      </c>
      <c r="H1243" s="21" t="s">
        <v>59</v>
      </c>
      <c r="I1243" s="21">
        <f>(Акции!$F1243-F1242)/F1242</f>
        <v>6.8634179821550484E-3</v>
      </c>
    </row>
    <row r="1244" spans="5:9" ht="15.75" customHeight="1" x14ac:dyDescent="0.2">
      <c r="E1244" s="18">
        <v>43810</v>
      </c>
      <c r="F1244" s="19">
        <v>43.82</v>
      </c>
      <c r="G1244" s="20">
        <v>5844200</v>
      </c>
      <c r="H1244" s="21" t="s">
        <v>59</v>
      </c>
      <c r="I1244" s="21">
        <f>(Акции!$F1244-F1243)/F1243</f>
        <v>-4.31720063621899E-3</v>
      </c>
    </row>
    <row r="1245" spans="5:9" ht="15.75" customHeight="1" x14ac:dyDescent="0.2">
      <c r="E1245" s="18">
        <v>43811</v>
      </c>
      <c r="F1245" s="19">
        <v>44.67</v>
      </c>
      <c r="G1245" s="20">
        <v>7023100</v>
      </c>
      <c r="H1245" s="21" t="s">
        <v>59</v>
      </c>
      <c r="I1245" s="21">
        <f>(Акции!$F1245-F1244)/F1244</f>
        <v>1.9397535371976297E-2</v>
      </c>
    </row>
    <row r="1246" spans="5:9" ht="15.75" customHeight="1" x14ac:dyDescent="0.2">
      <c r="E1246" s="18">
        <v>43812</v>
      </c>
      <c r="F1246" s="19">
        <v>45.09</v>
      </c>
      <c r="G1246" s="20">
        <v>7539000</v>
      </c>
      <c r="H1246" s="21" t="s">
        <v>59</v>
      </c>
      <c r="I1246" s="21">
        <f>(Акции!$F1246-F1245)/F1245</f>
        <v>9.4022834116857332E-3</v>
      </c>
    </row>
    <row r="1247" spans="5:9" ht="15.75" customHeight="1" x14ac:dyDescent="0.2">
      <c r="E1247" s="18">
        <v>43815</v>
      </c>
      <c r="F1247" s="19">
        <v>45.2</v>
      </c>
      <c r="G1247" s="20">
        <v>8569200</v>
      </c>
      <c r="H1247" s="21" t="s">
        <v>59</v>
      </c>
      <c r="I1247" s="21">
        <f>(Акции!$F1247-F1246)/F1246</f>
        <v>2.4395653138167979E-3</v>
      </c>
    </row>
    <row r="1248" spans="5:9" ht="15.75" customHeight="1" x14ac:dyDescent="0.2">
      <c r="E1248" s="18">
        <v>43816</v>
      </c>
      <c r="F1248" s="19">
        <v>44.75</v>
      </c>
      <c r="G1248" s="20">
        <v>9109500</v>
      </c>
      <c r="H1248" s="21" t="s">
        <v>59</v>
      </c>
      <c r="I1248" s="21">
        <f>(Акции!$F1248-F1247)/F1247</f>
        <v>-9.9557522123894428E-3</v>
      </c>
    </row>
    <row r="1249" spans="5:9" ht="15.75" customHeight="1" x14ac:dyDescent="0.2">
      <c r="E1249" s="18">
        <v>43817</v>
      </c>
      <c r="F1249" s="19">
        <v>44.74</v>
      </c>
      <c r="G1249" s="20">
        <v>4932600</v>
      </c>
      <c r="H1249" s="21" t="s">
        <v>59</v>
      </c>
      <c r="I1249" s="21">
        <f>(Акции!$F1249-F1248)/F1248</f>
        <v>-2.2346368715079354E-4</v>
      </c>
    </row>
    <row r="1250" spans="5:9" ht="15.75" customHeight="1" x14ac:dyDescent="0.2">
      <c r="E1250" s="18">
        <v>43818</v>
      </c>
      <c r="F1250" s="19">
        <v>44.83</v>
      </c>
      <c r="G1250" s="20">
        <v>6883100</v>
      </c>
      <c r="H1250" s="21" t="s">
        <v>59</v>
      </c>
      <c r="I1250" s="21">
        <f>(Акции!$F1250-F1249)/F1249</f>
        <v>2.0116227089851655E-3</v>
      </c>
    </row>
    <row r="1251" spans="5:9" ht="15.75" customHeight="1" x14ac:dyDescent="0.2">
      <c r="E1251" s="18">
        <v>43819</v>
      </c>
      <c r="F1251" s="19">
        <v>45.37</v>
      </c>
      <c r="G1251" s="20">
        <v>14231800</v>
      </c>
      <c r="H1251" s="21" t="s">
        <v>59</v>
      </c>
      <c r="I1251" s="21">
        <f>(Акции!$F1251-F1250)/F1250</f>
        <v>1.2045505242025412E-2</v>
      </c>
    </row>
    <row r="1252" spans="5:9" ht="15.75" customHeight="1" x14ac:dyDescent="0.2">
      <c r="E1252" s="18">
        <v>43822</v>
      </c>
      <c r="F1252" s="19">
        <v>45.22</v>
      </c>
      <c r="G1252" s="20">
        <v>5062100</v>
      </c>
      <c r="H1252" s="21" t="s">
        <v>59</v>
      </c>
      <c r="I1252" s="21">
        <f>(Акции!$F1252-F1251)/F1251</f>
        <v>-3.3061494379545645E-3</v>
      </c>
    </row>
    <row r="1253" spans="5:9" ht="15.75" customHeight="1" x14ac:dyDescent="0.2">
      <c r="E1253" s="18">
        <v>43823</v>
      </c>
      <c r="F1253" s="19">
        <v>45.31</v>
      </c>
      <c r="G1253" s="20">
        <v>1036800</v>
      </c>
      <c r="H1253" s="21" t="s">
        <v>59</v>
      </c>
      <c r="I1253" s="21">
        <f>(Акции!$F1253-F1252)/F1252</f>
        <v>1.9902697921274528E-3</v>
      </c>
    </row>
    <row r="1254" spans="5:9" ht="15.75" customHeight="1" x14ac:dyDescent="0.2">
      <c r="E1254" s="18">
        <v>43825</v>
      </c>
      <c r="F1254" s="19">
        <v>45.26</v>
      </c>
      <c r="G1254" s="20">
        <v>2009000</v>
      </c>
      <c r="H1254" s="21" t="s">
        <v>59</v>
      </c>
      <c r="I1254" s="21">
        <f>(Акции!$F1254-F1253)/F1253</f>
        <v>-1.1035091591261148E-3</v>
      </c>
    </row>
    <row r="1255" spans="5:9" ht="15.75" customHeight="1" x14ac:dyDescent="0.2">
      <c r="E1255" s="18">
        <v>43826</v>
      </c>
      <c r="F1255" s="19">
        <v>45.22</v>
      </c>
      <c r="G1255" s="20">
        <v>2123400</v>
      </c>
      <c r="H1255" s="21" t="s">
        <v>59</v>
      </c>
      <c r="I1255" s="21">
        <f>(Акции!$F1255-F1254)/F1254</f>
        <v>-8.8378258948296835E-4</v>
      </c>
    </row>
    <row r="1256" spans="5:9" ht="15.75" customHeight="1" x14ac:dyDescent="0.2">
      <c r="E1256" s="18">
        <v>43829</v>
      </c>
      <c r="F1256" s="19">
        <v>44.99</v>
      </c>
      <c r="G1256" s="20">
        <v>3868200</v>
      </c>
      <c r="H1256" s="21" t="s">
        <v>59</v>
      </c>
      <c r="I1256" s="21">
        <f>(Акции!$F1256-F1255)/F1255</f>
        <v>-5.086245024325451E-3</v>
      </c>
    </row>
    <row r="1257" spans="5:9" ht="15.75" customHeight="1" x14ac:dyDescent="0.2">
      <c r="E1257" s="18">
        <v>43830</v>
      </c>
      <c r="F1257" s="19">
        <v>45.22</v>
      </c>
      <c r="G1257" s="20">
        <v>3725800</v>
      </c>
      <c r="H1257" s="21" t="s">
        <v>59</v>
      </c>
      <c r="I1257" s="21">
        <f>(Акции!$F1257-F1256)/F1256</f>
        <v>5.112247166036827E-3</v>
      </c>
    </row>
    <row r="1258" spans="5:9" ht="15.75" customHeight="1" x14ac:dyDescent="0.2">
      <c r="E1258" s="18">
        <v>43832</v>
      </c>
      <c r="F1258" s="19">
        <v>45.33</v>
      </c>
      <c r="G1258" s="20">
        <v>6092400</v>
      </c>
      <c r="H1258" s="21" t="s">
        <v>59</v>
      </c>
      <c r="I1258" s="21">
        <f>(Акции!$F1258-F1257)/F1257</f>
        <v>2.4325519681556709E-3</v>
      </c>
    </row>
    <row r="1259" spans="5:9" ht="15.75" customHeight="1" x14ac:dyDescent="0.2">
      <c r="E1259" s="18">
        <v>43833</v>
      </c>
      <c r="F1259" s="19">
        <v>44.98</v>
      </c>
      <c r="G1259" s="20">
        <v>4704100</v>
      </c>
      <c r="H1259" s="21" t="s">
        <v>59</v>
      </c>
      <c r="I1259" s="21">
        <f>(Акции!$F1259-F1258)/F1258</f>
        <v>-7.7211559673505724E-3</v>
      </c>
    </row>
    <row r="1260" spans="5:9" ht="15.75" customHeight="1" x14ac:dyDescent="0.2">
      <c r="E1260" s="18">
        <v>43836</v>
      </c>
      <c r="F1260" s="19">
        <v>45.35</v>
      </c>
      <c r="G1260" s="20">
        <v>5768900</v>
      </c>
      <c r="H1260" s="21" t="s">
        <v>59</v>
      </c>
      <c r="I1260" s="21">
        <f>(Акции!$F1260-F1259)/F1259</f>
        <v>8.2258781680748013E-3</v>
      </c>
    </row>
    <row r="1261" spans="5:9" ht="15.75" customHeight="1" x14ac:dyDescent="0.2">
      <c r="E1261" s="18">
        <v>43837</v>
      </c>
      <c r="F1261" s="19">
        <v>45.4</v>
      </c>
      <c r="G1261" s="20">
        <v>4298400</v>
      </c>
      <c r="H1261" s="21" t="s">
        <v>59</v>
      </c>
      <c r="I1261" s="21">
        <f>(Акции!$F1261-F1260)/F1260</f>
        <v>1.1025358324144908E-3</v>
      </c>
    </row>
    <row r="1262" spans="5:9" ht="15.75" customHeight="1" x14ac:dyDescent="0.2">
      <c r="E1262" s="18">
        <v>43838</v>
      </c>
      <c r="F1262" s="19">
        <v>45.64</v>
      </c>
      <c r="G1262" s="20">
        <v>5071800</v>
      </c>
      <c r="H1262" s="21" t="s">
        <v>59</v>
      </c>
      <c r="I1262" s="21">
        <f>(Акции!$F1262-F1261)/F1261</f>
        <v>5.2863436123348458E-3</v>
      </c>
    </row>
    <row r="1263" spans="5:9" ht="15.75" customHeight="1" x14ac:dyDescent="0.2">
      <c r="E1263" s="18">
        <v>43839</v>
      </c>
      <c r="F1263" s="19">
        <v>45.71</v>
      </c>
      <c r="G1263" s="20">
        <v>7225800</v>
      </c>
      <c r="H1263" s="21" t="s">
        <v>59</v>
      </c>
      <c r="I1263" s="21">
        <f>(Акции!$F1263-F1262)/F1262</f>
        <v>1.5337423312883497E-3</v>
      </c>
    </row>
    <row r="1264" spans="5:9" ht="15.75" customHeight="1" x14ac:dyDescent="0.2">
      <c r="E1264" s="18">
        <v>43840</v>
      </c>
      <c r="F1264" s="19">
        <v>45.67</v>
      </c>
      <c r="G1264" s="20">
        <v>5491700</v>
      </c>
      <c r="H1264" s="21" t="s">
        <v>59</v>
      </c>
      <c r="I1264" s="21">
        <f>(Акции!$F1264-F1263)/F1263</f>
        <v>-8.7508203894113201E-4</v>
      </c>
    </row>
    <row r="1265" spans="5:9" ht="15.75" customHeight="1" x14ac:dyDescent="0.2">
      <c r="E1265" s="18">
        <v>43843</v>
      </c>
      <c r="F1265" s="19">
        <v>45.47</v>
      </c>
      <c r="G1265" s="20">
        <v>4877600</v>
      </c>
      <c r="H1265" s="21" t="s">
        <v>59</v>
      </c>
      <c r="I1265" s="21">
        <f>(Акции!$F1265-F1264)/F1264</f>
        <v>-4.3792423910664078E-3</v>
      </c>
    </row>
    <row r="1266" spans="5:9" ht="15.75" customHeight="1" x14ac:dyDescent="0.2">
      <c r="E1266" s="18">
        <v>43844</v>
      </c>
      <c r="F1266" s="19">
        <v>42.66</v>
      </c>
      <c r="G1266" s="20">
        <v>27589000</v>
      </c>
      <c r="H1266" s="21" t="s">
        <v>59</v>
      </c>
      <c r="I1266" s="21">
        <f>(Акции!$F1266-F1265)/F1265</f>
        <v>-6.1798988343963107E-2</v>
      </c>
    </row>
    <row r="1267" spans="5:9" ht="15.75" customHeight="1" x14ac:dyDescent="0.2">
      <c r="E1267" s="18">
        <v>43845</v>
      </c>
      <c r="F1267" s="19">
        <v>42.57</v>
      </c>
      <c r="G1267" s="20">
        <v>12805500</v>
      </c>
      <c r="H1267" s="21" t="s">
        <v>59</v>
      </c>
      <c r="I1267" s="21">
        <f>(Акции!$F1267-F1266)/F1266</f>
        <v>-2.1097046413501245E-3</v>
      </c>
    </row>
    <row r="1268" spans="5:9" ht="15.75" customHeight="1" x14ac:dyDescent="0.2">
      <c r="E1268" s="18">
        <v>43846</v>
      </c>
      <c r="F1268" s="19">
        <v>43.2</v>
      </c>
      <c r="G1268" s="20">
        <v>11654300</v>
      </c>
      <c r="H1268" s="21" t="s">
        <v>59</v>
      </c>
      <c r="I1268" s="21">
        <f>(Акции!$F1268-F1267)/F1267</f>
        <v>1.4799154334038115E-2</v>
      </c>
    </row>
    <row r="1269" spans="5:9" ht="15.75" customHeight="1" x14ac:dyDescent="0.2">
      <c r="E1269" s="18">
        <v>43847</v>
      </c>
      <c r="F1269" s="19">
        <v>44.28</v>
      </c>
      <c r="G1269" s="20">
        <v>15909800</v>
      </c>
      <c r="H1269" s="21" t="s">
        <v>59</v>
      </c>
      <c r="I1269" s="21">
        <f>(Акции!$F1269-F1268)/F1268</f>
        <v>2.499999999999996E-2</v>
      </c>
    </row>
    <row r="1270" spans="5:9" ht="15.75" customHeight="1" x14ac:dyDescent="0.2">
      <c r="E1270" s="18">
        <v>43851</v>
      </c>
      <c r="F1270" s="19">
        <v>44.07</v>
      </c>
      <c r="G1270" s="20">
        <v>8590000</v>
      </c>
      <c r="H1270" s="21" t="s">
        <v>59</v>
      </c>
      <c r="I1270" s="21">
        <f>(Акции!$F1270-F1269)/F1269</f>
        <v>-4.7425474254742736E-3</v>
      </c>
    </row>
    <row r="1271" spans="5:9" ht="15.75" customHeight="1" x14ac:dyDescent="0.2">
      <c r="E1271" s="18">
        <v>43852</v>
      </c>
      <c r="F1271" s="19">
        <v>44.05</v>
      </c>
      <c r="G1271" s="20">
        <v>6515200</v>
      </c>
      <c r="H1271" s="21" t="s">
        <v>59</v>
      </c>
      <c r="I1271" s="21">
        <f>(Акции!$F1271-F1270)/F1270</f>
        <v>-4.5382346267309115E-4</v>
      </c>
    </row>
    <row r="1272" spans="5:9" ht="15.75" customHeight="1" x14ac:dyDescent="0.2">
      <c r="E1272" s="18">
        <v>43853</v>
      </c>
      <c r="F1272" s="19">
        <v>43.57</v>
      </c>
      <c r="G1272" s="20">
        <v>6366700</v>
      </c>
      <c r="H1272" s="21" t="s">
        <v>59</v>
      </c>
      <c r="I1272" s="21">
        <f>(Акции!$F1272-F1271)/F1271</f>
        <v>-1.0896708286038522E-2</v>
      </c>
    </row>
    <row r="1273" spans="5:9" ht="15.75" customHeight="1" x14ac:dyDescent="0.2">
      <c r="E1273" s="18">
        <v>43854</v>
      </c>
      <c r="F1273" s="19">
        <v>43.21</v>
      </c>
      <c r="G1273" s="20">
        <v>4022300</v>
      </c>
      <c r="H1273" s="21" t="s">
        <v>59</v>
      </c>
      <c r="I1273" s="21">
        <f>(Акции!$F1273-F1272)/F1272</f>
        <v>-8.262565985770012E-3</v>
      </c>
    </row>
    <row r="1274" spans="5:9" ht="15.75" customHeight="1" x14ac:dyDescent="0.2">
      <c r="E1274" s="18">
        <v>43857</v>
      </c>
      <c r="F1274" s="19">
        <v>42.65</v>
      </c>
      <c r="G1274" s="20">
        <v>5672400</v>
      </c>
      <c r="H1274" s="21" t="s">
        <v>59</v>
      </c>
      <c r="I1274" s="21">
        <f>(Акции!$F1274-F1273)/F1273</f>
        <v>-1.2959962971534419E-2</v>
      </c>
    </row>
    <row r="1275" spans="5:9" ht="15.75" customHeight="1" x14ac:dyDescent="0.2">
      <c r="E1275" s="18">
        <v>43858</v>
      </c>
      <c r="F1275" s="19">
        <v>43.45</v>
      </c>
      <c r="G1275" s="20">
        <v>7223100</v>
      </c>
      <c r="H1275" s="21" t="s">
        <v>59</v>
      </c>
      <c r="I1275" s="21">
        <f>(Акции!$F1275-F1274)/F1274</f>
        <v>1.8757327080891072E-2</v>
      </c>
    </row>
    <row r="1276" spans="5:9" ht="15.75" customHeight="1" x14ac:dyDescent="0.2">
      <c r="E1276" s="18">
        <v>43859</v>
      </c>
      <c r="F1276" s="19">
        <v>43.95</v>
      </c>
      <c r="G1276" s="20">
        <v>6629600</v>
      </c>
      <c r="H1276" s="21" t="s">
        <v>59</v>
      </c>
      <c r="I1276" s="21">
        <f>(Акции!$F1276-F1275)/F1275</f>
        <v>1.150747986191024E-2</v>
      </c>
    </row>
    <row r="1277" spans="5:9" ht="15.75" customHeight="1" x14ac:dyDescent="0.2">
      <c r="E1277" s="18">
        <v>43860</v>
      </c>
      <c r="F1277" s="19">
        <v>43.41</v>
      </c>
      <c r="G1277" s="20">
        <v>8792500</v>
      </c>
      <c r="H1277" s="21" t="s">
        <v>59</v>
      </c>
      <c r="I1277" s="21">
        <f>(Акции!$F1277-F1276)/F1276</f>
        <v>-1.2286689419795363E-2</v>
      </c>
    </row>
    <row r="1278" spans="5:9" ht="15.75" customHeight="1" x14ac:dyDescent="0.2">
      <c r="E1278" s="18">
        <v>43861</v>
      </c>
      <c r="F1278" s="19">
        <v>41.87</v>
      </c>
      <c r="G1278" s="20">
        <v>12425000</v>
      </c>
      <c r="H1278" s="21" t="s">
        <v>59</v>
      </c>
      <c r="I1278" s="21">
        <f>(Акции!$F1278-F1277)/F1277</f>
        <v>-3.5475696844045133E-2</v>
      </c>
    </row>
    <row r="1279" spans="5:9" ht="15.75" customHeight="1" x14ac:dyDescent="0.2">
      <c r="E1279" s="18">
        <v>43864</v>
      </c>
      <c r="F1279" s="19">
        <v>42.23</v>
      </c>
      <c r="G1279" s="20">
        <v>8763400</v>
      </c>
      <c r="H1279" s="21" t="s">
        <v>59</v>
      </c>
      <c r="I1279" s="21">
        <f>(Акции!$F1279-F1278)/F1278</f>
        <v>8.5980415572008469E-3</v>
      </c>
    </row>
    <row r="1280" spans="5:9" ht="15.75" customHeight="1" x14ac:dyDescent="0.2">
      <c r="E1280" s="18">
        <v>43865</v>
      </c>
      <c r="F1280" s="19">
        <v>42.88</v>
      </c>
      <c r="G1280" s="20">
        <v>9126100</v>
      </c>
      <c r="H1280" s="21" t="s">
        <v>59</v>
      </c>
      <c r="I1280" s="21">
        <f>(Акции!$F1280-F1279)/F1279</f>
        <v>1.5391901491830588E-2</v>
      </c>
    </row>
    <row r="1281" spans="5:9" ht="15.75" customHeight="1" x14ac:dyDescent="0.2">
      <c r="E1281" s="18">
        <v>43866</v>
      </c>
      <c r="F1281" s="19">
        <v>42.62</v>
      </c>
      <c r="G1281" s="20">
        <v>13227100</v>
      </c>
      <c r="H1281" s="21" t="s">
        <v>59</v>
      </c>
      <c r="I1281" s="21">
        <f>(Акции!$F1281-F1280)/F1280</f>
        <v>-6.0634328358210145E-3</v>
      </c>
    </row>
    <row r="1282" spans="5:9" ht="15.75" customHeight="1" x14ac:dyDescent="0.2">
      <c r="E1282" s="18">
        <v>43867</v>
      </c>
      <c r="F1282" s="19">
        <v>43.01</v>
      </c>
      <c r="G1282" s="20">
        <v>6994200</v>
      </c>
      <c r="H1282" s="21" t="s">
        <v>59</v>
      </c>
      <c r="I1282" s="21">
        <f>(Акции!$F1282-F1281)/F1281</f>
        <v>9.1506335053965406E-3</v>
      </c>
    </row>
    <row r="1283" spans="5:9" ht="15.75" customHeight="1" x14ac:dyDescent="0.2">
      <c r="E1283" s="18">
        <v>43868</v>
      </c>
      <c r="F1283" s="19">
        <v>42.19</v>
      </c>
      <c r="G1283" s="20">
        <v>8381700</v>
      </c>
      <c r="H1283" s="21" t="s">
        <v>59</v>
      </c>
      <c r="I1283" s="21">
        <f>(Акции!$F1283-F1282)/F1282</f>
        <v>-1.9065333643338764E-2</v>
      </c>
    </row>
    <row r="1284" spans="5:9" ht="15.75" customHeight="1" x14ac:dyDescent="0.2">
      <c r="E1284" s="18">
        <v>43871</v>
      </c>
      <c r="F1284" s="19">
        <v>42.22</v>
      </c>
      <c r="G1284" s="20">
        <v>6151700</v>
      </c>
      <c r="H1284" s="21" t="s">
        <v>59</v>
      </c>
      <c r="I1284" s="21">
        <f>(Акции!$F1284-F1283)/F1283</f>
        <v>7.1106897369047496E-4</v>
      </c>
    </row>
    <row r="1285" spans="5:9" ht="15.75" customHeight="1" x14ac:dyDescent="0.2">
      <c r="E1285" s="18">
        <v>43872</v>
      </c>
      <c r="F1285" s="19">
        <v>42.57</v>
      </c>
      <c r="G1285" s="20">
        <v>4861100</v>
      </c>
      <c r="H1285" s="21" t="s">
        <v>59</v>
      </c>
      <c r="I1285" s="21">
        <f>(Акции!$F1285-F1284)/F1284</f>
        <v>8.2899099952629431E-3</v>
      </c>
    </row>
    <row r="1286" spans="5:9" ht="15.75" customHeight="1" x14ac:dyDescent="0.2">
      <c r="E1286" s="18">
        <v>43873</v>
      </c>
      <c r="F1286" s="19">
        <v>42.23</v>
      </c>
      <c r="G1286" s="20">
        <v>8374100</v>
      </c>
      <c r="H1286" s="21" t="s">
        <v>59</v>
      </c>
      <c r="I1286" s="21">
        <f>(Акции!$F1286-F1285)/F1285</f>
        <v>-7.986845196147601E-3</v>
      </c>
    </row>
    <row r="1287" spans="5:9" ht="15.75" customHeight="1" x14ac:dyDescent="0.2">
      <c r="E1287" s="18">
        <v>43874</v>
      </c>
      <c r="F1287" s="19">
        <v>42.18</v>
      </c>
      <c r="G1287" s="20">
        <v>6406700</v>
      </c>
      <c r="H1287" s="21" t="s">
        <v>59</v>
      </c>
      <c r="I1287" s="21">
        <f>(Акции!$F1287-F1286)/F1286</f>
        <v>-1.1839924224484291E-3</v>
      </c>
    </row>
    <row r="1288" spans="5:9" ht="15.75" customHeight="1" x14ac:dyDescent="0.2">
      <c r="E1288" s="18">
        <v>43875</v>
      </c>
      <c r="F1288" s="19">
        <v>42.31</v>
      </c>
      <c r="G1288" s="20">
        <v>7289900</v>
      </c>
      <c r="H1288" s="21" t="s">
        <v>59</v>
      </c>
      <c r="I1288" s="21">
        <f>(Акции!$F1288-F1287)/F1287</f>
        <v>3.0820293978189323E-3</v>
      </c>
    </row>
    <row r="1289" spans="5:9" ht="15.75" customHeight="1" x14ac:dyDescent="0.2">
      <c r="E1289" s="18">
        <v>43879</v>
      </c>
      <c r="F1289" s="19">
        <v>42.16</v>
      </c>
      <c r="G1289" s="20">
        <v>8024500</v>
      </c>
      <c r="H1289" s="21" t="s">
        <v>59</v>
      </c>
      <c r="I1289" s="21">
        <f>(Акции!$F1289-F1288)/F1288</f>
        <v>-3.545261167572812E-3</v>
      </c>
    </row>
    <row r="1290" spans="5:9" ht="15.75" customHeight="1" x14ac:dyDescent="0.2">
      <c r="E1290" s="18">
        <v>43880</v>
      </c>
      <c r="F1290" s="19">
        <v>43.02</v>
      </c>
      <c r="G1290" s="20">
        <v>7412000</v>
      </c>
      <c r="H1290" s="21" t="s">
        <v>59</v>
      </c>
      <c r="I1290" s="21">
        <f>(Акции!$F1290-F1289)/F1289</f>
        <v>2.0398481973434694E-2</v>
      </c>
    </row>
    <row r="1291" spans="5:9" ht="15.75" customHeight="1" x14ac:dyDescent="0.2">
      <c r="E1291" s="18">
        <v>43881</v>
      </c>
      <c r="F1291" s="19">
        <v>42.5</v>
      </c>
      <c r="G1291" s="20">
        <v>6123500</v>
      </c>
      <c r="H1291" s="21" t="s">
        <v>59</v>
      </c>
      <c r="I1291" s="21">
        <f>(Акции!$F1291-F1290)/F1290</f>
        <v>-1.2087401208740193E-2</v>
      </c>
    </row>
    <row r="1292" spans="5:9" ht="15.75" customHeight="1" x14ac:dyDescent="0.2">
      <c r="E1292" s="18">
        <v>43882</v>
      </c>
      <c r="F1292" s="19">
        <v>42.62</v>
      </c>
      <c r="G1292" s="20">
        <v>7282400</v>
      </c>
      <c r="H1292" s="21" t="s">
        <v>59</v>
      </c>
      <c r="I1292" s="21">
        <f>(Акции!$F1292-F1291)/F1291</f>
        <v>2.8235294117646458E-3</v>
      </c>
    </row>
    <row r="1293" spans="5:9" ht="15.75" customHeight="1" x14ac:dyDescent="0.2">
      <c r="E1293" s="18">
        <v>43885</v>
      </c>
      <c r="F1293" s="19">
        <v>41.08</v>
      </c>
      <c r="G1293" s="20">
        <v>6536700</v>
      </c>
      <c r="H1293" s="21" t="s">
        <v>59</v>
      </c>
      <c r="I1293" s="21">
        <f>(Акции!$F1293-F1292)/F1292</f>
        <v>-3.6133270764899091E-2</v>
      </c>
    </row>
    <row r="1294" spans="5:9" ht="15.75" customHeight="1" x14ac:dyDescent="0.2">
      <c r="E1294" s="18">
        <v>43886</v>
      </c>
      <c r="F1294" s="19">
        <v>39.909999999999997</v>
      </c>
      <c r="G1294" s="20">
        <v>8745400</v>
      </c>
      <c r="H1294" s="21" t="s">
        <v>59</v>
      </c>
      <c r="I1294" s="21">
        <f>(Акции!$F1294-F1293)/F1293</f>
        <v>-2.8481012658227892E-2</v>
      </c>
    </row>
    <row r="1295" spans="5:9" ht="15.75" customHeight="1" x14ac:dyDescent="0.2">
      <c r="E1295" s="18">
        <v>43887</v>
      </c>
      <c r="F1295" s="19">
        <v>39.39</v>
      </c>
      <c r="G1295" s="20">
        <v>10062300</v>
      </c>
      <c r="H1295" s="21" t="s">
        <v>59</v>
      </c>
      <c r="I1295" s="21">
        <f>(Акции!$F1295-F1294)/F1294</f>
        <v>-1.3029315960911954E-2</v>
      </c>
    </row>
    <row r="1296" spans="5:9" ht="15.75" customHeight="1" x14ac:dyDescent="0.2">
      <c r="E1296" s="18">
        <v>43888</v>
      </c>
      <c r="F1296" s="19">
        <v>37.92</v>
      </c>
      <c r="G1296" s="20">
        <v>15338000</v>
      </c>
      <c r="H1296" s="21" t="s">
        <v>59</v>
      </c>
      <c r="I1296" s="21">
        <f>(Акции!$F1296-F1295)/F1295</f>
        <v>-3.7319116527037288E-2</v>
      </c>
    </row>
    <row r="1297" spans="5:9" ht="15.75" customHeight="1" x14ac:dyDescent="0.2">
      <c r="E1297" s="18">
        <v>43889</v>
      </c>
      <c r="F1297" s="19">
        <v>37.39</v>
      </c>
      <c r="G1297" s="20">
        <v>19871200</v>
      </c>
      <c r="H1297" s="21" t="s">
        <v>59</v>
      </c>
      <c r="I1297" s="21">
        <f>(Акции!$F1297-F1296)/F1296</f>
        <v>-1.3976793248945176E-2</v>
      </c>
    </row>
    <row r="1298" spans="5:9" ht="15.75" customHeight="1" x14ac:dyDescent="0.2">
      <c r="E1298" s="18">
        <v>43892</v>
      </c>
      <c r="F1298" s="19">
        <v>38.270000000000003</v>
      </c>
      <c r="G1298" s="20">
        <v>14333700</v>
      </c>
      <c r="H1298" s="21" t="s">
        <v>59</v>
      </c>
      <c r="I1298" s="21">
        <f>(Акции!$F1298-F1297)/F1297</f>
        <v>2.3535704733886133E-2</v>
      </c>
    </row>
    <row r="1299" spans="5:9" ht="15.75" customHeight="1" x14ac:dyDescent="0.2">
      <c r="E1299" s="18">
        <v>43893</v>
      </c>
      <c r="F1299" s="19">
        <v>37.229999999999997</v>
      </c>
      <c r="G1299" s="20">
        <v>13875500</v>
      </c>
      <c r="H1299" s="21" t="s">
        <v>59</v>
      </c>
      <c r="I1299" s="21">
        <f>(Акции!$F1299-F1298)/F1298</f>
        <v>-2.7175333159132641E-2</v>
      </c>
    </row>
    <row r="1300" spans="5:9" ht="15.75" customHeight="1" x14ac:dyDescent="0.2">
      <c r="E1300" s="18">
        <v>43894</v>
      </c>
      <c r="F1300" s="19">
        <v>38.75</v>
      </c>
      <c r="G1300" s="20">
        <v>10112500</v>
      </c>
      <c r="H1300" s="21" t="s">
        <v>59</v>
      </c>
      <c r="I1300" s="21">
        <f>(Акции!$F1300-F1299)/F1299</f>
        <v>4.0827289820037693E-2</v>
      </c>
    </row>
    <row r="1301" spans="5:9" ht="15.75" customHeight="1" x14ac:dyDescent="0.2">
      <c r="E1301" s="18">
        <v>43895</v>
      </c>
      <c r="F1301" s="19">
        <v>37.46</v>
      </c>
      <c r="G1301" s="20">
        <v>20434800</v>
      </c>
      <c r="H1301" s="21" t="s">
        <v>59</v>
      </c>
      <c r="I1301" s="21">
        <f>(Акции!$F1301-F1300)/F1300</f>
        <v>-3.329032258064514E-2</v>
      </c>
    </row>
    <row r="1302" spans="5:9" ht="15.75" customHeight="1" x14ac:dyDescent="0.2">
      <c r="E1302" s="18">
        <v>43896</v>
      </c>
      <c r="F1302" s="19">
        <v>37.6</v>
      </c>
      <c r="G1302" s="20">
        <v>17949100</v>
      </c>
      <c r="H1302" s="21" t="s">
        <v>59</v>
      </c>
      <c r="I1302" s="21">
        <f>(Акции!$F1302-F1301)/F1301</f>
        <v>3.7373198077949965E-3</v>
      </c>
    </row>
    <row r="1303" spans="5:9" ht="15.75" customHeight="1" x14ac:dyDescent="0.2">
      <c r="E1303" s="18">
        <v>43899</v>
      </c>
      <c r="F1303" s="19">
        <v>34.090000000000003</v>
      </c>
      <c r="G1303" s="20">
        <v>15378700</v>
      </c>
      <c r="H1303" s="21" t="s">
        <v>59</v>
      </c>
      <c r="I1303" s="21">
        <f>(Акции!$F1303-F1302)/F1302</f>
        <v>-9.3351063829787181E-2</v>
      </c>
    </row>
    <row r="1304" spans="5:9" ht="15.75" customHeight="1" x14ac:dyDescent="0.2">
      <c r="E1304" s="18">
        <v>43900</v>
      </c>
      <c r="F1304" s="19">
        <v>35.18</v>
      </c>
      <c r="G1304" s="20">
        <v>13372200</v>
      </c>
      <c r="H1304" s="21" t="s">
        <v>59</v>
      </c>
      <c r="I1304" s="21">
        <f>(Акции!$F1304-F1303)/F1303</f>
        <v>3.1974185978292644E-2</v>
      </c>
    </row>
    <row r="1305" spans="5:9" ht="15.75" customHeight="1" x14ac:dyDescent="0.2">
      <c r="E1305" s="18">
        <v>43901</v>
      </c>
      <c r="F1305" s="19">
        <v>33.86</v>
      </c>
      <c r="G1305" s="20">
        <v>20113200</v>
      </c>
      <c r="H1305" s="21" t="s">
        <v>59</v>
      </c>
      <c r="I1305" s="21">
        <f>(Акции!$F1305-F1304)/F1304</f>
        <v>-3.7521318931210926E-2</v>
      </c>
    </row>
    <row r="1306" spans="5:9" ht="15.75" customHeight="1" x14ac:dyDescent="0.2">
      <c r="E1306" s="18">
        <v>43902</v>
      </c>
      <c r="F1306" s="19">
        <v>31</v>
      </c>
      <c r="G1306" s="20">
        <v>23545300</v>
      </c>
      <c r="H1306" s="21" t="s">
        <v>59</v>
      </c>
      <c r="I1306" s="21">
        <f>(Акции!$F1306-F1305)/F1305</f>
        <v>-8.4465445953927923E-2</v>
      </c>
    </row>
    <row r="1307" spans="5:9" ht="15.75" customHeight="1" x14ac:dyDescent="0.2">
      <c r="E1307" s="18">
        <v>43903</v>
      </c>
      <c r="F1307" s="19">
        <v>32.33</v>
      </c>
      <c r="G1307" s="20">
        <v>17420900</v>
      </c>
      <c r="H1307" s="21" t="s">
        <v>59</v>
      </c>
      <c r="I1307" s="21">
        <f>(Акции!$F1307-F1306)/F1306</f>
        <v>4.2903225806451555E-2</v>
      </c>
    </row>
    <row r="1308" spans="5:9" ht="15.75" customHeight="1" x14ac:dyDescent="0.2">
      <c r="E1308" s="18">
        <v>43906</v>
      </c>
      <c r="F1308" s="19">
        <v>27.55</v>
      </c>
      <c r="G1308" s="20">
        <v>17232100</v>
      </c>
      <c r="H1308" s="21" t="s">
        <v>59</v>
      </c>
      <c r="I1308" s="21">
        <f>(Акции!$F1308-F1307)/F1307</f>
        <v>-0.1478502938447262</v>
      </c>
    </row>
    <row r="1309" spans="5:9" ht="15.75" customHeight="1" x14ac:dyDescent="0.2">
      <c r="E1309" s="18">
        <v>43907</v>
      </c>
      <c r="F1309" s="19">
        <v>28.79</v>
      </c>
      <c r="G1309" s="20">
        <v>18097200</v>
      </c>
      <c r="H1309" s="21" t="s">
        <v>59</v>
      </c>
      <c r="I1309" s="21">
        <f>(Акции!$F1309-F1308)/F1308</f>
        <v>4.5009074410163281E-2</v>
      </c>
    </row>
    <row r="1310" spans="5:9" ht="15.75" customHeight="1" x14ac:dyDescent="0.2">
      <c r="E1310" s="18">
        <v>43908</v>
      </c>
      <c r="F1310" s="19">
        <v>27.24</v>
      </c>
      <c r="G1310" s="20">
        <v>18167500</v>
      </c>
      <c r="H1310" s="21" t="s">
        <v>59</v>
      </c>
      <c r="I1310" s="21">
        <f>(Акции!$F1310-F1309)/F1309</f>
        <v>-5.3838138242445321E-2</v>
      </c>
    </row>
    <row r="1311" spans="5:9" ht="15.75" customHeight="1" x14ac:dyDescent="0.2">
      <c r="E1311" s="18">
        <v>43909</v>
      </c>
      <c r="F1311" s="19">
        <v>28.27</v>
      </c>
      <c r="G1311" s="20">
        <v>12088500</v>
      </c>
      <c r="H1311" s="21" t="s">
        <v>59</v>
      </c>
      <c r="I1311" s="21">
        <f>(Акции!$F1311-F1310)/F1310</f>
        <v>3.7812041116005918E-2</v>
      </c>
    </row>
    <row r="1312" spans="5:9" ht="15.75" customHeight="1" x14ac:dyDescent="0.2">
      <c r="E1312" s="18">
        <v>43910</v>
      </c>
      <c r="F1312" s="19">
        <v>27.24</v>
      </c>
      <c r="G1312" s="20">
        <v>11222900</v>
      </c>
      <c r="H1312" s="21" t="s">
        <v>59</v>
      </c>
      <c r="I1312" s="21">
        <f>(Акции!$F1312-F1311)/F1311</f>
        <v>-3.6434382737884727E-2</v>
      </c>
    </row>
    <row r="1313" spans="5:9" ht="15.75" customHeight="1" x14ac:dyDescent="0.2">
      <c r="E1313" s="18">
        <v>43913</v>
      </c>
      <c r="F1313" s="19">
        <v>25.83</v>
      </c>
      <c r="G1313" s="20">
        <v>17190500</v>
      </c>
      <c r="H1313" s="21" t="s">
        <v>59</v>
      </c>
      <c r="I1313" s="21">
        <f>(Акции!$F1313-F1312)/F1312</f>
        <v>-5.1762114537444941E-2</v>
      </c>
    </row>
    <row r="1314" spans="5:9" ht="15.75" customHeight="1" x14ac:dyDescent="0.2">
      <c r="E1314" s="18">
        <v>43914</v>
      </c>
      <c r="F1314" s="19">
        <v>28.22</v>
      </c>
      <c r="G1314" s="20">
        <v>16752800</v>
      </c>
      <c r="H1314" s="21" t="s">
        <v>59</v>
      </c>
      <c r="I1314" s="21">
        <f>(Акции!$F1314-F1313)/F1313</f>
        <v>9.2528068137824257E-2</v>
      </c>
    </row>
    <row r="1315" spans="5:9" ht="15.75" customHeight="1" x14ac:dyDescent="0.2">
      <c r="E1315" s="18">
        <v>43915</v>
      </c>
      <c r="F1315" s="19">
        <v>29.92</v>
      </c>
      <c r="G1315" s="20">
        <v>19681700</v>
      </c>
      <c r="H1315" s="21" t="s">
        <v>59</v>
      </c>
      <c r="I1315" s="21">
        <f>(Акции!$F1315-F1314)/F1314</f>
        <v>6.024096385542179E-2</v>
      </c>
    </row>
    <row r="1316" spans="5:9" ht="15.75" customHeight="1" x14ac:dyDescent="0.2">
      <c r="E1316" s="18">
        <v>43916</v>
      </c>
      <c r="F1316" s="19">
        <v>31.42</v>
      </c>
      <c r="G1316" s="20">
        <v>13137400</v>
      </c>
      <c r="H1316" s="21" t="s">
        <v>59</v>
      </c>
      <c r="I1316" s="21">
        <f>(Акции!$F1316-F1315)/F1315</f>
        <v>5.0133689839572192E-2</v>
      </c>
    </row>
    <row r="1317" spans="5:9" ht="15.75" customHeight="1" x14ac:dyDescent="0.2">
      <c r="E1317" s="18">
        <v>43917</v>
      </c>
      <c r="F1317" s="19">
        <v>30.61</v>
      </c>
      <c r="G1317" s="20">
        <v>11232700</v>
      </c>
      <c r="H1317" s="21" t="s">
        <v>59</v>
      </c>
      <c r="I1317" s="21">
        <f>(Акции!$F1317-F1316)/F1316</f>
        <v>-2.5779758115849847E-2</v>
      </c>
    </row>
    <row r="1318" spans="5:9" ht="15.75" customHeight="1" x14ac:dyDescent="0.2">
      <c r="E1318" s="18">
        <v>43920</v>
      </c>
      <c r="F1318" s="19">
        <v>31.64</v>
      </c>
      <c r="G1318" s="20">
        <v>12192900</v>
      </c>
      <c r="H1318" s="21" t="s">
        <v>59</v>
      </c>
      <c r="I1318" s="21">
        <f>(Акции!$F1318-F1317)/F1317</f>
        <v>3.3649134269846497E-2</v>
      </c>
    </row>
    <row r="1319" spans="5:9" ht="15.75" customHeight="1" x14ac:dyDescent="0.2">
      <c r="E1319" s="18">
        <v>43921</v>
      </c>
      <c r="F1319" s="19">
        <v>32.630000000000003</v>
      </c>
      <c r="G1319" s="20">
        <v>14174100</v>
      </c>
      <c r="H1319" s="21" t="s">
        <v>59</v>
      </c>
      <c r="I1319" s="21">
        <f>(Акции!$F1319-F1318)/F1318</f>
        <v>3.1289506953223828E-2</v>
      </c>
    </row>
    <row r="1320" spans="5:9" ht="15.75" customHeight="1" x14ac:dyDescent="0.2">
      <c r="E1320" s="18">
        <v>43922</v>
      </c>
      <c r="F1320" s="19">
        <v>30.19</v>
      </c>
      <c r="G1320" s="20">
        <v>9990600</v>
      </c>
      <c r="H1320" s="21" t="s">
        <v>59</v>
      </c>
      <c r="I1320" s="21">
        <f>(Акции!$F1320-F1319)/F1319</f>
        <v>-7.477781182960469E-2</v>
      </c>
    </row>
    <row r="1321" spans="5:9" ht="15.75" customHeight="1" x14ac:dyDescent="0.2">
      <c r="E1321" s="18">
        <v>43923</v>
      </c>
      <c r="F1321" s="19">
        <v>31.05</v>
      </c>
      <c r="G1321" s="20">
        <v>12401900</v>
      </c>
      <c r="H1321" s="21" t="s">
        <v>59</v>
      </c>
      <c r="I1321" s="21">
        <f>(Акции!$F1321-F1320)/F1320</f>
        <v>2.8486253726399451E-2</v>
      </c>
    </row>
    <row r="1322" spans="5:9" ht="15.75" customHeight="1" x14ac:dyDescent="0.2">
      <c r="E1322" s="18">
        <v>43924</v>
      </c>
      <c r="F1322" s="19">
        <v>31.17</v>
      </c>
      <c r="G1322" s="20">
        <v>10895500</v>
      </c>
      <c r="H1322" s="21" t="s">
        <v>59</v>
      </c>
      <c r="I1322" s="21">
        <f>(Акции!$F1322-F1321)/F1321</f>
        <v>3.8647342995169402E-3</v>
      </c>
    </row>
    <row r="1323" spans="5:9" ht="15.75" customHeight="1" x14ac:dyDescent="0.2">
      <c r="E1323" s="18">
        <v>43927</v>
      </c>
      <c r="F1323" s="19">
        <v>32.880000000000003</v>
      </c>
      <c r="G1323" s="20">
        <v>13647100</v>
      </c>
      <c r="H1323" s="21" t="s">
        <v>59</v>
      </c>
      <c r="I1323" s="21">
        <f>(Акции!$F1323-F1322)/F1322</f>
        <v>5.4860442733397519E-2</v>
      </c>
    </row>
    <row r="1324" spans="5:9" ht="15.75" customHeight="1" x14ac:dyDescent="0.2">
      <c r="E1324" s="18">
        <v>43928</v>
      </c>
      <c r="F1324" s="19">
        <v>33.69</v>
      </c>
      <c r="G1324" s="20">
        <v>21342400</v>
      </c>
      <c r="H1324" s="21" t="s">
        <v>59</v>
      </c>
      <c r="I1324" s="21">
        <f>(Акции!$F1324-F1323)/F1323</f>
        <v>2.4635036496350217E-2</v>
      </c>
    </row>
    <row r="1325" spans="5:9" ht="15.75" customHeight="1" x14ac:dyDescent="0.2">
      <c r="E1325" s="18">
        <v>43929</v>
      </c>
      <c r="F1325" s="19">
        <v>35.130000000000003</v>
      </c>
      <c r="G1325" s="20">
        <v>13608500</v>
      </c>
      <c r="H1325" s="21" t="s">
        <v>59</v>
      </c>
      <c r="I1325" s="21">
        <f>(Акции!$F1325-F1324)/F1324</f>
        <v>4.2742653606411544E-2</v>
      </c>
    </row>
    <row r="1326" spans="5:9" ht="15.75" customHeight="1" x14ac:dyDescent="0.2">
      <c r="E1326" s="18">
        <v>43930</v>
      </c>
      <c r="F1326" s="19">
        <v>36.83</v>
      </c>
      <c r="G1326" s="20">
        <v>19098700</v>
      </c>
      <c r="H1326" s="21" t="s">
        <v>59</v>
      </c>
      <c r="I1326" s="21">
        <f>(Акции!$F1326-F1325)/F1325</f>
        <v>4.8391688015940668E-2</v>
      </c>
    </row>
    <row r="1327" spans="5:9" ht="15.75" customHeight="1" x14ac:dyDescent="0.2">
      <c r="E1327" s="18">
        <v>43934</v>
      </c>
      <c r="F1327" s="19">
        <v>35.21</v>
      </c>
      <c r="G1327" s="20">
        <v>11990400</v>
      </c>
      <c r="H1327" s="21" t="s">
        <v>59</v>
      </c>
      <c r="I1327" s="21">
        <f>(Акции!$F1327-F1326)/F1326</f>
        <v>-4.3985881075210356E-2</v>
      </c>
    </row>
    <row r="1328" spans="5:9" ht="15.75" customHeight="1" x14ac:dyDescent="0.2">
      <c r="E1328" s="18">
        <v>43935</v>
      </c>
      <c r="F1328" s="19">
        <v>35.92</v>
      </c>
      <c r="G1328" s="20">
        <v>12337200</v>
      </c>
      <c r="H1328" s="21" t="s">
        <v>59</v>
      </c>
      <c r="I1328" s="21">
        <f>(Акции!$F1328-F1327)/F1327</f>
        <v>2.016472593013351E-2</v>
      </c>
    </row>
    <row r="1329" spans="5:9" ht="15.75" customHeight="1" x14ac:dyDescent="0.2">
      <c r="E1329" s="18">
        <v>43936</v>
      </c>
      <c r="F1329" s="19">
        <v>34.79</v>
      </c>
      <c r="G1329" s="20">
        <v>9994300</v>
      </c>
      <c r="H1329" s="21" t="s">
        <v>59</v>
      </c>
      <c r="I1329" s="21">
        <f>(Акции!$F1329-F1328)/F1328</f>
        <v>-3.1458797327394282E-2</v>
      </c>
    </row>
    <row r="1330" spans="5:9" ht="15.75" customHeight="1" x14ac:dyDescent="0.2">
      <c r="E1330" s="18">
        <v>43937</v>
      </c>
      <c r="F1330" s="19">
        <v>35.450000000000003</v>
      </c>
      <c r="G1330" s="20">
        <v>8086400</v>
      </c>
      <c r="H1330" s="21" t="s">
        <v>59</v>
      </c>
      <c r="I1330" s="21">
        <f>(Акции!$F1330-F1329)/F1329</f>
        <v>1.8970968669157911E-2</v>
      </c>
    </row>
    <row r="1331" spans="5:9" ht="15.75" customHeight="1" x14ac:dyDescent="0.2">
      <c r="E1331" s="18">
        <v>43938</v>
      </c>
      <c r="F1331" s="19">
        <v>38.29</v>
      </c>
      <c r="G1331" s="20">
        <v>19998000</v>
      </c>
      <c r="H1331" s="21" t="s">
        <v>59</v>
      </c>
      <c r="I1331" s="21">
        <f>(Акции!$F1331-F1330)/F1330</f>
        <v>8.0112834978843334E-2</v>
      </c>
    </row>
    <row r="1332" spans="5:9" ht="15.75" customHeight="1" x14ac:dyDescent="0.2">
      <c r="E1332" s="18">
        <v>43941</v>
      </c>
      <c r="F1332" s="19">
        <v>37.25</v>
      </c>
      <c r="G1332" s="20">
        <v>10392400</v>
      </c>
      <c r="H1332" s="21" t="s">
        <v>59</v>
      </c>
      <c r="I1332" s="21">
        <f>(Акции!$F1332-F1331)/F1331</f>
        <v>-2.7161138678506117E-2</v>
      </c>
    </row>
    <row r="1333" spans="5:9" ht="15.75" customHeight="1" x14ac:dyDescent="0.2">
      <c r="E1333" s="18">
        <v>43942</v>
      </c>
      <c r="F1333" s="19">
        <v>35.049999999999997</v>
      </c>
      <c r="G1333" s="20">
        <v>11514900</v>
      </c>
      <c r="H1333" s="21" t="s">
        <v>59</v>
      </c>
      <c r="I1333" s="21">
        <f>(Акции!$F1333-F1332)/F1332</f>
        <v>-5.9060402684563834E-2</v>
      </c>
    </row>
    <row r="1334" spans="5:9" ht="15.75" customHeight="1" x14ac:dyDescent="0.2">
      <c r="E1334" s="18">
        <v>43943</v>
      </c>
      <c r="F1334" s="19">
        <v>35.49</v>
      </c>
      <c r="G1334" s="20">
        <v>10398000</v>
      </c>
      <c r="H1334" s="21" t="s">
        <v>59</v>
      </c>
      <c r="I1334" s="21">
        <f>(Акции!$F1334-F1333)/F1333</f>
        <v>1.2553495007132806E-2</v>
      </c>
    </row>
    <row r="1335" spans="5:9" ht="15.75" customHeight="1" x14ac:dyDescent="0.2">
      <c r="E1335" s="18">
        <v>43944</v>
      </c>
      <c r="F1335" s="19">
        <v>36.4</v>
      </c>
      <c r="G1335" s="20">
        <v>8425200</v>
      </c>
      <c r="H1335" s="21" t="s">
        <v>59</v>
      </c>
      <c r="I1335" s="21">
        <f>(Акции!$F1335-F1334)/F1334</f>
        <v>2.5641025641025543E-2</v>
      </c>
    </row>
    <row r="1336" spans="5:9" ht="15.75" customHeight="1" x14ac:dyDescent="0.2">
      <c r="E1336" s="18">
        <v>43945</v>
      </c>
      <c r="F1336" s="19">
        <v>36.9</v>
      </c>
      <c r="G1336" s="20">
        <v>8100900</v>
      </c>
      <c r="H1336" s="21" t="s">
        <v>59</v>
      </c>
      <c r="I1336" s="21">
        <f>(Акции!$F1336-F1335)/F1335</f>
        <v>1.3736263736263736E-2</v>
      </c>
    </row>
    <row r="1337" spans="5:9" ht="15.75" customHeight="1" x14ac:dyDescent="0.2">
      <c r="E1337" s="18">
        <v>43948</v>
      </c>
      <c r="F1337" s="19">
        <v>37</v>
      </c>
      <c r="G1337" s="20">
        <v>10040400</v>
      </c>
      <c r="H1337" s="21" t="s">
        <v>59</v>
      </c>
      <c r="I1337" s="21">
        <f>(Акции!$F1337-F1336)/F1336</f>
        <v>2.7100271002710413E-3</v>
      </c>
    </row>
    <row r="1338" spans="5:9" ht="15.75" customHeight="1" x14ac:dyDescent="0.2">
      <c r="E1338" s="18">
        <v>43949</v>
      </c>
      <c r="F1338" s="19">
        <v>35.93</v>
      </c>
      <c r="G1338" s="20">
        <v>8984200</v>
      </c>
      <c r="H1338" s="21" t="s">
        <v>59</v>
      </c>
      <c r="I1338" s="21">
        <f>(Акции!$F1338-F1337)/F1337</f>
        <v>-2.8918918918918925E-2</v>
      </c>
    </row>
    <row r="1339" spans="5:9" ht="15.75" customHeight="1" x14ac:dyDescent="0.2">
      <c r="E1339" s="18">
        <v>43950</v>
      </c>
      <c r="F1339" s="19">
        <v>37.43</v>
      </c>
      <c r="G1339" s="20">
        <v>12659900</v>
      </c>
      <c r="H1339" s="21" t="s">
        <v>59</v>
      </c>
      <c r="I1339" s="21">
        <f>(Акции!$F1339-F1338)/F1338</f>
        <v>4.1747843028110215E-2</v>
      </c>
    </row>
    <row r="1340" spans="5:9" ht="15.75" customHeight="1" x14ac:dyDescent="0.2">
      <c r="E1340" s="18">
        <v>43951</v>
      </c>
      <c r="F1340" s="19">
        <v>37.479999999999997</v>
      </c>
      <c r="G1340" s="20">
        <v>11143100</v>
      </c>
      <c r="H1340" s="21" t="s">
        <v>59</v>
      </c>
      <c r="I1340" s="21">
        <f>(Акции!$F1340-F1339)/F1339</f>
        <v>1.335826876836686E-3</v>
      </c>
    </row>
    <row r="1341" spans="5:9" ht="15.75" customHeight="1" x14ac:dyDescent="0.2">
      <c r="E1341" s="18">
        <v>43952</v>
      </c>
      <c r="F1341" s="19">
        <v>35.99</v>
      </c>
      <c r="G1341" s="20">
        <v>7484800</v>
      </c>
      <c r="H1341" s="21" t="s">
        <v>59</v>
      </c>
      <c r="I1341" s="21">
        <f>(Акции!$F1341-F1340)/F1340</f>
        <v>-3.9754535752401149E-2</v>
      </c>
    </row>
    <row r="1342" spans="5:9" ht="15.75" customHeight="1" x14ac:dyDescent="0.2">
      <c r="E1342" s="18">
        <v>43955</v>
      </c>
      <c r="F1342" s="19">
        <v>35.83</v>
      </c>
      <c r="G1342" s="20">
        <v>5631400</v>
      </c>
      <c r="H1342" s="21" t="s">
        <v>59</v>
      </c>
      <c r="I1342" s="21">
        <f>(Акции!$F1342-F1341)/F1341</f>
        <v>-4.4456793553765955E-3</v>
      </c>
    </row>
    <row r="1343" spans="5:9" ht="15.75" customHeight="1" x14ac:dyDescent="0.2">
      <c r="E1343" s="18">
        <v>43956</v>
      </c>
      <c r="F1343" s="19">
        <v>36.81</v>
      </c>
      <c r="G1343" s="20">
        <v>7002200</v>
      </c>
      <c r="H1343" s="21" t="s">
        <v>59</v>
      </c>
      <c r="I1343" s="21">
        <f>(Акции!$F1343-F1342)/F1342</f>
        <v>2.7351381523862798E-2</v>
      </c>
    </row>
    <row r="1344" spans="5:9" ht="15.75" customHeight="1" x14ac:dyDescent="0.2">
      <c r="E1344" s="18">
        <v>43957</v>
      </c>
      <c r="F1344" s="19">
        <v>35.89</v>
      </c>
      <c r="G1344" s="20">
        <v>6826300</v>
      </c>
      <c r="H1344" s="21" t="s">
        <v>59</v>
      </c>
      <c r="I1344" s="21">
        <f>(Акции!$F1344-F1343)/F1343</f>
        <v>-2.499320836729154E-2</v>
      </c>
    </row>
    <row r="1345" spans="5:9" ht="15.75" customHeight="1" x14ac:dyDescent="0.2">
      <c r="E1345" s="18">
        <v>43958</v>
      </c>
      <c r="F1345" s="19">
        <v>37</v>
      </c>
      <c r="G1345" s="20">
        <v>8829200</v>
      </c>
      <c r="H1345" s="21" t="s">
        <v>59</v>
      </c>
      <c r="I1345" s="21">
        <f>(Акции!$F1345-F1344)/F1344</f>
        <v>3.0927835051546376E-2</v>
      </c>
    </row>
    <row r="1346" spans="5:9" ht="15.75" customHeight="1" x14ac:dyDescent="0.2">
      <c r="E1346" s="18">
        <v>43959</v>
      </c>
      <c r="F1346" s="19">
        <v>38.18</v>
      </c>
      <c r="G1346" s="20">
        <v>10191900</v>
      </c>
      <c r="H1346" s="21" t="s">
        <v>59</v>
      </c>
      <c r="I1346" s="21">
        <f>(Акции!$F1346-F1345)/F1345</f>
        <v>3.1891891891891885E-2</v>
      </c>
    </row>
    <row r="1347" spans="5:9" ht="15.75" customHeight="1" x14ac:dyDescent="0.2">
      <c r="E1347" s="18">
        <v>43962</v>
      </c>
      <c r="F1347" s="19">
        <v>37.78</v>
      </c>
      <c r="G1347" s="20">
        <v>7992300</v>
      </c>
      <c r="H1347" s="21" t="s">
        <v>59</v>
      </c>
      <c r="I1347" s="21">
        <f>(Акции!$F1347-F1346)/F1346</f>
        <v>-1.0476689366160256E-2</v>
      </c>
    </row>
    <row r="1348" spans="5:9" ht="15.75" customHeight="1" x14ac:dyDescent="0.2">
      <c r="E1348" s="18">
        <v>43963</v>
      </c>
      <c r="F1348" s="19">
        <v>36.979999999999997</v>
      </c>
      <c r="G1348" s="20">
        <v>8027300</v>
      </c>
      <c r="H1348" s="21" t="s">
        <v>59</v>
      </c>
      <c r="I1348" s="21">
        <f>(Акции!$F1348-F1347)/F1347</f>
        <v>-2.1175224986765596E-2</v>
      </c>
    </row>
    <row r="1349" spans="5:9" ht="15.75" customHeight="1" x14ac:dyDescent="0.2">
      <c r="E1349" s="18">
        <v>43964</v>
      </c>
      <c r="F1349" s="19">
        <v>35.770000000000003</v>
      </c>
      <c r="G1349" s="20">
        <v>8053500</v>
      </c>
      <c r="H1349" s="21" t="s">
        <v>59</v>
      </c>
      <c r="I1349" s="21">
        <f>(Акции!$F1349-F1348)/F1348</f>
        <v>-3.2720389399675337E-2</v>
      </c>
    </row>
    <row r="1350" spans="5:9" ht="15.75" customHeight="1" x14ac:dyDescent="0.2">
      <c r="E1350" s="18">
        <v>43965</v>
      </c>
      <c r="F1350" s="19">
        <v>35.5</v>
      </c>
      <c r="G1350" s="20">
        <v>6564800</v>
      </c>
      <c r="H1350" s="21" t="s">
        <v>59</v>
      </c>
      <c r="I1350" s="21">
        <f>(Акции!$F1350-F1349)/F1349</f>
        <v>-7.5482247693598858E-3</v>
      </c>
    </row>
    <row r="1351" spans="5:9" ht="15.75" customHeight="1" x14ac:dyDescent="0.2">
      <c r="E1351" s="18">
        <v>43966</v>
      </c>
      <c r="F1351" s="19">
        <v>34.83</v>
      </c>
      <c r="G1351" s="20">
        <v>10291500</v>
      </c>
      <c r="H1351" s="21" t="s">
        <v>59</v>
      </c>
      <c r="I1351" s="21">
        <f>(Акции!$F1351-F1350)/F1350</f>
        <v>-1.8873239436619765E-2</v>
      </c>
    </row>
    <row r="1352" spans="5:9" ht="15.75" customHeight="1" x14ac:dyDescent="0.2">
      <c r="E1352" s="18">
        <v>43969</v>
      </c>
      <c r="F1352" s="19">
        <v>36.42</v>
      </c>
      <c r="G1352" s="20">
        <v>13687100</v>
      </c>
      <c r="H1352" s="21" t="s">
        <v>59</v>
      </c>
      <c r="I1352" s="21">
        <f>(Акции!$F1352-F1351)/F1351</f>
        <v>4.5650301464255055E-2</v>
      </c>
    </row>
    <row r="1353" spans="5:9" ht="15.75" customHeight="1" x14ac:dyDescent="0.2">
      <c r="E1353" s="18">
        <v>43970</v>
      </c>
      <c r="F1353" s="19">
        <v>35.43</v>
      </c>
      <c r="G1353" s="20">
        <v>11366700</v>
      </c>
      <c r="H1353" s="21" t="s">
        <v>59</v>
      </c>
      <c r="I1353" s="21">
        <f>(Акции!$F1353-F1352)/F1352</f>
        <v>-2.7182866556836955E-2</v>
      </c>
    </row>
  </sheetData>
  <mergeCells count="1">
    <mergeCell ref="P12:Q12"/>
  </mergeCells>
  <pageMargins left="0.75" right="0.75" top="1" bottom="1"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5:T1224"/>
  <sheetViews>
    <sheetView workbookViewId="0">
      <selection activeCell="R12" sqref="R12"/>
    </sheetView>
  </sheetViews>
  <sheetFormatPr baseColWidth="10" defaultColWidth="12.6640625" defaultRowHeight="15" customHeight="1" x14ac:dyDescent="0.15"/>
  <cols>
    <col min="1" max="4" width="7.6640625" customWidth="1"/>
    <col min="5" max="5" width="7.83203125" customWidth="1"/>
    <col min="6" max="6" width="13" customWidth="1"/>
    <col min="7" max="7" width="8.5" customWidth="1"/>
    <col min="8" max="8" width="13.5" customWidth="1"/>
    <col min="9" max="9" width="8.5" customWidth="1"/>
    <col min="10" max="10" width="12" customWidth="1"/>
    <col min="11" max="11" width="9.1640625" customWidth="1"/>
    <col min="12" max="17" width="7.6640625" customWidth="1"/>
    <col min="18" max="18" width="16.6640625" customWidth="1"/>
    <col min="19" max="19" width="12.5" customWidth="1"/>
    <col min="20" max="26" width="7.6640625" customWidth="1"/>
  </cols>
  <sheetData>
    <row r="5" spans="5:20" x14ac:dyDescent="0.15">
      <c r="E5" s="15" t="s">
        <v>6</v>
      </c>
      <c r="F5" s="15" t="s">
        <v>75</v>
      </c>
      <c r="G5" s="15" t="s">
        <v>76</v>
      </c>
      <c r="H5" s="15" t="s">
        <v>77</v>
      </c>
      <c r="I5" s="15" t="s">
        <v>78</v>
      </c>
      <c r="J5" s="15" t="s">
        <v>79</v>
      </c>
      <c r="K5" s="15" t="s">
        <v>80</v>
      </c>
      <c r="L5" s="15" t="s">
        <v>81</v>
      </c>
    </row>
    <row r="6" spans="5:20" x14ac:dyDescent="0.2">
      <c r="E6" s="21">
        <v>1082</v>
      </c>
      <c r="F6" s="21" t="s">
        <v>82</v>
      </c>
      <c r="G6" s="21" t="s">
        <v>83</v>
      </c>
      <c r="H6" s="24" t="s">
        <v>84</v>
      </c>
      <c r="I6" s="21">
        <v>27</v>
      </c>
      <c r="J6" s="21" t="s">
        <v>85</v>
      </c>
      <c r="K6" s="21">
        <v>27042017</v>
      </c>
      <c r="L6" s="21" t="str">
        <f>RIGHT(КХЛ!$H6,4)</f>
        <v>1990</v>
      </c>
      <c r="R6">
        <f>COUNTIF(Table_2[Амплуа],"нападающий")</f>
        <v>655</v>
      </c>
      <c r="S6" s="1">
        <f>COUNTIF(КХЛ!$G$6:$G$1224,"нападающий")</f>
        <v>655</v>
      </c>
      <c r="T6" s="17" t="s">
        <v>16</v>
      </c>
    </row>
    <row r="7" spans="5:20" x14ac:dyDescent="0.2">
      <c r="E7" s="21">
        <v>649</v>
      </c>
      <c r="F7" s="21" t="s">
        <v>86</v>
      </c>
      <c r="G7" s="21" t="s">
        <v>87</v>
      </c>
      <c r="H7" s="24" t="s">
        <v>88</v>
      </c>
      <c r="I7" s="21">
        <v>17</v>
      </c>
      <c r="J7" s="21" t="s">
        <v>89</v>
      </c>
      <c r="K7" s="21">
        <v>98643275</v>
      </c>
      <c r="L7" s="21" t="str">
        <f>RIGHT(КХЛ!$H7,4)</f>
        <v>2000</v>
      </c>
      <c r="R7">
        <f>COUNTIFS(Table_2[Гражданство],"США",Table_2[Возраст],"&gt;"&amp;27)</f>
        <v>33</v>
      </c>
      <c r="S7" s="1">
        <f>COUNTIFS(КХЛ!$J$6:$J$1224,"США",КХЛ!$I$6:$I$1224,"&gt;27")</f>
        <v>33</v>
      </c>
      <c r="T7" s="17" t="s">
        <v>17</v>
      </c>
    </row>
    <row r="8" spans="5:20" x14ac:dyDescent="0.2">
      <c r="E8" s="21">
        <v>486</v>
      </c>
      <c r="F8" s="21" t="s">
        <v>90</v>
      </c>
      <c r="G8" s="21" t="s">
        <v>91</v>
      </c>
      <c r="H8" s="24" t="s">
        <v>92</v>
      </c>
      <c r="I8" s="21">
        <v>21</v>
      </c>
      <c r="J8" s="21" t="s">
        <v>93</v>
      </c>
      <c r="K8" s="21">
        <v>29479316</v>
      </c>
      <c r="L8" s="21" t="str">
        <f>RIGHT(КХЛ!$H8,4)</f>
        <v>1996</v>
      </c>
      <c r="R8">
        <f>SUMIFS(Table_2[Зарплата],Table_2[Амплуа],"защитник",Table_2[год р],"="&amp;1991)</f>
        <v>1189906451</v>
      </c>
      <c r="S8" s="1">
        <f>SUMIFS(КХЛ!$K$6:$K$1224,КХЛ!$L$6:$L$1224,"1991",КХЛ!$G$6:$G$1224,"защитник")</f>
        <v>1189906451</v>
      </c>
      <c r="T8" s="17" t="s">
        <v>18</v>
      </c>
    </row>
    <row r="9" spans="5:20" x14ac:dyDescent="0.2">
      <c r="E9" s="21">
        <v>469</v>
      </c>
      <c r="F9" s="21" t="s">
        <v>94</v>
      </c>
      <c r="G9" s="21" t="s">
        <v>83</v>
      </c>
      <c r="H9" s="24" t="s">
        <v>95</v>
      </c>
      <c r="I9" s="21">
        <v>43</v>
      </c>
      <c r="J9" s="21" t="s">
        <v>89</v>
      </c>
      <c r="K9" s="21">
        <v>46591823</v>
      </c>
      <c r="L9" s="21" t="str">
        <f>RIGHT(КХЛ!$H9,4)</f>
        <v>1974</v>
      </c>
      <c r="R9">
        <f>IF(ISERROR(AVERAGEIFS(Table_2[Зарплата],Table_2[Гражданство],"Беларусь",Table_2[Фамилия, имя],"*О")),0,AVERAGEIFS(Table_2[Зарплата],Table_2[Гражданство],"Беларусь",Table_2[Фамилия, имя],"*О"))</f>
        <v>0</v>
      </c>
      <c r="S9" s="1">
        <f>IF(ISERROR(SUMIFS(КХЛ!$K$6:$K$1224,КХЛ!$J$6:$J$1224,"Белорусь",КХЛ!$F$6:$F$1224,"О*")/COUNTIFS(КХЛ!$J$6:$J$1224,"Белорусь",КХЛ!$F$6:$F$1224,"О*")),0,SUMIFS(КХЛ!$K$6:$K$1224,КХЛ!$J$6:$J$1224,"Белорусь",КХЛ!$F$6:$F$1224,"О*")/COUNTIFS(КХЛ!$J$6:$J$1224,"Белорусь",КХЛ!$F$6:$F$1224,"О*"))</f>
        <v>0</v>
      </c>
      <c r="T9" s="17" t="s">
        <v>19</v>
      </c>
    </row>
    <row r="10" spans="5:20" x14ac:dyDescent="0.2">
      <c r="E10" s="21">
        <v>1459</v>
      </c>
      <c r="F10" s="21" t="s">
        <v>96</v>
      </c>
      <c r="G10" s="21" t="s">
        <v>91</v>
      </c>
      <c r="H10" s="24" t="s">
        <v>97</v>
      </c>
      <c r="I10" s="21">
        <v>20</v>
      </c>
      <c r="J10" s="21" t="s">
        <v>89</v>
      </c>
      <c r="K10" s="21">
        <v>80028631</v>
      </c>
      <c r="L10" s="21" t="str">
        <f>RIGHT(КХЛ!$H10,4)</f>
        <v>1997</v>
      </c>
      <c r="R10">
        <f>VLOOKUP(471,Table_2[#All],5)</f>
        <v>26</v>
      </c>
      <c r="S10" s="1">
        <f>VLOOKUP(471,КХЛ!$E$6:$L$1224,5,0)</f>
        <v>17</v>
      </c>
      <c r="T10" s="17" t="s">
        <v>20</v>
      </c>
    </row>
    <row r="11" spans="5:20" x14ac:dyDescent="0.2">
      <c r="E11" s="21">
        <v>758</v>
      </c>
      <c r="F11" s="21" t="s">
        <v>98</v>
      </c>
      <c r="G11" s="21" t="s">
        <v>87</v>
      </c>
      <c r="H11" s="24" t="s">
        <v>99</v>
      </c>
      <c r="I11" s="21">
        <v>42</v>
      </c>
      <c r="J11" s="21" t="s">
        <v>89</v>
      </c>
      <c r="K11" s="21">
        <v>32804992</v>
      </c>
      <c r="L11" s="21" t="str">
        <f>RIGHT(КХЛ!$H11,4)</f>
        <v>1975</v>
      </c>
      <c r="R11">
        <f>INDEX(Table_2[[Номер]:[Фамилия, имя]],MATCH("Лепистё Сами",Table_2[Фамилия, имя],0),1)</f>
        <v>1327</v>
      </c>
      <c r="S11" s="1">
        <v>1327</v>
      </c>
      <c r="T11" s="17" t="s">
        <v>21</v>
      </c>
    </row>
    <row r="12" spans="5:20" x14ac:dyDescent="0.2">
      <c r="E12" s="21">
        <v>383</v>
      </c>
      <c r="F12" s="21" t="s">
        <v>100</v>
      </c>
      <c r="G12" s="21" t="s">
        <v>87</v>
      </c>
      <c r="H12" s="24" t="s">
        <v>101</v>
      </c>
      <c r="I12" s="21">
        <v>40</v>
      </c>
      <c r="J12" s="21" t="s">
        <v>85</v>
      </c>
      <c r="K12" s="21">
        <v>41718079</v>
      </c>
      <c r="L12" s="21" t="str">
        <f>RIGHT(КХЛ!$H12,4)</f>
        <v>1977</v>
      </c>
    </row>
    <row r="13" spans="5:20" x14ac:dyDescent="0.2">
      <c r="E13" s="21">
        <v>546</v>
      </c>
      <c r="F13" s="21" t="s">
        <v>102</v>
      </c>
      <c r="G13" s="21" t="s">
        <v>83</v>
      </c>
      <c r="H13" s="24" t="s">
        <v>103</v>
      </c>
      <c r="I13" s="21">
        <v>28</v>
      </c>
      <c r="J13" s="21" t="s">
        <v>89</v>
      </c>
      <c r="K13" s="21">
        <v>44425683</v>
      </c>
      <c r="L13" s="21" t="str">
        <f>RIGHT(КХЛ!$H13,4)</f>
        <v>1989</v>
      </c>
    </row>
    <row r="14" spans="5:20" x14ac:dyDescent="0.2">
      <c r="E14" s="21">
        <v>692</v>
      </c>
      <c r="F14" s="21" t="s">
        <v>104</v>
      </c>
      <c r="G14" s="21" t="s">
        <v>91</v>
      </c>
      <c r="H14" s="24" t="s">
        <v>105</v>
      </c>
      <c r="I14" s="21">
        <v>30</v>
      </c>
      <c r="J14" s="21" t="s">
        <v>106</v>
      </c>
      <c r="K14" s="21">
        <v>54287802</v>
      </c>
      <c r="L14" s="21" t="str">
        <f>RIGHT(КХЛ!$H14,4)</f>
        <v>1988</v>
      </c>
    </row>
    <row r="15" spans="5:20" x14ac:dyDescent="0.2">
      <c r="E15" s="21">
        <v>1069</v>
      </c>
      <c r="F15" s="21" t="s">
        <v>107</v>
      </c>
      <c r="G15" s="21" t="s">
        <v>87</v>
      </c>
      <c r="H15" s="24" t="s">
        <v>108</v>
      </c>
      <c r="I15" s="21">
        <v>35</v>
      </c>
      <c r="J15" s="21" t="s">
        <v>106</v>
      </c>
      <c r="K15" s="21">
        <v>51495498</v>
      </c>
      <c r="L15" s="21" t="str">
        <f>RIGHT(КХЛ!$H15,4)</f>
        <v>1982</v>
      </c>
    </row>
    <row r="16" spans="5:20" x14ac:dyDescent="0.2">
      <c r="E16" s="21">
        <v>858</v>
      </c>
      <c r="F16" s="21" t="s">
        <v>109</v>
      </c>
      <c r="G16" s="21" t="s">
        <v>91</v>
      </c>
      <c r="H16" s="24" t="s">
        <v>110</v>
      </c>
      <c r="I16" s="21">
        <v>24</v>
      </c>
      <c r="J16" s="21" t="s">
        <v>89</v>
      </c>
      <c r="K16" s="21">
        <v>35984285</v>
      </c>
      <c r="L16" s="21" t="str">
        <f>RIGHT(КХЛ!$H16,4)</f>
        <v>1993</v>
      </c>
    </row>
    <row r="17" spans="5:12" x14ac:dyDescent="0.2">
      <c r="E17" s="21">
        <v>458</v>
      </c>
      <c r="F17" s="21" t="s">
        <v>111</v>
      </c>
      <c r="G17" s="21" t="s">
        <v>83</v>
      </c>
      <c r="H17" s="24" t="s">
        <v>112</v>
      </c>
      <c r="I17" s="21">
        <v>22</v>
      </c>
      <c r="J17" s="21" t="s">
        <v>89</v>
      </c>
      <c r="K17" s="21">
        <v>35547306</v>
      </c>
      <c r="L17" s="21" t="str">
        <f>RIGHT(КХЛ!$H17,4)</f>
        <v>1995</v>
      </c>
    </row>
    <row r="18" spans="5:12" x14ac:dyDescent="0.2">
      <c r="E18" s="21">
        <v>691</v>
      </c>
      <c r="F18" s="21" t="s">
        <v>113</v>
      </c>
      <c r="G18" s="21" t="s">
        <v>87</v>
      </c>
      <c r="H18" s="24" t="s">
        <v>114</v>
      </c>
      <c r="I18" s="21">
        <v>19</v>
      </c>
      <c r="J18" s="21" t="s">
        <v>89</v>
      </c>
      <c r="K18" s="21">
        <v>39149823</v>
      </c>
      <c r="L18" s="21" t="str">
        <f>RIGHT(КХЛ!$H18,4)</f>
        <v>1998</v>
      </c>
    </row>
    <row r="19" spans="5:12" x14ac:dyDescent="0.2">
      <c r="E19" s="21">
        <v>909</v>
      </c>
      <c r="F19" s="21" t="s">
        <v>115</v>
      </c>
      <c r="G19" s="21" t="s">
        <v>91</v>
      </c>
      <c r="H19" s="24" t="s">
        <v>116</v>
      </c>
      <c r="I19" s="21">
        <v>32</v>
      </c>
      <c r="J19" s="21" t="s">
        <v>117</v>
      </c>
      <c r="K19" s="21">
        <v>53569982</v>
      </c>
      <c r="L19" s="21" t="str">
        <f>RIGHT(КХЛ!$H19,4)</f>
        <v>1985</v>
      </c>
    </row>
    <row r="20" spans="5:12" x14ac:dyDescent="0.2">
      <c r="E20" s="21">
        <v>781</v>
      </c>
      <c r="F20" s="21" t="s">
        <v>118</v>
      </c>
      <c r="G20" s="21" t="s">
        <v>83</v>
      </c>
      <c r="H20" s="24" t="s">
        <v>119</v>
      </c>
      <c r="I20" s="21">
        <v>24</v>
      </c>
      <c r="J20" s="21" t="s">
        <v>89</v>
      </c>
      <c r="K20" s="21">
        <v>93214427</v>
      </c>
      <c r="L20" s="21" t="str">
        <f>RIGHT(КХЛ!$H20,4)</f>
        <v>1993</v>
      </c>
    </row>
    <row r="21" spans="5:12" ht="15.75" customHeight="1" x14ac:dyDescent="0.2">
      <c r="E21" s="21">
        <v>1707</v>
      </c>
      <c r="F21" s="21" t="s">
        <v>120</v>
      </c>
      <c r="G21" s="21" t="s">
        <v>91</v>
      </c>
      <c r="H21" s="24" t="s">
        <v>121</v>
      </c>
      <c r="I21" s="21">
        <v>36</v>
      </c>
      <c r="J21" s="21" t="s">
        <v>89</v>
      </c>
      <c r="K21" s="21">
        <v>55693005</v>
      </c>
      <c r="L21" s="21" t="str">
        <f>RIGHT(КХЛ!$H21,4)</f>
        <v>1981</v>
      </c>
    </row>
    <row r="22" spans="5:12" ht="15.75" customHeight="1" x14ac:dyDescent="0.2">
      <c r="E22" s="21">
        <v>1355</v>
      </c>
      <c r="F22" s="21" t="s">
        <v>122</v>
      </c>
      <c r="G22" s="21" t="s">
        <v>83</v>
      </c>
      <c r="H22" s="24" t="s">
        <v>123</v>
      </c>
      <c r="I22" s="21">
        <v>37</v>
      </c>
      <c r="J22" s="21" t="s">
        <v>89</v>
      </c>
      <c r="K22" s="21">
        <v>62578153</v>
      </c>
      <c r="L22" s="21" t="str">
        <f>RIGHT(КХЛ!$H22,4)</f>
        <v>1980</v>
      </c>
    </row>
    <row r="23" spans="5:12" ht="15.75" customHeight="1" x14ac:dyDescent="0.2">
      <c r="E23" s="21">
        <v>140</v>
      </c>
      <c r="F23" s="21" t="s">
        <v>124</v>
      </c>
      <c r="G23" s="21" t="s">
        <v>91</v>
      </c>
      <c r="H23" s="24" t="s">
        <v>125</v>
      </c>
      <c r="I23" s="21">
        <v>25</v>
      </c>
      <c r="J23" s="21" t="s">
        <v>89</v>
      </c>
      <c r="K23" s="21">
        <v>92997401</v>
      </c>
      <c r="L23" s="21" t="str">
        <f>RIGHT(КХЛ!$H23,4)</f>
        <v>1992</v>
      </c>
    </row>
    <row r="24" spans="5:12" ht="15.75" customHeight="1" x14ac:dyDescent="0.2">
      <c r="E24" s="21">
        <v>244</v>
      </c>
      <c r="F24" s="21" t="s">
        <v>126</v>
      </c>
      <c r="G24" s="21" t="s">
        <v>91</v>
      </c>
      <c r="H24" s="24" t="s">
        <v>127</v>
      </c>
      <c r="I24" s="21">
        <v>34</v>
      </c>
      <c r="J24" s="21" t="s">
        <v>89</v>
      </c>
      <c r="K24" s="21">
        <v>75336493</v>
      </c>
      <c r="L24" s="21" t="str">
        <f>RIGHT(КХЛ!$H24,4)</f>
        <v>1983</v>
      </c>
    </row>
    <row r="25" spans="5:12" ht="15.75" customHeight="1" x14ac:dyDescent="0.2">
      <c r="E25" s="21">
        <v>1417</v>
      </c>
      <c r="F25" s="21" t="s">
        <v>128</v>
      </c>
      <c r="G25" s="21" t="s">
        <v>91</v>
      </c>
      <c r="H25" s="24" t="s">
        <v>129</v>
      </c>
      <c r="I25" s="21">
        <v>25</v>
      </c>
      <c r="J25" s="21" t="s">
        <v>89</v>
      </c>
      <c r="K25" s="21">
        <v>59154644</v>
      </c>
      <c r="L25" s="21" t="str">
        <f>RIGHT(КХЛ!$H25,4)</f>
        <v>1992</v>
      </c>
    </row>
    <row r="26" spans="5:12" ht="15.75" customHeight="1" x14ac:dyDescent="0.2">
      <c r="E26" s="21">
        <v>384</v>
      </c>
      <c r="F26" s="21" t="s">
        <v>130</v>
      </c>
      <c r="G26" s="21" t="s">
        <v>91</v>
      </c>
      <c r="H26" s="24" t="s">
        <v>131</v>
      </c>
      <c r="I26" s="21">
        <v>32</v>
      </c>
      <c r="J26" s="21" t="s">
        <v>132</v>
      </c>
      <c r="K26" s="21">
        <v>71958616</v>
      </c>
      <c r="L26" s="21" t="str">
        <f>RIGHT(КХЛ!$H26,4)</f>
        <v>1985</v>
      </c>
    </row>
    <row r="27" spans="5:12" ht="15.75" customHeight="1" x14ac:dyDescent="0.2">
      <c r="E27" s="21">
        <v>1049</v>
      </c>
      <c r="F27" s="21" t="s">
        <v>133</v>
      </c>
      <c r="G27" s="21" t="s">
        <v>83</v>
      </c>
      <c r="H27" s="24" t="s">
        <v>134</v>
      </c>
      <c r="I27" s="21">
        <v>34</v>
      </c>
      <c r="J27" s="21" t="s">
        <v>89</v>
      </c>
      <c r="K27" s="21">
        <v>38921674</v>
      </c>
      <c r="L27" s="21" t="str">
        <f>RIGHT(КХЛ!$H27,4)</f>
        <v>1983</v>
      </c>
    </row>
    <row r="28" spans="5:12" ht="15.75" customHeight="1" x14ac:dyDescent="0.2">
      <c r="E28" s="21">
        <v>403</v>
      </c>
      <c r="F28" s="21" t="s">
        <v>135</v>
      </c>
      <c r="G28" s="21" t="s">
        <v>87</v>
      </c>
      <c r="H28" s="24" t="s">
        <v>136</v>
      </c>
      <c r="I28" s="21">
        <v>27</v>
      </c>
      <c r="J28" s="21" t="s">
        <v>89</v>
      </c>
      <c r="K28" s="21">
        <v>27521119</v>
      </c>
      <c r="L28" s="21" t="str">
        <f>RIGHT(КХЛ!$H28,4)</f>
        <v>1990</v>
      </c>
    </row>
    <row r="29" spans="5:12" ht="15.75" customHeight="1" x14ac:dyDescent="0.2">
      <c r="E29" s="21">
        <v>832</v>
      </c>
      <c r="F29" s="21" t="s">
        <v>137</v>
      </c>
      <c r="G29" s="21" t="s">
        <v>91</v>
      </c>
      <c r="H29" s="24" t="s">
        <v>138</v>
      </c>
      <c r="I29" s="21">
        <v>24</v>
      </c>
      <c r="J29" s="21" t="s">
        <v>139</v>
      </c>
      <c r="K29" s="21">
        <v>42704662</v>
      </c>
      <c r="L29" s="21" t="str">
        <f>RIGHT(КХЛ!$H29,4)</f>
        <v>1994</v>
      </c>
    </row>
    <row r="30" spans="5:12" ht="15.75" customHeight="1" x14ac:dyDescent="0.2">
      <c r="E30" s="21">
        <v>1413</v>
      </c>
      <c r="F30" s="21" t="s">
        <v>140</v>
      </c>
      <c r="G30" s="21" t="s">
        <v>91</v>
      </c>
      <c r="H30" s="24" t="s">
        <v>141</v>
      </c>
      <c r="I30" s="21">
        <v>28</v>
      </c>
      <c r="J30" s="21" t="s">
        <v>89</v>
      </c>
      <c r="K30" s="21">
        <v>36655014</v>
      </c>
      <c r="L30" s="21" t="str">
        <f>RIGHT(КХЛ!$H30,4)</f>
        <v>1989</v>
      </c>
    </row>
    <row r="31" spans="5:12" ht="15.75" customHeight="1" x14ac:dyDescent="0.2">
      <c r="E31" s="21">
        <v>1137</v>
      </c>
      <c r="F31" s="21" t="s">
        <v>142</v>
      </c>
      <c r="G31" s="21" t="s">
        <v>87</v>
      </c>
      <c r="H31" s="24" t="s">
        <v>143</v>
      </c>
      <c r="I31" s="21">
        <v>21</v>
      </c>
      <c r="J31" s="21" t="s">
        <v>89</v>
      </c>
      <c r="K31" s="21">
        <v>7606288</v>
      </c>
      <c r="L31" s="21" t="str">
        <f>RIGHT(КХЛ!$H31,4)</f>
        <v>1996</v>
      </c>
    </row>
    <row r="32" spans="5:12" ht="15.75" customHeight="1" x14ac:dyDescent="0.2">
      <c r="E32" s="21">
        <v>142</v>
      </c>
      <c r="F32" s="21" t="s">
        <v>144</v>
      </c>
      <c r="G32" s="21" t="s">
        <v>87</v>
      </c>
      <c r="H32" s="24" t="s">
        <v>145</v>
      </c>
      <c r="I32" s="21">
        <v>27</v>
      </c>
      <c r="J32" s="21" t="s">
        <v>106</v>
      </c>
      <c r="K32" s="21">
        <v>91216721</v>
      </c>
      <c r="L32" s="21" t="str">
        <f>RIGHT(КХЛ!$H32,4)</f>
        <v>1990</v>
      </c>
    </row>
    <row r="33" spans="5:12" ht="15.75" customHeight="1" x14ac:dyDescent="0.2">
      <c r="E33" s="21">
        <v>1250</v>
      </c>
      <c r="F33" s="21" t="s">
        <v>146</v>
      </c>
      <c r="G33" s="21" t="s">
        <v>91</v>
      </c>
      <c r="H33" s="24" t="s">
        <v>147</v>
      </c>
      <c r="I33" s="21">
        <v>37</v>
      </c>
      <c r="J33" s="21" t="s">
        <v>93</v>
      </c>
      <c r="K33" s="21">
        <v>45188149</v>
      </c>
      <c r="L33" s="21" t="str">
        <f>RIGHT(КХЛ!$H33,4)</f>
        <v>1980</v>
      </c>
    </row>
    <row r="34" spans="5:12" ht="15.75" customHeight="1" x14ac:dyDescent="0.2">
      <c r="E34" s="21">
        <v>748</v>
      </c>
      <c r="F34" s="21" t="s">
        <v>148</v>
      </c>
      <c r="G34" s="21" t="s">
        <v>91</v>
      </c>
      <c r="H34" s="24" t="s">
        <v>149</v>
      </c>
      <c r="I34" s="21">
        <v>29</v>
      </c>
      <c r="J34" s="21" t="s">
        <v>89</v>
      </c>
      <c r="K34" s="21">
        <v>60052618</v>
      </c>
      <c r="L34" s="21" t="str">
        <f>RIGHT(КХЛ!$H34,4)</f>
        <v>1988</v>
      </c>
    </row>
    <row r="35" spans="5:12" ht="15.75" customHeight="1" x14ac:dyDescent="0.2">
      <c r="E35" s="21">
        <v>1016</v>
      </c>
      <c r="F35" s="21" t="s">
        <v>150</v>
      </c>
      <c r="G35" s="21" t="s">
        <v>91</v>
      </c>
      <c r="H35" s="24" t="s">
        <v>151</v>
      </c>
      <c r="I35" s="21">
        <v>31</v>
      </c>
      <c r="J35" s="21" t="s">
        <v>152</v>
      </c>
      <c r="K35" s="21">
        <v>84090047</v>
      </c>
      <c r="L35" s="21" t="str">
        <f>RIGHT(КХЛ!$H35,4)</f>
        <v>1986</v>
      </c>
    </row>
    <row r="36" spans="5:12" ht="15.75" customHeight="1" x14ac:dyDescent="0.2">
      <c r="E36" s="21">
        <v>1247</v>
      </c>
      <c r="F36" s="21" t="s">
        <v>153</v>
      </c>
      <c r="G36" s="21" t="s">
        <v>87</v>
      </c>
      <c r="H36" s="24" t="s">
        <v>154</v>
      </c>
      <c r="I36" s="21">
        <v>24</v>
      </c>
      <c r="J36" s="21" t="s">
        <v>89</v>
      </c>
      <c r="K36" s="21">
        <v>37496885</v>
      </c>
      <c r="L36" s="21" t="str">
        <f>RIGHT(КХЛ!$H36,4)</f>
        <v>1993</v>
      </c>
    </row>
    <row r="37" spans="5:12" ht="15.75" customHeight="1" x14ac:dyDescent="0.2">
      <c r="E37" s="21">
        <v>1771</v>
      </c>
      <c r="F37" s="21" t="s">
        <v>155</v>
      </c>
      <c r="G37" s="21" t="s">
        <v>91</v>
      </c>
      <c r="H37" s="24" t="s">
        <v>156</v>
      </c>
      <c r="I37" s="21">
        <v>26</v>
      </c>
      <c r="J37" s="21" t="s">
        <v>89</v>
      </c>
      <c r="K37" s="21">
        <v>42033221</v>
      </c>
      <c r="L37" s="21" t="str">
        <f>RIGHT(КХЛ!$H37,4)</f>
        <v>1991</v>
      </c>
    </row>
    <row r="38" spans="5:12" ht="15.75" customHeight="1" x14ac:dyDescent="0.2">
      <c r="E38" s="21">
        <v>309</v>
      </c>
      <c r="F38" s="21" t="s">
        <v>157</v>
      </c>
      <c r="G38" s="21" t="s">
        <v>83</v>
      </c>
      <c r="H38" s="24" t="s">
        <v>158</v>
      </c>
      <c r="I38" s="21">
        <v>20</v>
      </c>
      <c r="J38" s="21" t="s">
        <v>89</v>
      </c>
      <c r="K38" s="21">
        <v>14341965</v>
      </c>
      <c r="L38" s="21" t="str">
        <f>RIGHT(КХЛ!$H38,4)</f>
        <v>1998</v>
      </c>
    </row>
    <row r="39" spans="5:12" ht="15.75" customHeight="1" x14ac:dyDescent="0.2">
      <c r="E39" s="21">
        <v>1712</v>
      </c>
      <c r="F39" s="21" t="s">
        <v>159</v>
      </c>
      <c r="G39" s="21" t="s">
        <v>91</v>
      </c>
      <c r="H39" s="24" t="s">
        <v>160</v>
      </c>
      <c r="I39" s="21">
        <v>27</v>
      </c>
      <c r="J39" s="21" t="s">
        <v>106</v>
      </c>
      <c r="K39" s="21">
        <v>47150399</v>
      </c>
      <c r="L39" s="21" t="str">
        <f>RIGHT(КХЛ!$H39,4)</f>
        <v>1990</v>
      </c>
    </row>
    <row r="40" spans="5:12" ht="15.75" customHeight="1" x14ac:dyDescent="0.2">
      <c r="E40" s="21">
        <v>1023</v>
      </c>
      <c r="F40" s="21" t="s">
        <v>161</v>
      </c>
      <c r="G40" s="21" t="s">
        <v>83</v>
      </c>
      <c r="H40" s="24" t="s">
        <v>162</v>
      </c>
      <c r="I40" s="21">
        <v>24</v>
      </c>
      <c r="J40" s="21" t="s">
        <v>89</v>
      </c>
      <c r="K40" s="21">
        <v>93556596</v>
      </c>
      <c r="L40" s="21" t="str">
        <f>RIGHT(КХЛ!$H40,4)</f>
        <v>1993</v>
      </c>
    </row>
    <row r="41" spans="5:12" ht="15.75" customHeight="1" x14ac:dyDescent="0.2">
      <c r="E41" s="21">
        <v>1695</v>
      </c>
      <c r="F41" s="21" t="s">
        <v>163</v>
      </c>
      <c r="G41" s="21" t="s">
        <v>83</v>
      </c>
      <c r="H41" s="24" t="s">
        <v>164</v>
      </c>
      <c r="I41" s="21">
        <v>35</v>
      </c>
      <c r="J41" s="21" t="s">
        <v>89</v>
      </c>
      <c r="K41" s="21">
        <v>72029674</v>
      </c>
      <c r="L41" s="21" t="str">
        <f>RIGHT(КХЛ!$H41,4)</f>
        <v>1982</v>
      </c>
    </row>
    <row r="42" spans="5:12" ht="15.75" customHeight="1" x14ac:dyDescent="0.2">
      <c r="E42" s="21">
        <v>1088</v>
      </c>
      <c r="F42" s="21" t="s">
        <v>165</v>
      </c>
      <c r="G42" s="21" t="s">
        <v>83</v>
      </c>
      <c r="H42" s="24" t="s">
        <v>166</v>
      </c>
      <c r="I42" s="21">
        <v>41</v>
      </c>
      <c r="J42" s="21" t="s">
        <v>89</v>
      </c>
      <c r="K42" s="21">
        <v>97974421</v>
      </c>
      <c r="L42" s="21" t="str">
        <f>RIGHT(КХЛ!$H42,4)</f>
        <v>1976</v>
      </c>
    </row>
    <row r="43" spans="5:12" ht="15.75" customHeight="1" x14ac:dyDescent="0.2">
      <c r="E43" s="21">
        <v>134</v>
      </c>
      <c r="F43" s="21" t="s">
        <v>167</v>
      </c>
      <c r="G43" s="21" t="s">
        <v>91</v>
      </c>
      <c r="H43" s="24" t="s">
        <v>168</v>
      </c>
      <c r="I43" s="21">
        <v>27</v>
      </c>
      <c r="J43" s="21" t="s">
        <v>169</v>
      </c>
      <c r="K43" s="21">
        <v>26715989</v>
      </c>
      <c r="L43" s="21" t="str">
        <f>RIGHT(КХЛ!$H43,4)</f>
        <v>1990</v>
      </c>
    </row>
    <row r="44" spans="5:12" ht="15.75" customHeight="1" x14ac:dyDescent="0.2">
      <c r="E44" s="21">
        <v>119</v>
      </c>
      <c r="F44" s="21" t="s">
        <v>170</v>
      </c>
      <c r="G44" s="21" t="s">
        <v>91</v>
      </c>
      <c r="H44" s="24" t="s">
        <v>171</v>
      </c>
      <c r="I44" s="21">
        <v>21</v>
      </c>
      <c r="J44" s="21" t="s">
        <v>89</v>
      </c>
      <c r="K44" s="21">
        <v>21777148</v>
      </c>
      <c r="L44" s="21" t="str">
        <f>RIGHT(КХЛ!$H44,4)</f>
        <v>1996</v>
      </c>
    </row>
    <row r="45" spans="5:12" ht="15.75" customHeight="1" x14ac:dyDescent="0.2">
      <c r="E45" s="21">
        <v>159</v>
      </c>
      <c r="F45" s="21" t="s">
        <v>172</v>
      </c>
      <c r="G45" s="21" t="s">
        <v>91</v>
      </c>
      <c r="H45" s="24" t="s">
        <v>173</v>
      </c>
      <c r="I45" s="21">
        <v>47</v>
      </c>
      <c r="J45" s="21" t="s">
        <v>89</v>
      </c>
      <c r="K45" s="21">
        <v>58835655</v>
      </c>
      <c r="L45" s="21" t="str">
        <f>RIGHT(КХЛ!$H45,4)</f>
        <v>1970</v>
      </c>
    </row>
    <row r="46" spans="5:12" ht="15.75" customHeight="1" x14ac:dyDescent="0.2">
      <c r="E46" s="21">
        <v>58</v>
      </c>
      <c r="F46" s="21" t="s">
        <v>174</v>
      </c>
      <c r="G46" s="21" t="s">
        <v>83</v>
      </c>
      <c r="H46" s="24" t="s">
        <v>175</v>
      </c>
      <c r="I46" s="21">
        <v>25</v>
      </c>
      <c r="J46" s="21" t="s">
        <v>169</v>
      </c>
      <c r="K46" s="21">
        <v>26453267</v>
      </c>
      <c r="L46" s="21" t="str">
        <f>RIGHT(КХЛ!$H46,4)</f>
        <v>1992</v>
      </c>
    </row>
    <row r="47" spans="5:12" ht="15.75" customHeight="1" x14ac:dyDescent="0.2">
      <c r="E47" s="21">
        <v>674</v>
      </c>
      <c r="F47" s="21" t="s">
        <v>176</v>
      </c>
      <c r="G47" s="21" t="s">
        <v>83</v>
      </c>
      <c r="H47" s="24" t="s">
        <v>177</v>
      </c>
      <c r="I47" s="21">
        <v>37</v>
      </c>
      <c r="J47" s="21" t="s">
        <v>152</v>
      </c>
      <c r="K47" s="21">
        <v>79590287</v>
      </c>
      <c r="L47" s="21" t="str">
        <f>RIGHT(КХЛ!$H47,4)</f>
        <v>1980</v>
      </c>
    </row>
    <row r="48" spans="5:12" ht="15.75" customHeight="1" x14ac:dyDescent="0.2">
      <c r="E48" s="21">
        <v>623</v>
      </c>
      <c r="F48" s="21" t="s">
        <v>178</v>
      </c>
      <c r="G48" s="21" t="s">
        <v>91</v>
      </c>
      <c r="H48" s="24" t="s">
        <v>179</v>
      </c>
      <c r="I48" s="21">
        <v>45</v>
      </c>
      <c r="J48" s="21" t="s">
        <v>89</v>
      </c>
      <c r="K48" s="21">
        <v>81059508</v>
      </c>
      <c r="L48" s="21" t="str">
        <f>RIGHT(КХЛ!$H48,4)</f>
        <v>1972</v>
      </c>
    </row>
    <row r="49" spans="5:12" ht="15.75" customHeight="1" x14ac:dyDescent="0.2">
      <c r="E49" s="21">
        <v>861</v>
      </c>
      <c r="F49" s="21" t="s">
        <v>180</v>
      </c>
      <c r="G49" s="21" t="s">
        <v>91</v>
      </c>
      <c r="H49" s="24" t="s">
        <v>181</v>
      </c>
      <c r="I49" s="21">
        <v>45</v>
      </c>
      <c r="J49" s="21" t="s">
        <v>89</v>
      </c>
      <c r="K49" s="21">
        <v>76110969</v>
      </c>
      <c r="L49" s="21" t="str">
        <f>RIGHT(КХЛ!$H49,4)</f>
        <v>1972</v>
      </c>
    </row>
    <row r="50" spans="5:12" ht="15.75" customHeight="1" x14ac:dyDescent="0.2">
      <c r="E50" s="21">
        <v>1354</v>
      </c>
      <c r="F50" s="21" t="s">
        <v>182</v>
      </c>
      <c r="G50" s="21" t="s">
        <v>87</v>
      </c>
      <c r="H50" s="24" t="s">
        <v>183</v>
      </c>
      <c r="I50" s="21">
        <v>30</v>
      </c>
      <c r="J50" s="21" t="s">
        <v>89</v>
      </c>
      <c r="K50" s="21">
        <v>33999408</v>
      </c>
      <c r="L50" s="21" t="str">
        <f>RIGHT(КХЛ!$H50,4)</f>
        <v>1987</v>
      </c>
    </row>
    <row r="51" spans="5:12" ht="15.75" customHeight="1" x14ac:dyDescent="0.2">
      <c r="E51" s="21">
        <v>515</v>
      </c>
      <c r="F51" s="21" t="s">
        <v>184</v>
      </c>
      <c r="G51" s="21" t="s">
        <v>91</v>
      </c>
      <c r="H51" s="24" t="s">
        <v>185</v>
      </c>
      <c r="I51" s="21">
        <v>22</v>
      </c>
      <c r="J51" s="21" t="s">
        <v>89</v>
      </c>
      <c r="K51" s="21">
        <v>92368990</v>
      </c>
      <c r="L51" s="21" t="str">
        <f>RIGHT(КХЛ!$H51,4)</f>
        <v>1995</v>
      </c>
    </row>
    <row r="52" spans="5:12" ht="15.75" customHeight="1" x14ac:dyDescent="0.2">
      <c r="E52" s="21">
        <v>1626</v>
      </c>
      <c r="F52" s="21" t="s">
        <v>186</v>
      </c>
      <c r="G52" s="21" t="s">
        <v>87</v>
      </c>
      <c r="H52" s="24" t="s">
        <v>187</v>
      </c>
      <c r="I52" s="21">
        <v>42</v>
      </c>
      <c r="J52" s="21" t="s">
        <v>89</v>
      </c>
      <c r="K52" s="21">
        <v>92544886</v>
      </c>
      <c r="L52" s="21" t="str">
        <f>RIGHT(КХЛ!$H52,4)</f>
        <v>1975</v>
      </c>
    </row>
    <row r="53" spans="5:12" ht="15.75" customHeight="1" x14ac:dyDescent="0.2">
      <c r="E53" s="21">
        <v>602</v>
      </c>
      <c r="F53" s="21" t="s">
        <v>188</v>
      </c>
      <c r="G53" s="21" t="s">
        <v>91</v>
      </c>
      <c r="H53" s="24" t="s">
        <v>189</v>
      </c>
      <c r="I53" s="21">
        <v>37</v>
      </c>
      <c r="J53" s="21" t="s">
        <v>89</v>
      </c>
      <c r="K53" s="21">
        <v>40166887</v>
      </c>
      <c r="L53" s="21" t="str">
        <f>RIGHT(КХЛ!$H53,4)</f>
        <v>1980</v>
      </c>
    </row>
    <row r="54" spans="5:12" ht="15.75" customHeight="1" x14ac:dyDescent="0.2">
      <c r="E54" s="21">
        <v>1097</v>
      </c>
      <c r="F54" s="21" t="s">
        <v>190</v>
      </c>
      <c r="G54" s="21" t="s">
        <v>87</v>
      </c>
      <c r="H54" s="24" t="s">
        <v>191</v>
      </c>
      <c r="I54" s="21">
        <v>30</v>
      </c>
      <c r="J54" s="21" t="s">
        <v>132</v>
      </c>
      <c r="K54" s="21">
        <v>68830119</v>
      </c>
      <c r="L54" s="21" t="str">
        <f>RIGHT(КХЛ!$H54,4)</f>
        <v>1987</v>
      </c>
    </row>
    <row r="55" spans="5:12" ht="15.75" customHeight="1" x14ac:dyDescent="0.2">
      <c r="E55" s="21">
        <v>1095</v>
      </c>
      <c r="F55" s="21" t="s">
        <v>192</v>
      </c>
      <c r="G55" s="21" t="s">
        <v>91</v>
      </c>
      <c r="H55" s="24" t="s">
        <v>193</v>
      </c>
      <c r="I55" s="21">
        <v>29</v>
      </c>
      <c r="J55" s="21" t="s">
        <v>106</v>
      </c>
      <c r="K55" s="21">
        <v>45178217</v>
      </c>
      <c r="L55" s="21" t="str">
        <f>RIGHT(КХЛ!$H55,4)</f>
        <v>1988</v>
      </c>
    </row>
    <row r="56" spans="5:12" ht="15.75" customHeight="1" x14ac:dyDescent="0.2">
      <c r="E56" s="21">
        <v>1668</v>
      </c>
      <c r="F56" s="21" t="s">
        <v>194</v>
      </c>
      <c r="G56" s="21" t="s">
        <v>91</v>
      </c>
      <c r="H56" s="24" t="s">
        <v>195</v>
      </c>
      <c r="I56" s="21">
        <v>32</v>
      </c>
      <c r="J56" s="21" t="s">
        <v>89</v>
      </c>
      <c r="K56" s="21">
        <v>63353162</v>
      </c>
      <c r="L56" s="21" t="str">
        <f>RIGHT(КХЛ!$H56,4)</f>
        <v>1985</v>
      </c>
    </row>
    <row r="57" spans="5:12" ht="15.75" customHeight="1" x14ac:dyDescent="0.2">
      <c r="E57" s="21">
        <v>710</v>
      </c>
      <c r="F57" s="21" t="s">
        <v>196</v>
      </c>
      <c r="G57" s="21" t="s">
        <v>91</v>
      </c>
      <c r="H57" s="24" t="s">
        <v>197</v>
      </c>
      <c r="I57" s="21">
        <v>41</v>
      </c>
      <c r="J57" s="21" t="s">
        <v>89</v>
      </c>
      <c r="K57" s="21">
        <v>89520610</v>
      </c>
      <c r="L57" s="21" t="str">
        <f>RIGHT(КХЛ!$H57,4)</f>
        <v>1976</v>
      </c>
    </row>
    <row r="58" spans="5:12" ht="15.75" customHeight="1" x14ac:dyDescent="0.2">
      <c r="E58" s="21">
        <v>1643</v>
      </c>
      <c r="F58" s="21" t="s">
        <v>198</v>
      </c>
      <c r="G58" s="21" t="s">
        <v>83</v>
      </c>
      <c r="H58" s="24" t="s">
        <v>199</v>
      </c>
      <c r="I58" s="21">
        <v>24</v>
      </c>
      <c r="J58" s="21" t="s">
        <v>89</v>
      </c>
      <c r="K58" s="21">
        <v>97843756</v>
      </c>
      <c r="L58" s="21" t="str">
        <f>RIGHT(КХЛ!$H58,4)</f>
        <v>1993</v>
      </c>
    </row>
    <row r="59" spans="5:12" ht="15.75" customHeight="1" x14ac:dyDescent="0.2">
      <c r="E59" s="21">
        <v>799</v>
      </c>
      <c r="F59" s="21" t="s">
        <v>200</v>
      </c>
      <c r="G59" s="21" t="s">
        <v>87</v>
      </c>
      <c r="H59" s="24" t="s">
        <v>201</v>
      </c>
      <c r="I59" s="21">
        <v>23</v>
      </c>
      <c r="J59" s="21" t="s">
        <v>89</v>
      </c>
      <c r="K59" s="21">
        <v>75757550</v>
      </c>
      <c r="L59" s="21" t="str">
        <f>RIGHT(КХЛ!$H59,4)</f>
        <v>1994</v>
      </c>
    </row>
    <row r="60" spans="5:12" ht="15.75" customHeight="1" x14ac:dyDescent="0.2">
      <c r="E60" s="21">
        <v>686</v>
      </c>
      <c r="F60" s="21" t="s">
        <v>202</v>
      </c>
      <c r="G60" s="21" t="s">
        <v>87</v>
      </c>
      <c r="H60" s="24" t="s">
        <v>203</v>
      </c>
      <c r="I60" s="21">
        <v>36</v>
      </c>
      <c r="J60" s="21" t="s">
        <v>89</v>
      </c>
      <c r="K60" s="21">
        <v>60971147</v>
      </c>
      <c r="L60" s="21" t="str">
        <f>RIGHT(КХЛ!$H60,4)</f>
        <v>1981</v>
      </c>
    </row>
    <row r="61" spans="5:12" ht="15.75" customHeight="1" x14ac:dyDescent="0.2">
      <c r="E61" s="21">
        <v>1595</v>
      </c>
      <c r="F61" s="21" t="s">
        <v>204</v>
      </c>
      <c r="G61" s="21" t="s">
        <v>87</v>
      </c>
      <c r="H61" s="24" t="s">
        <v>205</v>
      </c>
      <c r="I61" s="21">
        <v>42</v>
      </c>
      <c r="J61" s="21" t="s">
        <v>106</v>
      </c>
      <c r="K61" s="21">
        <v>3993254</v>
      </c>
      <c r="L61" s="21" t="str">
        <f>RIGHT(КХЛ!$H61,4)</f>
        <v>1975</v>
      </c>
    </row>
    <row r="62" spans="5:12" ht="15.75" customHeight="1" x14ac:dyDescent="0.2">
      <c r="E62" s="21">
        <v>538</v>
      </c>
      <c r="F62" s="21" t="s">
        <v>206</v>
      </c>
      <c r="G62" s="21" t="s">
        <v>91</v>
      </c>
      <c r="H62" s="24" t="s">
        <v>207</v>
      </c>
      <c r="I62" s="21">
        <v>34</v>
      </c>
      <c r="J62" s="21" t="s">
        <v>89</v>
      </c>
      <c r="K62" s="21">
        <v>81815889</v>
      </c>
      <c r="L62" s="21" t="str">
        <f>RIGHT(КХЛ!$H62,4)</f>
        <v>1983</v>
      </c>
    </row>
    <row r="63" spans="5:12" ht="15.75" customHeight="1" x14ac:dyDescent="0.2">
      <c r="E63" s="21">
        <v>404</v>
      </c>
      <c r="F63" s="21" t="s">
        <v>208</v>
      </c>
      <c r="G63" s="21" t="s">
        <v>91</v>
      </c>
      <c r="H63" s="24" t="s">
        <v>209</v>
      </c>
      <c r="I63" s="21">
        <v>21</v>
      </c>
      <c r="J63" s="21" t="s">
        <v>89</v>
      </c>
      <c r="K63" s="21">
        <v>34705825</v>
      </c>
      <c r="L63" s="21" t="str">
        <f>RIGHT(КХЛ!$H63,4)</f>
        <v>1996</v>
      </c>
    </row>
    <row r="64" spans="5:12" ht="15.75" customHeight="1" x14ac:dyDescent="0.2">
      <c r="E64" s="21">
        <v>68</v>
      </c>
      <c r="F64" s="21" t="s">
        <v>210</v>
      </c>
      <c r="G64" s="21" t="s">
        <v>91</v>
      </c>
      <c r="H64" s="24" t="s">
        <v>211</v>
      </c>
      <c r="I64" s="21">
        <v>36</v>
      </c>
      <c r="J64" s="21" t="s">
        <v>89</v>
      </c>
      <c r="K64" s="21">
        <v>57626073</v>
      </c>
      <c r="L64" s="21" t="str">
        <f>RIGHT(КХЛ!$H64,4)</f>
        <v>1981</v>
      </c>
    </row>
    <row r="65" spans="5:12" ht="15.75" customHeight="1" x14ac:dyDescent="0.2">
      <c r="E65" s="21">
        <v>1017</v>
      </c>
      <c r="F65" s="21" t="s">
        <v>212</v>
      </c>
      <c r="G65" s="21" t="s">
        <v>91</v>
      </c>
      <c r="H65" s="24" t="s">
        <v>213</v>
      </c>
      <c r="I65" s="21">
        <v>28</v>
      </c>
      <c r="J65" s="21" t="s">
        <v>85</v>
      </c>
      <c r="K65" s="21">
        <v>94693832</v>
      </c>
      <c r="L65" s="21" t="str">
        <f>RIGHT(КХЛ!$H65,4)</f>
        <v>1990</v>
      </c>
    </row>
    <row r="66" spans="5:12" ht="15.75" customHeight="1" x14ac:dyDescent="0.2">
      <c r="E66" s="21">
        <v>327</v>
      </c>
      <c r="F66" s="21" t="s">
        <v>214</v>
      </c>
      <c r="G66" s="21" t="s">
        <v>91</v>
      </c>
      <c r="H66" s="24" t="s">
        <v>215</v>
      </c>
      <c r="I66" s="21">
        <v>39</v>
      </c>
      <c r="J66" s="21" t="s">
        <v>89</v>
      </c>
      <c r="K66" s="21">
        <v>14555618</v>
      </c>
      <c r="L66" s="21" t="str">
        <f>RIGHT(КХЛ!$H66,4)</f>
        <v>1978</v>
      </c>
    </row>
    <row r="67" spans="5:12" ht="15.75" customHeight="1" x14ac:dyDescent="0.2">
      <c r="E67" s="21">
        <v>742</v>
      </c>
      <c r="F67" s="21" t="s">
        <v>216</v>
      </c>
      <c r="G67" s="21" t="s">
        <v>87</v>
      </c>
      <c r="H67" s="24" t="s">
        <v>217</v>
      </c>
      <c r="I67" s="21">
        <v>29</v>
      </c>
      <c r="J67" s="21" t="s">
        <v>152</v>
      </c>
      <c r="K67" s="21">
        <v>44334488</v>
      </c>
      <c r="L67" s="21" t="str">
        <f>RIGHT(КХЛ!$H67,4)</f>
        <v>1988</v>
      </c>
    </row>
    <row r="68" spans="5:12" ht="15.75" customHeight="1" x14ac:dyDescent="0.2">
      <c r="E68" s="21">
        <v>1007</v>
      </c>
      <c r="F68" s="21" t="s">
        <v>218</v>
      </c>
      <c r="G68" s="21" t="s">
        <v>91</v>
      </c>
      <c r="H68" s="24" t="s">
        <v>219</v>
      </c>
      <c r="I68" s="21">
        <v>39</v>
      </c>
      <c r="J68" s="21" t="s">
        <v>89</v>
      </c>
      <c r="K68" s="21">
        <v>17933583</v>
      </c>
      <c r="L68" s="21" t="str">
        <f>RIGHT(КХЛ!$H68,4)</f>
        <v>1978</v>
      </c>
    </row>
    <row r="69" spans="5:12" ht="15.75" customHeight="1" x14ac:dyDescent="0.2">
      <c r="E69" s="21">
        <v>799</v>
      </c>
      <c r="F69" s="21" t="s">
        <v>220</v>
      </c>
      <c r="G69" s="21" t="s">
        <v>83</v>
      </c>
      <c r="H69" s="24" t="s">
        <v>221</v>
      </c>
      <c r="I69" s="21">
        <v>38</v>
      </c>
      <c r="J69" s="21" t="s">
        <v>222</v>
      </c>
      <c r="K69" s="21">
        <v>12315644</v>
      </c>
      <c r="L69" s="21" t="str">
        <f>RIGHT(КХЛ!$H69,4)</f>
        <v>1979</v>
      </c>
    </row>
    <row r="70" spans="5:12" ht="15.75" customHeight="1" x14ac:dyDescent="0.2">
      <c r="E70" s="21">
        <v>141</v>
      </c>
      <c r="F70" s="21" t="s">
        <v>223</v>
      </c>
      <c r="G70" s="21" t="s">
        <v>83</v>
      </c>
      <c r="H70" s="24" t="s">
        <v>224</v>
      </c>
      <c r="I70" s="21">
        <v>39</v>
      </c>
      <c r="J70" s="21" t="s">
        <v>85</v>
      </c>
      <c r="K70" s="21">
        <v>80717037</v>
      </c>
      <c r="L70" s="21" t="str">
        <f>RIGHT(КХЛ!$H70,4)</f>
        <v>1978</v>
      </c>
    </row>
    <row r="71" spans="5:12" ht="15.75" customHeight="1" x14ac:dyDescent="0.2">
      <c r="E71" s="21">
        <v>314</v>
      </c>
      <c r="F71" s="21" t="s">
        <v>225</v>
      </c>
      <c r="G71" s="21" t="s">
        <v>91</v>
      </c>
      <c r="H71" s="24" t="s">
        <v>226</v>
      </c>
      <c r="I71" s="21">
        <v>31</v>
      </c>
      <c r="J71" s="21" t="s">
        <v>152</v>
      </c>
      <c r="K71" s="21">
        <v>72449390</v>
      </c>
      <c r="L71" s="21" t="str">
        <f>RIGHT(КХЛ!$H71,4)</f>
        <v>1986</v>
      </c>
    </row>
    <row r="72" spans="5:12" ht="15.75" customHeight="1" x14ac:dyDescent="0.2">
      <c r="E72" s="21">
        <v>600</v>
      </c>
      <c r="F72" s="21" t="s">
        <v>227</v>
      </c>
      <c r="G72" s="21" t="s">
        <v>87</v>
      </c>
      <c r="H72" s="24" t="s">
        <v>228</v>
      </c>
      <c r="I72" s="21">
        <v>42</v>
      </c>
      <c r="J72" s="21" t="s">
        <v>152</v>
      </c>
      <c r="K72" s="21">
        <v>83931178</v>
      </c>
      <c r="L72" s="21" t="str">
        <f>RIGHT(КХЛ!$H72,4)</f>
        <v>1975</v>
      </c>
    </row>
    <row r="73" spans="5:12" ht="15.75" customHeight="1" x14ac:dyDescent="0.2">
      <c r="E73" s="21">
        <v>438</v>
      </c>
      <c r="F73" s="21" t="s">
        <v>229</v>
      </c>
      <c r="G73" s="21" t="s">
        <v>91</v>
      </c>
      <c r="H73" s="24" t="s">
        <v>230</v>
      </c>
      <c r="I73" s="21">
        <v>21</v>
      </c>
      <c r="J73" s="21" t="s">
        <v>89</v>
      </c>
      <c r="K73" s="21">
        <v>16111391</v>
      </c>
      <c r="L73" s="21" t="str">
        <f>RIGHT(КХЛ!$H73,4)</f>
        <v>1997</v>
      </c>
    </row>
    <row r="74" spans="5:12" ht="15.75" customHeight="1" x14ac:dyDescent="0.2">
      <c r="E74" s="21">
        <v>616</v>
      </c>
      <c r="F74" s="21" t="s">
        <v>231</v>
      </c>
      <c r="G74" s="21" t="s">
        <v>91</v>
      </c>
      <c r="H74" s="24" t="s">
        <v>232</v>
      </c>
      <c r="I74" s="21">
        <v>28</v>
      </c>
      <c r="J74" s="21" t="s">
        <v>132</v>
      </c>
      <c r="K74" s="21">
        <v>12780312</v>
      </c>
      <c r="L74" s="21" t="str">
        <f>RIGHT(КХЛ!$H74,4)</f>
        <v>1989</v>
      </c>
    </row>
    <row r="75" spans="5:12" ht="15.75" customHeight="1" x14ac:dyDescent="0.2">
      <c r="E75" s="21">
        <v>294</v>
      </c>
      <c r="F75" s="21" t="s">
        <v>233</v>
      </c>
      <c r="G75" s="21" t="s">
        <v>83</v>
      </c>
      <c r="H75" s="24" t="s">
        <v>234</v>
      </c>
      <c r="I75" s="21">
        <v>36</v>
      </c>
      <c r="J75" s="21" t="s">
        <v>89</v>
      </c>
      <c r="K75" s="21">
        <v>58106863</v>
      </c>
      <c r="L75" s="21" t="str">
        <f>RIGHT(КХЛ!$H75,4)</f>
        <v>1981</v>
      </c>
    </row>
    <row r="76" spans="5:12" ht="15.75" customHeight="1" x14ac:dyDescent="0.2">
      <c r="E76" s="21">
        <v>376</v>
      </c>
      <c r="F76" s="21" t="s">
        <v>235</v>
      </c>
      <c r="G76" s="21" t="s">
        <v>83</v>
      </c>
      <c r="H76" s="24" t="s">
        <v>236</v>
      </c>
      <c r="I76" s="21">
        <v>28</v>
      </c>
      <c r="J76" s="21" t="s">
        <v>89</v>
      </c>
      <c r="K76" s="21">
        <v>64619862</v>
      </c>
      <c r="L76" s="21" t="str">
        <f>RIGHT(КХЛ!$H76,4)</f>
        <v>1990</v>
      </c>
    </row>
    <row r="77" spans="5:12" ht="15.75" customHeight="1" x14ac:dyDescent="0.2">
      <c r="E77" s="21">
        <v>1661</v>
      </c>
      <c r="F77" s="21" t="s">
        <v>237</v>
      </c>
      <c r="G77" s="21" t="s">
        <v>91</v>
      </c>
      <c r="H77" s="24" t="s">
        <v>238</v>
      </c>
      <c r="I77" s="21">
        <v>24</v>
      </c>
      <c r="J77" s="21" t="s">
        <v>89</v>
      </c>
      <c r="K77" s="21">
        <v>92405340</v>
      </c>
      <c r="L77" s="21" t="str">
        <f>RIGHT(КХЛ!$H77,4)</f>
        <v>1993</v>
      </c>
    </row>
    <row r="78" spans="5:12" ht="15.75" customHeight="1" x14ac:dyDescent="0.2">
      <c r="E78" s="21">
        <v>1730</v>
      </c>
      <c r="F78" s="21" t="s">
        <v>239</v>
      </c>
      <c r="G78" s="21" t="s">
        <v>83</v>
      </c>
      <c r="H78" s="24" t="s">
        <v>240</v>
      </c>
      <c r="I78" s="21">
        <v>18</v>
      </c>
      <c r="J78" s="21" t="s">
        <v>241</v>
      </c>
      <c r="K78" s="21">
        <v>85212175</v>
      </c>
      <c r="L78" s="21" t="str">
        <f>RIGHT(КХЛ!$H78,4)</f>
        <v>1999</v>
      </c>
    </row>
    <row r="79" spans="5:12" ht="15.75" customHeight="1" x14ac:dyDescent="0.2">
      <c r="E79" s="21">
        <v>448</v>
      </c>
      <c r="F79" s="21" t="s">
        <v>242</v>
      </c>
      <c r="G79" s="21" t="s">
        <v>83</v>
      </c>
      <c r="H79" s="24" t="s">
        <v>243</v>
      </c>
      <c r="I79" s="21">
        <v>36</v>
      </c>
      <c r="J79" s="21" t="s">
        <v>93</v>
      </c>
      <c r="K79" s="21">
        <v>77902378</v>
      </c>
      <c r="L79" s="21" t="str">
        <f>RIGHT(КХЛ!$H79,4)</f>
        <v>1981</v>
      </c>
    </row>
    <row r="80" spans="5:12" ht="15.75" customHeight="1" x14ac:dyDescent="0.2">
      <c r="E80" s="21">
        <v>755</v>
      </c>
      <c r="F80" s="21" t="s">
        <v>244</v>
      </c>
      <c r="G80" s="21" t="s">
        <v>91</v>
      </c>
      <c r="H80" s="24" t="s">
        <v>245</v>
      </c>
      <c r="I80" s="21">
        <v>32</v>
      </c>
      <c r="J80" s="21" t="s">
        <v>89</v>
      </c>
      <c r="K80" s="21">
        <v>86792645</v>
      </c>
      <c r="L80" s="21" t="str">
        <f>RIGHT(КХЛ!$H80,4)</f>
        <v>1985</v>
      </c>
    </row>
    <row r="81" spans="5:12" ht="15.75" customHeight="1" x14ac:dyDescent="0.2">
      <c r="E81" s="21">
        <v>1483</v>
      </c>
      <c r="F81" s="21" t="s">
        <v>246</v>
      </c>
      <c r="G81" s="21" t="s">
        <v>83</v>
      </c>
      <c r="H81" s="24" t="s">
        <v>247</v>
      </c>
      <c r="I81" s="21">
        <v>23</v>
      </c>
      <c r="J81" s="21" t="s">
        <v>89</v>
      </c>
      <c r="K81" s="21">
        <v>46724635</v>
      </c>
      <c r="L81" s="21" t="str">
        <f>RIGHT(КХЛ!$H81,4)</f>
        <v>1994</v>
      </c>
    </row>
    <row r="82" spans="5:12" ht="15.75" customHeight="1" x14ac:dyDescent="0.2">
      <c r="E82" s="21">
        <v>702</v>
      </c>
      <c r="F82" s="21" t="s">
        <v>248</v>
      </c>
      <c r="G82" s="21" t="s">
        <v>83</v>
      </c>
      <c r="H82" s="24" t="s">
        <v>249</v>
      </c>
      <c r="I82" s="21">
        <v>22</v>
      </c>
      <c r="J82" s="21" t="s">
        <v>89</v>
      </c>
      <c r="K82" s="21">
        <v>82279151</v>
      </c>
      <c r="L82" s="21" t="str">
        <f>RIGHT(КХЛ!$H82,4)</f>
        <v>1995</v>
      </c>
    </row>
    <row r="83" spans="5:12" ht="15.75" customHeight="1" x14ac:dyDescent="0.2">
      <c r="E83" s="21">
        <v>1777</v>
      </c>
      <c r="F83" s="21" t="s">
        <v>250</v>
      </c>
      <c r="G83" s="21" t="s">
        <v>91</v>
      </c>
      <c r="H83" s="24" t="s">
        <v>251</v>
      </c>
      <c r="I83" s="21">
        <v>30</v>
      </c>
      <c r="J83" s="21" t="s">
        <v>106</v>
      </c>
      <c r="K83" s="21">
        <v>95548884</v>
      </c>
      <c r="L83" s="21" t="str">
        <f>RIGHT(КХЛ!$H83,4)</f>
        <v>1987</v>
      </c>
    </row>
    <row r="84" spans="5:12" ht="15.75" customHeight="1" x14ac:dyDescent="0.2">
      <c r="E84" s="21">
        <v>170</v>
      </c>
      <c r="F84" s="21" t="s">
        <v>252</v>
      </c>
      <c r="G84" s="21" t="s">
        <v>91</v>
      </c>
      <c r="H84" s="24" t="s">
        <v>253</v>
      </c>
      <c r="I84" s="21">
        <v>40</v>
      </c>
      <c r="J84" s="21" t="s">
        <v>106</v>
      </c>
      <c r="K84" s="21">
        <v>82883597</v>
      </c>
      <c r="L84" s="21" t="str">
        <f>RIGHT(КХЛ!$H84,4)</f>
        <v>1977</v>
      </c>
    </row>
    <row r="85" spans="5:12" ht="15.75" customHeight="1" x14ac:dyDescent="0.2">
      <c r="E85" s="21">
        <v>957</v>
      </c>
      <c r="F85" s="21" t="s">
        <v>254</v>
      </c>
      <c r="G85" s="21" t="s">
        <v>83</v>
      </c>
      <c r="H85" s="24" t="s">
        <v>255</v>
      </c>
      <c r="I85" s="21">
        <v>18</v>
      </c>
      <c r="J85" s="21" t="s">
        <v>89</v>
      </c>
      <c r="K85" s="21">
        <v>48010957</v>
      </c>
      <c r="L85" s="21" t="str">
        <f>RIGHT(КХЛ!$H85,4)</f>
        <v>1999</v>
      </c>
    </row>
    <row r="86" spans="5:12" ht="15.75" customHeight="1" x14ac:dyDescent="0.2">
      <c r="E86" s="21">
        <v>710</v>
      </c>
      <c r="F86" s="21" t="s">
        <v>256</v>
      </c>
      <c r="G86" s="21" t="s">
        <v>87</v>
      </c>
      <c r="H86" s="24" t="s">
        <v>257</v>
      </c>
      <c r="I86" s="21">
        <v>17</v>
      </c>
      <c r="J86" s="21" t="s">
        <v>89</v>
      </c>
      <c r="K86" s="21">
        <v>43313495</v>
      </c>
      <c r="L86" s="21" t="str">
        <f>RIGHT(КХЛ!$H86,4)</f>
        <v>2000</v>
      </c>
    </row>
    <row r="87" spans="5:12" ht="15.75" customHeight="1" x14ac:dyDescent="0.2">
      <c r="E87" s="21">
        <v>718</v>
      </c>
      <c r="F87" s="21" t="s">
        <v>258</v>
      </c>
      <c r="G87" s="21" t="s">
        <v>91</v>
      </c>
      <c r="H87" s="24" t="s">
        <v>259</v>
      </c>
      <c r="I87" s="21">
        <v>32</v>
      </c>
      <c r="J87" s="21" t="s">
        <v>89</v>
      </c>
      <c r="K87" s="21">
        <v>81183305</v>
      </c>
      <c r="L87" s="21" t="str">
        <f>RIGHT(КХЛ!$H87,4)</f>
        <v>1985</v>
      </c>
    </row>
    <row r="88" spans="5:12" ht="15.75" customHeight="1" x14ac:dyDescent="0.2">
      <c r="E88" s="21">
        <v>501</v>
      </c>
      <c r="F88" s="21" t="s">
        <v>260</v>
      </c>
      <c r="G88" s="21" t="s">
        <v>83</v>
      </c>
      <c r="H88" s="24" t="s">
        <v>261</v>
      </c>
      <c r="I88" s="21">
        <v>31</v>
      </c>
      <c r="J88" s="21" t="s">
        <v>106</v>
      </c>
      <c r="K88" s="21">
        <v>44638122</v>
      </c>
      <c r="L88" s="21" t="str">
        <f>RIGHT(КХЛ!$H88,4)</f>
        <v>1986</v>
      </c>
    </row>
    <row r="89" spans="5:12" ht="15.75" customHeight="1" x14ac:dyDescent="0.2">
      <c r="E89" s="21">
        <v>887</v>
      </c>
      <c r="F89" s="21" t="s">
        <v>262</v>
      </c>
      <c r="G89" s="21" t="s">
        <v>91</v>
      </c>
      <c r="H89" s="24" t="s">
        <v>263</v>
      </c>
      <c r="I89" s="21">
        <v>36</v>
      </c>
      <c r="J89" s="21" t="s">
        <v>139</v>
      </c>
      <c r="K89" s="21">
        <v>93314660</v>
      </c>
      <c r="L89" s="21" t="str">
        <f>RIGHT(КХЛ!$H89,4)</f>
        <v>1981</v>
      </c>
    </row>
    <row r="90" spans="5:12" ht="15.75" customHeight="1" x14ac:dyDescent="0.2">
      <c r="E90" s="21">
        <v>266</v>
      </c>
      <c r="F90" s="21" t="s">
        <v>264</v>
      </c>
      <c r="G90" s="21" t="s">
        <v>91</v>
      </c>
      <c r="H90" s="24" t="s">
        <v>265</v>
      </c>
      <c r="I90" s="21">
        <v>39</v>
      </c>
      <c r="J90" s="21" t="s">
        <v>106</v>
      </c>
      <c r="K90" s="21">
        <v>68296469</v>
      </c>
      <c r="L90" s="21" t="str">
        <f>RIGHT(КХЛ!$H90,4)</f>
        <v>1978</v>
      </c>
    </row>
    <row r="91" spans="5:12" ht="15.75" customHeight="1" x14ac:dyDescent="0.2">
      <c r="E91" s="21">
        <v>711</v>
      </c>
      <c r="F91" s="21" t="s">
        <v>266</v>
      </c>
      <c r="G91" s="21" t="s">
        <v>91</v>
      </c>
      <c r="H91" s="24" t="s">
        <v>267</v>
      </c>
      <c r="I91" s="21">
        <v>28</v>
      </c>
      <c r="J91" s="21" t="s">
        <v>152</v>
      </c>
      <c r="K91" s="21">
        <v>82028604</v>
      </c>
      <c r="L91" s="21" t="str">
        <f>RIGHT(КХЛ!$H91,4)</f>
        <v>1989</v>
      </c>
    </row>
    <row r="92" spans="5:12" ht="15.75" customHeight="1" x14ac:dyDescent="0.2">
      <c r="E92" s="21">
        <v>565</v>
      </c>
      <c r="F92" s="21" t="s">
        <v>268</v>
      </c>
      <c r="G92" s="21" t="s">
        <v>83</v>
      </c>
      <c r="H92" s="24" t="s">
        <v>269</v>
      </c>
      <c r="I92" s="21">
        <v>26</v>
      </c>
      <c r="J92" s="21" t="s">
        <v>169</v>
      </c>
      <c r="K92" s="21">
        <v>27937022</v>
      </c>
      <c r="L92" s="21" t="str">
        <f>RIGHT(КХЛ!$H92,4)</f>
        <v>1991</v>
      </c>
    </row>
    <row r="93" spans="5:12" ht="15.75" customHeight="1" x14ac:dyDescent="0.2">
      <c r="E93" s="21">
        <v>43</v>
      </c>
      <c r="F93" s="21" t="s">
        <v>270</v>
      </c>
      <c r="G93" s="21" t="s">
        <v>91</v>
      </c>
      <c r="H93" s="24" t="s">
        <v>271</v>
      </c>
      <c r="I93" s="21">
        <v>30</v>
      </c>
      <c r="J93" s="21" t="s">
        <v>132</v>
      </c>
      <c r="K93" s="21">
        <v>53648973</v>
      </c>
      <c r="L93" s="21" t="str">
        <f>RIGHT(КХЛ!$H93,4)</f>
        <v>1987</v>
      </c>
    </row>
    <row r="94" spans="5:12" ht="15.75" customHeight="1" x14ac:dyDescent="0.2">
      <c r="E94" s="21">
        <v>1258</v>
      </c>
      <c r="F94" s="21" t="s">
        <v>272</v>
      </c>
      <c r="G94" s="21" t="s">
        <v>91</v>
      </c>
      <c r="H94" s="24" t="s">
        <v>273</v>
      </c>
      <c r="I94" s="21">
        <v>31</v>
      </c>
      <c r="J94" s="21" t="s">
        <v>89</v>
      </c>
      <c r="K94" s="21">
        <v>20226003</v>
      </c>
      <c r="L94" s="21" t="str">
        <f>RIGHT(КХЛ!$H94,4)</f>
        <v>1986</v>
      </c>
    </row>
    <row r="95" spans="5:12" ht="15.75" customHeight="1" x14ac:dyDescent="0.2">
      <c r="E95" s="21">
        <v>1068</v>
      </c>
      <c r="F95" s="21" t="s">
        <v>274</v>
      </c>
      <c r="G95" s="21" t="s">
        <v>83</v>
      </c>
      <c r="H95" s="24" t="s">
        <v>275</v>
      </c>
      <c r="I95" s="21">
        <v>26</v>
      </c>
      <c r="J95" s="21" t="s">
        <v>93</v>
      </c>
      <c r="K95" s="21">
        <v>30948620</v>
      </c>
      <c r="L95" s="21" t="str">
        <f>RIGHT(КХЛ!$H95,4)</f>
        <v>1991</v>
      </c>
    </row>
    <row r="96" spans="5:12" ht="15.75" customHeight="1" x14ac:dyDescent="0.2">
      <c r="E96" s="21">
        <v>407</v>
      </c>
      <c r="F96" s="21" t="s">
        <v>276</v>
      </c>
      <c r="G96" s="21" t="s">
        <v>91</v>
      </c>
      <c r="H96" s="24" t="s">
        <v>277</v>
      </c>
      <c r="I96" s="21">
        <v>20</v>
      </c>
      <c r="J96" s="21" t="s">
        <v>89</v>
      </c>
      <c r="K96" s="21">
        <v>75562707</v>
      </c>
      <c r="L96" s="21" t="str">
        <f>RIGHT(КХЛ!$H96,4)</f>
        <v>1997</v>
      </c>
    </row>
    <row r="97" spans="5:12" ht="15.75" customHeight="1" x14ac:dyDescent="0.2">
      <c r="E97" s="21">
        <v>1248</v>
      </c>
      <c r="F97" s="21" t="s">
        <v>278</v>
      </c>
      <c r="G97" s="21" t="s">
        <v>83</v>
      </c>
      <c r="H97" s="24" t="s">
        <v>279</v>
      </c>
      <c r="I97" s="21">
        <v>36</v>
      </c>
      <c r="J97" s="21" t="s">
        <v>85</v>
      </c>
      <c r="K97" s="21">
        <v>80192338</v>
      </c>
      <c r="L97" s="21" t="str">
        <f>RIGHT(КХЛ!$H97,4)</f>
        <v>1981</v>
      </c>
    </row>
    <row r="98" spans="5:12" ht="15.75" customHeight="1" x14ac:dyDescent="0.2">
      <c r="E98" s="21">
        <v>620</v>
      </c>
      <c r="F98" s="21" t="s">
        <v>280</v>
      </c>
      <c r="G98" s="21" t="s">
        <v>91</v>
      </c>
      <c r="H98" s="24" t="s">
        <v>281</v>
      </c>
      <c r="I98" s="21">
        <v>26</v>
      </c>
      <c r="J98" s="21" t="s">
        <v>282</v>
      </c>
      <c r="K98" s="21">
        <v>78988771</v>
      </c>
      <c r="L98" s="21" t="str">
        <f>RIGHT(КХЛ!$H98,4)</f>
        <v>1991</v>
      </c>
    </row>
    <row r="99" spans="5:12" ht="15.75" customHeight="1" x14ac:dyDescent="0.2">
      <c r="E99" s="21">
        <v>1188</v>
      </c>
      <c r="F99" s="21" t="s">
        <v>283</v>
      </c>
      <c r="G99" s="21" t="s">
        <v>83</v>
      </c>
      <c r="H99" s="24" t="s">
        <v>284</v>
      </c>
      <c r="I99" s="21">
        <v>46</v>
      </c>
      <c r="J99" s="21" t="s">
        <v>89</v>
      </c>
      <c r="K99" s="21">
        <v>54283387</v>
      </c>
      <c r="L99" s="21" t="str">
        <f>RIGHT(КХЛ!$H99,4)</f>
        <v>1971</v>
      </c>
    </row>
    <row r="100" spans="5:12" ht="15.75" customHeight="1" x14ac:dyDescent="0.2">
      <c r="E100" s="21">
        <v>877</v>
      </c>
      <c r="F100" s="21" t="s">
        <v>285</v>
      </c>
      <c r="G100" s="21" t="s">
        <v>91</v>
      </c>
      <c r="H100" s="24" t="s">
        <v>286</v>
      </c>
      <c r="I100" s="21">
        <v>39</v>
      </c>
      <c r="J100" s="21" t="s">
        <v>282</v>
      </c>
      <c r="K100" s="21">
        <v>1705050</v>
      </c>
      <c r="L100" s="21" t="str">
        <f>RIGHT(КХЛ!$H100,4)</f>
        <v>1979</v>
      </c>
    </row>
    <row r="101" spans="5:12" ht="15.75" customHeight="1" x14ac:dyDescent="0.2">
      <c r="E101" s="21">
        <v>69</v>
      </c>
      <c r="F101" s="21" t="s">
        <v>287</v>
      </c>
      <c r="G101" s="21" t="s">
        <v>83</v>
      </c>
      <c r="H101" s="24" t="s">
        <v>288</v>
      </c>
      <c r="I101" s="21">
        <v>31</v>
      </c>
      <c r="J101" s="21" t="s">
        <v>89</v>
      </c>
      <c r="K101" s="21">
        <v>65765620</v>
      </c>
      <c r="L101" s="21" t="str">
        <f>RIGHT(КХЛ!$H101,4)</f>
        <v>1986</v>
      </c>
    </row>
    <row r="102" spans="5:12" ht="15.75" customHeight="1" x14ac:dyDescent="0.2">
      <c r="E102" s="21">
        <v>537</v>
      </c>
      <c r="F102" s="21" t="s">
        <v>289</v>
      </c>
      <c r="G102" s="21" t="s">
        <v>91</v>
      </c>
      <c r="H102" s="24" t="s">
        <v>290</v>
      </c>
      <c r="I102" s="21">
        <v>34</v>
      </c>
      <c r="J102" s="21" t="s">
        <v>89</v>
      </c>
      <c r="K102" s="21">
        <v>83473048</v>
      </c>
      <c r="L102" s="21" t="str">
        <f>RIGHT(КХЛ!$H102,4)</f>
        <v>1983</v>
      </c>
    </row>
    <row r="103" spans="5:12" ht="15.75" customHeight="1" x14ac:dyDescent="0.2">
      <c r="E103" s="21">
        <v>171</v>
      </c>
      <c r="F103" s="21" t="s">
        <v>291</v>
      </c>
      <c r="G103" s="21" t="s">
        <v>83</v>
      </c>
      <c r="H103" s="24" t="s">
        <v>292</v>
      </c>
      <c r="I103" s="21">
        <v>20</v>
      </c>
      <c r="J103" s="21" t="s">
        <v>85</v>
      </c>
      <c r="K103" s="21">
        <v>70717858</v>
      </c>
      <c r="L103" s="21" t="str">
        <f>RIGHT(КХЛ!$H103,4)</f>
        <v>1997</v>
      </c>
    </row>
    <row r="104" spans="5:12" ht="15.75" customHeight="1" x14ac:dyDescent="0.2">
      <c r="E104" s="21">
        <v>120</v>
      </c>
      <c r="F104" s="21" t="s">
        <v>293</v>
      </c>
      <c r="G104" s="21" t="s">
        <v>91</v>
      </c>
      <c r="H104" s="24" t="s">
        <v>294</v>
      </c>
      <c r="I104" s="21">
        <v>36</v>
      </c>
      <c r="J104" s="21" t="s">
        <v>89</v>
      </c>
      <c r="K104" s="21">
        <v>42597635</v>
      </c>
      <c r="L104" s="21" t="str">
        <f>RIGHT(КХЛ!$H104,4)</f>
        <v>1981</v>
      </c>
    </row>
    <row r="105" spans="5:12" ht="15.75" customHeight="1" x14ac:dyDescent="0.2">
      <c r="E105" s="21">
        <v>502</v>
      </c>
      <c r="F105" s="21" t="s">
        <v>295</v>
      </c>
      <c r="G105" s="21" t="s">
        <v>87</v>
      </c>
      <c r="H105" s="24" t="s">
        <v>296</v>
      </c>
      <c r="I105" s="21">
        <v>38</v>
      </c>
      <c r="J105" s="21" t="s">
        <v>89</v>
      </c>
      <c r="K105" s="21">
        <v>25906735</v>
      </c>
      <c r="L105" s="21" t="str">
        <f>RIGHT(КХЛ!$H105,4)</f>
        <v>1979</v>
      </c>
    </row>
    <row r="106" spans="5:12" ht="15.75" customHeight="1" x14ac:dyDescent="0.2">
      <c r="E106" s="21">
        <v>1116</v>
      </c>
      <c r="F106" s="21" t="s">
        <v>297</v>
      </c>
      <c r="G106" s="21" t="s">
        <v>83</v>
      </c>
      <c r="H106" s="24" t="s">
        <v>298</v>
      </c>
      <c r="I106" s="21">
        <v>26</v>
      </c>
      <c r="J106" s="21" t="s">
        <v>282</v>
      </c>
      <c r="K106" s="21">
        <v>72749423</v>
      </c>
      <c r="L106" s="21" t="str">
        <f>RIGHT(КХЛ!$H106,4)</f>
        <v>1991</v>
      </c>
    </row>
    <row r="107" spans="5:12" ht="15.75" customHeight="1" x14ac:dyDescent="0.2">
      <c r="E107" s="21">
        <v>1053</v>
      </c>
      <c r="F107" s="21" t="s">
        <v>299</v>
      </c>
      <c r="G107" s="21" t="s">
        <v>87</v>
      </c>
      <c r="H107" s="24" t="s">
        <v>300</v>
      </c>
      <c r="I107" s="21">
        <v>25</v>
      </c>
      <c r="J107" s="21" t="s">
        <v>89</v>
      </c>
      <c r="K107" s="21">
        <v>43344622</v>
      </c>
      <c r="L107" s="21" t="str">
        <f>RIGHT(КХЛ!$H107,4)</f>
        <v>1992</v>
      </c>
    </row>
    <row r="108" spans="5:12" ht="15.75" customHeight="1" x14ac:dyDescent="0.2">
      <c r="E108" s="21">
        <v>1751</v>
      </c>
      <c r="F108" s="21" t="s">
        <v>301</v>
      </c>
      <c r="G108" s="21" t="s">
        <v>83</v>
      </c>
      <c r="H108" s="24" t="s">
        <v>302</v>
      </c>
      <c r="I108" s="21">
        <v>43</v>
      </c>
      <c r="J108" s="21" t="s">
        <v>89</v>
      </c>
      <c r="K108" s="21">
        <v>13253740</v>
      </c>
      <c r="L108" s="21" t="str">
        <f>RIGHT(КХЛ!$H108,4)</f>
        <v>1974</v>
      </c>
    </row>
    <row r="109" spans="5:12" ht="15.75" customHeight="1" x14ac:dyDescent="0.2">
      <c r="E109" s="21">
        <v>98</v>
      </c>
      <c r="F109" s="21" t="s">
        <v>303</v>
      </c>
      <c r="G109" s="21" t="s">
        <v>91</v>
      </c>
      <c r="H109" s="24" t="s">
        <v>304</v>
      </c>
      <c r="I109" s="21">
        <v>34</v>
      </c>
      <c r="J109" s="21" t="s">
        <v>89</v>
      </c>
      <c r="K109" s="21">
        <v>43538596</v>
      </c>
      <c r="L109" s="21" t="str">
        <f>RIGHT(КХЛ!$H109,4)</f>
        <v>1983</v>
      </c>
    </row>
    <row r="110" spans="5:12" ht="15.75" customHeight="1" x14ac:dyDescent="0.2">
      <c r="E110" s="21">
        <v>1024</v>
      </c>
      <c r="F110" s="21" t="s">
        <v>305</v>
      </c>
      <c r="G110" s="21" t="s">
        <v>91</v>
      </c>
      <c r="H110" s="24" t="s">
        <v>306</v>
      </c>
      <c r="I110" s="21">
        <v>26</v>
      </c>
      <c r="J110" s="21" t="s">
        <v>93</v>
      </c>
      <c r="K110" s="21">
        <v>381478</v>
      </c>
      <c r="L110" s="21" t="str">
        <f>RIGHT(КХЛ!$H110,4)</f>
        <v>1991</v>
      </c>
    </row>
    <row r="111" spans="5:12" ht="15.75" customHeight="1" x14ac:dyDescent="0.2">
      <c r="E111" s="21">
        <v>1775</v>
      </c>
      <c r="F111" s="21" t="s">
        <v>307</v>
      </c>
      <c r="G111" s="21" t="s">
        <v>91</v>
      </c>
      <c r="H111" s="24" t="s">
        <v>308</v>
      </c>
      <c r="I111" s="21">
        <v>34</v>
      </c>
      <c r="J111" s="21" t="s">
        <v>241</v>
      </c>
      <c r="K111" s="21">
        <v>80053157</v>
      </c>
      <c r="L111" s="21" t="str">
        <f>RIGHT(КХЛ!$H111,4)</f>
        <v>1983</v>
      </c>
    </row>
    <row r="112" spans="5:12" ht="15.75" customHeight="1" x14ac:dyDescent="0.2">
      <c r="E112" s="21">
        <v>701</v>
      </c>
      <c r="F112" s="21" t="s">
        <v>309</v>
      </c>
      <c r="G112" s="21" t="s">
        <v>91</v>
      </c>
      <c r="H112" s="24" t="s">
        <v>310</v>
      </c>
      <c r="I112" s="21">
        <v>36</v>
      </c>
      <c r="J112" s="21" t="s">
        <v>89</v>
      </c>
      <c r="K112" s="21">
        <v>8494935</v>
      </c>
      <c r="L112" s="21" t="str">
        <f>RIGHT(КХЛ!$H112,4)</f>
        <v>1981</v>
      </c>
    </row>
    <row r="113" spans="5:12" ht="15.75" customHeight="1" x14ac:dyDescent="0.2">
      <c r="E113" s="21">
        <v>1035</v>
      </c>
      <c r="F113" s="21" t="s">
        <v>311</v>
      </c>
      <c r="G113" s="21" t="s">
        <v>83</v>
      </c>
      <c r="H113" s="24" t="s">
        <v>312</v>
      </c>
      <c r="I113" s="21">
        <v>27</v>
      </c>
      <c r="J113" s="21" t="s">
        <v>89</v>
      </c>
      <c r="K113" s="21">
        <v>15683849</v>
      </c>
      <c r="L113" s="21" t="str">
        <f>RIGHT(КХЛ!$H113,4)</f>
        <v>1990</v>
      </c>
    </row>
    <row r="114" spans="5:12" ht="15.75" customHeight="1" x14ac:dyDescent="0.2">
      <c r="E114" s="21">
        <v>31</v>
      </c>
      <c r="F114" s="21" t="s">
        <v>313</v>
      </c>
      <c r="G114" s="21" t="s">
        <v>91</v>
      </c>
      <c r="H114" s="24" t="s">
        <v>314</v>
      </c>
      <c r="I114" s="21">
        <v>29</v>
      </c>
      <c r="J114" s="21" t="s">
        <v>89</v>
      </c>
      <c r="K114" s="21">
        <v>928226</v>
      </c>
      <c r="L114" s="21" t="str">
        <f>RIGHT(КХЛ!$H114,4)</f>
        <v>1988</v>
      </c>
    </row>
    <row r="115" spans="5:12" ht="15.75" customHeight="1" x14ac:dyDescent="0.2">
      <c r="E115" s="21">
        <v>1792</v>
      </c>
      <c r="F115" s="21" t="s">
        <v>315</v>
      </c>
      <c r="G115" s="21" t="s">
        <v>91</v>
      </c>
      <c r="H115" s="24" t="s">
        <v>316</v>
      </c>
      <c r="I115" s="21">
        <v>22</v>
      </c>
      <c r="J115" s="21" t="s">
        <v>89</v>
      </c>
      <c r="K115" s="21">
        <v>59398818</v>
      </c>
      <c r="L115" s="21" t="str">
        <f>RIGHT(КХЛ!$H115,4)</f>
        <v>1995</v>
      </c>
    </row>
    <row r="116" spans="5:12" ht="15.75" customHeight="1" x14ac:dyDescent="0.2">
      <c r="E116" s="21">
        <v>689</v>
      </c>
      <c r="F116" s="21" t="s">
        <v>317</v>
      </c>
      <c r="G116" s="21" t="s">
        <v>91</v>
      </c>
      <c r="H116" s="24" t="s">
        <v>318</v>
      </c>
      <c r="I116" s="21">
        <v>35</v>
      </c>
      <c r="J116" s="21" t="s">
        <v>139</v>
      </c>
      <c r="K116" s="21">
        <v>92627540</v>
      </c>
      <c r="L116" s="21" t="str">
        <f>RIGHT(КХЛ!$H116,4)</f>
        <v>1982</v>
      </c>
    </row>
    <row r="117" spans="5:12" ht="15.75" customHeight="1" x14ac:dyDescent="0.2">
      <c r="E117" s="21">
        <v>403</v>
      </c>
      <c r="F117" s="21" t="s">
        <v>319</v>
      </c>
      <c r="G117" s="21" t="s">
        <v>83</v>
      </c>
      <c r="H117" s="24" t="s">
        <v>320</v>
      </c>
      <c r="I117" s="21">
        <v>34</v>
      </c>
      <c r="J117" s="21" t="s">
        <v>321</v>
      </c>
      <c r="K117" s="21">
        <v>56861911</v>
      </c>
      <c r="L117" s="21" t="str">
        <f>RIGHT(КХЛ!$H117,4)</f>
        <v>1983</v>
      </c>
    </row>
    <row r="118" spans="5:12" ht="15.75" customHeight="1" x14ac:dyDescent="0.2">
      <c r="E118" s="21">
        <v>489</v>
      </c>
      <c r="F118" s="21" t="s">
        <v>322</v>
      </c>
      <c r="G118" s="21" t="s">
        <v>91</v>
      </c>
      <c r="H118" s="24" t="s">
        <v>323</v>
      </c>
      <c r="I118" s="21">
        <v>27</v>
      </c>
      <c r="J118" s="21" t="s">
        <v>89</v>
      </c>
      <c r="K118" s="21">
        <v>26903678</v>
      </c>
      <c r="L118" s="21" t="str">
        <f>RIGHT(КХЛ!$H118,4)</f>
        <v>1990</v>
      </c>
    </row>
    <row r="119" spans="5:12" ht="15.75" customHeight="1" x14ac:dyDescent="0.2">
      <c r="E119" s="21">
        <v>651</v>
      </c>
      <c r="F119" s="21" t="s">
        <v>324</v>
      </c>
      <c r="G119" s="21" t="s">
        <v>91</v>
      </c>
      <c r="H119" s="24" t="s">
        <v>325</v>
      </c>
      <c r="I119" s="21">
        <v>37</v>
      </c>
      <c r="J119" s="21" t="s">
        <v>89</v>
      </c>
      <c r="K119" s="21">
        <v>82867525</v>
      </c>
      <c r="L119" s="21" t="str">
        <f>RIGHT(КХЛ!$H119,4)</f>
        <v>1980</v>
      </c>
    </row>
    <row r="120" spans="5:12" ht="15.75" customHeight="1" x14ac:dyDescent="0.2">
      <c r="E120" s="21">
        <v>1473</v>
      </c>
      <c r="F120" s="21" t="s">
        <v>326</v>
      </c>
      <c r="G120" s="21" t="s">
        <v>91</v>
      </c>
      <c r="H120" s="24" t="s">
        <v>327</v>
      </c>
      <c r="I120" s="21">
        <v>29</v>
      </c>
      <c r="J120" s="21" t="s">
        <v>93</v>
      </c>
      <c r="K120" s="21">
        <v>71017541</v>
      </c>
      <c r="L120" s="21" t="str">
        <f>RIGHT(КХЛ!$H120,4)</f>
        <v>1988</v>
      </c>
    </row>
    <row r="121" spans="5:12" ht="15.75" customHeight="1" x14ac:dyDescent="0.2">
      <c r="E121" s="21">
        <v>1046</v>
      </c>
      <c r="F121" s="21" t="s">
        <v>328</v>
      </c>
      <c r="G121" s="21" t="s">
        <v>87</v>
      </c>
      <c r="H121" s="24" t="s">
        <v>329</v>
      </c>
      <c r="I121" s="21">
        <v>34</v>
      </c>
      <c r="J121" s="21" t="s">
        <v>89</v>
      </c>
      <c r="K121" s="21">
        <v>6887767</v>
      </c>
      <c r="L121" s="21" t="str">
        <f>RIGHT(КХЛ!$H121,4)</f>
        <v>1983</v>
      </c>
    </row>
    <row r="122" spans="5:12" ht="15.75" customHeight="1" x14ac:dyDescent="0.2">
      <c r="E122" s="21">
        <v>773</v>
      </c>
      <c r="F122" s="21" t="s">
        <v>330</v>
      </c>
      <c r="G122" s="21" t="s">
        <v>91</v>
      </c>
      <c r="H122" s="24" t="s">
        <v>331</v>
      </c>
      <c r="I122" s="21">
        <v>32</v>
      </c>
      <c r="J122" s="21" t="s">
        <v>241</v>
      </c>
      <c r="K122" s="21">
        <v>48701747</v>
      </c>
      <c r="L122" s="21" t="str">
        <f>RIGHT(КХЛ!$H122,4)</f>
        <v>1985</v>
      </c>
    </row>
    <row r="123" spans="5:12" ht="15.75" customHeight="1" x14ac:dyDescent="0.2">
      <c r="E123" s="21">
        <v>260</v>
      </c>
      <c r="F123" s="21" t="s">
        <v>332</v>
      </c>
      <c r="G123" s="21" t="s">
        <v>91</v>
      </c>
      <c r="H123" s="24" t="s">
        <v>333</v>
      </c>
      <c r="I123" s="21">
        <v>32</v>
      </c>
      <c r="J123" s="21" t="s">
        <v>106</v>
      </c>
      <c r="K123" s="21">
        <v>6381255</v>
      </c>
      <c r="L123" s="21" t="str">
        <f>RIGHT(КХЛ!$H123,4)</f>
        <v>1985</v>
      </c>
    </row>
    <row r="124" spans="5:12" ht="15.75" customHeight="1" x14ac:dyDescent="0.2">
      <c r="E124" s="21">
        <v>672</v>
      </c>
      <c r="F124" s="21" t="s">
        <v>334</v>
      </c>
      <c r="G124" s="21" t="s">
        <v>87</v>
      </c>
      <c r="H124" s="24" t="s">
        <v>335</v>
      </c>
      <c r="I124" s="21">
        <v>22</v>
      </c>
      <c r="J124" s="21" t="s">
        <v>89</v>
      </c>
      <c r="K124" s="21">
        <v>31184971</v>
      </c>
      <c r="L124" s="21" t="str">
        <f>RIGHT(КХЛ!$H124,4)</f>
        <v>1995</v>
      </c>
    </row>
    <row r="125" spans="5:12" ht="15.75" customHeight="1" x14ac:dyDescent="0.2">
      <c r="E125" s="21">
        <v>941</v>
      </c>
      <c r="F125" s="21" t="s">
        <v>336</v>
      </c>
      <c r="G125" s="21" t="s">
        <v>83</v>
      </c>
      <c r="H125" s="24" t="s">
        <v>337</v>
      </c>
      <c r="I125" s="21">
        <v>19</v>
      </c>
      <c r="J125" s="21" t="s">
        <v>89</v>
      </c>
      <c r="K125" s="21">
        <v>11066079</v>
      </c>
      <c r="L125" s="21" t="str">
        <f>RIGHT(КХЛ!$H125,4)</f>
        <v>1998</v>
      </c>
    </row>
    <row r="126" spans="5:12" ht="15.75" customHeight="1" x14ac:dyDescent="0.2">
      <c r="E126" s="21">
        <v>1039</v>
      </c>
      <c r="F126" s="21" t="s">
        <v>338</v>
      </c>
      <c r="G126" s="21" t="s">
        <v>83</v>
      </c>
      <c r="H126" s="24" t="s">
        <v>339</v>
      </c>
      <c r="I126" s="21">
        <v>27</v>
      </c>
      <c r="J126" s="21" t="s">
        <v>89</v>
      </c>
      <c r="K126" s="21">
        <v>6152222</v>
      </c>
      <c r="L126" s="21" t="str">
        <f>RIGHT(КХЛ!$H126,4)</f>
        <v>1990</v>
      </c>
    </row>
    <row r="127" spans="5:12" ht="15.75" customHeight="1" x14ac:dyDescent="0.2">
      <c r="E127" s="21">
        <v>1233</v>
      </c>
      <c r="F127" s="21" t="s">
        <v>340</v>
      </c>
      <c r="G127" s="21" t="s">
        <v>91</v>
      </c>
      <c r="H127" s="24" t="s">
        <v>341</v>
      </c>
      <c r="I127" s="21">
        <v>25</v>
      </c>
      <c r="J127" s="21" t="s">
        <v>89</v>
      </c>
      <c r="K127" s="21">
        <v>45935788</v>
      </c>
      <c r="L127" s="21" t="str">
        <f>RIGHT(КХЛ!$H127,4)</f>
        <v>1992</v>
      </c>
    </row>
    <row r="128" spans="5:12" ht="15.75" customHeight="1" x14ac:dyDescent="0.2">
      <c r="E128" s="21">
        <v>414</v>
      </c>
      <c r="F128" s="21" t="s">
        <v>342</v>
      </c>
      <c r="G128" s="21" t="s">
        <v>87</v>
      </c>
      <c r="H128" s="24" t="s">
        <v>343</v>
      </c>
      <c r="I128" s="21">
        <v>23</v>
      </c>
      <c r="J128" s="21" t="s">
        <v>89</v>
      </c>
      <c r="K128" s="21">
        <v>1236623</v>
      </c>
      <c r="L128" s="21" t="str">
        <f>RIGHT(КХЛ!$H128,4)</f>
        <v>1995</v>
      </c>
    </row>
    <row r="129" spans="5:12" ht="15.75" customHeight="1" x14ac:dyDescent="0.2">
      <c r="E129" s="21">
        <v>1286</v>
      </c>
      <c r="F129" s="21" t="s">
        <v>344</v>
      </c>
      <c r="G129" s="21" t="s">
        <v>91</v>
      </c>
      <c r="H129" s="24" t="s">
        <v>345</v>
      </c>
      <c r="I129" s="21">
        <v>27</v>
      </c>
      <c r="J129" s="21" t="s">
        <v>89</v>
      </c>
      <c r="K129" s="21">
        <v>59628717</v>
      </c>
      <c r="L129" s="21" t="str">
        <f>RIGHT(КХЛ!$H129,4)</f>
        <v>1990</v>
      </c>
    </row>
    <row r="130" spans="5:12" ht="15.75" customHeight="1" x14ac:dyDescent="0.2">
      <c r="E130" s="21">
        <v>795</v>
      </c>
      <c r="F130" s="21" t="s">
        <v>346</v>
      </c>
      <c r="G130" s="21" t="s">
        <v>91</v>
      </c>
      <c r="H130" s="24" t="s">
        <v>347</v>
      </c>
      <c r="I130" s="21">
        <v>20</v>
      </c>
      <c r="J130" s="21" t="s">
        <v>89</v>
      </c>
      <c r="K130" s="21">
        <v>82129051</v>
      </c>
      <c r="L130" s="21" t="str">
        <f>RIGHT(КХЛ!$H130,4)</f>
        <v>1997</v>
      </c>
    </row>
    <row r="131" spans="5:12" ht="15.75" customHeight="1" x14ac:dyDescent="0.2">
      <c r="E131" s="21">
        <v>167</v>
      </c>
      <c r="F131" s="21" t="s">
        <v>348</v>
      </c>
      <c r="G131" s="21" t="s">
        <v>91</v>
      </c>
      <c r="H131" s="24" t="s">
        <v>349</v>
      </c>
      <c r="I131" s="21">
        <v>20</v>
      </c>
      <c r="J131" s="21" t="s">
        <v>89</v>
      </c>
      <c r="K131" s="21">
        <v>60978507</v>
      </c>
      <c r="L131" s="21" t="str">
        <f>RIGHT(КХЛ!$H131,4)</f>
        <v>1997</v>
      </c>
    </row>
    <row r="132" spans="5:12" ht="15.75" customHeight="1" x14ac:dyDescent="0.2">
      <c r="E132" s="21">
        <v>1450</v>
      </c>
      <c r="F132" s="21" t="s">
        <v>350</v>
      </c>
      <c r="G132" s="21" t="s">
        <v>83</v>
      </c>
      <c r="H132" s="24" t="s">
        <v>351</v>
      </c>
      <c r="I132" s="21">
        <v>23</v>
      </c>
      <c r="J132" s="21" t="s">
        <v>89</v>
      </c>
      <c r="K132" s="21">
        <v>53256018</v>
      </c>
      <c r="L132" s="21" t="str">
        <f>RIGHT(КХЛ!$H132,4)</f>
        <v>1994</v>
      </c>
    </row>
    <row r="133" spans="5:12" ht="15.75" customHeight="1" x14ac:dyDescent="0.2">
      <c r="E133" s="21">
        <v>7</v>
      </c>
      <c r="F133" s="21" t="s">
        <v>352</v>
      </c>
      <c r="G133" s="21" t="s">
        <v>83</v>
      </c>
      <c r="H133" s="24" t="s">
        <v>353</v>
      </c>
      <c r="I133" s="21">
        <v>21</v>
      </c>
      <c r="J133" s="21" t="s">
        <v>89</v>
      </c>
      <c r="K133" s="21">
        <v>40652819</v>
      </c>
      <c r="L133" s="21" t="str">
        <f>RIGHT(КХЛ!$H133,4)</f>
        <v>1996</v>
      </c>
    </row>
    <row r="134" spans="5:12" ht="15.75" customHeight="1" x14ac:dyDescent="0.2">
      <c r="E134" s="21">
        <v>210</v>
      </c>
      <c r="F134" s="21" t="s">
        <v>354</v>
      </c>
      <c r="G134" s="21" t="s">
        <v>83</v>
      </c>
      <c r="H134" s="24" t="s">
        <v>355</v>
      </c>
      <c r="I134" s="21">
        <v>31</v>
      </c>
      <c r="J134" s="21" t="s">
        <v>89</v>
      </c>
      <c r="K134" s="21">
        <v>73518440</v>
      </c>
      <c r="L134" s="21" t="str">
        <f>RIGHT(КХЛ!$H134,4)</f>
        <v>1986</v>
      </c>
    </row>
    <row r="135" spans="5:12" ht="15.75" customHeight="1" x14ac:dyDescent="0.2">
      <c r="E135" s="21">
        <v>958</v>
      </c>
      <c r="F135" s="21" t="s">
        <v>356</v>
      </c>
      <c r="G135" s="21" t="s">
        <v>83</v>
      </c>
      <c r="H135" s="24" t="s">
        <v>357</v>
      </c>
      <c r="I135" s="21">
        <v>26</v>
      </c>
      <c r="J135" s="21" t="s">
        <v>89</v>
      </c>
      <c r="K135" s="21">
        <v>76116948</v>
      </c>
      <c r="L135" s="21" t="str">
        <f>RIGHT(КХЛ!$H135,4)</f>
        <v>1991</v>
      </c>
    </row>
    <row r="136" spans="5:12" ht="15.75" customHeight="1" x14ac:dyDescent="0.2">
      <c r="E136" s="21">
        <v>516</v>
      </c>
      <c r="F136" s="21" t="s">
        <v>358</v>
      </c>
      <c r="G136" s="21" t="s">
        <v>91</v>
      </c>
      <c r="H136" s="24" t="s">
        <v>359</v>
      </c>
      <c r="I136" s="21">
        <v>26</v>
      </c>
      <c r="J136" s="21" t="s">
        <v>89</v>
      </c>
      <c r="K136" s="21">
        <v>6262648</v>
      </c>
      <c r="L136" s="21" t="str">
        <f>RIGHT(КХЛ!$H136,4)</f>
        <v>1991</v>
      </c>
    </row>
    <row r="137" spans="5:12" ht="15.75" customHeight="1" x14ac:dyDescent="0.2">
      <c r="E137" s="21">
        <v>203</v>
      </c>
      <c r="F137" s="21" t="s">
        <v>360</v>
      </c>
      <c r="G137" s="21" t="s">
        <v>83</v>
      </c>
      <c r="H137" s="24" t="s">
        <v>361</v>
      </c>
      <c r="I137" s="21">
        <v>23</v>
      </c>
      <c r="J137" s="21" t="s">
        <v>89</v>
      </c>
      <c r="K137" s="21">
        <v>829644</v>
      </c>
      <c r="L137" s="21" t="str">
        <f>RIGHT(КХЛ!$H137,4)</f>
        <v>1994</v>
      </c>
    </row>
    <row r="138" spans="5:12" ht="15.75" customHeight="1" x14ac:dyDescent="0.2">
      <c r="E138" s="21">
        <v>721</v>
      </c>
      <c r="F138" s="21" t="s">
        <v>362</v>
      </c>
      <c r="G138" s="21" t="s">
        <v>91</v>
      </c>
      <c r="H138" s="24" t="s">
        <v>363</v>
      </c>
      <c r="I138" s="21">
        <v>26</v>
      </c>
      <c r="J138" s="21" t="s">
        <v>106</v>
      </c>
      <c r="K138" s="21">
        <v>51951286</v>
      </c>
      <c r="L138" s="21" t="str">
        <f>RIGHT(КХЛ!$H138,4)</f>
        <v>1992</v>
      </c>
    </row>
    <row r="139" spans="5:12" ht="15.75" customHeight="1" x14ac:dyDescent="0.2">
      <c r="E139" s="21">
        <v>685</v>
      </c>
      <c r="F139" s="21" t="s">
        <v>364</v>
      </c>
      <c r="G139" s="21" t="s">
        <v>83</v>
      </c>
      <c r="H139" s="24" t="s">
        <v>365</v>
      </c>
      <c r="I139" s="21">
        <v>30</v>
      </c>
      <c r="J139" s="21" t="s">
        <v>89</v>
      </c>
      <c r="K139" s="21">
        <v>40432588</v>
      </c>
      <c r="L139" s="21" t="str">
        <f>RIGHT(КХЛ!$H139,4)</f>
        <v>1987</v>
      </c>
    </row>
    <row r="140" spans="5:12" ht="15.75" customHeight="1" x14ac:dyDescent="0.2">
      <c r="E140" s="21">
        <v>1578</v>
      </c>
      <c r="F140" s="21" t="s">
        <v>366</v>
      </c>
      <c r="G140" s="21" t="s">
        <v>87</v>
      </c>
      <c r="H140" s="24" t="s">
        <v>367</v>
      </c>
      <c r="I140" s="21">
        <v>22</v>
      </c>
      <c r="J140" s="21" t="s">
        <v>89</v>
      </c>
      <c r="K140" s="21">
        <v>13135637</v>
      </c>
      <c r="L140" s="21" t="str">
        <f>RIGHT(КХЛ!$H140,4)</f>
        <v>1995</v>
      </c>
    </row>
    <row r="141" spans="5:12" ht="15.75" customHeight="1" x14ac:dyDescent="0.2">
      <c r="E141" s="21">
        <v>1563</v>
      </c>
      <c r="F141" s="21" t="s">
        <v>368</v>
      </c>
      <c r="G141" s="21" t="s">
        <v>83</v>
      </c>
      <c r="H141" s="24" t="s">
        <v>369</v>
      </c>
      <c r="I141" s="21">
        <v>27</v>
      </c>
      <c r="J141" s="21" t="s">
        <v>89</v>
      </c>
      <c r="K141" s="21">
        <v>83579829</v>
      </c>
      <c r="L141" s="21" t="str">
        <f>RIGHT(КХЛ!$H141,4)</f>
        <v>1991</v>
      </c>
    </row>
    <row r="142" spans="5:12" ht="15.75" customHeight="1" x14ac:dyDescent="0.2">
      <c r="E142" s="21">
        <v>1020</v>
      </c>
      <c r="F142" s="21" t="s">
        <v>370</v>
      </c>
      <c r="G142" s="21" t="s">
        <v>91</v>
      </c>
      <c r="H142" s="24" t="s">
        <v>371</v>
      </c>
      <c r="I142" s="21">
        <v>31</v>
      </c>
      <c r="J142" s="21" t="s">
        <v>85</v>
      </c>
      <c r="K142" s="21">
        <v>19737271</v>
      </c>
      <c r="L142" s="21" t="str">
        <f>RIGHT(КХЛ!$H142,4)</f>
        <v>1986</v>
      </c>
    </row>
    <row r="143" spans="5:12" ht="15.75" customHeight="1" x14ac:dyDescent="0.2">
      <c r="E143" s="21">
        <v>1138</v>
      </c>
      <c r="F143" s="21" t="s">
        <v>372</v>
      </c>
      <c r="G143" s="21" t="s">
        <v>83</v>
      </c>
      <c r="H143" s="24" t="s">
        <v>373</v>
      </c>
      <c r="I143" s="21">
        <v>26</v>
      </c>
      <c r="J143" s="21" t="s">
        <v>89</v>
      </c>
      <c r="K143" s="21">
        <v>4154325</v>
      </c>
      <c r="L143" s="21" t="str">
        <f>RIGHT(КХЛ!$H143,4)</f>
        <v>1991</v>
      </c>
    </row>
    <row r="144" spans="5:12" ht="15.75" customHeight="1" x14ac:dyDescent="0.2">
      <c r="E144" s="21">
        <v>660</v>
      </c>
      <c r="F144" s="21" t="s">
        <v>374</v>
      </c>
      <c r="G144" s="21" t="s">
        <v>87</v>
      </c>
      <c r="H144" s="24" t="s">
        <v>375</v>
      </c>
      <c r="I144" s="21">
        <v>23</v>
      </c>
      <c r="J144" s="21" t="s">
        <v>89</v>
      </c>
      <c r="K144" s="21">
        <v>8645233</v>
      </c>
      <c r="L144" s="21" t="str">
        <f>RIGHT(КХЛ!$H144,4)</f>
        <v>1994</v>
      </c>
    </row>
    <row r="145" spans="5:12" ht="15.75" customHeight="1" x14ac:dyDescent="0.2">
      <c r="E145" s="21">
        <v>915</v>
      </c>
      <c r="F145" s="21" t="s">
        <v>376</v>
      </c>
      <c r="G145" s="21" t="s">
        <v>83</v>
      </c>
      <c r="H145" s="24" t="s">
        <v>377</v>
      </c>
      <c r="I145" s="21">
        <v>36</v>
      </c>
      <c r="J145" s="21" t="s">
        <v>222</v>
      </c>
      <c r="K145" s="21">
        <v>74238468</v>
      </c>
      <c r="L145" s="21" t="str">
        <f>RIGHT(КХЛ!$H145,4)</f>
        <v>1981</v>
      </c>
    </row>
    <row r="146" spans="5:12" ht="15.75" customHeight="1" x14ac:dyDescent="0.2">
      <c r="E146" s="21">
        <v>1275</v>
      </c>
      <c r="F146" s="21" t="s">
        <v>378</v>
      </c>
      <c r="G146" s="21" t="s">
        <v>83</v>
      </c>
      <c r="H146" s="24" t="s">
        <v>379</v>
      </c>
      <c r="I146" s="21">
        <v>32</v>
      </c>
      <c r="J146" s="21" t="s">
        <v>89</v>
      </c>
      <c r="K146" s="21">
        <v>22703322</v>
      </c>
      <c r="L146" s="21" t="str">
        <f>RIGHT(КХЛ!$H146,4)</f>
        <v>1985</v>
      </c>
    </row>
    <row r="147" spans="5:12" ht="15.75" customHeight="1" x14ac:dyDescent="0.2">
      <c r="E147" s="21">
        <v>996</v>
      </c>
      <c r="F147" s="21" t="s">
        <v>380</v>
      </c>
      <c r="G147" s="21" t="s">
        <v>83</v>
      </c>
      <c r="H147" s="24" t="s">
        <v>381</v>
      </c>
      <c r="I147" s="21">
        <v>28</v>
      </c>
      <c r="J147" s="21" t="s">
        <v>321</v>
      </c>
      <c r="K147" s="21">
        <v>96252659</v>
      </c>
      <c r="L147" s="21" t="str">
        <f>RIGHT(КХЛ!$H147,4)</f>
        <v>1989</v>
      </c>
    </row>
    <row r="148" spans="5:12" ht="15.75" customHeight="1" x14ac:dyDescent="0.2">
      <c r="E148" s="21">
        <v>1093</v>
      </c>
      <c r="F148" s="21" t="s">
        <v>382</v>
      </c>
      <c r="G148" s="21" t="s">
        <v>91</v>
      </c>
      <c r="H148" s="24" t="s">
        <v>383</v>
      </c>
      <c r="I148" s="21">
        <v>31</v>
      </c>
      <c r="J148" s="21" t="s">
        <v>89</v>
      </c>
      <c r="K148" s="21">
        <v>48577042</v>
      </c>
      <c r="L148" s="21" t="str">
        <f>RIGHT(КХЛ!$H148,4)</f>
        <v>1986</v>
      </c>
    </row>
    <row r="149" spans="5:12" ht="15.75" customHeight="1" x14ac:dyDescent="0.2">
      <c r="E149" s="21">
        <v>1031</v>
      </c>
      <c r="F149" s="21" t="s">
        <v>384</v>
      </c>
      <c r="G149" s="21" t="s">
        <v>83</v>
      </c>
      <c r="H149" s="24" t="s">
        <v>127</v>
      </c>
      <c r="I149" s="21">
        <v>34</v>
      </c>
      <c r="J149" s="21" t="s">
        <v>89</v>
      </c>
      <c r="K149" s="21">
        <v>35482161</v>
      </c>
      <c r="L149" s="21" t="str">
        <f>RIGHT(КХЛ!$H149,4)</f>
        <v>1983</v>
      </c>
    </row>
    <row r="150" spans="5:12" ht="15.75" customHeight="1" x14ac:dyDescent="0.2">
      <c r="E150" s="21">
        <v>1505</v>
      </c>
      <c r="F150" s="21" t="s">
        <v>385</v>
      </c>
      <c r="G150" s="21" t="s">
        <v>91</v>
      </c>
      <c r="H150" s="24" t="s">
        <v>386</v>
      </c>
      <c r="I150" s="21">
        <v>21</v>
      </c>
      <c r="J150" s="21" t="s">
        <v>89</v>
      </c>
      <c r="K150" s="21">
        <v>12056418</v>
      </c>
      <c r="L150" s="21" t="str">
        <f>RIGHT(КХЛ!$H150,4)</f>
        <v>1996</v>
      </c>
    </row>
    <row r="151" spans="5:12" ht="15.75" customHeight="1" x14ac:dyDescent="0.2">
      <c r="E151" s="21">
        <v>719</v>
      </c>
      <c r="F151" s="21" t="s">
        <v>387</v>
      </c>
      <c r="G151" s="21" t="s">
        <v>83</v>
      </c>
      <c r="H151" s="24" t="s">
        <v>388</v>
      </c>
      <c r="I151" s="21">
        <v>37</v>
      </c>
      <c r="J151" s="21" t="s">
        <v>152</v>
      </c>
      <c r="K151" s="21">
        <v>16226018</v>
      </c>
      <c r="L151" s="21" t="str">
        <f>RIGHT(КХЛ!$H151,4)</f>
        <v>1980</v>
      </c>
    </row>
    <row r="152" spans="5:12" ht="15.75" customHeight="1" x14ac:dyDescent="0.2">
      <c r="E152" s="21">
        <v>792</v>
      </c>
      <c r="F152" s="21" t="s">
        <v>389</v>
      </c>
      <c r="G152" s="21" t="s">
        <v>91</v>
      </c>
      <c r="H152" s="24" t="s">
        <v>390</v>
      </c>
      <c r="I152" s="21">
        <v>31</v>
      </c>
      <c r="J152" s="21" t="s">
        <v>89</v>
      </c>
      <c r="K152" s="21">
        <v>2160315</v>
      </c>
      <c r="L152" s="21" t="str">
        <f>RIGHT(КХЛ!$H152,4)</f>
        <v>1986</v>
      </c>
    </row>
    <row r="153" spans="5:12" ht="15.75" customHeight="1" x14ac:dyDescent="0.2">
      <c r="E153" s="21">
        <v>1370</v>
      </c>
      <c r="F153" s="21" t="s">
        <v>391</v>
      </c>
      <c r="G153" s="21" t="s">
        <v>91</v>
      </c>
      <c r="H153" s="24" t="s">
        <v>392</v>
      </c>
      <c r="I153" s="21">
        <v>40</v>
      </c>
      <c r="J153" s="21" t="s">
        <v>106</v>
      </c>
      <c r="K153" s="21">
        <v>28081109</v>
      </c>
      <c r="L153" s="21" t="str">
        <f>RIGHT(КХЛ!$H153,4)</f>
        <v>1977</v>
      </c>
    </row>
    <row r="154" spans="5:12" ht="15.75" customHeight="1" x14ac:dyDescent="0.2">
      <c r="E154" s="21">
        <v>942</v>
      </c>
      <c r="F154" s="21" t="s">
        <v>393</v>
      </c>
      <c r="G154" s="21" t="s">
        <v>83</v>
      </c>
      <c r="H154" s="24" t="s">
        <v>394</v>
      </c>
      <c r="I154" s="21">
        <v>37</v>
      </c>
      <c r="J154" s="21" t="s">
        <v>89</v>
      </c>
      <c r="K154" s="21">
        <v>55269792</v>
      </c>
      <c r="L154" s="21" t="str">
        <f>RIGHT(КХЛ!$H154,4)</f>
        <v>1980</v>
      </c>
    </row>
    <row r="155" spans="5:12" ht="15.75" customHeight="1" x14ac:dyDescent="0.2">
      <c r="E155" s="21">
        <v>1710</v>
      </c>
      <c r="F155" s="21" t="s">
        <v>395</v>
      </c>
      <c r="G155" s="21" t="s">
        <v>87</v>
      </c>
      <c r="H155" s="24" t="s">
        <v>396</v>
      </c>
      <c r="I155" s="21">
        <v>40</v>
      </c>
      <c r="J155" s="21" t="s">
        <v>89</v>
      </c>
      <c r="K155" s="21">
        <v>20351752</v>
      </c>
      <c r="L155" s="21" t="str">
        <f>RIGHT(КХЛ!$H155,4)</f>
        <v>1977</v>
      </c>
    </row>
    <row r="156" spans="5:12" ht="15.75" customHeight="1" x14ac:dyDescent="0.2">
      <c r="E156" s="21">
        <v>1168</v>
      </c>
      <c r="F156" s="21" t="s">
        <v>397</v>
      </c>
      <c r="G156" s="21" t="s">
        <v>83</v>
      </c>
      <c r="H156" s="24" t="s">
        <v>398</v>
      </c>
      <c r="I156" s="21">
        <v>38</v>
      </c>
      <c r="J156" s="21" t="s">
        <v>89</v>
      </c>
      <c r="K156" s="21">
        <v>25110890</v>
      </c>
      <c r="L156" s="21" t="str">
        <f>RIGHT(КХЛ!$H156,4)</f>
        <v>1979</v>
      </c>
    </row>
    <row r="157" spans="5:12" ht="15.75" customHeight="1" x14ac:dyDescent="0.2">
      <c r="E157" s="21">
        <v>1264</v>
      </c>
      <c r="F157" s="21" t="s">
        <v>399</v>
      </c>
      <c r="G157" s="21" t="s">
        <v>91</v>
      </c>
      <c r="H157" s="24" t="s">
        <v>400</v>
      </c>
      <c r="I157" s="21">
        <v>33</v>
      </c>
      <c r="J157" s="21" t="s">
        <v>85</v>
      </c>
      <c r="K157" s="21">
        <v>3915616</v>
      </c>
      <c r="L157" s="21" t="str">
        <f>RIGHT(КХЛ!$H157,4)</f>
        <v>1984</v>
      </c>
    </row>
    <row r="158" spans="5:12" ht="15.75" customHeight="1" x14ac:dyDescent="0.2">
      <c r="E158" s="21">
        <v>813</v>
      </c>
      <c r="F158" s="21" t="s">
        <v>401</v>
      </c>
      <c r="G158" s="21" t="s">
        <v>91</v>
      </c>
      <c r="H158" s="24" t="s">
        <v>402</v>
      </c>
      <c r="I158" s="21">
        <v>40</v>
      </c>
      <c r="J158" s="21" t="s">
        <v>93</v>
      </c>
      <c r="K158" s="21">
        <v>38680088</v>
      </c>
      <c r="L158" s="21" t="str">
        <f>RIGHT(КХЛ!$H158,4)</f>
        <v>1977</v>
      </c>
    </row>
    <row r="159" spans="5:12" ht="15.75" customHeight="1" x14ac:dyDescent="0.2">
      <c r="E159" s="21">
        <v>264</v>
      </c>
      <c r="F159" s="21" t="s">
        <v>403</v>
      </c>
      <c r="G159" s="21" t="s">
        <v>83</v>
      </c>
      <c r="H159" s="24" t="s">
        <v>404</v>
      </c>
      <c r="I159" s="21">
        <v>27</v>
      </c>
      <c r="J159" s="21" t="s">
        <v>89</v>
      </c>
      <c r="K159" s="21">
        <v>56486364</v>
      </c>
      <c r="L159" s="21" t="str">
        <f>RIGHT(КХЛ!$H159,4)</f>
        <v>1990</v>
      </c>
    </row>
    <row r="160" spans="5:12" ht="15.75" customHeight="1" x14ac:dyDescent="0.2">
      <c r="E160" s="21">
        <v>1353</v>
      </c>
      <c r="F160" s="21" t="s">
        <v>405</v>
      </c>
      <c r="G160" s="21" t="s">
        <v>83</v>
      </c>
      <c r="H160" s="24" t="s">
        <v>406</v>
      </c>
      <c r="I160" s="21">
        <v>23</v>
      </c>
      <c r="J160" s="21" t="s">
        <v>169</v>
      </c>
      <c r="K160" s="21">
        <v>41723369</v>
      </c>
      <c r="L160" s="21" t="str">
        <f>RIGHT(КХЛ!$H160,4)</f>
        <v>1994</v>
      </c>
    </row>
    <row r="161" spans="5:12" ht="15.75" customHeight="1" x14ac:dyDescent="0.2">
      <c r="E161" s="21">
        <v>986</v>
      </c>
      <c r="F161" s="21" t="s">
        <v>407</v>
      </c>
      <c r="G161" s="21" t="s">
        <v>91</v>
      </c>
      <c r="H161" s="24" t="s">
        <v>408</v>
      </c>
      <c r="I161" s="21">
        <v>30</v>
      </c>
      <c r="J161" s="21" t="s">
        <v>89</v>
      </c>
      <c r="K161" s="21">
        <v>97519634</v>
      </c>
      <c r="L161" s="21" t="str">
        <f>RIGHT(КХЛ!$H161,4)</f>
        <v>1988</v>
      </c>
    </row>
    <row r="162" spans="5:12" ht="15.75" customHeight="1" x14ac:dyDescent="0.2">
      <c r="E162" s="21">
        <v>311</v>
      </c>
      <c r="F162" s="21" t="s">
        <v>409</v>
      </c>
      <c r="G162" s="21" t="s">
        <v>83</v>
      </c>
      <c r="H162" s="24" t="s">
        <v>410</v>
      </c>
      <c r="I162" s="21">
        <v>30</v>
      </c>
      <c r="J162" s="21" t="s">
        <v>89</v>
      </c>
      <c r="K162" s="21">
        <v>19934828</v>
      </c>
      <c r="L162" s="21" t="str">
        <f>RIGHT(КХЛ!$H162,4)</f>
        <v>1987</v>
      </c>
    </row>
    <row r="163" spans="5:12" ht="15.75" customHeight="1" x14ac:dyDescent="0.2">
      <c r="E163" s="21">
        <v>215</v>
      </c>
      <c r="F163" s="21" t="s">
        <v>411</v>
      </c>
      <c r="G163" s="21" t="s">
        <v>87</v>
      </c>
      <c r="H163" s="24" t="s">
        <v>412</v>
      </c>
      <c r="I163" s="21">
        <v>18</v>
      </c>
      <c r="J163" s="21" t="s">
        <v>89</v>
      </c>
      <c r="K163" s="21">
        <v>64983078</v>
      </c>
      <c r="L163" s="21" t="str">
        <f>RIGHT(КХЛ!$H163,4)</f>
        <v>1999</v>
      </c>
    </row>
    <row r="164" spans="5:12" ht="15.75" customHeight="1" x14ac:dyDescent="0.2">
      <c r="E164" s="21">
        <v>1716</v>
      </c>
      <c r="F164" s="21" t="s">
        <v>413</v>
      </c>
      <c r="G164" s="21" t="s">
        <v>83</v>
      </c>
      <c r="H164" s="24" t="s">
        <v>414</v>
      </c>
      <c r="I164" s="21">
        <v>35</v>
      </c>
      <c r="J164" s="21" t="s">
        <v>106</v>
      </c>
      <c r="K164" s="21">
        <v>22300654</v>
      </c>
      <c r="L164" s="21" t="str">
        <f>RIGHT(КХЛ!$H164,4)</f>
        <v>1982</v>
      </c>
    </row>
    <row r="165" spans="5:12" ht="15.75" customHeight="1" x14ac:dyDescent="0.2">
      <c r="E165" s="21">
        <v>871</v>
      </c>
      <c r="F165" s="21" t="s">
        <v>415</v>
      </c>
      <c r="G165" s="21" t="s">
        <v>83</v>
      </c>
      <c r="H165" s="24" t="s">
        <v>416</v>
      </c>
      <c r="I165" s="21">
        <v>40</v>
      </c>
      <c r="J165" s="21" t="s">
        <v>89</v>
      </c>
      <c r="K165" s="21">
        <v>28939193</v>
      </c>
      <c r="L165" s="21" t="str">
        <f>RIGHT(КХЛ!$H165,4)</f>
        <v>1978</v>
      </c>
    </row>
    <row r="166" spans="5:12" ht="15.75" customHeight="1" x14ac:dyDescent="0.2">
      <c r="E166" s="21">
        <v>736</v>
      </c>
      <c r="F166" s="21" t="s">
        <v>417</v>
      </c>
      <c r="G166" s="21" t="s">
        <v>83</v>
      </c>
      <c r="H166" s="24" t="s">
        <v>418</v>
      </c>
      <c r="I166" s="21">
        <v>30</v>
      </c>
      <c r="J166" s="21" t="s">
        <v>89</v>
      </c>
      <c r="K166" s="21">
        <v>5872223</v>
      </c>
      <c r="L166" s="21" t="str">
        <f>RIGHT(КХЛ!$H166,4)</f>
        <v>1987</v>
      </c>
    </row>
    <row r="167" spans="5:12" ht="15.75" customHeight="1" x14ac:dyDescent="0.2">
      <c r="E167" s="21">
        <v>654</v>
      </c>
      <c r="F167" s="21" t="s">
        <v>419</v>
      </c>
      <c r="G167" s="21" t="s">
        <v>91</v>
      </c>
      <c r="H167" s="24" t="s">
        <v>420</v>
      </c>
      <c r="I167" s="21">
        <v>24</v>
      </c>
      <c r="J167" s="21" t="s">
        <v>89</v>
      </c>
      <c r="K167" s="21">
        <v>51152763</v>
      </c>
      <c r="L167" s="21" t="str">
        <f>RIGHT(КХЛ!$H167,4)</f>
        <v>1994</v>
      </c>
    </row>
    <row r="168" spans="5:12" ht="15.75" customHeight="1" x14ac:dyDescent="0.2">
      <c r="E168" s="21">
        <v>749</v>
      </c>
      <c r="F168" s="21" t="s">
        <v>421</v>
      </c>
      <c r="G168" s="21" t="s">
        <v>91</v>
      </c>
      <c r="H168" s="24" t="s">
        <v>422</v>
      </c>
      <c r="I168" s="21">
        <v>26</v>
      </c>
      <c r="J168" s="21" t="s">
        <v>89</v>
      </c>
      <c r="K168" s="21">
        <v>86808076</v>
      </c>
      <c r="L168" s="21" t="str">
        <f>RIGHT(КХЛ!$H168,4)</f>
        <v>1991</v>
      </c>
    </row>
    <row r="169" spans="5:12" ht="15.75" customHeight="1" x14ac:dyDescent="0.2">
      <c r="E169" s="21">
        <v>1772</v>
      </c>
      <c r="F169" s="21" t="s">
        <v>423</v>
      </c>
      <c r="G169" s="21" t="s">
        <v>83</v>
      </c>
      <c r="H169" s="24" t="s">
        <v>424</v>
      </c>
      <c r="I169" s="21">
        <v>32</v>
      </c>
      <c r="J169" s="21" t="s">
        <v>89</v>
      </c>
      <c r="K169" s="21">
        <v>18578339</v>
      </c>
      <c r="L169" s="21" t="str">
        <f>RIGHT(КХЛ!$H169,4)</f>
        <v>1985</v>
      </c>
    </row>
    <row r="170" spans="5:12" ht="15.75" customHeight="1" x14ac:dyDescent="0.2">
      <c r="E170" s="21">
        <v>233</v>
      </c>
      <c r="F170" s="21" t="s">
        <v>425</v>
      </c>
      <c r="G170" s="21" t="s">
        <v>87</v>
      </c>
      <c r="H170" s="24" t="s">
        <v>426</v>
      </c>
      <c r="I170" s="21">
        <v>17</v>
      </c>
      <c r="J170" s="21" t="s">
        <v>89</v>
      </c>
      <c r="K170" s="21">
        <v>33526162</v>
      </c>
      <c r="L170" s="21" t="str">
        <f>RIGHT(КХЛ!$H170,4)</f>
        <v>2000</v>
      </c>
    </row>
    <row r="171" spans="5:12" ht="15.75" customHeight="1" x14ac:dyDescent="0.2">
      <c r="E171" s="21">
        <v>759</v>
      </c>
      <c r="F171" s="21" t="s">
        <v>427</v>
      </c>
      <c r="G171" s="21" t="s">
        <v>87</v>
      </c>
      <c r="H171" s="24" t="s">
        <v>428</v>
      </c>
      <c r="I171" s="21">
        <v>37</v>
      </c>
      <c r="J171" s="21" t="s">
        <v>89</v>
      </c>
      <c r="K171" s="21">
        <v>94954290</v>
      </c>
      <c r="L171" s="21" t="str">
        <f>RIGHT(КХЛ!$H171,4)</f>
        <v>1980</v>
      </c>
    </row>
    <row r="172" spans="5:12" ht="15.75" customHeight="1" x14ac:dyDescent="0.2">
      <c r="E172" s="21">
        <v>208</v>
      </c>
      <c r="F172" s="21" t="s">
        <v>429</v>
      </c>
      <c r="G172" s="21" t="s">
        <v>91</v>
      </c>
      <c r="H172" s="24" t="s">
        <v>430</v>
      </c>
      <c r="I172" s="21">
        <v>36</v>
      </c>
      <c r="J172" s="21" t="s">
        <v>431</v>
      </c>
      <c r="K172" s="21">
        <v>27953495</v>
      </c>
      <c r="L172" s="21" t="str">
        <f>RIGHT(КХЛ!$H172,4)</f>
        <v>1981</v>
      </c>
    </row>
    <row r="173" spans="5:12" ht="15.75" customHeight="1" x14ac:dyDescent="0.2">
      <c r="E173" s="21">
        <v>1660</v>
      </c>
      <c r="F173" s="21" t="s">
        <v>432</v>
      </c>
      <c r="G173" s="21" t="s">
        <v>83</v>
      </c>
      <c r="H173" s="24" t="s">
        <v>390</v>
      </c>
      <c r="I173" s="21">
        <v>31</v>
      </c>
      <c r="J173" s="21" t="s">
        <v>89</v>
      </c>
      <c r="K173" s="21">
        <v>69892474</v>
      </c>
      <c r="L173" s="21" t="str">
        <f>RIGHT(КХЛ!$H173,4)</f>
        <v>1986</v>
      </c>
    </row>
    <row r="174" spans="5:12" ht="15.75" customHeight="1" x14ac:dyDescent="0.2">
      <c r="E174" s="21">
        <v>226</v>
      </c>
      <c r="F174" s="21" t="s">
        <v>433</v>
      </c>
      <c r="G174" s="21" t="s">
        <v>91</v>
      </c>
      <c r="H174" s="24" t="s">
        <v>434</v>
      </c>
      <c r="I174" s="21">
        <v>18</v>
      </c>
      <c r="J174" s="21" t="s">
        <v>89</v>
      </c>
      <c r="K174" s="21">
        <v>72484420</v>
      </c>
      <c r="L174" s="21" t="str">
        <f>RIGHT(КХЛ!$H174,4)</f>
        <v>1999</v>
      </c>
    </row>
    <row r="175" spans="5:12" ht="15.75" customHeight="1" x14ac:dyDescent="0.2">
      <c r="E175" s="21">
        <v>672</v>
      </c>
      <c r="F175" s="21" t="s">
        <v>435</v>
      </c>
      <c r="G175" s="21" t="s">
        <v>91</v>
      </c>
      <c r="H175" s="24" t="s">
        <v>436</v>
      </c>
      <c r="I175" s="21">
        <v>29</v>
      </c>
      <c r="J175" s="21" t="s">
        <v>282</v>
      </c>
      <c r="K175" s="21">
        <v>10968221</v>
      </c>
      <c r="L175" s="21" t="str">
        <f>RIGHT(КХЛ!$H175,4)</f>
        <v>1988</v>
      </c>
    </row>
    <row r="176" spans="5:12" ht="15.75" customHeight="1" x14ac:dyDescent="0.2">
      <c r="E176" s="21">
        <v>567</v>
      </c>
      <c r="F176" s="21" t="s">
        <v>437</v>
      </c>
      <c r="G176" s="21" t="s">
        <v>91</v>
      </c>
      <c r="H176" s="24" t="s">
        <v>438</v>
      </c>
      <c r="I176" s="21">
        <v>33</v>
      </c>
      <c r="J176" s="21" t="s">
        <v>169</v>
      </c>
      <c r="K176" s="21">
        <v>73519792</v>
      </c>
      <c r="L176" s="21" t="str">
        <f>RIGHT(КХЛ!$H176,4)</f>
        <v>1984</v>
      </c>
    </row>
    <row r="177" spans="5:12" ht="15.75" customHeight="1" x14ac:dyDescent="0.2">
      <c r="E177" s="21">
        <v>499</v>
      </c>
      <c r="F177" s="21" t="s">
        <v>439</v>
      </c>
      <c r="G177" s="21" t="s">
        <v>91</v>
      </c>
      <c r="H177" s="24" t="s">
        <v>440</v>
      </c>
      <c r="I177" s="21">
        <v>34</v>
      </c>
      <c r="J177" s="21" t="s">
        <v>106</v>
      </c>
      <c r="K177" s="21">
        <v>27409606</v>
      </c>
      <c r="L177" s="21" t="str">
        <f>RIGHT(КХЛ!$H177,4)</f>
        <v>1983</v>
      </c>
    </row>
    <row r="178" spans="5:12" ht="15.75" customHeight="1" x14ac:dyDescent="0.2">
      <c r="E178" s="21">
        <v>411</v>
      </c>
      <c r="F178" s="21" t="s">
        <v>441</v>
      </c>
      <c r="G178" s="21" t="s">
        <v>87</v>
      </c>
      <c r="H178" s="24" t="s">
        <v>442</v>
      </c>
      <c r="I178" s="21">
        <v>37</v>
      </c>
      <c r="J178" s="21" t="s">
        <v>89</v>
      </c>
      <c r="K178" s="21">
        <v>32702119</v>
      </c>
      <c r="L178" s="21" t="str">
        <f>RIGHT(КХЛ!$H178,4)</f>
        <v>1980</v>
      </c>
    </row>
    <row r="179" spans="5:12" ht="15.75" customHeight="1" x14ac:dyDescent="0.2">
      <c r="E179" s="21">
        <v>715</v>
      </c>
      <c r="F179" s="21" t="s">
        <v>443</v>
      </c>
      <c r="G179" s="21" t="s">
        <v>91</v>
      </c>
      <c r="H179" s="24" t="s">
        <v>444</v>
      </c>
      <c r="I179" s="21">
        <v>22</v>
      </c>
      <c r="J179" s="21" t="s">
        <v>89</v>
      </c>
      <c r="K179" s="21">
        <v>9038456</v>
      </c>
      <c r="L179" s="21" t="str">
        <f>RIGHT(КХЛ!$H179,4)</f>
        <v>1995</v>
      </c>
    </row>
    <row r="180" spans="5:12" ht="15.75" customHeight="1" x14ac:dyDescent="0.2">
      <c r="E180" s="21">
        <v>1071</v>
      </c>
      <c r="F180" s="21" t="s">
        <v>445</v>
      </c>
      <c r="G180" s="21" t="s">
        <v>83</v>
      </c>
      <c r="H180" s="24" t="s">
        <v>446</v>
      </c>
      <c r="I180" s="21">
        <v>28</v>
      </c>
      <c r="J180" s="21" t="s">
        <v>89</v>
      </c>
      <c r="K180" s="21">
        <v>37192271</v>
      </c>
      <c r="L180" s="21" t="str">
        <f>RIGHT(КХЛ!$H180,4)</f>
        <v>1990</v>
      </c>
    </row>
    <row r="181" spans="5:12" ht="15.75" customHeight="1" x14ac:dyDescent="0.2">
      <c r="E181" s="21">
        <v>1153</v>
      </c>
      <c r="F181" s="21" t="s">
        <v>447</v>
      </c>
      <c r="G181" s="21" t="s">
        <v>83</v>
      </c>
      <c r="H181" s="24" t="s">
        <v>448</v>
      </c>
      <c r="I181" s="21">
        <v>23</v>
      </c>
      <c r="J181" s="21" t="s">
        <v>89</v>
      </c>
      <c r="K181" s="21">
        <v>24591541</v>
      </c>
      <c r="L181" s="21" t="str">
        <f>RIGHT(КХЛ!$H181,4)</f>
        <v>1994</v>
      </c>
    </row>
    <row r="182" spans="5:12" ht="15.75" customHeight="1" x14ac:dyDescent="0.2">
      <c r="E182" s="21">
        <v>1690</v>
      </c>
      <c r="F182" s="21" t="s">
        <v>449</v>
      </c>
      <c r="G182" s="21" t="s">
        <v>87</v>
      </c>
      <c r="H182" s="24" t="s">
        <v>450</v>
      </c>
      <c r="I182" s="21">
        <v>44</v>
      </c>
      <c r="J182" s="21" t="s">
        <v>85</v>
      </c>
      <c r="K182" s="21">
        <v>35100302</v>
      </c>
      <c r="L182" s="21" t="str">
        <f>RIGHT(КХЛ!$H182,4)</f>
        <v>1973</v>
      </c>
    </row>
    <row r="183" spans="5:12" ht="15.75" customHeight="1" x14ac:dyDescent="0.2">
      <c r="E183" s="21">
        <v>1508</v>
      </c>
      <c r="F183" s="21" t="s">
        <v>451</v>
      </c>
      <c r="G183" s="21" t="s">
        <v>87</v>
      </c>
      <c r="H183" s="24" t="s">
        <v>452</v>
      </c>
      <c r="I183" s="21">
        <v>19</v>
      </c>
      <c r="J183" s="21" t="s">
        <v>89</v>
      </c>
      <c r="K183" s="21">
        <v>59737450</v>
      </c>
      <c r="L183" s="21" t="str">
        <f>RIGHT(КХЛ!$H183,4)</f>
        <v>1998</v>
      </c>
    </row>
    <row r="184" spans="5:12" ht="15.75" customHeight="1" x14ac:dyDescent="0.2">
      <c r="E184" s="21">
        <v>927</v>
      </c>
      <c r="F184" s="21" t="s">
        <v>453</v>
      </c>
      <c r="G184" s="21" t="s">
        <v>91</v>
      </c>
      <c r="H184" s="24" t="s">
        <v>454</v>
      </c>
      <c r="I184" s="21">
        <v>24</v>
      </c>
      <c r="J184" s="21" t="s">
        <v>89</v>
      </c>
      <c r="K184" s="21">
        <v>85650351</v>
      </c>
      <c r="L184" s="21" t="str">
        <f>RIGHT(КХЛ!$H184,4)</f>
        <v>1993</v>
      </c>
    </row>
    <row r="185" spans="5:12" ht="15.75" customHeight="1" x14ac:dyDescent="0.2">
      <c r="E185" s="21">
        <v>928</v>
      </c>
      <c r="F185" s="21" t="s">
        <v>455</v>
      </c>
      <c r="G185" s="21" t="s">
        <v>83</v>
      </c>
      <c r="H185" s="24" t="s">
        <v>456</v>
      </c>
      <c r="I185" s="21">
        <v>24</v>
      </c>
      <c r="J185" s="21" t="s">
        <v>169</v>
      </c>
      <c r="K185" s="21">
        <v>75525822</v>
      </c>
      <c r="L185" s="21" t="str">
        <f>RIGHT(КХЛ!$H185,4)</f>
        <v>1993</v>
      </c>
    </row>
    <row r="186" spans="5:12" ht="15.75" customHeight="1" x14ac:dyDescent="0.2">
      <c r="E186" s="21">
        <v>694</v>
      </c>
      <c r="F186" s="21" t="s">
        <v>457</v>
      </c>
      <c r="G186" s="21" t="s">
        <v>83</v>
      </c>
      <c r="H186" s="24" t="s">
        <v>458</v>
      </c>
      <c r="I186" s="21">
        <v>29</v>
      </c>
      <c r="J186" s="21" t="s">
        <v>152</v>
      </c>
      <c r="K186" s="21">
        <v>13846872</v>
      </c>
      <c r="L186" s="21" t="str">
        <f>RIGHT(КХЛ!$H186,4)</f>
        <v>1989</v>
      </c>
    </row>
    <row r="187" spans="5:12" ht="15.75" customHeight="1" x14ac:dyDescent="0.2">
      <c r="E187" s="21">
        <v>1388</v>
      </c>
      <c r="F187" s="21" t="s">
        <v>459</v>
      </c>
      <c r="G187" s="21" t="s">
        <v>91</v>
      </c>
      <c r="H187" s="24" t="s">
        <v>460</v>
      </c>
      <c r="I187" s="21">
        <v>34</v>
      </c>
      <c r="J187" s="21" t="s">
        <v>106</v>
      </c>
      <c r="K187" s="21">
        <v>94792229</v>
      </c>
      <c r="L187" s="21" t="str">
        <f>RIGHT(КХЛ!$H187,4)</f>
        <v>1983</v>
      </c>
    </row>
    <row r="188" spans="5:12" ht="15.75" customHeight="1" x14ac:dyDescent="0.2">
      <c r="E188" s="21">
        <v>1431</v>
      </c>
      <c r="F188" s="21" t="s">
        <v>461</v>
      </c>
      <c r="G188" s="21" t="s">
        <v>83</v>
      </c>
      <c r="H188" s="24" t="s">
        <v>462</v>
      </c>
      <c r="I188" s="21">
        <v>33</v>
      </c>
      <c r="J188" s="21" t="s">
        <v>321</v>
      </c>
      <c r="K188" s="21">
        <v>99627553</v>
      </c>
      <c r="L188" s="21" t="str">
        <f>RIGHT(КХЛ!$H188,4)</f>
        <v>1984</v>
      </c>
    </row>
    <row r="189" spans="5:12" ht="15.75" customHeight="1" x14ac:dyDescent="0.2">
      <c r="E189" s="21">
        <v>1074</v>
      </c>
      <c r="F189" s="21" t="s">
        <v>463</v>
      </c>
      <c r="G189" s="21" t="s">
        <v>83</v>
      </c>
      <c r="H189" s="24" t="s">
        <v>464</v>
      </c>
      <c r="I189" s="21">
        <v>38</v>
      </c>
      <c r="J189" s="21" t="s">
        <v>152</v>
      </c>
      <c r="K189" s="21">
        <v>8746603</v>
      </c>
      <c r="L189" s="21" t="str">
        <f>RIGHT(КХЛ!$H189,4)</f>
        <v>1979</v>
      </c>
    </row>
    <row r="190" spans="5:12" ht="15.75" customHeight="1" x14ac:dyDescent="0.2">
      <c r="E190" s="21">
        <v>750</v>
      </c>
      <c r="F190" s="21" t="s">
        <v>465</v>
      </c>
      <c r="G190" s="21" t="s">
        <v>91</v>
      </c>
      <c r="H190" s="24" t="s">
        <v>466</v>
      </c>
      <c r="I190" s="21">
        <v>20</v>
      </c>
      <c r="J190" s="21" t="s">
        <v>89</v>
      </c>
      <c r="K190" s="21">
        <v>18527069</v>
      </c>
      <c r="L190" s="21" t="str">
        <f>RIGHT(КХЛ!$H190,4)</f>
        <v>1997</v>
      </c>
    </row>
    <row r="191" spans="5:12" ht="15.75" customHeight="1" x14ac:dyDescent="0.2">
      <c r="E191" s="21">
        <v>659</v>
      </c>
      <c r="F191" s="21" t="s">
        <v>467</v>
      </c>
      <c r="G191" s="21" t="s">
        <v>91</v>
      </c>
      <c r="H191" s="24" t="s">
        <v>468</v>
      </c>
      <c r="I191" s="21">
        <v>28</v>
      </c>
      <c r="J191" s="21" t="s">
        <v>169</v>
      </c>
      <c r="K191" s="21">
        <v>69384454</v>
      </c>
      <c r="L191" s="21" t="str">
        <f>RIGHT(КХЛ!$H191,4)</f>
        <v>1989</v>
      </c>
    </row>
    <row r="192" spans="5:12" ht="15.75" customHeight="1" x14ac:dyDescent="0.2">
      <c r="E192" s="21">
        <v>980</v>
      </c>
      <c r="F192" s="21" t="s">
        <v>469</v>
      </c>
      <c r="G192" s="21" t="s">
        <v>87</v>
      </c>
      <c r="H192" s="24" t="s">
        <v>470</v>
      </c>
      <c r="I192" s="21">
        <v>37</v>
      </c>
      <c r="J192" s="21" t="s">
        <v>106</v>
      </c>
      <c r="K192" s="21">
        <v>34561917</v>
      </c>
      <c r="L192" s="21" t="str">
        <f>RIGHT(КХЛ!$H192,4)</f>
        <v>1980</v>
      </c>
    </row>
    <row r="193" spans="5:12" ht="15.75" customHeight="1" x14ac:dyDescent="0.2">
      <c r="E193" s="21">
        <v>671</v>
      </c>
      <c r="F193" s="21" t="s">
        <v>471</v>
      </c>
      <c r="G193" s="21" t="s">
        <v>91</v>
      </c>
      <c r="H193" s="24" t="s">
        <v>472</v>
      </c>
      <c r="I193" s="21">
        <v>29</v>
      </c>
      <c r="J193" s="21" t="s">
        <v>106</v>
      </c>
      <c r="K193" s="21">
        <v>22671494</v>
      </c>
      <c r="L193" s="21" t="str">
        <f>RIGHT(КХЛ!$H193,4)</f>
        <v>1988</v>
      </c>
    </row>
    <row r="194" spans="5:12" ht="15.75" customHeight="1" x14ac:dyDescent="0.2">
      <c r="E194" s="21">
        <v>954</v>
      </c>
      <c r="F194" s="21" t="s">
        <v>473</v>
      </c>
      <c r="G194" s="21" t="s">
        <v>91</v>
      </c>
      <c r="H194" s="24" t="s">
        <v>474</v>
      </c>
      <c r="I194" s="21">
        <v>21</v>
      </c>
      <c r="J194" s="21" t="s">
        <v>89</v>
      </c>
      <c r="K194" s="21">
        <v>806436</v>
      </c>
      <c r="L194" s="21" t="str">
        <f>RIGHT(КХЛ!$H194,4)</f>
        <v>1996</v>
      </c>
    </row>
    <row r="195" spans="5:12" ht="15.75" customHeight="1" x14ac:dyDescent="0.2">
      <c r="E195" s="21">
        <v>640</v>
      </c>
      <c r="F195" s="21" t="s">
        <v>475</v>
      </c>
      <c r="G195" s="21" t="s">
        <v>87</v>
      </c>
      <c r="H195" s="24" t="s">
        <v>476</v>
      </c>
      <c r="I195" s="21">
        <v>34</v>
      </c>
      <c r="J195" s="21" t="s">
        <v>222</v>
      </c>
      <c r="K195" s="21">
        <v>96571103</v>
      </c>
      <c r="L195" s="21" t="str">
        <f>RIGHT(КХЛ!$H195,4)</f>
        <v>1983</v>
      </c>
    </row>
    <row r="196" spans="5:12" ht="15.75" customHeight="1" x14ac:dyDescent="0.2">
      <c r="E196" s="21">
        <v>1070</v>
      </c>
      <c r="F196" s="21" t="s">
        <v>477</v>
      </c>
      <c r="G196" s="21" t="s">
        <v>91</v>
      </c>
      <c r="H196" s="24" t="s">
        <v>181</v>
      </c>
      <c r="I196" s="21">
        <v>45</v>
      </c>
      <c r="J196" s="21" t="s">
        <v>89</v>
      </c>
      <c r="K196" s="21">
        <v>57906455</v>
      </c>
      <c r="L196" s="21" t="str">
        <f>RIGHT(КХЛ!$H196,4)</f>
        <v>1972</v>
      </c>
    </row>
    <row r="197" spans="5:12" ht="15.75" customHeight="1" x14ac:dyDescent="0.2">
      <c r="E197" s="21">
        <v>1249</v>
      </c>
      <c r="F197" s="21" t="s">
        <v>478</v>
      </c>
      <c r="G197" s="21" t="s">
        <v>83</v>
      </c>
      <c r="H197" s="24" t="s">
        <v>479</v>
      </c>
      <c r="I197" s="21">
        <v>35</v>
      </c>
      <c r="J197" s="21" t="s">
        <v>89</v>
      </c>
      <c r="K197" s="21">
        <v>96548964</v>
      </c>
      <c r="L197" s="21" t="str">
        <f>RIGHT(КХЛ!$H197,4)</f>
        <v>1982</v>
      </c>
    </row>
    <row r="198" spans="5:12" ht="15.75" customHeight="1" x14ac:dyDescent="0.2">
      <c r="E198" s="21">
        <v>598</v>
      </c>
      <c r="F198" s="21" t="s">
        <v>480</v>
      </c>
      <c r="G198" s="21" t="s">
        <v>87</v>
      </c>
      <c r="H198" s="24" t="s">
        <v>481</v>
      </c>
      <c r="I198" s="21">
        <v>28</v>
      </c>
      <c r="J198" s="21" t="s">
        <v>222</v>
      </c>
      <c r="K198" s="21">
        <v>81638354</v>
      </c>
      <c r="L198" s="21" t="str">
        <f>RIGHT(КХЛ!$H198,4)</f>
        <v>1990</v>
      </c>
    </row>
    <row r="199" spans="5:12" ht="15.75" customHeight="1" x14ac:dyDescent="0.2">
      <c r="E199" s="21">
        <v>1675</v>
      </c>
      <c r="F199" s="21" t="s">
        <v>482</v>
      </c>
      <c r="G199" s="21" t="s">
        <v>91</v>
      </c>
      <c r="H199" s="24" t="s">
        <v>483</v>
      </c>
      <c r="I199" s="21">
        <v>22</v>
      </c>
      <c r="J199" s="21" t="s">
        <v>89</v>
      </c>
      <c r="K199" s="21">
        <v>1991092</v>
      </c>
      <c r="L199" s="21" t="str">
        <f>RIGHT(КХЛ!$H199,4)</f>
        <v>1995</v>
      </c>
    </row>
    <row r="200" spans="5:12" ht="15.75" customHeight="1" x14ac:dyDescent="0.2">
      <c r="E200" s="21">
        <v>889</v>
      </c>
      <c r="F200" s="21" t="s">
        <v>484</v>
      </c>
      <c r="G200" s="21" t="s">
        <v>91</v>
      </c>
      <c r="H200" s="24" t="s">
        <v>485</v>
      </c>
      <c r="I200" s="21">
        <v>33</v>
      </c>
      <c r="J200" s="21" t="s">
        <v>89</v>
      </c>
      <c r="K200" s="21">
        <v>26828701</v>
      </c>
      <c r="L200" s="21" t="str">
        <f>RIGHT(КХЛ!$H200,4)</f>
        <v>1985</v>
      </c>
    </row>
    <row r="201" spans="5:12" ht="15.75" customHeight="1" x14ac:dyDescent="0.2">
      <c r="E201" s="21">
        <v>933</v>
      </c>
      <c r="F201" s="21" t="s">
        <v>486</v>
      </c>
      <c r="G201" s="21" t="s">
        <v>87</v>
      </c>
      <c r="H201" s="24" t="s">
        <v>487</v>
      </c>
      <c r="I201" s="21">
        <v>24</v>
      </c>
      <c r="J201" s="21" t="s">
        <v>169</v>
      </c>
      <c r="K201" s="21">
        <v>44683692</v>
      </c>
      <c r="L201" s="21" t="str">
        <f>RIGHT(КХЛ!$H201,4)</f>
        <v>1993</v>
      </c>
    </row>
    <row r="202" spans="5:12" ht="15.75" customHeight="1" x14ac:dyDescent="0.2">
      <c r="E202" s="21">
        <v>98</v>
      </c>
      <c r="F202" s="21" t="s">
        <v>488</v>
      </c>
      <c r="G202" s="21" t="s">
        <v>91</v>
      </c>
      <c r="H202" s="24" t="s">
        <v>292</v>
      </c>
      <c r="I202" s="21">
        <v>20</v>
      </c>
      <c r="J202" s="21" t="s">
        <v>89</v>
      </c>
      <c r="K202" s="21">
        <v>79651662</v>
      </c>
      <c r="L202" s="21" t="str">
        <f>RIGHT(КХЛ!$H202,4)</f>
        <v>1997</v>
      </c>
    </row>
    <row r="203" spans="5:12" ht="15.75" customHeight="1" x14ac:dyDescent="0.2">
      <c r="E203" s="21">
        <v>697</v>
      </c>
      <c r="F203" s="21" t="s">
        <v>489</v>
      </c>
      <c r="G203" s="21" t="s">
        <v>91</v>
      </c>
      <c r="H203" s="24" t="s">
        <v>490</v>
      </c>
      <c r="I203" s="21">
        <v>32</v>
      </c>
      <c r="J203" s="21" t="s">
        <v>241</v>
      </c>
      <c r="K203" s="21">
        <v>93819122</v>
      </c>
      <c r="L203" s="21" t="str">
        <f>RIGHT(КХЛ!$H203,4)</f>
        <v>1985</v>
      </c>
    </row>
    <row r="204" spans="5:12" ht="15.75" customHeight="1" x14ac:dyDescent="0.2">
      <c r="E204" s="21">
        <v>1147</v>
      </c>
      <c r="F204" s="21" t="s">
        <v>491</v>
      </c>
      <c r="G204" s="21" t="s">
        <v>91</v>
      </c>
      <c r="H204" s="24" t="s">
        <v>492</v>
      </c>
      <c r="I204" s="21">
        <v>30</v>
      </c>
      <c r="J204" s="21" t="s">
        <v>89</v>
      </c>
      <c r="K204" s="21">
        <v>74427103</v>
      </c>
      <c r="L204" s="21" t="str">
        <f>RIGHT(КХЛ!$H204,4)</f>
        <v>1987</v>
      </c>
    </row>
    <row r="205" spans="5:12" ht="15.75" customHeight="1" x14ac:dyDescent="0.2">
      <c r="E205" s="21">
        <v>868</v>
      </c>
      <c r="F205" s="21" t="s">
        <v>493</v>
      </c>
      <c r="G205" s="21" t="s">
        <v>87</v>
      </c>
      <c r="H205" s="24" t="s">
        <v>494</v>
      </c>
      <c r="I205" s="21">
        <v>53</v>
      </c>
      <c r="J205" s="21" t="s">
        <v>89</v>
      </c>
      <c r="K205" s="21">
        <v>50458553</v>
      </c>
      <c r="L205" s="21" t="str">
        <f>RIGHT(КХЛ!$H205,4)</f>
        <v>1964</v>
      </c>
    </row>
    <row r="206" spans="5:12" ht="15.75" customHeight="1" x14ac:dyDescent="0.2">
      <c r="E206" s="21">
        <v>130</v>
      </c>
      <c r="F206" s="21" t="s">
        <v>495</v>
      </c>
      <c r="G206" s="21" t="s">
        <v>83</v>
      </c>
      <c r="H206" s="24" t="s">
        <v>496</v>
      </c>
      <c r="I206" s="21">
        <v>22</v>
      </c>
      <c r="J206" s="21" t="s">
        <v>89</v>
      </c>
      <c r="K206" s="21">
        <v>96326209</v>
      </c>
      <c r="L206" s="21" t="str">
        <f>RIGHT(КХЛ!$H206,4)</f>
        <v>1995</v>
      </c>
    </row>
    <row r="207" spans="5:12" ht="15.75" customHeight="1" x14ac:dyDescent="0.2">
      <c r="E207" s="21">
        <v>1065</v>
      </c>
      <c r="F207" s="21" t="s">
        <v>497</v>
      </c>
      <c r="G207" s="21" t="s">
        <v>83</v>
      </c>
      <c r="H207" s="24" t="s">
        <v>498</v>
      </c>
      <c r="I207" s="21">
        <v>26</v>
      </c>
      <c r="J207" s="21" t="s">
        <v>106</v>
      </c>
      <c r="K207" s="21">
        <v>98318572</v>
      </c>
      <c r="L207" s="21" t="str">
        <f>RIGHT(КХЛ!$H207,4)</f>
        <v>1991</v>
      </c>
    </row>
    <row r="208" spans="5:12" ht="15.75" customHeight="1" x14ac:dyDescent="0.2">
      <c r="E208" s="21">
        <v>1633</v>
      </c>
      <c r="F208" s="21" t="s">
        <v>499</v>
      </c>
      <c r="G208" s="21" t="s">
        <v>83</v>
      </c>
      <c r="H208" s="24" t="s">
        <v>500</v>
      </c>
      <c r="I208" s="21">
        <v>25</v>
      </c>
      <c r="J208" s="21" t="s">
        <v>89</v>
      </c>
      <c r="K208" s="21">
        <v>30506560</v>
      </c>
      <c r="L208" s="21" t="str">
        <f>RIGHT(КХЛ!$H208,4)</f>
        <v>1992</v>
      </c>
    </row>
    <row r="209" spans="5:12" ht="15.75" customHeight="1" x14ac:dyDescent="0.2">
      <c r="E209" s="21">
        <v>959</v>
      </c>
      <c r="F209" s="21" t="s">
        <v>501</v>
      </c>
      <c r="G209" s="21" t="s">
        <v>91</v>
      </c>
      <c r="H209" s="24" t="s">
        <v>502</v>
      </c>
      <c r="I209" s="21">
        <v>39</v>
      </c>
      <c r="J209" s="21" t="s">
        <v>85</v>
      </c>
      <c r="K209" s="21">
        <v>66519401</v>
      </c>
      <c r="L209" s="21" t="str">
        <f>RIGHT(КХЛ!$H209,4)</f>
        <v>1978</v>
      </c>
    </row>
    <row r="210" spans="5:12" ht="15.75" customHeight="1" x14ac:dyDescent="0.2">
      <c r="E210" s="21">
        <v>72</v>
      </c>
      <c r="F210" s="21" t="s">
        <v>503</v>
      </c>
      <c r="G210" s="21" t="s">
        <v>91</v>
      </c>
      <c r="H210" s="24" t="s">
        <v>504</v>
      </c>
      <c r="I210" s="21">
        <v>27</v>
      </c>
      <c r="J210" s="21" t="s">
        <v>89</v>
      </c>
      <c r="K210" s="21">
        <v>4059305</v>
      </c>
      <c r="L210" s="21" t="str">
        <f>RIGHT(КХЛ!$H210,4)</f>
        <v>1990</v>
      </c>
    </row>
    <row r="211" spans="5:12" ht="15.75" customHeight="1" x14ac:dyDescent="0.2">
      <c r="E211" s="21">
        <v>42</v>
      </c>
      <c r="F211" s="21" t="s">
        <v>505</v>
      </c>
      <c r="G211" s="21" t="s">
        <v>83</v>
      </c>
      <c r="H211" s="24" t="s">
        <v>506</v>
      </c>
      <c r="I211" s="21">
        <v>26</v>
      </c>
      <c r="J211" s="21" t="s">
        <v>507</v>
      </c>
      <c r="K211" s="21">
        <v>20137283</v>
      </c>
      <c r="L211" s="21" t="str">
        <f>RIGHT(КХЛ!$H211,4)</f>
        <v>1991</v>
      </c>
    </row>
    <row r="212" spans="5:12" ht="15.75" customHeight="1" x14ac:dyDescent="0.2">
      <c r="E212" s="21">
        <v>1048</v>
      </c>
      <c r="F212" s="21" t="s">
        <v>508</v>
      </c>
      <c r="G212" s="21" t="s">
        <v>91</v>
      </c>
      <c r="H212" s="24" t="s">
        <v>509</v>
      </c>
      <c r="I212" s="21">
        <v>25</v>
      </c>
      <c r="J212" s="21" t="s">
        <v>89</v>
      </c>
      <c r="K212" s="21">
        <v>72917954</v>
      </c>
      <c r="L212" s="21" t="str">
        <f>RIGHT(КХЛ!$H212,4)</f>
        <v>1992</v>
      </c>
    </row>
    <row r="213" spans="5:12" ht="15.75" customHeight="1" x14ac:dyDescent="0.2">
      <c r="E213" s="21">
        <v>526</v>
      </c>
      <c r="F213" s="21" t="s">
        <v>510</v>
      </c>
      <c r="G213" s="21" t="s">
        <v>91</v>
      </c>
      <c r="H213" s="24" t="s">
        <v>511</v>
      </c>
      <c r="I213" s="21">
        <v>24</v>
      </c>
      <c r="J213" s="21" t="s">
        <v>89</v>
      </c>
      <c r="K213" s="21">
        <v>70814142</v>
      </c>
      <c r="L213" s="21" t="str">
        <f>RIGHT(КХЛ!$H213,4)</f>
        <v>1993</v>
      </c>
    </row>
    <row r="214" spans="5:12" ht="15.75" customHeight="1" x14ac:dyDescent="0.2">
      <c r="E214" s="21">
        <v>245</v>
      </c>
      <c r="F214" s="21" t="s">
        <v>512</v>
      </c>
      <c r="G214" s="21" t="s">
        <v>83</v>
      </c>
      <c r="H214" s="24" t="s">
        <v>513</v>
      </c>
      <c r="I214" s="21">
        <v>39</v>
      </c>
      <c r="J214" s="21" t="s">
        <v>169</v>
      </c>
      <c r="K214" s="21">
        <v>28449491</v>
      </c>
      <c r="L214" s="21" t="str">
        <f>RIGHT(КХЛ!$H214,4)</f>
        <v>1978</v>
      </c>
    </row>
    <row r="215" spans="5:12" ht="15.75" customHeight="1" x14ac:dyDescent="0.2">
      <c r="E215" s="21">
        <v>234</v>
      </c>
      <c r="F215" s="21" t="s">
        <v>514</v>
      </c>
      <c r="G215" s="21" t="s">
        <v>83</v>
      </c>
      <c r="H215" s="24" t="s">
        <v>515</v>
      </c>
      <c r="I215" s="21">
        <v>31</v>
      </c>
      <c r="J215" s="21" t="s">
        <v>89</v>
      </c>
      <c r="K215" s="21">
        <v>30250931</v>
      </c>
      <c r="L215" s="21" t="str">
        <f>RIGHT(КХЛ!$H215,4)</f>
        <v>1986</v>
      </c>
    </row>
    <row r="216" spans="5:12" ht="15.75" customHeight="1" x14ac:dyDescent="0.2">
      <c r="E216" s="21">
        <v>601</v>
      </c>
      <c r="F216" s="21" t="s">
        <v>516</v>
      </c>
      <c r="G216" s="21" t="s">
        <v>91</v>
      </c>
      <c r="H216" s="24" t="s">
        <v>517</v>
      </c>
      <c r="I216" s="21">
        <v>35</v>
      </c>
      <c r="J216" s="21" t="s">
        <v>106</v>
      </c>
      <c r="K216" s="21">
        <v>42693695</v>
      </c>
      <c r="L216" s="21" t="str">
        <f>RIGHT(КХЛ!$H216,4)</f>
        <v>1982</v>
      </c>
    </row>
    <row r="217" spans="5:12" ht="15.75" customHeight="1" x14ac:dyDescent="0.2">
      <c r="E217" s="21">
        <v>1079</v>
      </c>
      <c r="F217" s="21" t="s">
        <v>518</v>
      </c>
      <c r="G217" s="21" t="s">
        <v>91</v>
      </c>
      <c r="H217" s="24" t="s">
        <v>519</v>
      </c>
      <c r="I217" s="21">
        <v>32</v>
      </c>
      <c r="J217" s="21" t="s">
        <v>89</v>
      </c>
      <c r="K217" s="21">
        <v>28883808</v>
      </c>
      <c r="L217" s="21" t="str">
        <f>RIGHT(КХЛ!$H217,4)</f>
        <v>1985</v>
      </c>
    </row>
    <row r="218" spans="5:12" ht="15.75" customHeight="1" x14ac:dyDescent="0.2">
      <c r="E218" s="21">
        <v>1108</v>
      </c>
      <c r="F218" s="21" t="s">
        <v>520</v>
      </c>
      <c r="G218" s="21" t="s">
        <v>91</v>
      </c>
      <c r="H218" s="24" t="s">
        <v>521</v>
      </c>
      <c r="I218" s="21">
        <v>23</v>
      </c>
      <c r="J218" s="21" t="s">
        <v>89</v>
      </c>
      <c r="K218" s="21">
        <v>38387684</v>
      </c>
      <c r="L218" s="21" t="str">
        <f>RIGHT(КХЛ!$H218,4)</f>
        <v>1994</v>
      </c>
    </row>
    <row r="219" spans="5:12" ht="15.75" customHeight="1" x14ac:dyDescent="0.2">
      <c r="E219" s="21">
        <v>614</v>
      </c>
      <c r="F219" s="21" t="s">
        <v>522</v>
      </c>
      <c r="G219" s="21" t="s">
        <v>83</v>
      </c>
      <c r="H219" s="24" t="s">
        <v>523</v>
      </c>
      <c r="I219" s="21">
        <v>34</v>
      </c>
      <c r="J219" s="21" t="s">
        <v>152</v>
      </c>
      <c r="K219" s="21">
        <v>45467388</v>
      </c>
      <c r="L219" s="21" t="str">
        <f>RIGHT(КХЛ!$H219,4)</f>
        <v>1983</v>
      </c>
    </row>
    <row r="220" spans="5:12" ht="15.75" customHeight="1" x14ac:dyDescent="0.2">
      <c r="E220" s="21">
        <v>187</v>
      </c>
      <c r="F220" s="21" t="s">
        <v>524</v>
      </c>
      <c r="G220" s="21" t="s">
        <v>83</v>
      </c>
      <c r="H220" s="24" t="s">
        <v>525</v>
      </c>
      <c r="I220" s="21">
        <v>35</v>
      </c>
      <c r="J220" s="21" t="s">
        <v>152</v>
      </c>
      <c r="K220" s="21">
        <v>95405652</v>
      </c>
      <c r="L220" s="21" t="str">
        <f>RIGHT(КХЛ!$H220,4)</f>
        <v>1982</v>
      </c>
    </row>
    <row r="221" spans="5:12" ht="15.75" customHeight="1" x14ac:dyDescent="0.2">
      <c r="E221" s="21">
        <v>744</v>
      </c>
      <c r="F221" s="21" t="s">
        <v>526</v>
      </c>
      <c r="G221" s="21" t="s">
        <v>91</v>
      </c>
      <c r="H221" s="24" t="s">
        <v>527</v>
      </c>
      <c r="I221" s="21">
        <v>23</v>
      </c>
      <c r="J221" s="21" t="s">
        <v>282</v>
      </c>
      <c r="K221" s="21">
        <v>40458770</v>
      </c>
      <c r="L221" s="21" t="str">
        <f>RIGHT(КХЛ!$H221,4)</f>
        <v>1994</v>
      </c>
    </row>
    <row r="222" spans="5:12" ht="15.75" customHeight="1" x14ac:dyDescent="0.2">
      <c r="E222" s="21">
        <v>348</v>
      </c>
      <c r="F222" s="21" t="s">
        <v>528</v>
      </c>
      <c r="G222" s="21" t="s">
        <v>91</v>
      </c>
      <c r="H222" s="24" t="s">
        <v>529</v>
      </c>
      <c r="I222" s="21">
        <v>24</v>
      </c>
      <c r="J222" s="21" t="s">
        <v>89</v>
      </c>
      <c r="K222" s="21">
        <v>92399212</v>
      </c>
      <c r="L222" s="21" t="str">
        <f>RIGHT(КХЛ!$H222,4)</f>
        <v>1993</v>
      </c>
    </row>
    <row r="223" spans="5:12" ht="15.75" customHeight="1" x14ac:dyDescent="0.2">
      <c r="E223" s="21">
        <v>1436</v>
      </c>
      <c r="F223" s="21" t="s">
        <v>530</v>
      </c>
      <c r="G223" s="21" t="s">
        <v>83</v>
      </c>
      <c r="H223" s="24" t="s">
        <v>531</v>
      </c>
      <c r="I223" s="21">
        <v>32</v>
      </c>
      <c r="J223" s="21" t="s">
        <v>89</v>
      </c>
      <c r="K223" s="21">
        <v>49074973</v>
      </c>
      <c r="L223" s="21" t="str">
        <f>RIGHT(КХЛ!$H223,4)</f>
        <v>1985</v>
      </c>
    </row>
    <row r="224" spans="5:12" ht="15.75" customHeight="1" x14ac:dyDescent="0.2">
      <c r="E224" s="21">
        <v>688</v>
      </c>
      <c r="F224" s="21" t="s">
        <v>532</v>
      </c>
      <c r="G224" s="21" t="s">
        <v>87</v>
      </c>
      <c r="H224" s="24" t="s">
        <v>533</v>
      </c>
      <c r="I224" s="21">
        <v>20</v>
      </c>
      <c r="J224" s="21" t="s">
        <v>89</v>
      </c>
      <c r="K224" s="21">
        <v>36566983</v>
      </c>
      <c r="L224" s="21" t="str">
        <f>RIGHT(КХЛ!$H224,4)</f>
        <v>1997</v>
      </c>
    </row>
    <row r="225" spans="5:12" ht="15.75" customHeight="1" x14ac:dyDescent="0.2">
      <c r="E225" s="21">
        <v>594</v>
      </c>
      <c r="F225" s="21" t="s">
        <v>534</v>
      </c>
      <c r="G225" s="21" t="s">
        <v>87</v>
      </c>
      <c r="H225" s="24" t="s">
        <v>535</v>
      </c>
      <c r="I225" s="21">
        <v>34</v>
      </c>
      <c r="J225" s="21" t="s">
        <v>85</v>
      </c>
      <c r="K225" s="21">
        <v>83124072</v>
      </c>
      <c r="L225" s="21" t="str">
        <f>RIGHT(КХЛ!$H225,4)</f>
        <v>1983</v>
      </c>
    </row>
    <row r="226" spans="5:12" ht="15.75" customHeight="1" x14ac:dyDescent="0.2">
      <c r="E226" s="21">
        <v>109</v>
      </c>
      <c r="F226" s="21" t="s">
        <v>536</v>
      </c>
      <c r="G226" s="21" t="s">
        <v>91</v>
      </c>
      <c r="H226" s="24" t="s">
        <v>537</v>
      </c>
      <c r="I226" s="21">
        <v>20</v>
      </c>
      <c r="J226" s="21" t="s">
        <v>89</v>
      </c>
      <c r="K226" s="21">
        <v>99362621</v>
      </c>
      <c r="L226" s="21" t="str">
        <f>RIGHT(КХЛ!$H226,4)</f>
        <v>1997</v>
      </c>
    </row>
    <row r="227" spans="5:12" ht="15.75" customHeight="1" x14ac:dyDescent="0.2">
      <c r="E227" s="21">
        <v>40</v>
      </c>
      <c r="F227" s="21" t="s">
        <v>538</v>
      </c>
      <c r="G227" s="21" t="s">
        <v>91</v>
      </c>
      <c r="H227" s="24" t="s">
        <v>539</v>
      </c>
      <c r="I227" s="21">
        <v>32</v>
      </c>
      <c r="J227" s="21" t="s">
        <v>222</v>
      </c>
      <c r="K227" s="21">
        <v>37982939</v>
      </c>
      <c r="L227" s="21" t="str">
        <f>RIGHT(КХЛ!$H227,4)</f>
        <v>1985</v>
      </c>
    </row>
    <row r="228" spans="5:12" ht="15.75" customHeight="1" x14ac:dyDescent="0.2">
      <c r="E228" s="21">
        <v>627</v>
      </c>
      <c r="F228" s="21" t="s">
        <v>540</v>
      </c>
      <c r="G228" s="21" t="s">
        <v>91</v>
      </c>
      <c r="H228" s="24" t="s">
        <v>541</v>
      </c>
      <c r="I228" s="21">
        <v>22</v>
      </c>
      <c r="J228" s="21" t="s">
        <v>89</v>
      </c>
      <c r="K228" s="21">
        <v>71990242</v>
      </c>
      <c r="L228" s="21" t="str">
        <f>RIGHT(КХЛ!$H228,4)</f>
        <v>1995</v>
      </c>
    </row>
    <row r="229" spans="5:12" ht="15.75" customHeight="1" x14ac:dyDescent="0.2">
      <c r="E229" s="21">
        <v>26</v>
      </c>
      <c r="F229" s="21" t="s">
        <v>542</v>
      </c>
      <c r="G229" s="21" t="s">
        <v>91</v>
      </c>
      <c r="H229" s="24" t="s">
        <v>543</v>
      </c>
      <c r="I229" s="21">
        <v>22</v>
      </c>
      <c r="J229" s="21" t="s">
        <v>93</v>
      </c>
      <c r="K229" s="21">
        <v>26903463</v>
      </c>
      <c r="L229" s="21" t="str">
        <f>RIGHT(КХЛ!$H229,4)</f>
        <v>1995</v>
      </c>
    </row>
    <row r="230" spans="5:12" ht="15.75" customHeight="1" x14ac:dyDescent="0.2">
      <c r="E230" s="21">
        <v>1513</v>
      </c>
      <c r="F230" s="21" t="s">
        <v>544</v>
      </c>
      <c r="G230" s="21" t="s">
        <v>91</v>
      </c>
      <c r="H230" s="24" t="s">
        <v>545</v>
      </c>
      <c r="I230" s="21">
        <v>31</v>
      </c>
      <c r="J230" s="21" t="s">
        <v>222</v>
      </c>
      <c r="K230" s="21">
        <v>56774144</v>
      </c>
      <c r="L230" s="21" t="str">
        <f>RIGHT(КХЛ!$H230,4)</f>
        <v>1986</v>
      </c>
    </row>
    <row r="231" spans="5:12" ht="15.75" customHeight="1" x14ac:dyDescent="0.2">
      <c r="E231" s="21">
        <v>1112</v>
      </c>
      <c r="F231" s="21" t="s">
        <v>546</v>
      </c>
      <c r="G231" s="21" t="s">
        <v>87</v>
      </c>
      <c r="H231" s="24" t="s">
        <v>547</v>
      </c>
      <c r="I231" s="21">
        <v>19</v>
      </c>
      <c r="J231" s="21" t="s">
        <v>89</v>
      </c>
      <c r="K231" s="21">
        <v>10258909</v>
      </c>
      <c r="L231" s="21" t="str">
        <f>RIGHT(КХЛ!$H231,4)</f>
        <v>1999</v>
      </c>
    </row>
    <row r="232" spans="5:12" ht="15.75" customHeight="1" x14ac:dyDescent="0.2">
      <c r="E232" s="21">
        <v>248</v>
      </c>
      <c r="F232" s="21" t="s">
        <v>548</v>
      </c>
      <c r="G232" s="21" t="s">
        <v>83</v>
      </c>
      <c r="H232" s="24" t="s">
        <v>549</v>
      </c>
      <c r="I232" s="21">
        <v>31</v>
      </c>
      <c r="J232" s="21" t="s">
        <v>89</v>
      </c>
      <c r="K232" s="21">
        <v>28094809</v>
      </c>
      <c r="L232" s="21" t="str">
        <f>RIGHT(КХЛ!$H232,4)</f>
        <v>1986</v>
      </c>
    </row>
    <row r="233" spans="5:12" ht="15.75" customHeight="1" x14ac:dyDescent="0.2">
      <c r="E233" s="21">
        <v>474</v>
      </c>
      <c r="F233" s="21" t="s">
        <v>550</v>
      </c>
      <c r="G233" s="21" t="s">
        <v>91</v>
      </c>
      <c r="H233" s="24" t="s">
        <v>551</v>
      </c>
      <c r="I233" s="21">
        <v>26</v>
      </c>
      <c r="J233" s="21" t="s">
        <v>89</v>
      </c>
      <c r="K233" s="21">
        <v>87954668</v>
      </c>
      <c r="L233" s="21" t="str">
        <f>RIGHT(КХЛ!$H233,4)</f>
        <v>1991</v>
      </c>
    </row>
    <row r="234" spans="5:12" ht="15.75" customHeight="1" x14ac:dyDescent="0.2">
      <c r="E234" s="21">
        <v>312</v>
      </c>
      <c r="F234" s="21" t="s">
        <v>552</v>
      </c>
      <c r="G234" s="21" t="s">
        <v>91</v>
      </c>
      <c r="H234" s="24" t="s">
        <v>553</v>
      </c>
      <c r="I234" s="21">
        <v>34</v>
      </c>
      <c r="J234" s="21" t="s">
        <v>106</v>
      </c>
      <c r="K234" s="21">
        <v>66255239</v>
      </c>
      <c r="L234" s="21" t="str">
        <f>RIGHT(КХЛ!$H234,4)</f>
        <v>1983</v>
      </c>
    </row>
    <row r="235" spans="5:12" ht="15.75" customHeight="1" x14ac:dyDescent="0.2">
      <c r="E235" s="21">
        <v>952</v>
      </c>
      <c r="F235" s="21" t="s">
        <v>554</v>
      </c>
      <c r="G235" s="21" t="s">
        <v>87</v>
      </c>
      <c r="H235" s="24" t="s">
        <v>555</v>
      </c>
      <c r="I235" s="21">
        <v>31</v>
      </c>
      <c r="J235" s="21" t="s">
        <v>89</v>
      </c>
      <c r="K235" s="21">
        <v>74791831</v>
      </c>
      <c r="L235" s="21" t="str">
        <f>RIGHT(КХЛ!$H235,4)</f>
        <v>1986</v>
      </c>
    </row>
    <row r="236" spans="5:12" ht="15.75" customHeight="1" x14ac:dyDescent="0.2">
      <c r="E236" s="21">
        <v>1551</v>
      </c>
      <c r="F236" s="21" t="s">
        <v>556</v>
      </c>
      <c r="G236" s="21" t="s">
        <v>91</v>
      </c>
      <c r="H236" s="24" t="s">
        <v>557</v>
      </c>
      <c r="I236" s="21">
        <v>27</v>
      </c>
      <c r="J236" s="21" t="s">
        <v>89</v>
      </c>
      <c r="K236" s="21">
        <v>58577849</v>
      </c>
      <c r="L236" s="21" t="str">
        <f>RIGHT(КХЛ!$H236,4)</f>
        <v>1990</v>
      </c>
    </row>
    <row r="237" spans="5:12" ht="15.75" customHeight="1" x14ac:dyDescent="0.2">
      <c r="E237" s="21">
        <v>330</v>
      </c>
      <c r="F237" s="21" t="s">
        <v>558</v>
      </c>
      <c r="G237" s="21" t="s">
        <v>91</v>
      </c>
      <c r="H237" s="24" t="s">
        <v>559</v>
      </c>
      <c r="I237" s="21">
        <v>34</v>
      </c>
      <c r="J237" s="21" t="s">
        <v>89</v>
      </c>
      <c r="K237" s="21">
        <v>99289390</v>
      </c>
      <c r="L237" s="21" t="str">
        <f>RIGHT(КХЛ!$H237,4)</f>
        <v>1983</v>
      </c>
    </row>
    <row r="238" spans="5:12" ht="15.75" customHeight="1" x14ac:dyDescent="0.2">
      <c r="E238" s="21">
        <v>709</v>
      </c>
      <c r="F238" s="21" t="s">
        <v>560</v>
      </c>
      <c r="G238" s="21" t="s">
        <v>83</v>
      </c>
      <c r="H238" s="24" t="s">
        <v>561</v>
      </c>
      <c r="I238" s="21">
        <v>31</v>
      </c>
      <c r="J238" s="21" t="s">
        <v>89</v>
      </c>
      <c r="K238" s="21">
        <v>10048203</v>
      </c>
      <c r="L238" s="21" t="str">
        <f>RIGHT(КХЛ!$H238,4)</f>
        <v>1986</v>
      </c>
    </row>
    <row r="239" spans="5:12" ht="15.75" customHeight="1" x14ac:dyDescent="0.2">
      <c r="E239" s="21">
        <v>75</v>
      </c>
      <c r="F239" s="21" t="s">
        <v>562</v>
      </c>
      <c r="G239" s="21" t="s">
        <v>83</v>
      </c>
      <c r="H239" s="24" t="s">
        <v>563</v>
      </c>
      <c r="I239" s="21">
        <v>32</v>
      </c>
      <c r="J239" s="21" t="s">
        <v>89</v>
      </c>
      <c r="K239" s="21">
        <v>61373947</v>
      </c>
      <c r="L239" s="21" t="str">
        <f>RIGHT(КХЛ!$H239,4)</f>
        <v>1985</v>
      </c>
    </row>
    <row r="240" spans="5:12" ht="15.75" customHeight="1" x14ac:dyDescent="0.2">
      <c r="E240" s="21">
        <v>916</v>
      </c>
      <c r="F240" s="21" t="s">
        <v>564</v>
      </c>
      <c r="G240" s="21" t="s">
        <v>91</v>
      </c>
      <c r="H240" s="24" t="s">
        <v>565</v>
      </c>
      <c r="I240" s="21">
        <v>31</v>
      </c>
      <c r="J240" s="21" t="s">
        <v>89</v>
      </c>
      <c r="K240" s="21">
        <v>9141547</v>
      </c>
      <c r="L240" s="21" t="str">
        <f>RIGHT(КХЛ!$H240,4)</f>
        <v>1986</v>
      </c>
    </row>
    <row r="241" spans="5:12" ht="15.75" customHeight="1" x14ac:dyDescent="0.2">
      <c r="E241" s="21">
        <v>1545</v>
      </c>
      <c r="F241" s="21" t="s">
        <v>566</v>
      </c>
      <c r="G241" s="21" t="s">
        <v>91</v>
      </c>
      <c r="H241" s="24" t="s">
        <v>567</v>
      </c>
      <c r="I241" s="21">
        <v>20</v>
      </c>
      <c r="J241" s="21" t="s">
        <v>282</v>
      </c>
      <c r="K241" s="21">
        <v>72409764</v>
      </c>
      <c r="L241" s="21" t="str">
        <f>RIGHT(КХЛ!$H241,4)</f>
        <v>1997</v>
      </c>
    </row>
    <row r="242" spans="5:12" ht="15.75" customHeight="1" x14ac:dyDescent="0.2">
      <c r="E242" s="21">
        <v>958</v>
      </c>
      <c r="F242" s="21" t="s">
        <v>254</v>
      </c>
      <c r="G242" s="21" t="s">
        <v>83</v>
      </c>
      <c r="H242" s="24" t="s">
        <v>255</v>
      </c>
      <c r="I242" s="21">
        <v>18</v>
      </c>
      <c r="J242" s="21" t="s">
        <v>89</v>
      </c>
      <c r="K242" s="21">
        <v>74883498</v>
      </c>
      <c r="L242" s="21" t="str">
        <f>RIGHT(КХЛ!$H242,4)</f>
        <v>1999</v>
      </c>
    </row>
    <row r="243" spans="5:12" ht="15.75" customHeight="1" x14ac:dyDescent="0.2">
      <c r="E243" s="21">
        <v>419</v>
      </c>
      <c r="F243" s="21" t="s">
        <v>568</v>
      </c>
      <c r="G243" s="21" t="s">
        <v>83</v>
      </c>
      <c r="H243" s="24" t="s">
        <v>569</v>
      </c>
      <c r="I243" s="21">
        <v>28</v>
      </c>
      <c r="J243" s="21" t="s">
        <v>89</v>
      </c>
      <c r="K243" s="21">
        <v>95827116</v>
      </c>
      <c r="L243" s="21" t="str">
        <f>RIGHT(КХЛ!$H243,4)</f>
        <v>1989</v>
      </c>
    </row>
    <row r="244" spans="5:12" ht="15.75" customHeight="1" x14ac:dyDescent="0.2">
      <c r="E244" s="21">
        <v>1231</v>
      </c>
      <c r="F244" s="21" t="s">
        <v>570</v>
      </c>
      <c r="G244" s="21" t="s">
        <v>83</v>
      </c>
      <c r="H244" s="24" t="s">
        <v>571</v>
      </c>
      <c r="I244" s="21">
        <v>26</v>
      </c>
      <c r="J244" s="21" t="s">
        <v>89</v>
      </c>
      <c r="K244" s="21">
        <v>17923433</v>
      </c>
      <c r="L244" s="21" t="str">
        <f>RIGHT(КХЛ!$H244,4)</f>
        <v>1992</v>
      </c>
    </row>
    <row r="245" spans="5:12" ht="15.75" customHeight="1" x14ac:dyDescent="0.2">
      <c r="E245" s="21">
        <v>1241</v>
      </c>
      <c r="F245" s="21" t="s">
        <v>572</v>
      </c>
      <c r="G245" s="21" t="s">
        <v>83</v>
      </c>
      <c r="H245" s="24" t="s">
        <v>573</v>
      </c>
      <c r="I245" s="21">
        <v>27</v>
      </c>
      <c r="J245" s="21" t="s">
        <v>89</v>
      </c>
      <c r="K245" s="21">
        <v>74183912</v>
      </c>
      <c r="L245" s="21" t="str">
        <f>RIGHT(КХЛ!$H245,4)</f>
        <v>1991</v>
      </c>
    </row>
    <row r="246" spans="5:12" ht="15.75" customHeight="1" x14ac:dyDescent="0.2">
      <c r="E246" s="21">
        <v>289</v>
      </c>
      <c r="F246" s="21" t="s">
        <v>574</v>
      </c>
      <c r="G246" s="21" t="s">
        <v>91</v>
      </c>
      <c r="H246" s="24" t="s">
        <v>195</v>
      </c>
      <c r="I246" s="21">
        <v>32</v>
      </c>
      <c r="J246" s="21" t="s">
        <v>89</v>
      </c>
      <c r="K246" s="21">
        <v>86394737</v>
      </c>
      <c r="L246" s="21" t="str">
        <f>RIGHT(КХЛ!$H246,4)</f>
        <v>1985</v>
      </c>
    </row>
    <row r="247" spans="5:12" ht="15.75" customHeight="1" x14ac:dyDescent="0.2">
      <c r="E247" s="21">
        <v>135</v>
      </c>
      <c r="F247" s="21" t="s">
        <v>575</v>
      </c>
      <c r="G247" s="21" t="s">
        <v>91</v>
      </c>
      <c r="H247" s="24" t="s">
        <v>576</v>
      </c>
      <c r="I247" s="21">
        <v>22</v>
      </c>
      <c r="J247" s="21" t="s">
        <v>89</v>
      </c>
      <c r="K247" s="21">
        <v>28558181</v>
      </c>
      <c r="L247" s="21" t="str">
        <f>RIGHT(КХЛ!$H247,4)</f>
        <v>1995</v>
      </c>
    </row>
    <row r="248" spans="5:12" ht="15.75" customHeight="1" x14ac:dyDescent="0.2">
      <c r="E248" s="21">
        <v>449</v>
      </c>
      <c r="F248" s="21" t="s">
        <v>577</v>
      </c>
      <c r="G248" s="21" t="s">
        <v>91</v>
      </c>
      <c r="H248" s="24" t="s">
        <v>578</v>
      </c>
      <c r="I248" s="21">
        <v>32</v>
      </c>
      <c r="J248" s="21" t="s">
        <v>222</v>
      </c>
      <c r="K248" s="21">
        <v>32507021</v>
      </c>
      <c r="L248" s="21" t="str">
        <f>RIGHT(КХЛ!$H248,4)</f>
        <v>1985</v>
      </c>
    </row>
    <row r="249" spans="5:12" ht="15.75" customHeight="1" x14ac:dyDescent="0.2">
      <c r="E249" s="21">
        <v>1778</v>
      </c>
      <c r="F249" s="21" t="s">
        <v>579</v>
      </c>
      <c r="G249" s="21" t="s">
        <v>91</v>
      </c>
      <c r="H249" s="24" t="s">
        <v>580</v>
      </c>
      <c r="I249" s="21">
        <v>34</v>
      </c>
      <c r="J249" s="21" t="s">
        <v>106</v>
      </c>
      <c r="K249" s="21">
        <v>2136479</v>
      </c>
      <c r="L249" s="21" t="str">
        <f>RIGHT(КХЛ!$H249,4)</f>
        <v>1983</v>
      </c>
    </row>
    <row r="250" spans="5:12" ht="15.75" customHeight="1" x14ac:dyDescent="0.2">
      <c r="E250" s="21">
        <v>45</v>
      </c>
      <c r="F250" s="21" t="s">
        <v>581</v>
      </c>
      <c r="G250" s="21" t="s">
        <v>87</v>
      </c>
      <c r="H250" s="24" t="s">
        <v>582</v>
      </c>
      <c r="I250" s="21">
        <v>27</v>
      </c>
      <c r="J250" s="21" t="s">
        <v>89</v>
      </c>
      <c r="K250" s="21">
        <v>55431651</v>
      </c>
      <c r="L250" s="21" t="str">
        <f>RIGHT(КХЛ!$H250,4)</f>
        <v>1990</v>
      </c>
    </row>
    <row r="251" spans="5:12" ht="15.75" customHeight="1" x14ac:dyDescent="0.2">
      <c r="E251" s="21">
        <v>585</v>
      </c>
      <c r="F251" s="21" t="s">
        <v>583</v>
      </c>
      <c r="G251" s="21" t="s">
        <v>91</v>
      </c>
      <c r="H251" s="24" t="s">
        <v>584</v>
      </c>
      <c r="I251" s="21">
        <v>27</v>
      </c>
      <c r="J251" s="21" t="s">
        <v>89</v>
      </c>
      <c r="K251" s="21">
        <v>29764561</v>
      </c>
      <c r="L251" s="21" t="str">
        <f>RIGHT(КХЛ!$H251,4)</f>
        <v>1990</v>
      </c>
    </row>
    <row r="252" spans="5:12" ht="15.75" customHeight="1" x14ac:dyDescent="0.2">
      <c r="E252" s="21">
        <v>791</v>
      </c>
      <c r="F252" s="21" t="s">
        <v>585</v>
      </c>
      <c r="G252" s="21" t="s">
        <v>91</v>
      </c>
      <c r="H252" s="24" t="s">
        <v>586</v>
      </c>
      <c r="I252" s="21">
        <v>22</v>
      </c>
      <c r="J252" s="21" t="s">
        <v>89</v>
      </c>
      <c r="K252" s="21">
        <v>18454125</v>
      </c>
      <c r="L252" s="21" t="str">
        <f>RIGHT(КХЛ!$H252,4)</f>
        <v>1995</v>
      </c>
    </row>
    <row r="253" spans="5:12" ht="15.75" customHeight="1" x14ac:dyDescent="0.2">
      <c r="E253" s="21">
        <v>695</v>
      </c>
      <c r="F253" s="21" t="s">
        <v>587</v>
      </c>
      <c r="G253" s="21" t="s">
        <v>91</v>
      </c>
      <c r="H253" s="24" t="s">
        <v>588</v>
      </c>
      <c r="I253" s="21">
        <v>35</v>
      </c>
      <c r="J253" s="21" t="s">
        <v>85</v>
      </c>
      <c r="K253" s="21">
        <v>31970333</v>
      </c>
      <c r="L253" s="21" t="str">
        <f>RIGHT(КХЛ!$H253,4)</f>
        <v>1982</v>
      </c>
    </row>
    <row r="254" spans="5:12" ht="15.75" customHeight="1" x14ac:dyDescent="0.2">
      <c r="E254" s="21">
        <v>1639</v>
      </c>
      <c r="F254" s="21" t="s">
        <v>589</v>
      </c>
      <c r="G254" s="21" t="s">
        <v>87</v>
      </c>
      <c r="H254" s="24" t="s">
        <v>590</v>
      </c>
      <c r="I254" s="21">
        <v>48</v>
      </c>
      <c r="J254" s="21" t="s">
        <v>282</v>
      </c>
      <c r="K254" s="21">
        <v>47232451</v>
      </c>
      <c r="L254" s="21" t="str">
        <f>RIGHT(КХЛ!$H254,4)</f>
        <v>1969</v>
      </c>
    </row>
    <row r="255" spans="5:12" ht="15.75" customHeight="1" x14ac:dyDescent="0.2">
      <c r="E255" s="21">
        <v>648</v>
      </c>
      <c r="F255" s="21" t="s">
        <v>591</v>
      </c>
      <c r="G255" s="21" t="s">
        <v>91</v>
      </c>
      <c r="H255" s="24" t="s">
        <v>592</v>
      </c>
      <c r="I255" s="21">
        <v>33</v>
      </c>
      <c r="J255" s="21" t="s">
        <v>106</v>
      </c>
      <c r="K255" s="21">
        <v>75389645</v>
      </c>
      <c r="L255" s="21" t="str">
        <f>RIGHT(КХЛ!$H255,4)</f>
        <v>1984</v>
      </c>
    </row>
    <row r="256" spans="5:12" ht="15.75" customHeight="1" x14ac:dyDescent="0.2">
      <c r="E256" s="21">
        <v>1310</v>
      </c>
      <c r="F256" s="21" t="s">
        <v>593</v>
      </c>
      <c r="G256" s="21" t="s">
        <v>91</v>
      </c>
      <c r="H256" s="24" t="s">
        <v>594</v>
      </c>
      <c r="I256" s="21">
        <v>35</v>
      </c>
      <c r="J256" s="21" t="s">
        <v>85</v>
      </c>
      <c r="K256" s="21">
        <v>34257404</v>
      </c>
      <c r="L256" s="21" t="str">
        <f>RIGHT(КХЛ!$H256,4)</f>
        <v>1982</v>
      </c>
    </row>
    <row r="257" spans="5:12" ht="15.75" customHeight="1" x14ac:dyDescent="0.2">
      <c r="E257" s="21">
        <v>1120</v>
      </c>
      <c r="F257" s="21" t="s">
        <v>595</v>
      </c>
      <c r="G257" s="21" t="s">
        <v>87</v>
      </c>
      <c r="H257" s="24" t="s">
        <v>596</v>
      </c>
      <c r="I257" s="21">
        <v>23</v>
      </c>
      <c r="J257" s="21" t="s">
        <v>89</v>
      </c>
      <c r="K257" s="21">
        <v>38905366</v>
      </c>
      <c r="L257" s="21" t="str">
        <f>RIGHT(КХЛ!$H257,4)</f>
        <v>1994</v>
      </c>
    </row>
    <row r="258" spans="5:12" ht="15.75" customHeight="1" x14ac:dyDescent="0.2">
      <c r="E258" s="21">
        <v>650</v>
      </c>
      <c r="F258" s="21" t="s">
        <v>597</v>
      </c>
      <c r="G258" s="21" t="s">
        <v>91</v>
      </c>
      <c r="H258" s="24" t="s">
        <v>598</v>
      </c>
      <c r="I258" s="21">
        <v>27</v>
      </c>
      <c r="J258" s="21" t="s">
        <v>89</v>
      </c>
      <c r="K258" s="21">
        <v>60203475</v>
      </c>
      <c r="L258" s="21" t="str">
        <f>RIGHT(КХЛ!$H258,4)</f>
        <v>1990</v>
      </c>
    </row>
    <row r="259" spans="5:12" ht="15.75" customHeight="1" x14ac:dyDescent="0.2">
      <c r="E259" s="21">
        <v>1084</v>
      </c>
      <c r="F259" s="21" t="s">
        <v>599</v>
      </c>
      <c r="G259" s="21" t="s">
        <v>87</v>
      </c>
      <c r="H259" s="24" t="s">
        <v>600</v>
      </c>
      <c r="I259" s="21">
        <v>40</v>
      </c>
      <c r="J259" s="21" t="s">
        <v>152</v>
      </c>
      <c r="K259" s="21">
        <v>38399892</v>
      </c>
      <c r="L259" s="21" t="str">
        <f>RIGHT(КХЛ!$H259,4)</f>
        <v>1978</v>
      </c>
    </row>
    <row r="260" spans="5:12" ht="15.75" customHeight="1" x14ac:dyDescent="0.2">
      <c r="E260" s="21">
        <v>1379</v>
      </c>
      <c r="F260" s="21" t="s">
        <v>601</v>
      </c>
      <c r="G260" s="21" t="s">
        <v>83</v>
      </c>
      <c r="H260" s="24" t="s">
        <v>602</v>
      </c>
      <c r="I260" s="21">
        <v>27</v>
      </c>
      <c r="J260" s="21" t="s">
        <v>89</v>
      </c>
      <c r="K260" s="21">
        <v>75473306</v>
      </c>
      <c r="L260" s="21" t="str">
        <f>RIGHT(КХЛ!$H260,4)</f>
        <v>1990</v>
      </c>
    </row>
    <row r="261" spans="5:12" ht="15.75" customHeight="1" x14ac:dyDescent="0.2">
      <c r="E261" s="21">
        <v>693</v>
      </c>
      <c r="F261" s="21" t="s">
        <v>603</v>
      </c>
      <c r="G261" s="21" t="s">
        <v>87</v>
      </c>
      <c r="H261" s="24" t="s">
        <v>136</v>
      </c>
      <c r="I261" s="21">
        <v>27</v>
      </c>
      <c r="J261" s="21" t="s">
        <v>222</v>
      </c>
      <c r="K261" s="21">
        <v>13131776</v>
      </c>
      <c r="L261" s="21" t="str">
        <f>RIGHT(КХЛ!$H261,4)</f>
        <v>1990</v>
      </c>
    </row>
    <row r="262" spans="5:12" ht="15.75" customHeight="1" x14ac:dyDescent="0.2">
      <c r="E262" s="21">
        <v>1589</v>
      </c>
      <c r="F262" s="21" t="s">
        <v>604</v>
      </c>
      <c r="G262" s="21" t="s">
        <v>83</v>
      </c>
      <c r="H262" s="24" t="s">
        <v>605</v>
      </c>
      <c r="I262" s="21">
        <v>21</v>
      </c>
      <c r="J262" s="21" t="s">
        <v>89</v>
      </c>
      <c r="K262" s="21">
        <v>57341721</v>
      </c>
      <c r="L262" s="21" t="str">
        <f>RIGHT(КХЛ!$H262,4)</f>
        <v>1997</v>
      </c>
    </row>
    <row r="263" spans="5:12" ht="15.75" customHeight="1" x14ac:dyDescent="0.2">
      <c r="E263" s="21">
        <v>87</v>
      </c>
      <c r="F263" s="21" t="s">
        <v>606</v>
      </c>
      <c r="G263" s="21" t="s">
        <v>83</v>
      </c>
      <c r="H263" s="24" t="s">
        <v>607</v>
      </c>
      <c r="I263" s="21">
        <v>39</v>
      </c>
      <c r="J263" s="21" t="s">
        <v>89</v>
      </c>
      <c r="K263" s="21">
        <v>83568643</v>
      </c>
      <c r="L263" s="21" t="str">
        <f>RIGHT(КХЛ!$H263,4)</f>
        <v>1978</v>
      </c>
    </row>
    <row r="264" spans="5:12" ht="15.75" customHeight="1" x14ac:dyDescent="0.2">
      <c r="E264" s="21">
        <v>261</v>
      </c>
      <c r="F264" s="21" t="s">
        <v>608</v>
      </c>
      <c r="G264" s="21" t="s">
        <v>91</v>
      </c>
      <c r="H264" s="24" t="s">
        <v>609</v>
      </c>
      <c r="I264" s="21">
        <v>22</v>
      </c>
      <c r="J264" s="21" t="s">
        <v>241</v>
      </c>
      <c r="K264" s="21">
        <v>28159358</v>
      </c>
      <c r="L264" s="21" t="str">
        <f>RIGHT(КХЛ!$H264,4)</f>
        <v>1995</v>
      </c>
    </row>
    <row r="265" spans="5:12" ht="15.75" customHeight="1" x14ac:dyDescent="0.2">
      <c r="E265" s="21">
        <v>1002</v>
      </c>
      <c r="F265" s="21" t="s">
        <v>610</v>
      </c>
      <c r="G265" s="21" t="s">
        <v>91</v>
      </c>
      <c r="H265" s="24" t="s">
        <v>611</v>
      </c>
      <c r="I265" s="21">
        <v>24</v>
      </c>
      <c r="J265" s="21" t="s">
        <v>89</v>
      </c>
      <c r="K265" s="21">
        <v>79247144</v>
      </c>
      <c r="L265" s="21" t="str">
        <f>RIGHT(КХЛ!$H265,4)</f>
        <v>1993</v>
      </c>
    </row>
    <row r="266" spans="5:12" ht="15.75" customHeight="1" x14ac:dyDescent="0.2">
      <c r="E266" s="21">
        <v>816</v>
      </c>
      <c r="F266" s="21" t="s">
        <v>612</v>
      </c>
      <c r="G266" s="21" t="s">
        <v>91</v>
      </c>
      <c r="H266" s="24" t="s">
        <v>613</v>
      </c>
      <c r="I266" s="21">
        <v>35</v>
      </c>
      <c r="J266" s="21" t="s">
        <v>89</v>
      </c>
      <c r="K266" s="21">
        <v>29322153</v>
      </c>
      <c r="L266" s="21" t="str">
        <f>RIGHT(КХЛ!$H266,4)</f>
        <v>1982</v>
      </c>
    </row>
    <row r="267" spans="5:12" ht="15.75" customHeight="1" x14ac:dyDescent="0.2">
      <c r="E267" s="21">
        <v>1053</v>
      </c>
      <c r="F267" s="21" t="s">
        <v>614</v>
      </c>
      <c r="G267" s="21" t="s">
        <v>91</v>
      </c>
      <c r="H267" s="24" t="s">
        <v>615</v>
      </c>
      <c r="I267" s="21">
        <v>29</v>
      </c>
      <c r="J267" s="21" t="s">
        <v>89</v>
      </c>
      <c r="K267" s="21">
        <v>60878322</v>
      </c>
      <c r="L267" s="21" t="str">
        <f>RIGHT(КХЛ!$H267,4)</f>
        <v>1988</v>
      </c>
    </row>
    <row r="268" spans="5:12" ht="15.75" customHeight="1" x14ac:dyDescent="0.2">
      <c r="E268" s="21">
        <v>219</v>
      </c>
      <c r="F268" s="21" t="s">
        <v>616</v>
      </c>
      <c r="G268" s="21" t="s">
        <v>83</v>
      </c>
      <c r="H268" s="24" t="s">
        <v>617</v>
      </c>
      <c r="I268" s="21">
        <v>30</v>
      </c>
      <c r="J268" s="21" t="s">
        <v>89</v>
      </c>
      <c r="K268" s="21">
        <v>90394103</v>
      </c>
      <c r="L268" s="21" t="str">
        <f>RIGHT(КХЛ!$H268,4)</f>
        <v>1987</v>
      </c>
    </row>
    <row r="269" spans="5:12" ht="15.75" customHeight="1" x14ac:dyDescent="0.2">
      <c r="E269" s="21">
        <v>977</v>
      </c>
      <c r="F269" s="21" t="s">
        <v>618</v>
      </c>
      <c r="G269" s="21" t="s">
        <v>83</v>
      </c>
      <c r="H269" s="24" t="s">
        <v>619</v>
      </c>
      <c r="I269" s="21">
        <v>19</v>
      </c>
      <c r="J269" s="21" t="s">
        <v>89</v>
      </c>
      <c r="K269" s="21">
        <v>98575996</v>
      </c>
      <c r="L269" s="21" t="str">
        <f>RIGHT(КХЛ!$H269,4)</f>
        <v>1998</v>
      </c>
    </row>
    <row r="270" spans="5:12" ht="15.75" customHeight="1" x14ac:dyDescent="0.2">
      <c r="E270" s="21">
        <v>754</v>
      </c>
      <c r="F270" s="21" t="s">
        <v>620</v>
      </c>
      <c r="G270" s="21" t="s">
        <v>83</v>
      </c>
      <c r="H270" s="24" t="s">
        <v>621</v>
      </c>
      <c r="I270" s="21">
        <v>35</v>
      </c>
      <c r="J270" s="21" t="s">
        <v>89</v>
      </c>
      <c r="K270" s="21">
        <v>60507439</v>
      </c>
      <c r="L270" s="21" t="str">
        <f>RIGHT(КХЛ!$H270,4)</f>
        <v>1982</v>
      </c>
    </row>
    <row r="271" spans="5:12" ht="15.75" customHeight="1" x14ac:dyDescent="0.2">
      <c r="E271" s="21">
        <v>542</v>
      </c>
      <c r="F271" s="21" t="s">
        <v>622</v>
      </c>
      <c r="G271" s="21" t="s">
        <v>91</v>
      </c>
      <c r="H271" s="24" t="s">
        <v>623</v>
      </c>
      <c r="I271" s="21">
        <v>30</v>
      </c>
      <c r="J271" s="21" t="s">
        <v>89</v>
      </c>
      <c r="K271" s="21">
        <v>53944813</v>
      </c>
      <c r="L271" s="21" t="str">
        <f>RIGHT(КХЛ!$H271,4)</f>
        <v>1988</v>
      </c>
    </row>
    <row r="272" spans="5:12" ht="15.75" customHeight="1" x14ac:dyDescent="0.2">
      <c r="E272" s="21">
        <v>1525</v>
      </c>
      <c r="F272" s="21" t="s">
        <v>624</v>
      </c>
      <c r="G272" s="21" t="s">
        <v>83</v>
      </c>
      <c r="H272" s="24" t="s">
        <v>625</v>
      </c>
      <c r="I272" s="21">
        <v>33</v>
      </c>
      <c r="J272" s="21" t="s">
        <v>93</v>
      </c>
      <c r="K272" s="21">
        <v>96633937</v>
      </c>
      <c r="L272" s="21" t="str">
        <f>RIGHT(КХЛ!$H272,4)</f>
        <v>1985</v>
      </c>
    </row>
    <row r="273" spans="5:12" ht="15.75" customHeight="1" x14ac:dyDescent="0.2">
      <c r="E273" s="21">
        <v>307</v>
      </c>
      <c r="F273" s="21" t="s">
        <v>626</v>
      </c>
      <c r="G273" s="21" t="s">
        <v>91</v>
      </c>
      <c r="H273" s="24" t="s">
        <v>627</v>
      </c>
      <c r="I273" s="21">
        <v>37</v>
      </c>
      <c r="J273" s="21" t="s">
        <v>222</v>
      </c>
      <c r="K273" s="21">
        <v>44073739</v>
      </c>
      <c r="L273" s="21" t="str">
        <f>RIGHT(КХЛ!$H273,4)</f>
        <v>1980</v>
      </c>
    </row>
    <row r="274" spans="5:12" ht="15.75" customHeight="1" x14ac:dyDescent="0.2">
      <c r="E274" s="21">
        <v>179</v>
      </c>
      <c r="F274" s="21" t="s">
        <v>628</v>
      </c>
      <c r="G274" s="21" t="s">
        <v>91</v>
      </c>
      <c r="H274" s="24" t="s">
        <v>629</v>
      </c>
      <c r="I274" s="21">
        <v>26</v>
      </c>
      <c r="J274" s="21" t="s">
        <v>85</v>
      </c>
      <c r="K274" s="21">
        <v>46255918</v>
      </c>
      <c r="L274" s="21" t="str">
        <f>RIGHT(КХЛ!$H274,4)</f>
        <v>1991</v>
      </c>
    </row>
    <row r="275" spans="5:12" ht="15.75" customHeight="1" x14ac:dyDescent="0.2">
      <c r="E275" s="21">
        <v>326</v>
      </c>
      <c r="F275" s="21" t="s">
        <v>630</v>
      </c>
      <c r="G275" s="21" t="s">
        <v>91</v>
      </c>
      <c r="H275" s="24" t="s">
        <v>631</v>
      </c>
      <c r="I275" s="21">
        <v>27</v>
      </c>
      <c r="J275" s="21" t="s">
        <v>222</v>
      </c>
      <c r="K275" s="21">
        <v>55464486</v>
      </c>
      <c r="L275" s="21" t="str">
        <f>RIGHT(КХЛ!$H275,4)</f>
        <v>1990</v>
      </c>
    </row>
    <row r="276" spans="5:12" ht="15.75" customHeight="1" x14ac:dyDescent="0.2">
      <c r="E276" s="21">
        <v>38</v>
      </c>
      <c r="F276" s="21" t="s">
        <v>632</v>
      </c>
      <c r="G276" s="21" t="s">
        <v>91</v>
      </c>
      <c r="H276" s="24" t="s">
        <v>633</v>
      </c>
      <c r="I276" s="21">
        <v>25</v>
      </c>
      <c r="J276" s="21" t="s">
        <v>89</v>
      </c>
      <c r="K276" s="21">
        <v>37983103</v>
      </c>
      <c r="L276" s="21" t="str">
        <f>RIGHT(КХЛ!$H276,4)</f>
        <v>1992</v>
      </c>
    </row>
    <row r="277" spans="5:12" ht="15.75" customHeight="1" x14ac:dyDescent="0.2">
      <c r="E277" s="21">
        <v>1008</v>
      </c>
      <c r="F277" s="21" t="s">
        <v>634</v>
      </c>
      <c r="G277" s="21" t="s">
        <v>91</v>
      </c>
      <c r="H277" s="24" t="s">
        <v>635</v>
      </c>
      <c r="I277" s="21">
        <v>27</v>
      </c>
      <c r="J277" s="21" t="s">
        <v>89</v>
      </c>
      <c r="K277" s="21">
        <v>92649639</v>
      </c>
      <c r="L277" s="21" t="str">
        <f>RIGHT(КХЛ!$H277,4)</f>
        <v>1990</v>
      </c>
    </row>
    <row r="278" spans="5:12" ht="15.75" customHeight="1" x14ac:dyDescent="0.2">
      <c r="E278" s="21">
        <v>755</v>
      </c>
      <c r="F278" s="21" t="s">
        <v>636</v>
      </c>
      <c r="G278" s="21" t="s">
        <v>83</v>
      </c>
      <c r="H278" s="24" t="s">
        <v>637</v>
      </c>
      <c r="I278" s="21">
        <v>20</v>
      </c>
      <c r="J278" s="21" t="s">
        <v>89</v>
      </c>
      <c r="K278" s="21">
        <v>41940595</v>
      </c>
      <c r="L278" s="21" t="str">
        <f>RIGHT(КХЛ!$H278,4)</f>
        <v>1997</v>
      </c>
    </row>
    <row r="279" spans="5:12" ht="15.75" customHeight="1" x14ac:dyDescent="0.2">
      <c r="E279" s="21">
        <v>23</v>
      </c>
      <c r="F279" s="21" t="s">
        <v>638</v>
      </c>
      <c r="G279" s="21" t="s">
        <v>91</v>
      </c>
      <c r="H279" s="24" t="s">
        <v>639</v>
      </c>
      <c r="I279" s="21">
        <v>23</v>
      </c>
      <c r="J279" s="21" t="s">
        <v>89</v>
      </c>
      <c r="K279" s="21">
        <v>67145594</v>
      </c>
      <c r="L279" s="21" t="str">
        <f>RIGHT(КХЛ!$H279,4)</f>
        <v>1994</v>
      </c>
    </row>
    <row r="280" spans="5:12" ht="15.75" customHeight="1" x14ac:dyDescent="0.2">
      <c r="E280" s="21">
        <v>312</v>
      </c>
      <c r="F280" s="21" t="s">
        <v>640</v>
      </c>
      <c r="G280" s="21" t="s">
        <v>91</v>
      </c>
      <c r="H280" s="24" t="s">
        <v>641</v>
      </c>
      <c r="I280" s="21">
        <v>26</v>
      </c>
      <c r="J280" s="21" t="s">
        <v>89</v>
      </c>
      <c r="K280" s="21">
        <v>78567472</v>
      </c>
      <c r="L280" s="21" t="str">
        <f>RIGHT(КХЛ!$H280,4)</f>
        <v>1991</v>
      </c>
    </row>
    <row r="281" spans="5:12" ht="15.75" customHeight="1" x14ac:dyDescent="0.2">
      <c r="E281" s="21">
        <v>1693</v>
      </c>
      <c r="F281" s="21" t="s">
        <v>642</v>
      </c>
      <c r="G281" s="21" t="s">
        <v>91</v>
      </c>
      <c r="H281" s="24" t="s">
        <v>643</v>
      </c>
      <c r="I281" s="21">
        <v>32</v>
      </c>
      <c r="J281" s="21" t="s">
        <v>89</v>
      </c>
      <c r="K281" s="21">
        <v>66530487</v>
      </c>
      <c r="L281" s="21" t="str">
        <f>RIGHT(КХЛ!$H281,4)</f>
        <v>1985</v>
      </c>
    </row>
    <row r="282" spans="5:12" ht="15.75" customHeight="1" x14ac:dyDescent="0.2">
      <c r="E282" s="21">
        <v>114</v>
      </c>
      <c r="F282" s="21" t="s">
        <v>644</v>
      </c>
      <c r="G282" s="21" t="s">
        <v>83</v>
      </c>
      <c r="H282" s="24" t="s">
        <v>645</v>
      </c>
      <c r="I282" s="21">
        <v>35</v>
      </c>
      <c r="J282" s="21" t="s">
        <v>321</v>
      </c>
      <c r="K282" s="21">
        <v>39924090</v>
      </c>
      <c r="L282" s="21" t="str">
        <f>RIGHT(КХЛ!$H282,4)</f>
        <v>1982</v>
      </c>
    </row>
    <row r="283" spans="5:12" ht="15.75" customHeight="1" x14ac:dyDescent="0.2">
      <c r="E283" s="21">
        <v>991</v>
      </c>
      <c r="F283" s="21" t="s">
        <v>646</v>
      </c>
      <c r="G283" s="21" t="s">
        <v>91</v>
      </c>
      <c r="H283" s="24" t="s">
        <v>647</v>
      </c>
      <c r="I283" s="21">
        <v>41</v>
      </c>
      <c r="J283" s="21" t="s">
        <v>89</v>
      </c>
      <c r="K283" s="21">
        <v>26055171</v>
      </c>
      <c r="L283" s="21" t="str">
        <f>RIGHT(КХЛ!$H283,4)</f>
        <v>1976</v>
      </c>
    </row>
    <row r="284" spans="5:12" ht="15.75" customHeight="1" x14ac:dyDescent="0.2">
      <c r="E284" s="21">
        <v>520</v>
      </c>
      <c r="F284" s="21" t="s">
        <v>648</v>
      </c>
      <c r="G284" s="21" t="s">
        <v>91</v>
      </c>
      <c r="H284" s="24" t="s">
        <v>649</v>
      </c>
      <c r="I284" s="21">
        <v>33</v>
      </c>
      <c r="J284" s="21" t="s">
        <v>106</v>
      </c>
      <c r="K284" s="21">
        <v>16142562</v>
      </c>
      <c r="L284" s="21" t="str">
        <f>RIGHT(КХЛ!$H284,4)</f>
        <v>1984</v>
      </c>
    </row>
    <row r="285" spans="5:12" ht="15.75" customHeight="1" x14ac:dyDescent="0.2">
      <c r="E285" s="21">
        <v>610</v>
      </c>
      <c r="F285" s="21" t="s">
        <v>650</v>
      </c>
      <c r="G285" s="21" t="s">
        <v>91</v>
      </c>
      <c r="H285" s="24" t="s">
        <v>651</v>
      </c>
      <c r="I285" s="21">
        <v>44</v>
      </c>
      <c r="J285" s="21" t="s">
        <v>89</v>
      </c>
      <c r="K285" s="21">
        <v>55295761</v>
      </c>
      <c r="L285" s="21" t="str">
        <f>RIGHT(КХЛ!$H285,4)</f>
        <v>1973</v>
      </c>
    </row>
    <row r="286" spans="5:12" ht="15.75" customHeight="1" x14ac:dyDescent="0.2">
      <c r="E286" s="21">
        <v>1507</v>
      </c>
      <c r="F286" s="21" t="s">
        <v>652</v>
      </c>
      <c r="G286" s="21" t="s">
        <v>91</v>
      </c>
      <c r="H286" s="24" t="s">
        <v>653</v>
      </c>
      <c r="I286" s="21">
        <v>20</v>
      </c>
      <c r="J286" s="21" t="s">
        <v>89</v>
      </c>
      <c r="K286" s="21">
        <v>10966201</v>
      </c>
      <c r="L286" s="21" t="str">
        <f>RIGHT(КХЛ!$H286,4)</f>
        <v>1997</v>
      </c>
    </row>
    <row r="287" spans="5:12" ht="15.75" customHeight="1" x14ac:dyDescent="0.2">
      <c r="E287" s="21">
        <v>491</v>
      </c>
      <c r="F287" s="21" t="s">
        <v>654</v>
      </c>
      <c r="G287" s="21" t="s">
        <v>87</v>
      </c>
      <c r="H287" s="24" t="s">
        <v>655</v>
      </c>
      <c r="I287" s="21">
        <v>19</v>
      </c>
      <c r="J287" s="21" t="s">
        <v>89</v>
      </c>
      <c r="K287" s="21">
        <v>53305241</v>
      </c>
      <c r="L287" s="21" t="str">
        <f>RIGHT(КХЛ!$H287,4)</f>
        <v>1998</v>
      </c>
    </row>
    <row r="288" spans="5:12" ht="15.75" customHeight="1" x14ac:dyDescent="0.2">
      <c r="E288" s="21">
        <v>54</v>
      </c>
      <c r="F288" s="21" t="s">
        <v>656</v>
      </c>
      <c r="G288" s="21" t="s">
        <v>91</v>
      </c>
      <c r="H288" s="24" t="s">
        <v>657</v>
      </c>
      <c r="I288" s="21">
        <v>32</v>
      </c>
      <c r="J288" s="21" t="s">
        <v>106</v>
      </c>
      <c r="K288" s="21">
        <v>98912477</v>
      </c>
      <c r="L288" s="21" t="str">
        <f>RIGHT(КХЛ!$H288,4)</f>
        <v>1985</v>
      </c>
    </row>
    <row r="289" spans="5:12" ht="15.75" customHeight="1" x14ac:dyDescent="0.2">
      <c r="E289" s="21">
        <v>152</v>
      </c>
      <c r="F289" s="21" t="s">
        <v>658</v>
      </c>
      <c r="G289" s="21" t="s">
        <v>91</v>
      </c>
      <c r="H289" s="24" t="s">
        <v>659</v>
      </c>
      <c r="I289" s="21">
        <v>27</v>
      </c>
      <c r="J289" s="21" t="s">
        <v>222</v>
      </c>
      <c r="K289" s="21">
        <v>27609940</v>
      </c>
      <c r="L289" s="21" t="str">
        <f>RIGHT(КХЛ!$H289,4)</f>
        <v>1990</v>
      </c>
    </row>
    <row r="290" spans="5:12" ht="15.75" customHeight="1" x14ac:dyDescent="0.2">
      <c r="E290" s="21">
        <v>295</v>
      </c>
      <c r="F290" s="21" t="s">
        <v>660</v>
      </c>
      <c r="G290" s="21" t="s">
        <v>83</v>
      </c>
      <c r="H290" s="24" t="s">
        <v>661</v>
      </c>
      <c r="I290" s="21">
        <v>23</v>
      </c>
      <c r="J290" s="21" t="s">
        <v>89</v>
      </c>
      <c r="K290" s="21">
        <v>23716252</v>
      </c>
      <c r="L290" s="21" t="str">
        <f>RIGHT(КХЛ!$H290,4)</f>
        <v>1994</v>
      </c>
    </row>
    <row r="291" spans="5:12" ht="15.75" customHeight="1" x14ac:dyDescent="0.2">
      <c r="E291" s="21">
        <v>348</v>
      </c>
      <c r="F291" s="21" t="s">
        <v>662</v>
      </c>
      <c r="G291" s="21" t="s">
        <v>91</v>
      </c>
      <c r="H291" s="24" t="s">
        <v>663</v>
      </c>
      <c r="I291" s="21">
        <v>25</v>
      </c>
      <c r="J291" s="21" t="s">
        <v>117</v>
      </c>
      <c r="K291" s="21">
        <v>10319631</v>
      </c>
      <c r="L291" s="21" t="str">
        <f>RIGHT(КХЛ!$H291,4)</f>
        <v>1992</v>
      </c>
    </row>
    <row r="292" spans="5:12" ht="15.75" customHeight="1" x14ac:dyDescent="0.2">
      <c r="E292" s="21">
        <v>326</v>
      </c>
      <c r="F292" s="21" t="s">
        <v>664</v>
      </c>
      <c r="G292" s="21" t="s">
        <v>91</v>
      </c>
      <c r="H292" s="24" t="s">
        <v>665</v>
      </c>
      <c r="I292" s="21">
        <v>35</v>
      </c>
      <c r="J292" s="21" t="s">
        <v>89</v>
      </c>
      <c r="K292" s="21">
        <v>39357008</v>
      </c>
      <c r="L292" s="21" t="str">
        <f>RIGHT(КХЛ!$H292,4)</f>
        <v>1982</v>
      </c>
    </row>
    <row r="293" spans="5:12" ht="15.75" customHeight="1" x14ac:dyDescent="0.2">
      <c r="E293" s="21">
        <v>717</v>
      </c>
      <c r="F293" s="21" t="s">
        <v>666</v>
      </c>
      <c r="G293" s="21" t="s">
        <v>83</v>
      </c>
      <c r="H293" s="24" t="s">
        <v>667</v>
      </c>
      <c r="I293" s="21">
        <v>24</v>
      </c>
      <c r="J293" s="21" t="s">
        <v>89</v>
      </c>
      <c r="K293" s="21">
        <v>2213989</v>
      </c>
      <c r="L293" s="21" t="str">
        <f>RIGHT(КХЛ!$H293,4)</f>
        <v>1993</v>
      </c>
    </row>
    <row r="294" spans="5:12" ht="15.75" customHeight="1" x14ac:dyDescent="0.2">
      <c r="E294" s="21">
        <v>1360</v>
      </c>
      <c r="F294" s="21" t="s">
        <v>668</v>
      </c>
      <c r="G294" s="21" t="s">
        <v>83</v>
      </c>
      <c r="H294" s="24" t="s">
        <v>669</v>
      </c>
      <c r="I294" s="21">
        <v>21</v>
      </c>
      <c r="J294" s="21" t="s">
        <v>241</v>
      </c>
      <c r="K294" s="21">
        <v>61326233</v>
      </c>
      <c r="L294" s="21" t="str">
        <f>RIGHT(КХЛ!$H294,4)</f>
        <v>1996</v>
      </c>
    </row>
    <row r="295" spans="5:12" ht="15.75" customHeight="1" x14ac:dyDescent="0.2">
      <c r="E295" s="21">
        <v>269</v>
      </c>
      <c r="F295" s="21" t="s">
        <v>670</v>
      </c>
      <c r="G295" s="21" t="s">
        <v>87</v>
      </c>
      <c r="H295" s="24" t="s">
        <v>671</v>
      </c>
      <c r="I295" s="21">
        <v>32</v>
      </c>
      <c r="J295" s="21" t="s">
        <v>89</v>
      </c>
      <c r="K295" s="21">
        <v>73194237</v>
      </c>
      <c r="L295" s="21" t="str">
        <f>RIGHT(КХЛ!$H295,4)</f>
        <v>1985</v>
      </c>
    </row>
    <row r="296" spans="5:12" ht="15.75" customHeight="1" x14ac:dyDescent="0.2">
      <c r="E296" s="21">
        <v>95</v>
      </c>
      <c r="F296" s="21" t="s">
        <v>672</v>
      </c>
      <c r="G296" s="21" t="s">
        <v>83</v>
      </c>
      <c r="H296" s="24" t="s">
        <v>673</v>
      </c>
      <c r="I296" s="21">
        <v>28</v>
      </c>
      <c r="J296" s="21" t="s">
        <v>89</v>
      </c>
      <c r="K296" s="21">
        <v>52765611</v>
      </c>
      <c r="L296" s="21" t="str">
        <f>RIGHT(КХЛ!$H296,4)</f>
        <v>1989</v>
      </c>
    </row>
    <row r="297" spans="5:12" ht="15.75" customHeight="1" x14ac:dyDescent="0.2">
      <c r="E297" s="21">
        <v>774</v>
      </c>
      <c r="F297" s="21" t="s">
        <v>674</v>
      </c>
      <c r="G297" s="21" t="s">
        <v>91</v>
      </c>
      <c r="H297" s="24" t="s">
        <v>675</v>
      </c>
      <c r="I297" s="21">
        <v>25</v>
      </c>
      <c r="J297" s="21" t="s">
        <v>89</v>
      </c>
      <c r="K297" s="21">
        <v>84346391</v>
      </c>
      <c r="L297" s="21" t="str">
        <f>RIGHT(КХЛ!$H297,4)</f>
        <v>1992</v>
      </c>
    </row>
    <row r="298" spans="5:12" ht="15.75" customHeight="1" x14ac:dyDescent="0.2">
      <c r="E298" s="21">
        <v>499</v>
      </c>
      <c r="F298" s="21" t="s">
        <v>676</v>
      </c>
      <c r="G298" s="21" t="s">
        <v>91</v>
      </c>
      <c r="H298" s="24" t="s">
        <v>677</v>
      </c>
      <c r="I298" s="21">
        <v>27</v>
      </c>
      <c r="J298" s="21" t="s">
        <v>89</v>
      </c>
      <c r="K298" s="21">
        <v>97766908</v>
      </c>
      <c r="L298" s="21" t="str">
        <f>RIGHT(КХЛ!$H298,4)</f>
        <v>1990</v>
      </c>
    </row>
    <row r="299" spans="5:12" ht="15.75" customHeight="1" x14ac:dyDescent="0.2">
      <c r="E299" s="21">
        <v>203</v>
      </c>
      <c r="F299" s="21" t="s">
        <v>678</v>
      </c>
      <c r="G299" s="21" t="s">
        <v>91</v>
      </c>
      <c r="H299" s="24" t="s">
        <v>679</v>
      </c>
      <c r="I299" s="21">
        <v>42</v>
      </c>
      <c r="J299" s="21" t="s">
        <v>106</v>
      </c>
      <c r="K299" s="21">
        <v>40197026</v>
      </c>
      <c r="L299" s="21" t="str">
        <f>RIGHT(КХЛ!$H299,4)</f>
        <v>1975</v>
      </c>
    </row>
    <row r="300" spans="5:12" ht="15.75" customHeight="1" x14ac:dyDescent="0.2">
      <c r="E300" s="21">
        <v>81</v>
      </c>
      <c r="F300" s="21" t="s">
        <v>680</v>
      </c>
      <c r="G300" s="21" t="s">
        <v>91</v>
      </c>
      <c r="H300" s="24" t="s">
        <v>681</v>
      </c>
      <c r="I300" s="21">
        <v>26</v>
      </c>
      <c r="J300" s="21" t="s">
        <v>241</v>
      </c>
      <c r="K300" s="21">
        <v>89517875</v>
      </c>
      <c r="L300" s="21" t="str">
        <f>RIGHT(КХЛ!$H300,4)</f>
        <v>1991</v>
      </c>
    </row>
    <row r="301" spans="5:12" ht="15.75" customHeight="1" x14ac:dyDescent="0.2">
      <c r="E301" s="21">
        <v>907</v>
      </c>
      <c r="F301" s="21" t="s">
        <v>682</v>
      </c>
      <c r="G301" s="21" t="s">
        <v>91</v>
      </c>
      <c r="H301" s="24" t="s">
        <v>683</v>
      </c>
      <c r="I301" s="21">
        <v>27</v>
      </c>
      <c r="J301" s="21" t="s">
        <v>282</v>
      </c>
      <c r="K301" s="21">
        <v>21685971</v>
      </c>
      <c r="L301" s="21" t="str">
        <f>RIGHT(КХЛ!$H301,4)</f>
        <v>1990</v>
      </c>
    </row>
    <row r="302" spans="5:12" ht="15.75" customHeight="1" x14ac:dyDescent="0.2">
      <c r="E302" s="21">
        <v>684</v>
      </c>
      <c r="F302" s="21" t="s">
        <v>684</v>
      </c>
      <c r="G302" s="21" t="s">
        <v>91</v>
      </c>
      <c r="H302" s="24" t="s">
        <v>685</v>
      </c>
      <c r="I302" s="21">
        <v>36</v>
      </c>
      <c r="J302" s="21" t="s">
        <v>106</v>
      </c>
      <c r="K302" s="21">
        <v>65955166</v>
      </c>
      <c r="L302" s="21" t="str">
        <f>RIGHT(КХЛ!$H302,4)</f>
        <v>1982</v>
      </c>
    </row>
    <row r="303" spans="5:12" ht="15.75" customHeight="1" x14ac:dyDescent="0.2">
      <c r="E303" s="21">
        <v>846</v>
      </c>
      <c r="F303" s="21" t="s">
        <v>686</v>
      </c>
      <c r="G303" s="21" t="s">
        <v>91</v>
      </c>
      <c r="H303" s="24" t="s">
        <v>687</v>
      </c>
      <c r="I303" s="21">
        <v>25</v>
      </c>
      <c r="J303" s="21" t="s">
        <v>89</v>
      </c>
      <c r="K303" s="21">
        <v>87518196</v>
      </c>
      <c r="L303" s="21" t="str">
        <f>RIGHT(КХЛ!$H303,4)</f>
        <v>1992</v>
      </c>
    </row>
    <row r="304" spans="5:12" ht="15.75" customHeight="1" x14ac:dyDescent="0.2">
      <c r="E304" s="21">
        <v>17</v>
      </c>
      <c r="F304" s="21" t="s">
        <v>688</v>
      </c>
      <c r="G304" s="21" t="s">
        <v>83</v>
      </c>
      <c r="H304" s="24" t="s">
        <v>689</v>
      </c>
      <c r="I304" s="21">
        <v>23</v>
      </c>
      <c r="J304" s="21" t="s">
        <v>89</v>
      </c>
      <c r="K304" s="21">
        <v>41189160</v>
      </c>
      <c r="L304" s="21" t="str">
        <f>RIGHT(КХЛ!$H304,4)</f>
        <v>1994</v>
      </c>
    </row>
    <row r="305" spans="5:12" ht="15.75" customHeight="1" x14ac:dyDescent="0.2">
      <c r="E305" s="21">
        <v>685</v>
      </c>
      <c r="F305" s="21" t="s">
        <v>690</v>
      </c>
      <c r="G305" s="21" t="s">
        <v>83</v>
      </c>
      <c r="H305" s="24" t="s">
        <v>691</v>
      </c>
      <c r="I305" s="21">
        <v>36</v>
      </c>
      <c r="J305" s="21" t="s">
        <v>106</v>
      </c>
      <c r="K305" s="21">
        <v>32310984</v>
      </c>
      <c r="L305" s="21" t="str">
        <f>RIGHT(КХЛ!$H305,4)</f>
        <v>1981</v>
      </c>
    </row>
    <row r="306" spans="5:12" ht="15.75" customHeight="1" x14ac:dyDescent="0.2">
      <c r="E306" s="21">
        <v>483</v>
      </c>
      <c r="F306" s="21" t="s">
        <v>692</v>
      </c>
      <c r="G306" s="21" t="s">
        <v>91</v>
      </c>
      <c r="H306" s="24" t="s">
        <v>693</v>
      </c>
      <c r="I306" s="21">
        <v>26</v>
      </c>
      <c r="J306" s="21" t="s">
        <v>89</v>
      </c>
      <c r="K306" s="21">
        <v>73493034</v>
      </c>
      <c r="L306" s="21" t="str">
        <f>RIGHT(КХЛ!$H306,4)</f>
        <v>1991</v>
      </c>
    </row>
    <row r="307" spans="5:12" ht="15.75" customHeight="1" x14ac:dyDescent="0.2">
      <c r="E307" s="21">
        <v>431</v>
      </c>
      <c r="F307" s="21" t="s">
        <v>694</v>
      </c>
      <c r="G307" s="21" t="s">
        <v>91</v>
      </c>
      <c r="H307" s="24" t="s">
        <v>695</v>
      </c>
      <c r="I307" s="21">
        <v>24</v>
      </c>
      <c r="J307" s="21" t="s">
        <v>89</v>
      </c>
      <c r="K307" s="21">
        <v>14221139</v>
      </c>
      <c r="L307" s="21" t="str">
        <f>RIGHT(КХЛ!$H307,4)</f>
        <v>1993</v>
      </c>
    </row>
    <row r="308" spans="5:12" ht="15.75" customHeight="1" x14ac:dyDescent="0.2">
      <c r="E308" s="21">
        <v>1006</v>
      </c>
      <c r="F308" s="21" t="s">
        <v>696</v>
      </c>
      <c r="G308" s="21" t="s">
        <v>91</v>
      </c>
      <c r="H308" s="24" t="s">
        <v>697</v>
      </c>
      <c r="I308" s="21">
        <v>37</v>
      </c>
      <c r="J308" s="21" t="s">
        <v>93</v>
      </c>
      <c r="K308" s="21">
        <v>83456415</v>
      </c>
      <c r="L308" s="21" t="str">
        <f>RIGHT(КХЛ!$H308,4)</f>
        <v>1980</v>
      </c>
    </row>
    <row r="309" spans="5:12" ht="15.75" customHeight="1" x14ac:dyDescent="0.2">
      <c r="E309" s="21">
        <v>128</v>
      </c>
      <c r="F309" s="21" t="s">
        <v>698</v>
      </c>
      <c r="G309" s="21" t="s">
        <v>91</v>
      </c>
      <c r="H309" s="24" t="s">
        <v>699</v>
      </c>
      <c r="I309" s="21">
        <v>19</v>
      </c>
      <c r="J309" s="21" t="s">
        <v>89</v>
      </c>
      <c r="K309" s="21">
        <v>70946190</v>
      </c>
      <c r="L309" s="21" t="str">
        <f>RIGHT(КХЛ!$H309,4)</f>
        <v>1998</v>
      </c>
    </row>
    <row r="310" spans="5:12" ht="15.75" customHeight="1" x14ac:dyDescent="0.2">
      <c r="E310" s="21">
        <v>1094</v>
      </c>
      <c r="F310" s="21" t="s">
        <v>700</v>
      </c>
      <c r="G310" s="21" t="s">
        <v>91</v>
      </c>
      <c r="H310" s="24" t="s">
        <v>701</v>
      </c>
      <c r="I310" s="21">
        <v>40</v>
      </c>
      <c r="J310" s="21" t="s">
        <v>89</v>
      </c>
      <c r="K310" s="21">
        <v>63147822</v>
      </c>
      <c r="L310" s="21" t="str">
        <f>RIGHT(КХЛ!$H310,4)</f>
        <v>1977</v>
      </c>
    </row>
    <row r="311" spans="5:12" ht="15.75" customHeight="1" x14ac:dyDescent="0.2">
      <c r="E311" s="21">
        <v>341</v>
      </c>
      <c r="F311" s="21" t="s">
        <v>702</v>
      </c>
      <c r="G311" s="21" t="s">
        <v>87</v>
      </c>
      <c r="H311" s="24" t="s">
        <v>703</v>
      </c>
      <c r="I311" s="21">
        <v>22</v>
      </c>
      <c r="J311" s="21" t="s">
        <v>89</v>
      </c>
      <c r="K311" s="21">
        <v>74930100</v>
      </c>
      <c r="L311" s="21" t="str">
        <f>RIGHT(КХЛ!$H311,4)</f>
        <v>1995</v>
      </c>
    </row>
    <row r="312" spans="5:12" ht="15.75" customHeight="1" x14ac:dyDescent="0.2">
      <c r="E312" s="21">
        <v>576</v>
      </c>
      <c r="F312" s="21" t="s">
        <v>704</v>
      </c>
      <c r="G312" s="21" t="s">
        <v>91</v>
      </c>
      <c r="H312" s="24" t="s">
        <v>236</v>
      </c>
      <c r="I312" s="21">
        <v>28</v>
      </c>
      <c r="J312" s="21" t="s">
        <v>106</v>
      </c>
      <c r="K312" s="21">
        <v>12621079</v>
      </c>
      <c r="L312" s="21" t="str">
        <f>RIGHT(КХЛ!$H312,4)</f>
        <v>1990</v>
      </c>
    </row>
    <row r="313" spans="5:12" ht="15.75" customHeight="1" x14ac:dyDescent="0.2">
      <c r="E313" s="21">
        <v>1556</v>
      </c>
      <c r="F313" s="21" t="s">
        <v>705</v>
      </c>
      <c r="G313" s="21" t="s">
        <v>91</v>
      </c>
      <c r="H313" s="24" t="s">
        <v>706</v>
      </c>
      <c r="I313" s="21">
        <v>22</v>
      </c>
      <c r="J313" s="21" t="s">
        <v>89</v>
      </c>
      <c r="K313" s="21">
        <v>31213039</v>
      </c>
      <c r="L313" s="21" t="str">
        <f>RIGHT(КХЛ!$H313,4)</f>
        <v>1995</v>
      </c>
    </row>
    <row r="314" spans="5:12" ht="15.75" customHeight="1" x14ac:dyDescent="0.2">
      <c r="E314" s="21">
        <v>1717</v>
      </c>
      <c r="F314" s="21" t="s">
        <v>707</v>
      </c>
      <c r="G314" s="21" t="s">
        <v>83</v>
      </c>
      <c r="H314" s="24" t="s">
        <v>708</v>
      </c>
      <c r="I314" s="21">
        <v>45</v>
      </c>
      <c r="J314" s="21" t="s">
        <v>132</v>
      </c>
      <c r="K314" s="21">
        <v>58757687</v>
      </c>
      <c r="L314" s="21" t="str">
        <f>RIGHT(КХЛ!$H314,4)</f>
        <v>1972</v>
      </c>
    </row>
    <row r="315" spans="5:12" ht="15.75" customHeight="1" x14ac:dyDescent="0.2">
      <c r="E315" s="21">
        <v>247</v>
      </c>
      <c r="F315" s="21" t="s">
        <v>709</v>
      </c>
      <c r="G315" s="21" t="s">
        <v>87</v>
      </c>
      <c r="H315" s="24" t="s">
        <v>710</v>
      </c>
      <c r="I315" s="21">
        <v>27</v>
      </c>
      <c r="J315" s="21" t="s">
        <v>89</v>
      </c>
      <c r="K315" s="21">
        <v>31518262</v>
      </c>
      <c r="L315" s="21" t="str">
        <f>RIGHT(КХЛ!$H315,4)</f>
        <v>1991</v>
      </c>
    </row>
    <row r="316" spans="5:12" ht="15.75" customHeight="1" x14ac:dyDescent="0.2">
      <c r="E316" s="21">
        <v>1240</v>
      </c>
      <c r="F316" s="21" t="s">
        <v>711</v>
      </c>
      <c r="G316" s="21" t="s">
        <v>91</v>
      </c>
      <c r="H316" s="24" t="s">
        <v>712</v>
      </c>
      <c r="I316" s="21">
        <v>21</v>
      </c>
      <c r="J316" s="21" t="s">
        <v>89</v>
      </c>
      <c r="K316" s="21">
        <v>3354823</v>
      </c>
      <c r="L316" s="21" t="str">
        <f>RIGHT(КХЛ!$H316,4)</f>
        <v>1996</v>
      </c>
    </row>
    <row r="317" spans="5:12" ht="15.75" customHeight="1" x14ac:dyDescent="0.2">
      <c r="E317" s="21">
        <v>1576</v>
      </c>
      <c r="F317" s="21" t="s">
        <v>713</v>
      </c>
      <c r="G317" s="21" t="s">
        <v>83</v>
      </c>
      <c r="H317" s="24" t="s">
        <v>714</v>
      </c>
      <c r="I317" s="21">
        <v>25</v>
      </c>
      <c r="J317" s="21" t="s">
        <v>89</v>
      </c>
      <c r="K317" s="21">
        <v>50990269</v>
      </c>
      <c r="L317" s="21" t="str">
        <f>RIGHT(КХЛ!$H317,4)</f>
        <v>1992</v>
      </c>
    </row>
    <row r="318" spans="5:12" ht="15.75" customHeight="1" x14ac:dyDescent="0.2">
      <c r="E318" s="21">
        <v>1738</v>
      </c>
      <c r="F318" s="21" t="s">
        <v>715</v>
      </c>
      <c r="G318" s="21" t="s">
        <v>83</v>
      </c>
      <c r="H318" s="24" t="s">
        <v>716</v>
      </c>
      <c r="I318" s="21">
        <v>25</v>
      </c>
      <c r="J318" s="21" t="s">
        <v>89</v>
      </c>
      <c r="K318" s="21">
        <v>38167599</v>
      </c>
      <c r="L318" s="21" t="str">
        <f>RIGHT(КХЛ!$H318,4)</f>
        <v>1992</v>
      </c>
    </row>
    <row r="319" spans="5:12" ht="15.75" customHeight="1" x14ac:dyDescent="0.2">
      <c r="E319" s="21">
        <v>727</v>
      </c>
      <c r="F319" s="21" t="s">
        <v>717</v>
      </c>
      <c r="G319" s="21" t="s">
        <v>87</v>
      </c>
      <c r="H319" s="24" t="s">
        <v>718</v>
      </c>
      <c r="I319" s="21">
        <v>37</v>
      </c>
      <c r="J319" s="21" t="s">
        <v>89</v>
      </c>
      <c r="K319" s="21">
        <v>94005827</v>
      </c>
      <c r="L319" s="21" t="str">
        <f>RIGHT(КХЛ!$H319,4)</f>
        <v>1980</v>
      </c>
    </row>
    <row r="320" spans="5:12" ht="15.75" customHeight="1" x14ac:dyDescent="0.2">
      <c r="E320" s="21">
        <v>1345</v>
      </c>
      <c r="F320" s="21" t="s">
        <v>719</v>
      </c>
      <c r="G320" s="21" t="s">
        <v>83</v>
      </c>
      <c r="H320" s="24" t="s">
        <v>720</v>
      </c>
      <c r="I320" s="21">
        <v>40</v>
      </c>
      <c r="J320" s="21" t="s">
        <v>93</v>
      </c>
      <c r="K320" s="21">
        <v>68661473</v>
      </c>
      <c r="L320" s="21" t="str">
        <f>RIGHT(КХЛ!$H320,4)</f>
        <v>1977</v>
      </c>
    </row>
    <row r="321" spans="5:12" ht="15.75" customHeight="1" x14ac:dyDescent="0.2">
      <c r="E321" s="21">
        <v>785</v>
      </c>
      <c r="F321" s="21" t="s">
        <v>721</v>
      </c>
      <c r="G321" s="21" t="s">
        <v>91</v>
      </c>
      <c r="H321" s="24" t="s">
        <v>722</v>
      </c>
      <c r="I321" s="21">
        <v>34</v>
      </c>
      <c r="J321" s="21" t="s">
        <v>169</v>
      </c>
      <c r="K321" s="21">
        <v>28928361</v>
      </c>
      <c r="L321" s="21" t="str">
        <f>RIGHT(КХЛ!$H321,4)</f>
        <v>1984</v>
      </c>
    </row>
    <row r="322" spans="5:12" ht="15.75" customHeight="1" x14ac:dyDescent="0.2">
      <c r="E322" s="21">
        <v>981</v>
      </c>
      <c r="F322" s="21" t="s">
        <v>723</v>
      </c>
      <c r="G322" s="21" t="s">
        <v>91</v>
      </c>
      <c r="H322" s="24" t="s">
        <v>724</v>
      </c>
      <c r="I322" s="21">
        <v>31</v>
      </c>
      <c r="J322" s="21" t="s">
        <v>89</v>
      </c>
      <c r="K322" s="21">
        <v>19344946</v>
      </c>
      <c r="L322" s="21" t="str">
        <f>RIGHT(КХЛ!$H322,4)</f>
        <v>1986</v>
      </c>
    </row>
    <row r="323" spans="5:12" ht="15.75" customHeight="1" x14ac:dyDescent="0.2">
      <c r="E323" s="21">
        <v>1735</v>
      </c>
      <c r="F323" s="21" t="s">
        <v>725</v>
      </c>
      <c r="G323" s="21" t="s">
        <v>91</v>
      </c>
      <c r="H323" s="24" t="s">
        <v>726</v>
      </c>
      <c r="I323" s="21">
        <v>27</v>
      </c>
      <c r="J323" s="21" t="s">
        <v>89</v>
      </c>
      <c r="K323" s="21">
        <v>10546916</v>
      </c>
      <c r="L323" s="21" t="str">
        <f>RIGHT(КХЛ!$H323,4)</f>
        <v>1990</v>
      </c>
    </row>
    <row r="324" spans="5:12" ht="15.75" customHeight="1" x14ac:dyDescent="0.2">
      <c r="E324" s="21">
        <v>375</v>
      </c>
      <c r="F324" s="21" t="s">
        <v>727</v>
      </c>
      <c r="G324" s="21" t="s">
        <v>91</v>
      </c>
      <c r="H324" s="24" t="s">
        <v>728</v>
      </c>
      <c r="I324" s="21">
        <v>28</v>
      </c>
      <c r="J324" s="21" t="s">
        <v>282</v>
      </c>
      <c r="K324" s="21">
        <v>60897634</v>
      </c>
      <c r="L324" s="21" t="str">
        <f>RIGHT(КХЛ!$H324,4)</f>
        <v>1990</v>
      </c>
    </row>
    <row r="325" spans="5:12" ht="15.75" customHeight="1" x14ac:dyDescent="0.2">
      <c r="E325" s="21">
        <v>100</v>
      </c>
      <c r="F325" s="21" t="s">
        <v>729</v>
      </c>
      <c r="G325" s="21" t="s">
        <v>91</v>
      </c>
      <c r="H325" s="24" t="s">
        <v>730</v>
      </c>
      <c r="I325" s="21">
        <v>24</v>
      </c>
      <c r="J325" s="21" t="s">
        <v>89</v>
      </c>
      <c r="K325" s="21">
        <v>42056944</v>
      </c>
      <c r="L325" s="21" t="str">
        <f>RIGHT(КХЛ!$H325,4)</f>
        <v>1993</v>
      </c>
    </row>
    <row r="326" spans="5:12" ht="15.75" customHeight="1" x14ac:dyDescent="0.2">
      <c r="E326" s="21">
        <v>1212</v>
      </c>
      <c r="F326" s="21" t="s">
        <v>731</v>
      </c>
      <c r="G326" s="21" t="s">
        <v>91</v>
      </c>
      <c r="H326" s="24" t="s">
        <v>732</v>
      </c>
      <c r="I326" s="21">
        <v>37</v>
      </c>
      <c r="J326" s="21" t="s">
        <v>89</v>
      </c>
      <c r="K326" s="21">
        <v>87034603</v>
      </c>
      <c r="L326" s="21" t="str">
        <f>RIGHT(КХЛ!$H326,4)</f>
        <v>1981</v>
      </c>
    </row>
    <row r="327" spans="5:12" ht="15.75" customHeight="1" x14ac:dyDescent="0.2">
      <c r="E327" s="21">
        <v>567</v>
      </c>
      <c r="F327" s="21" t="s">
        <v>733</v>
      </c>
      <c r="G327" s="21" t="s">
        <v>91</v>
      </c>
      <c r="H327" s="24" t="s">
        <v>734</v>
      </c>
      <c r="I327" s="21">
        <v>32</v>
      </c>
      <c r="J327" s="21" t="s">
        <v>89</v>
      </c>
      <c r="K327" s="21">
        <v>64539556</v>
      </c>
      <c r="L327" s="21" t="str">
        <f>RIGHT(КХЛ!$H327,4)</f>
        <v>1985</v>
      </c>
    </row>
    <row r="328" spans="5:12" ht="15.75" customHeight="1" x14ac:dyDescent="0.2">
      <c r="E328" s="21">
        <v>681</v>
      </c>
      <c r="F328" s="21" t="s">
        <v>735</v>
      </c>
      <c r="G328" s="21" t="s">
        <v>91</v>
      </c>
      <c r="H328" s="24" t="s">
        <v>736</v>
      </c>
      <c r="I328" s="21">
        <v>38</v>
      </c>
      <c r="J328" s="21" t="s">
        <v>152</v>
      </c>
      <c r="K328" s="21">
        <v>46216569</v>
      </c>
      <c r="L328" s="21" t="str">
        <f>RIGHT(КХЛ!$H328,4)</f>
        <v>1979</v>
      </c>
    </row>
    <row r="329" spans="5:12" ht="15.75" customHeight="1" x14ac:dyDescent="0.2">
      <c r="E329" s="21">
        <v>428</v>
      </c>
      <c r="F329" s="21" t="s">
        <v>737</v>
      </c>
      <c r="G329" s="21" t="s">
        <v>83</v>
      </c>
      <c r="H329" s="24" t="s">
        <v>738</v>
      </c>
      <c r="I329" s="21">
        <v>23</v>
      </c>
      <c r="J329" s="21" t="s">
        <v>89</v>
      </c>
      <c r="K329" s="21">
        <v>12535538</v>
      </c>
      <c r="L329" s="21" t="str">
        <f>RIGHT(КХЛ!$H329,4)</f>
        <v>1994</v>
      </c>
    </row>
    <row r="330" spans="5:12" ht="15.75" customHeight="1" x14ac:dyDescent="0.2">
      <c r="E330" s="21">
        <v>441</v>
      </c>
      <c r="F330" s="21" t="s">
        <v>739</v>
      </c>
      <c r="G330" s="21" t="s">
        <v>91</v>
      </c>
      <c r="H330" s="24" t="s">
        <v>740</v>
      </c>
      <c r="I330" s="21">
        <v>39</v>
      </c>
      <c r="J330" s="21" t="s">
        <v>89</v>
      </c>
      <c r="K330" s="21">
        <v>52565302</v>
      </c>
      <c r="L330" s="21" t="str">
        <f>RIGHT(КХЛ!$H330,4)</f>
        <v>1978</v>
      </c>
    </row>
    <row r="331" spans="5:12" ht="15.75" customHeight="1" x14ac:dyDescent="0.2">
      <c r="E331" s="21">
        <v>238</v>
      </c>
      <c r="F331" s="21" t="s">
        <v>741</v>
      </c>
      <c r="G331" s="21" t="s">
        <v>83</v>
      </c>
      <c r="H331" s="24" t="s">
        <v>742</v>
      </c>
      <c r="I331" s="21">
        <v>33</v>
      </c>
      <c r="J331" s="21" t="s">
        <v>89</v>
      </c>
      <c r="K331" s="21">
        <v>6828690</v>
      </c>
      <c r="L331" s="21" t="str">
        <f>RIGHT(КХЛ!$H331,4)</f>
        <v>1985</v>
      </c>
    </row>
    <row r="332" spans="5:12" ht="15.75" customHeight="1" x14ac:dyDescent="0.2">
      <c r="E332" s="21">
        <v>274</v>
      </c>
      <c r="F332" s="21" t="s">
        <v>743</v>
      </c>
      <c r="G332" s="21" t="s">
        <v>83</v>
      </c>
      <c r="H332" s="24" t="s">
        <v>744</v>
      </c>
      <c r="I332" s="21">
        <v>33</v>
      </c>
      <c r="J332" s="21" t="s">
        <v>85</v>
      </c>
      <c r="K332" s="21">
        <v>91132002</v>
      </c>
      <c r="L332" s="21" t="str">
        <f>RIGHT(КХЛ!$H332,4)</f>
        <v>1984</v>
      </c>
    </row>
    <row r="333" spans="5:12" ht="15.75" customHeight="1" x14ac:dyDescent="0.2">
      <c r="E333" s="21">
        <v>547</v>
      </c>
      <c r="F333" s="21" t="s">
        <v>745</v>
      </c>
      <c r="G333" s="21" t="s">
        <v>83</v>
      </c>
      <c r="H333" s="24" t="s">
        <v>746</v>
      </c>
      <c r="I333" s="21">
        <v>28</v>
      </c>
      <c r="J333" s="21" t="s">
        <v>89</v>
      </c>
      <c r="K333" s="21">
        <v>58093545</v>
      </c>
      <c r="L333" s="21" t="str">
        <f>RIGHT(КХЛ!$H333,4)</f>
        <v>1989</v>
      </c>
    </row>
    <row r="334" spans="5:12" ht="15.75" customHeight="1" x14ac:dyDescent="0.2">
      <c r="E334" s="21">
        <v>1564</v>
      </c>
      <c r="F334" s="21" t="s">
        <v>747</v>
      </c>
      <c r="G334" s="21" t="s">
        <v>91</v>
      </c>
      <c r="H334" s="24" t="s">
        <v>748</v>
      </c>
      <c r="I334" s="21">
        <v>26</v>
      </c>
      <c r="J334" s="21" t="s">
        <v>89</v>
      </c>
      <c r="K334" s="21">
        <v>76298469</v>
      </c>
      <c r="L334" s="21" t="str">
        <f>RIGHT(КХЛ!$H334,4)</f>
        <v>1992</v>
      </c>
    </row>
    <row r="335" spans="5:12" ht="15.75" customHeight="1" x14ac:dyDescent="0.2">
      <c r="E335" s="21">
        <v>525</v>
      </c>
      <c r="F335" s="21" t="s">
        <v>749</v>
      </c>
      <c r="G335" s="21" t="s">
        <v>83</v>
      </c>
      <c r="H335" s="24" t="s">
        <v>750</v>
      </c>
      <c r="I335" s="21">
        <v>41</v>
      </c>
      <c r="J335" s="21" t="s">
        <v>89</v>
      </c>
      <c r="K335" s="21">
        <v>7613930</v>
      </c>
      <c r="L335" s="21" t="str">
        <f>RIGHT(КХЛ!$H335,4)</f>
        <v>1976</v>
      </c>
    </row>
    <row r="336" spans="5:12" ht="15.75" customHeight="1" x14ac:dyDescent="0.2">
      <c r="E336" s="21">
        <v>106</v>
      </c>
      <c r="F336" s="21" t="s">
        <v>751</v>
      </c>
      <c r="G336" s="21" t="s">
        <v>91</v>
      </c>
      <c r="H336" s="24" t="s">
        <v>752</v>
      </c>
      <c r="I336" s="21">
        <v>29</v>
      </c>
      <c r="J336" s="21" t="s">
        <v>89</v>
      </c>
      <c r="K336" s="21">
        <v>30784391</v>
      </c>
      <c r="L336" s="21" t="str">
        <f>RIGHT(КХЛ!$H336,4)</f>
        <v>1988</v>
      </c>
    </row>
    <row r="337" spans="5:12" ht="15.75" customHeight="1" x14ac:dyDescent="0.2">
      <c r="E337" s="21">
        <v>552</v>
      </c>
      <c r="F337" s="21" t="s">
        <v>753</v>
      </c>
      <c r="G337" s="21" t="s">
        <v>91</v>
      </c>
      <c r="H337" s="24" t="s">
        <v>754</v>
      </c>
      <c r="I337" s="21">
        <v>24</v>
      </c>
      <c r="J337" s="21" t="s">
        <v>89</v>
      </c>
      <c r="K337" s="21">
        <v>52368163</v>
      </c>
      <c r="L337" s="21" t="str">
        <f>RIGHT(КХЛ!$H337,4)</f>
        <v>1993</v>
      </c>
    </row>
    <row r="338" spans="5:12" ht="15.75" customHeight="1" x14ac:dyDescent="0.2">
      <c r="E338" s="21">
        <v>845</v>
      </c>
      <c r="F338" s="21" t="s">
        <v>755</v>
      </c>
      <c r="G338" s="21" t="s">
        <v>91</v>
      </c>
      <c r="H338" s="24" t="s">
        <v>756</v>
      </c>
      <c r="I338" s="21">
        <v>22</v>
      </c>
      <c r="J338" s="21" t="s">
        <v>89</v>
      </c>
      <c r="K338" s="21">
        <v>82463441</v>
      </c>
      <c r="L338" s="21" t="str">
        <f>RIGHT(КХЛ!$H338,4)</f>
        <v>1996</v>
      </c>
    </row>
    <row r="339" spans="5:12" ht="15.75" customHeight="1" x14ac:dyDescent="0.2">
      <c r="E339" s="21">
        <v>19</v>
      </c>
      <c r="F339" s="21" t="s">
        <v>757</v>
      </c>
      <c r="G339" s="21" t="s">
        <v>91</v>
      </c>
      <c r="H339" s="24" t="s">
        <v>758</v>
      </c>
      <c r="I339" s="21">
        <v>35</v>
      </c>
      <c r="J339" s="21" t="s">
        <v>85</v>
      </c>
      <c r="K339" s="21">
        <v>1671793</v>
      </c>
      <c r="L339" s="21" t="str">
        <f>RIGHT(КХЛ!$H339,4)</f>
        <v>1982</v>
      </c>
    </row>
    <row r="340" spans="5:12" ht="15.75" customHeight="1" x14ac:dyDescent="0.2">
      <c r="E340" s="21">
        <v>218</v>
      </c>
      <c r="F340" s="21" t="s">
        <v>759</v>
      </c>
      <c r="G340" s="21" t="s">
        <v>91</v>
      </c>
      <c r="H340" s="24" t="s">
        <v>760</v>
      </c>
      <c r="I340" s="21">
        <v>20</v>
      </c>
      <c r="J340" s="21" t="s">
        <v>89</v>
      </c>
      <c r="K340" s="21">
        <v>10665175</v>
      </c>
      <c r="L340" s="21" t="str">
        <f>RIGHT(КХЛ!$H340,4)</f>
        <v>1997</v>
      </c>
    </row>
    <row r="341" spans="5:12" ht="15.75" customHeight="1" x14ac:dyDescent="0.2">
      <c r="E341" s="21">
        <v>934</v>
      </c>
      <c r="F341" s="21" t="s">
        <v>761</v>
      </c>
      <c r="G341" s="21" t="s">
        <v>83</v>
      </c>
      <c r="H341" s="24" t="s">
        <v>762</v>
      </c>
      <c r="I341" s="21">
        <v>28</v>
      </c>
      <c r="J341" s="21" t="s">
        <v>169</v>
      </c>
      <c r="K341" s="21">
        <v>74516027</v>
      </c>
      <c r="L341" s="21" t="str">
        <f>RIGHT(КХЛ!$H341,4)</f>
        <v>1989</v>
      </c>
    </row>
    <row r="342" spans="5:12" ht="15.75" customHeight="1" x14ac:dyDescent="0.2">
      <c r="E342" s="21">
        <v>879</v>
      </c>
      <c r="F342" s="21" t="s">
        <v>763</v>
      </c>
      <c r="G342" s="21" t="s">
        <v>87</v>
      </c>
      <c r="H342" s="24" t="s">
        <v>764</v>
      </c>
      <c r="I342" s="21">
        <v>29</v>
      </c>
      <c r="J342" s="21" t="s">
        <v>89</v>
      </c>
      <c r="K342" s="21">
        <v>11546192</v>
      </c>
      <c r="L342" s="21" t="str">
        <f>RIGHT(КХЛ!$H342,4)</f>
        <v>1988</v>
      </c>
    </row>
    <row r="343" spans="5:12" ht="15.75" customHeight="1" x14ac:dyDescent="0.2">
      <c r="E343" s="21">
        <v>51</v>
      </c>
      <c r="F343" s="21" t="s">
        <v>765</v>
      </c>
      <c r="G343" s="21" t="s">
        <v>91</v>
      </c>
      <c r="H343" s="24" t="s">
        <v>766</v>
      </c>
      <c r="I343" s="21">
        <v>37</v>
      </c>
      <c r="J343" s="21" t="s">
        <v>222</v>
      </c>
      <c r="K343" s="21">
        <v>46140009</v>
      </c>
      <c r="L343" s="21" t="str">
        <f>RIGHT(КХЛ!$H343,4)</f>
        <v>1980</v>
      </c>
    </row>
    <row r="344" spans="5:12" ht="15.75" customHeight="1" x14ac:dyDescent="0.2">
      <c r="E344" s="21">
        <v>1536</v>
      </c>
      <c r="F344" s="21" t="s">
        <v>767</v>
      </c>
      <c r="G344" s="21" t="s">
        <v>91</v>
      </c>
      <c r="H344" s="24" t="s">
        <v>768</v>
      </c>
      <c r="I344" s="21">
        <v>23</v>
      </c>
      <c r="J344" s="21" t="s">
        <v>89</v>
      </c>
      <c r="K344" s="21">
        <v>61334687</v>
      </c>
      <c r="L344" s="21" t="str">
        <f>RIGHT(КХЛ!$H344,4)</f>
        <v>1994</v>
      </c>
    </row>
    <row r="345" spans="5:12" ht="15.75" customHeight="1" x14ac:dyDescent="0.2">
      <c r="E345" s="21">
        <v>655</v>
      </c>
      <c r="F345" s="21" t="s">
        <v>769</v>
      </c>
      <c r="G345" s="21" t="s">
        <v>91</v>
      </c>
      <c r="H345" s="24" t="s">
        <v>770</v>
      </c>
      <c r="I345" s="21">
        <v>31</v>
      </c>
      <c r="J345" s="21" t="s">
        <v>89</v>
      </c>
      <c r="K345" s="21">
        <v>69210236</v>
      </c>
      <c r="L345" s="21" t="str">
        <f>RIGHT(КХЛ!$H345,4)</f>
        <v>1986</v>
      </c>
    </row>
    <row r="346" spans="5:12" ht="15.75" customHeight="1" x14ac:dyDescent="0.2">
      <c r="E346" s="21">
        <v>746</v>
      </c>
      <c r="F346" s="21" t="s">
        <v>771</v>
      </c>
      <c r="G346" s="21" t="s">
        <v>91</v>
      </c>
      <c r="H346" s="24" t="s">
        <v>772</v>
      </c>
      <c r="I346" s="21">
        <v>36</v>
      </c>
      <c r="J346" s="21" t="s">
        <v>89</v>
      </c>
      <c r="K346" s="21">
        <v>69055480</v>
      </c>
      <c r="L346" s="21" t="str">
        <f>RIGHT(КХЛ!$H346,4)</f>
        <v>1981</v>
      </c>
    </row>
    <row r="347" spans="5:12" ht="15.75" customHeight="1" x14ac:dyDescent="0.2">
      <c r="E347" s="21">
        <v>772</v>
      </c>
      <c r="F347" s="21" t="s">
        <v>773</v>
      </c>
      <c r="G347" s="21" t="s">
        <v>91</v>
      </c>
      <c r="H347" s="24" t="s">
        <v>774</v>
      </c>
      <c r="I347" s="21">
        <v>22</v>
      </c>
      <c r="J347" s="21" t="s">
        <v>89</v>
      </c>
      <c r="K347" s="21">
        <v>34571049</v>
      </c>
      <c r="L347" s="21" t="str">
        <f>RIGHT(КХЛ!$H347,4)</f>
        <v>1995</v>
      </c>
    </row>
    <row r="348" spans="5:12" ht="15.75" customHeight="1" x14ac:dyDescent="0.2">
      <c r="E348" s="21">
        <v>917</v>
      </c>
      <c r="F348" s="21" t="s">
        <v>775</v>
      </c>
      <c r="G348" s="21" t="s">
        <v>83</v>
      </c>
      <c r="H348" s="24" t="s">
        <v>776</v>
      </c>
      <c r="I348" s="21">
        <v>29</v>
      </c>
      <c r="J348" s="21" t="s">
        <v>89</v>
      </c>
      <c r="K348" s="21">
        <v>46437382</v>
      </c>
      <c r="L348" s="21" t="str">
        <f>RIGHT(КХЛ!$H348,4)</f>
        <v>1988</v>
      </c>
    </row>
    <row r="349" spans="5:12" ht="15.75" customHeight="1" x14ac:dyDescent="0.2">
      <c r="E349" s="21">
        <v>1549</v>
      </c>
      <c r="F349" s="21" t="s">
        <v>777</v>
      </c>
      <c r="G349" s="21" t="s">
        <v>91</v>
      </c>
      <c r="H349" s="24" t="s">
        <v>778</v>
      </c>
      <c r="I349" s="21">
        <v>22</v>
      </c>
      <c r="J349" s="21" t="s">
        <v>241</v>
      </c>
      <c r="K349" s="21">
        <v>8879939</v>
      </c>
      <c r="L349" s="21" t="str">
        <f>RIGHT(КХЛ!$H349,4)</f>
        <v>1995</v>
      </c>
    </row>
    <row r="350" spans="5:12" ht="15.75" customHeight="1" x14ac:dyDescent="0.2">
      <c r="E350" s="21">
        <v>771</v>
      </c>
      <c r="F350" s="21" t="s">
        <v>779</v>
      </c>
      <c r="G350" s="21" t="s">
        <v>91</v>
      </c>
      <c r="H350" s="24" t="s">
        <v>780</v>
      </c>
      <c r="I350" s="21">
        <v>30</v>
      </c>
      <c r="J350" s="21" t="s">
        <v>132</v>
      </c>
      <c r="K350" s="21">
        <v>78371509</v>
      </c>
      <c r="L350" s="21" t="str">
        <f>RIGHT(КХЛ!$H350,4)</f>
        <v>1987</v>
      </c>
    </row>
    <row r="351" spans="5:12" ht="15.75" customHeight="1" x14ac:dyDescent="0.2">
      <c r="E351" s="21">
        <v>1089</v>
      </c>
      <c r="F351" s="21" t="s">
        <v>781</v>
      </c>
      <c r="G351" s="21" t="s">
        <v>83</v>
      </c>
      <c r="H351" s="24" t="s">
        <v>782</v>
      </c>
      <c r="I351" s="21">
        <v>29</v>
      </c>
      <c r="J351" s="21" t="s">
        <v>89</v>
      </c>
      <c r="K351" s="21">
        <v>83310420</v>
      </c>
      <c r="L351" s="21" t="str">
        <f>RIGHT(КХЛ!$H351,4)</f>
        <v>1988</v>
      </c>
    </row>
    <row r="352" spans="5:12" ht="15.75" customHeight="1" x14ac:dyDescent="0.2">
      <c r="E352" s="21">
        <v>550</v>
      </c>
      <c r="F352" s="21" t="s">
        <v>783</v>
      </c>
      <c r="G352" s="21" t="s">
        <v>83</v>
      </c>
      <c r="H352" s="24" t="s">
        <v>784</v>
      </c>
      <c r="I352" s="21">
        <v>22</v>
      </c>
      <c r="J352" s="21" t="s">
        <v>89</v>
      </c>
      <c r="K352" s="21">
        <v>3109992</v>
      </c>
      <c r="L352" s="21" t="str">
        <f>RIGHT(КХЛ!$H352,4)</f>
        <v>1995</v>
      </c>
    </row>
    <row r="353" spans="5:12" ht="15.75" customHeight="1" x14ac:dyDescent="0.2">
      <c r="E353" s="21">
        <v>787</v>
      </c>
      <c r="F353" s="21" t="s">
        <v>785</v>
      </c>
      <c r="G353" s="21" t="s">
        <v>91</v>
      </c>
      <c r="H353" s="24" t="s">
        <v>786</v>
      </c>
      <c r="I353" s="21">
        <v>46</v>
      </c>
      <c r="J353" s="21" t="s">
        <v>282</v>
      </c>
      <c r="K353" s="21">
        <v>91276438</v>
      </c>
      <c r="L353" s="21" t="str">
        <f>RIGHT(КХЛ!$H353,4)</f>
        <v>1972</v>
      </c>
    </row>
    <row r="354" spans="5:12" ht="15.75" customHeight="1" x14ac:dyDescent="0.2">
      <c r="E354" s="21">
        <v>1683</v>
      </c>
      <c r="F354" s="21" t="s">
        <v>787</v>
      </c>
      <c r="G354" s="21" t="s">
        <v>87</v>
      </c>
      <c r="H354" s="24" t="s">
        <v>788</v>
      </c>
      <c r="I354" s="21">
        <v>26</v>
      </c>
      <c r="J354" s="21" t="s">
        <v>222</v>
      </c>
      <c r="K354" s="21">
        <v>5924832</v>
      </c>
      <c r="L354" s="21" t="str">
        <f>RIGHT(КХЛ!$H354,4)</f>
        <v>1991</v>
      </c>
    </row>
    <row r="355" spans="5:12" ht="15.75" customHeight="1" x14ac:dyDescent="0.2">
      <c r="E355" s="21">
        <v>1301</v>
      </c>
      <c r="F355" s="21" t="s">
        <v>789</v>
      </c>
      <c r="G355" s="21" t="s">
        <v>91</v>
      </c>
      <c r="H355" s="24" t="s">
        <v>790</v>
      </c>
      <c r="I355" s="21">
        <v>21</v>
      </c>
      <c r="J355" s="21" t="s">
        <v>89</v>
      </c>
      <c r="K355" s="21">
        <v>60043024</v>
      </c>
      <c r="L355" s="21" t="str">
        <f>RIGHT(КХЛ!$H355,4)</f>
        <v>1996</v>
      </c>
    </row>
    <row r="356" spans="5:12" ht="15.75" customHeight="1" x14ac:dyDescent="0.2">
      <c r="E356" s="21">
        <v>817</v>
      </c>
      <c r="F356" s="21" t="s">
        <v>791</v>
      </c>
      <c r="G356" s="21" t="s">
        <v>83</v>
      </c>
      <c r="H356" s="24" t="s">
        <v>792</v>
      </c>
      <c r="I356" s="21">
        <v>19</v>
      </c>
      <c r="J356" s="21" t="s">
        <v>89</v>
      </c>
      <c r="K356" s="21">
        <v>91728760</v>
      </c>
      <c r="L356" s="21" t="str">
        <f>RIGHT(КХЛ!$H356,4)</f>
        <v>1998</v>
      </c>
    </row>
    <row r="357" spans="5:12" ht="15.75" customHeight="1" x14ac:dyDescent="0.2">
      <c r="E357" s="21">
        <v>1178</v>
      </c>
      <c r="F357" s="21" t="s">
        <v>793</v>
      </c>
      <c r="G357" s="21" t="s">
        <v>87</v>
      </c>
      <c r="H357" s="24" t="s">
        <v>794</v>
      </c>
      <c r="I357" s="21">
        <v>34</v>
      </c>
      <c r="J357" s="21" t="s">
        <v>89</v>
      </c>
      <c r="K357" s="21">
        <v>2124074</v>
      </c>
      <c r="L357" s="21" t="str">
        <f>RIGHT(КХЛ!$H357,4)</f>
        <v>1983</v>
      </c>
    </row>
    <row r="358" spans="5:12" ht="15.75" customHeight="1" x14ac:dyDescent="0.2">
      <c r="E358" s="21">
        <v>1050</v>
      </c>
      <c r="F358" s="21" t="s">
        <v>795</v>
      </c>
      <c r="G358" s="21" t="s">
        <v>91</v>
      </c>
      <c r="H358" s="24" t="s">
        <v>796</v>
      </c>
      <c r="I358" s="21">
        <v>34</v>
      </c>
      <c r="J358" s="21" t="s">
        <v>89</v>
      </c>
      <c r="K358" s="21">
        <v>15063787</v>
      </c>
      <c r="L358" s="21" t="str">
        <f>RIGHT(КХЛ!$H358,4)</f>
        <v>1983</v>
      </c>
    </row>
    <row r="359" spans="5:12" ht="15.75" customHeight="1" x14ac:dyDescent="0.2">
      <c r="E359" s="21">
        <v>921</v>
      </c>
      <c r="F359" s="21" t="s">
        <v>797</v>
      </c>
      <c r="G359" s="21" t="s">
        <v>91</v>
      </c>
      <c r="H359" s="24" t="s">
        <v>798</v>
      </c>
      <c r="I359" s="21">
        <v>27</v>
      </c>
      <c r="J359" s="21" t="s">
        <v>85</v>
      </c>
      <c r="K359" s="21">
        <v>17269111</v>
      </c>
      <c r="L359" s="21" t="str">
        <f>RIGHT(КХЛ!$H359,4)</f>
        <v>1990</v>
      </c>
    </row>
    <row r="360" spans="5:12" ht="15.75" customHeight="1" x14ac:dyDescent="0.2">
      <c r="E360" s="21">
        <v>18</v>
      </c>
      <c r="F360" s="21" t="s">
        <v>799</v>
      </c>
      <c r="G360" s="21" t="s">
        <v>91</v>
      </c>
      <c r="H360" s="24" t="s">
        <v>800</v>
      </c>
      <c r="I360" s="21">
        <v>29</v>
      </c>
      <c r="J360" s="21" t="s">
        <v>106</v>
      </c>
      <c r="K360" s="21">
        <v>74236906</v>
      </c>
      <c r="L360" s="21" t="str">
        <f>RIGHT(КХЛ!$H360,4)</f>
        <v>1988</v>
      </c>
    </row>
    <row r="361" spans="5:12" ht="15.75" customHeight="1" x14ac:dyDescent="0.2">
      <c r="E361" s="21">
        <v>243</v>
      </c>
      <c r="F361" s="21" t="s">
        <v>801</v>
      </c>
      <c r="G361" s="21" t="s">
        <v>87</v>
      </c>
      <c r="H361" s="24" t="s">
        <v>802</v>
      </c>
      <c r="I361" s="21">
        <v>22</v>
      </c>
      <c r="J361" s="21" t="s">
        <v>89</v>
      </c>
      <c r="K361" s="21">
        <v>43417690</v>
      </c>
      <c r="L361" s="21" t="str">
        <f>RIGHT(КХЛ!$H361,4)</f>
        <v>1995</v>
      </c>
    </row>
    <row r="362" spans="5:12" ht="15.75" customHeight="1" x14ac:dyDescent="0.2">
      <c r="E362" s="21">
        <v>780</v>
      </c>
      <c r="F362" s="21" t="s">
        <v>803</v>
      </c>
      <c r="G362" s="21" t="s">
        <v>91</v>
      </c>
      <c r="H362" s="24" t="s">
        <v>804</v>
      </c>
      <c r="I362" s="21">
        <v>28</v>
      </c>
      <c r="J362" s="21" t="s">
        <v>89</v>
      </c>
      <c r="K362" s="21">
        <v>38155974</v>
      </c>
      <c r="L362" s="21" t="str">
        <f>RIGHT(КХЛ!$H362,4)</f>
        <v>1989</v>
      </c>
    </row>
    <row r="363" spans="5:12" ht="15.75" customHeight="1" x14ac:dyDescent="0.2">
      <c r="E363" s="21">
        <v>102</v>
      </c>
      <c r="F363" s="21" t="s">
        <v>805</v>
      </c>
      <c r="G363" s="21" t="s">
        <v>83</v>
      </c>
      <c r="H363" s="24" t="s">
        <v>806</v>
      </c>
      <c r="I363" s="21">
        <v>32</v>
      </c>
      <c r="J363" s="21" t="s">
        <v>89</v>
      </c>
      <c r="K363" s="21">
        <v>91970855</v>
      </c>
      <c r="L363" s="21" t="str">
        <f>RIGHT(КХЛ!$H363,4)</f>
        <v>1985</v>
      </c>
    </row>
    <row r="364" spans="5:12" ht="15.75" customHeight="1" x14ac:dyDescent="0.2">
      <c r="E364" s="21">
        <v>765</v>
      </c>
      <c r="F364" s="21" t="s">
        <v>807</v>
      </c>
      <c r="G364" s="21" t="s">
        <v>91</v>
      </c>
      <c r="H364" s="24" t="s">
        <v>808</v>
      </c>
      <c r="I364" s="21">
        <v>28</v>
      </c>
      <c r="J364" s="21" t="s">
        <v>89</v>
      </c>
      <c r="K364" s="21">
        <v>35683657</v>
      </c>
      <c r="L364" s="21" t="str">
        <f>RIGHT(КХЛ!$H364,4)</f>
        <v>1989</v>
      </c>
    </row>
    <row r="365" spans="5:12" ht="15.75" customHeight="1" x14ac:dyDescent="0.2">
      <c r="E365" s="21">
        <v>528</v>
      </c>
      <c r="F365" s="21" t="s">
        <v>809</v>
      </c>
      <c r="G365" s="21" t="s">
        <v>83</v>
      </c>
      <c r="H365" s="24" t="s">
        <v>810</v>
      </c>
      <c r="I365" s="21">
        <v>39</v>
      </c>
      <c r="J365" s="21" t="s">
        <v>89</v>
      </c>
      <c r="K365" s="21">
        <v>67633902</v>
      </c>
      <c r="L365" s="21" t="str">
        <f>RIGHT(КХЛ!$H365,4)</f>
        <v>1978</v>
      </c>
    </row>
    <row r="366" spans="5:12" ht="15.75" customHeight="1" x14ac:dyDescent="0.2">
      <c r="E366" s="21">
        <v>105</v>
      </c>
      <c r="F366" s="21" t="s">
        <v>811</v>
      </c>
      <c r="G366" s="21" t="s">
        <v>91</v>
      </c>
      <c r="H366" s="24" t="s">
        <v>812</v>
      </c>
      <c r="I366" s="21">
        <v>37</v>
      </c>
      <c r="J366" s="21" t="s">
        <v>89</v>
      </c>
      <c r="K366" s="21">
        <v>27410745</v>
      </c>
      <c r="L366" s="21" t="str">
        <f>RIGHT(КХЛ!$H366,4)</f>
        <v>1980</v>
      </c>
    </row>
    <row r="367" spans="5:12" ht="15.75" customHeight="1" x14ac:dyDescent="0.2">
      <c r="E367" s="21">
        <v>849</v>
      </c>
      <c r="F367" s="21" t="s">
        <v>813</v>
      </c>
      <c r="G367" s="21" t="s">
        <v>91</v>
      </c>
      <c r="H367" s="24" t="s">
        <v>814</v>
      </c>
      <c r="I367" s="21">
        <v>23</v>
      </c>
      <c r="J367" s="21" t="s">
        <v>321</v>
      </c>
      <c r="K367" s="21">
        <v>70832598</v>
      </c>
      <c r="L367" s="21" t="str">
        <f>RIGHT(КХЛ!$H367,4)</f>
        <v>1994</v>
      </c>
    </row>
    <row r="368" spans="5:12" ht="15.75" customHeight="1" x14ac:dyDescent="0.2">
      <c r="E368" s="21">
        <v>639</v>
      </c>
      <c r="F368" s="21" t="s">
        <v>815</v>
      </c>
      <c r="G368" s="21" t="s">
        <v>87</v>
      </c>
      <c r="H368" s="24" t="s">
        <v>816</v>
      </c>
      <c r="I368" s="21">
        <v>36</v>
      </c>
      <c r="J368" s="21" t="s">
        <v>106</v>
      </c>
      <c r="K368" s="21">
        <v>64339407</v>
      </c>
      <c r="L368" s="21" t="str">
        <f>RIGHT(КХЛ!$H368,4)</f>
        <v>1981</v>
      </c>
    </row>
    <row r="369" spans="5:12" ht="15.75" customHeight="1" x14ac:dyDescent="0.2">
      <c r="E369" s="21">
        <v>31</v>
      </c>
      <c r="F369" s="21" t="s">
        <v>817</v>
      </c>
      <c r="G369" s="21" t="s">
        <v>83</v>
      </c>
      <c r="H369" s="24" t="s">
        <v>818</v>
      </c>
      <c r="I369" s="21">
        <v>34</v>
      </c>
      <c r="J369" s="21" t="s">
        <v>89</v>
      </c>
      <c r="K369" s="21">
        <v>30839850</v>
      </c>
      <c r="L369" s="21" t="str">
        <f>RIGHT(КХЛ!$H369,4)</f>
        <v>1983</v>
      </c>
    </row>
    <row r="370" spans="5:12" ht="15.75" customHeight="1" x14ac:dyDescent="0.2">
      <c r="E370" s="21">
        <v>184</v>
      </c>
      <c r="F370" s="21" t="s">
        <v>819</v>
      </c>
      <c r="G370" s="21" t="s">
        <v>83</v>
      </c>
      <c r="H370" s="24" t="s">
        <v>820</v>
      </c>
      <c r="I370" s="21">
        <v>25</v>
      </c>
      <c r="J370" s="21" t="s">
        <v>89</v>
      </c>
      <c r="K370" s="21">
        <v>28448613</v>
      </c>
      <c r="L370" s="21" t="str">
        <f>RIGHT(КХЛ!$H370,4)</f>
        <v>1992</v>
      </c>
    </row>
    <row r="371" spans="5:12" ht="15.75" customHeight="1" x14ac:dyDescent="0.2">
      <c r="E371" s="21">
        <v>1674</v>
      </c>
      <c r="F371" s="21" t="s">
        <v>821</v>
      </c>
      <c r="G371" s="21" t="s">
        <v>83</v>
      </c>
      <c r="H371" s="24" t="s">
        <v>822</v>
      </c>
      <c r="I371" s="21">
        <v>36</v>
      </c>
      <c r="J371" s="21" t="s">
        <v>85</v>
      </c>
      <c r="K371" s="21">
        <v>62130180</v>
      </c>
      <c r="L371" s="21" t="str">
        <f>RIGHT(КХЛ!$H371,4)</f>
        <v>1981</v>
      </c>
    </row>
    <row r="372" spans="5:12" ht="15.75" customHeight="1" x14ac:dyDescent="0.2">
      <c r="E372" s="21">
        <v>53</v>
      </c>
      <c r="F372" s="21" t="s">
        <v>823</v>
      </c>
      <c r="G372" s="21" t="s">
        <v>83</v>
      </c>
      <c r="H372" s="24" t="s">
        <v>824</v>
      </c>
      <c r="I372" s="21">
        <v>32</v>
      </c>
      <c r="J372" s="21" t="s">
        <v>89</v>
      </c>
      <c r="K372" s="21">
        <v>68928397</v>
      </c>
      <c r="L372" s="21" t="str">
        <f>RIGHT(КХЛ!$H372,4)</f>
        <v>1985</v>
      </c>
    </row>
    <row r="373" spans="5:12" ht="15.75" customHeight="1" x14ac:dyDescent="0.2">
      <c r="E373" s="21">
        <v>1573</v>
      </c>
      <c r="F373" s="21" t="s">
        <v>825</v>
      </c>
      <c r="G373" s="21" t="s">
        <v>91</v>
      </c>
      <c r="H373" s="24" t="s">
        <v>826</v>
      </c>
      <c r="I373" s="21">
        <v>22</v>
      </c>
      <c r="J373" s="21" t="s">
        <v>89</v>
      </c>
      <c r="K373" s="21">
        <v>72142959</v>
      </c>
      <c r="L373" s="21" t="str">
        <f>RIGHT(КХЛ!$H373,4)</f>
        <v>1995</v>
      </c>
    </row>
    <row r="374" spans="5:12" ht="15.75" customHeight="1" x14ac:dyDescent="0.2">
      <c r="E374" s="21">
        <v>1003</v>
      </c>
      <c r="F374" s="21" t="s">
        <v>827</v>
      </c>
      <c r="G374" s="21" t="s">
        <v>91</v>
      </c>
      <c r="H374" s="24" t="s">
        <v>828</v>
      </c>
      <c r="I374" s="21">
        <v>20</v>
      </c>
      <c r="J374" s="21" t="s">
        <v>89</v>
      </c>
      <c r="K374" s="21">
        <v>3234309</v>
      </c>
      <c r="L374" s="21" t="str">
        <f>RIGHT(КХЛ!$H374,4)</f>
        <v>1998</v>
      </c>
    </row>
    <row r="375" spans="5:12" ht="15.75" customHeight="1" x14ac:dyDescent="0.2">
      <c r="E375" s="21">
        <v>1524</v>
      </c>
      <c r="F375" s="21" t="s">
        <v>829</v>
      </c>
      <c r="G375" s="21" t="s">
        <v>83</v>
      </c>
      <c r="H375" s="24" t="s">
        <v>830</v>
      </c>
      <c r="I375" s="21">
        <v>21</v>
      </c>
      <c r="J375" s="21" t="s">
        <v>89</v>
      </c>
      <c r="K375" s="21">
        <v>92387575</v>
      </c>
      <c r="L375" s="21" t="str">
        <f>RIGHT(КХЛ!$H375,4)</f>
        <v>1996</v>
      </c>
    </row>
    <row r="376" spans="5:12" ht="15.75" customHeight="1" x14ac:dyDescent="0.2">
      <c r="E376" s="21">
        <v>1676</v>
      </c>
      <c r="F376" s="21" t="s">
        <v>831</v>
      </c>
      <c r="G376" s="21" t="s">
        <v>83</v>
      </c>
      <c r="H376" s="24" t="s">
        <v>832</v>
      </c>
      <c r="I376" s="21">
        <v>35</v>
      </c>
      <c r="J376" s="21" t="s">
        <v>222</v>
      </c>
      <c r="K376" s="21">
        <v>29106443</v>
      </c>
      <c r="L376" s="21" t="str">
        <f>RIGHT(КХЛ!$H376,4)</f>
        <v>1982</v>
      </c>
    </row>
    <row r="377" spans="5:12" ht="15.75" customHeight="1" x14ac:dyDescent="0.2">
      <c r="E377" s="21">
        <v>248</v>
      </c>
      <c r="F377" s="21" t="s">
        <v>833</v>
      </c>
      <c r="G377" s="21" t="s">
        <v>83</v>
      </c>
      <c r="H377" s="24" t="s">
        <v>442</v>
      </c>
      <c r="I377" s="21">
        <v>37</v>
      </c>
      <c r="J377" s="21" t="s">
        <v>89</v>
      </c>
      <c r="K377" s="21">
        <v>32883284</v>
      </c>
      <c r="L377" s="21" t="str">
        <f>RIGHT(КХЛ!$H377,4)</f>
        <v>1980</v>
      </c>
    </row>
    <row r="378" spans="5:12" ht="15.75" customHeight="1" x14ac:dyDescent="0.2">
      <c r="E378" s="21">
        <v>904</v>
      </c>
      <c r="F378" s="21" t="s">
        <v>834</v>
      </c>
      <c r="G378" s="21" t="s">
        <v>83</v>
      </c>
      <c r="H378" s="24" t="s">
        <v>835</v>
      </c>
      <c r="I378" s="21">
        <v>23</v>
      </c>
      <c r="J378" s="21" t="s">
        <v>89</v>
      </c>
      <c r="K378" s="21">
        <v>85535187</v>
      </c>
      <c r="L378" s="21" t="str">
        <f>RIGHT(КХЛ!$H378,4)</f>
        <v>1994</v>
      </c>
    </row>
    <row r="379" spans="5:12" ht="15.75" customHeight="1" x14ac:dyDescent="0.2">
      <c r="E379" s="21">
        <v>1623</v>
      </c>
      <c r="F379" s="21" t="s">
        <v>836</v>
      </c>
      <c r="G379" s="21" t="s">
        <v>87</v>
      </c>
      <c r="H379" s="24" t="s">
        <v>837</v>
      </c>
      <c r="I379" s="21">
        <v>18</v>
      </c>
      <c r="J379" s="21" t="s">
        <v>85</v>
      </c>
      <c r="K379" s="21">
        <v>81927449</v>
      </c>
      <c r="L379" s="21" t="str">
        <f>RIGHT(КХЛ!$H379,4)</f>
        <v>1999</v>
      </c>
    </row>
    <row r="380" spans="5:12" ht="15.75" customHeight="1" x14ac:dyDescent="0.2">
      <c r="E380" s="21">
        <v>740</v>
      </c>
      <c r="F380" s="21" t="s">
        <v>838</v>
      </c>
      <c r="G380" s="21" t="s">
        <v>83</v>
      </c>
      <c r="H380" s="24" t="s">
        <v>839</v>
      </c>
      <c r="I380" s="21">
        <v>32</v>
      </c>
      <c r="J380" s="21" t="s">
        <v>85</v>
      </c>
      <c r="K380" s="21">
        <v>79534289</v>
      </c>
      <c r="L380" s="21" t="str">
        <f>RIGHT(КХЛ!$H380,4)</f>
        <v>1985</v>
      </c>
    </row>
    <row r="381" spans="5:12" ht="15.75" customHeight="1" x14ac:dyDescent="0.2">
      <c r="E381" s="21">
        <v>868</v>
      </c>
      <c r="F381" s="21" t="s">
        <v>840</v>
      </c>
      <c r="G381" s="21" t="s">
        <v>91</v>
      </c>
      <c r="H381" s="24" t="s">
        <v>841</v>
      </c>
      <c r="I381" s="21">
        <v>22</v>
      </c>
      <c r="J381" s="21" t="s">
        <v>89</v>
      </c>
      <c r="K381" s="21">
        <v>5461797</v>
      </c>
      <c r="L381" s="21" t="str">
        <f>RIGHT(КХЛ!$H381,4)</f>
        <v>1995</v>
      </c>
    </row>
    <row r="382" spans="5:12" ht="15.75" customHeight="1" x14ac:dyDescent="0.2">
      <c r="E382" s="21">
        <v>338</v>
      </c>
      <c r="F382" s="21" t="s">
        <v>842</v>
      </c>
      <c r="G382" s="21" t="s">
        <v>83</v>
      </c>
      <c r="H382" s="24" t="s">
        <v>843</v>
      </c>
      <c r="I382" s="21">
        <v>26</v>
      </c>
      <c r="J382" s="21" t="s">
        <v>89</v>
      </c>
      <c r="K382" s="21">
        <v>34085629</v>
      </c>
      <c r="L382" s="21" t="str">
        <f>RIGHT(КХЛ!$H382,4)</f>
        <v>1991</v>
      </c>
    </row>
    <row r="383" spans="5:12" ht="15.75" customHeight="1" x14ac:dyDescent="0.2">
      <c r="E383" s="21">
        <v>519</v>
      </c>
      <c r="F383" s="21" t="s">
        <v>844</v>
      </c>
      <c r="G383" s="21" t="s">
        <v>83</v>
      </c>
      <c r="H383" s="24" t="s">
        <v>845</v>
      </c>
      <c r="I383" s="21">
        <v>25</v>
      </c>
      <c r="J383" s="21" t="s">
        <v>89</v>
      </c>
      <c r="K383" s="21">
        <v>51448038</v>
      </c>
      <c r="L383" s="21" t="str">
        <f>RIGHT(КХЛ!$H383,4)</f>
        <v>1992</v>
      </c>
    </row>
    <row r="384" spans="5:12" ht="15.75" customHeight="1" x14ac:dyDescent="0.2">
      <c r="E384" s="21">
        <v>368</v>
      </c>
      <c r="F384" s="21" t="s">
        <v>846</v>
      </c>
      <c r="G384" s="21" t="s">
        <v>91</v>
      </c>
      <c r="H384" s="24" t="s">
        <v>847</v>
      </c>
      <c r="I384" s="21">
        <v>24</v>
      </c>
      <c r="J384" s="21" t="s">
        <v>89</v>
      </c>
      <c r="K384" s="21">
        <v>27081654</v>
      </c>
      <c r="L384" s="21" t="str">
        <f>RIGHT(КХЛ!$H384,4)</f>
        <v>1993</v>
      </c>
    </row>
    <row r="385" spans="5:12" ht="15.75" customHeight="1" x14ac:dyDescent="0.2">
      <c r="E385" s="21">
        <v>367</v>
      </c>
      <c r="F385" s="21" t="s">
        <v>848</v>
      </c>
      <c r="G385" s="21" t="s">
        <v>87</v>
      </c>
      <c r="H385" s="24" t="s">
        <v>849</v>
      </c>
      <c r="I385" s="21">
        <v>27</v>
      </c>
      <c r="J385" s="21" t="s">
        <v>89</v>
      </c>
      <c r="K385" s="21">
        <v>68771747</v>
      </c>
      <c r="L385" s="21" t="str">
        <f>RIGHT(КХЛ!$H385,4)</f>
        <v>1990</v>
      </c>
    </row>
    <row r="386" spans="5:12" ht="15.75" customHeight="1" x14ac:dyDescent="0.2">
      <c r="E386" s="21">
        <v>427</v>
      </c>
      <c r="F386" s="21" t="s">
        <v>850</v>
      </c>
      <c r="G386" s="21" t="s">
        <v>91</v>
      </c>
      <c r="H386" s="24" t="s">
        <v>851</v>
      </c>
      <c r="I386" s="21">
        <v>30</v>
      </c>
      <c r="J386" s="21" t="s">
        <v>89</v>
      </c>
      <c r="K386" s="21">
        <v>7876016</v>
      </c>
      <c r="L386" s="21" t="str">
        <f>RIGHT(КХЛ!$H386,4)</f>
        <v>1987</v>
      </c>
    </row>
    <row r="387" spans="5:12" ht="15.75" customHeight="1" x14ac:dyDescent="0.2">
      <c r="E387" s="21">
        <v>898</v>
      </c>
      <c r="F387" s="21" t="s">
        <v>852</v>
      </c>
      <c r="G387" s="21" t="s">
        <v>91</v>
      </c>
      <c r="H387" s="24" t="s">
        <v>853</v>
      </c>
      <c r="I387" s="21">
        <v>21</v>
      </c>
      <c r="J387" s="21" t="s">
        <v>89</v>
      </c>
      <c r="K387" s="21">
        <v>44046356</v>
      </c>
      <c r="L387" s="21" t="str">
        <f>RIGHT(КХЛ!$H387,4)</f>
        <v>1996</v>
      </c>
    </row>
    <row r="388" spans="5:12" ht="15.75" customHeight="1" x14ac:dyDescent="0.2">
      <c r="E388" s="21">
        <v>339</v>
      </c>
      <c r="F388" s="21" t="s">
        <v>854</v>
      </c>
      <c r="G388" s="21" t="s">
        <v>83</v>
      </c>
      <c r="H388" s="24" t="s">
        <v>855</v>
      </c>
      <c r="I388" s="21">
        <v>30</v>
      </c>
      <c r="J388" s="21" t="s">
        <v>89</v>
      </c>
      <c r="K388" s="21">
        <v>50332349</v>
      </c>
      <c r="L388" s="21" t="str">
        <f>RIGHT(КХЛ!$H388,4)</f>
        <v>1987</v>
      </c>
    </row>
    <row r="389" spans="5:12" ht="15.75" customHeight="1" x14ac:dyDescent="0.2">
      <c r="E389" s="21">
        <v>658</v>
      </c>
      <c r="F389" s="21" t="s">
        <v>856</v>
      </c>
      <c r="G389" s="21" t="s">
        <v>83</v>
      </c>
      <c r="H389" s="24" t="s">
        <v>857</v>
      </c>
      <c r="I389" s="21">
        <v>36</v>
      </c>
      <c r="J389" s="21" t="s">
        <v>152</v>
      </c>
      <c r="K389" s="21">
        <v>91365196</v>
      </c>
      <c r="L389" s="21" t="str">
        <f>RIGHT(КХЛ!$H389,4)</f>
        <v>1981</v>
      </c>
    </row>
    <row r="390" spans="5:12" ht="15.75" customHeight="1" x14ac:dyDescent="0.2">
      <c r="E390" s="21">
        <v>869</v>
      </c>
      <c r="F390" s="21" t="s">
        <v>858</v>
      </c>
      <c r="G390" s="21" t="s">
        <v>91</v>
      </c>
      <c r="H390" s="24" t="s">
        <v>859</v>
      </c>
      <c r="I390" s="21">
        <v>23</v>
      </c>
      <c r="J390" s="21" t="s">
        <v>89</v>
      </c>
      <c r="K390" s="21">
        <v>28297504</v>
      </c>
      <c r="L390" s="21" t="str">
        <f>RIGHT(КХЛ!$H390,4)</f>
        <v>1995</v>
      </c>
    </row>
    <row r="391" spans="5:12" ht="15.75" customHeight="1" x14ac:dyDescent="0.2">
      <c r="E391" s="21">
        <v>560</v>
      </c>
      <c r="F391" s="21" t="s">
        <v>860</v>
      </c>
      <c r="G391" s="21" t="s">
        <v>91</v>
      </c>
      <c r="H391" s="24" t="s">
        <v>861</v>
      </c>
      <c r="I391" s="21">
        <v>19</v>
      </c>
      <c r="J391" s="21" t="s">
        <v>89</v>
      </c>
      <c r="K391" s="21">
        <v>31072319</v>
      </c>
      <c r="L391" s="21" t="str">
        <f>RIGHT(КХЛ!$H391,4)</f>
        <v>1998</v>
      </c>
    </row>
    <row r="392" spans="5:12" ht="15.75" customHeight="1" x14ac:dyDescent="0.2">
      <c r="E392" s="21">
        <v>1099</v>
      </c>
      <c r="F392" s="21" t="s">
        <v>862</v>
      </c>
      <c r="G392" s="21" t="s">
        <v>83</v>
      </c>
      <c r="H392" s="24" t="s">
        <v>818</v>
      </c>
      <c r="I392" s="21">
        <v>34</v>
      </c>
      <c r="J392" s="21" t="s">
        <v>89</v>
      </c>
      <c r="K392" s="21">
        <v>31589528</v>
      </c>
      <c r="L392" s="21" t="str">
        <f>RIGHT(КХЛ!$H392,4)</f>
        <v>1983</v>
      </c>
    </row>
    <row r="393" spans="5:12" ht="15.75" customHeight="1" x14ac:dyDescent="0.2">
      <c r="E393" s="21">
        <v>1655</v>
      </c>
      <c r="F393" s="21" t="s">
        <v>863</v>
      </c>
      <c r="G393" s="21" t="s">
        <v>91</v>
      </c>
      <c r="H393" s="24" t="s">
        <v>864</v>
      </c>
      <c r="I393" s="21">
        <v>40</v>
      </c>
      <c r="J393" s="21" t="s">
        <v>85</v>
      </c>
      <c r="K393" s="21">
        <v>46705592</v>
      </c>
      <c r="L393" s="21" t="str">
        <f>RIGHT(КХЛ!$H393,4)</f>
        <v>1977</v>
      </c>
    </row>
    <row r="394" spans="5:12" ht="15.75" customHeight="1" x14ac:dyDescent="0.2">
      <c r="E394" s="21">
        <v>982</v>
      </c>
      <c r="F394" s="21" t="s">
        <v>865</v>
      </c>
      <c r="G394" s="21" t="s">
        <v>91</v>
      </c>
      <c r="H394" s="24" t="s">
        <v>866</v>
      </c>
      <c r="I394" s="21">
        <v>26</v>
      </c>
      <c r="J394" s="21" t="s">
        <v>89</v>
      </c>
      <c r="K394" s="21">
        <v>39773904</v>
      </c>
      <c r="L394" s="21" t="str">
        <f>RIGHT(КХЛ!$H394,4)</f>
        <v>1991</v>
      </c>
    </row>
    <row r="395" spans="5:12" ht="15.75" customHeight="1" x14ac:dyDescent="0.2">
      <c r="E395" s="21">
        <v>1174</v>
      </c>
      <c r="F395" s="21" t="s">
        <v>867</v>
      </c>
      <c r="G395" s="21" t="s">
        <v>91</v>
      </c>
      <c r="H395" s="24" t="s">
        <v>868</v>
      </c>
      <c r="I395" s="21">
        <v>37</v>
      </c>
      <c r="J395" s="21" t="s">
        <v>89</v>
      </c>
      <c r="K395" s="21">
        <v>72010924</v>
      </c>
      <c r="L395" s="21" t="str">
        <f>RIGHT(КХЛ!$H395,4)</f>
        <v>1980</v>
      </c>
    </row>
    <row r="396" spans="5:12" ht="15.75" customHeight="1" x14ac:dyDescent="0.2">
      <c r="E396" s="21">
        <v>987</v>
      </c>
      <c r="F396" s="21" t="s">
        <v>869</v>
      </c>
      <c r="G396" s="21" t="s">
        <v>91</v>
      </c>
      <c r="H396" s="24" t="s">
        <v>870</v>
      </c>
      <c r="I396" s="21">
        <v>31</v>
      </c>
      <c r="J396" s="21" t="s">
        <v>282</v>
      </c>
      <c r="K396" s="21">
        <v>30242712</v>
      </c>
      <c r="L396" s="21" t="str">
        <f>RIGHT(КХЛ!$H396,4)</f>
        <v>1986</v>
      </c>
    </row>
    <row r="397" spans="5:12" ht="15.75" customHeight="1" x14ac:dyDescent="0.2">
      <c r="E397" s="21">
        <v>1458</v>
      </c>
      <c r="F397" s="21" t="s">
        <v>871</v>
      </c>
      <c r="G397" s="21" t="s">
        <v>91</v>
      </c>
      <c r="H397" s="24" t="s">
        <v>872</v>
      </c>
      <c r="I397" s="21">
        <v>19</v>
      </c>
      <c r="J397" s="21" t="s">
        <v>89</v>
      </c>
      <c r="K397" s="21">
        <v>58976095</v>
      </c>
      <c r="L397" s="21" t="str">
        <f>RIGHT(КХЛ!$H397,4)</f>
        <v>1998</v>
      </c>
    </row>
    <row r="398" spans="5:12" ht="15.75" customHeight="1" x14ac:dyDescent="0.2">
      <c r="E398" s="21">
        <v>1401</v>
      </c>
      <c r="F398" s="21" t="s">
        <v>873</v>
      </c>
      <c r="G398" s="21" t="s">
        <v>83</v>
      </c>
      <c r="H398" s="24" t="s">
        <v>874</v>
      </c>
      <c r="I398" s="21">
        <v>23</v>
      </c>
      <c r="J398" s="21" t="s">
        <v>89</v>
      </c>
      <c r="K398" s="21">
        <v>79060823</v>
      </c>
      <c r="L398" s="21" t="str">
        <f>RIGHT(КХЛ!$H398,4)</f>
        <v>1994</v>
      </c>
    </row>
    <row r="399" spans="5:12" ht="15.75" customHeight="1" x14ac:dyDescent="0.2">
      <c r="E399" s="21">
        <v>583</v>
      </c>
      <c r="F399" s="21" t="s">
        <v>875</v>
      </c>
      <c r="G399" s="21" t="s">
        <v>91</v>
      </c>
      <c r="H399" s="24" t="s">
        <v>876</v>
      </c>
      <c r="I399" s="21">
        <v>34</v>
      </c>
      <c r="J399" s="21" t="s">
        <v>89</v>
      </c>
      <c r="K399" s="21">
        <v>43515523</v>
      </c>
      <c r="L399" s="21" t="str">
        <f>RIGHT(КХЛ!$H399,4)</f>
        <v>1983</v>
      </c>
    </row>
    <row r="400" spans="5:12" ht="15.75" customHeight="1" x14ac:dyDescent="0.2">
      <c r="E400" s="21">
        <v>1741</v>
      </c>
      <c r="F400" s="21" t="s">
        <v>877</v>
      </c>
      <c r="G400" s="21" t="s">
        <v>91</v>
      </c>
      <c r="H400" s="24" t="s">
        <v>878</v>
      </c>
      <c r="I400" s="21">
        <v>30</v>
      </c>
      <c r="J400" s="21" t="s">
        <v>85</v>
      </c>
      <c r="K400" s="21">
        <v>98355964</v>
      </c>
      <c r="L400" s="21" t="str">
        <f>RIGHT(КХЛ!$H400,4)</f>
        <v>1987</v>
      </c>
    </row>
    <row r="401" spans="5:12" ht="15.75" customHeight="1" x14ac:dyDescent="0.2">
      <c r="E401" s="21">
        <v>342</v>
      </c>
      <c r="F401" s="21" t="s">
        <v>879</v>
      </c>
      <c r="G401" s="21" t="s">
        <v>87</v>
      </c>
      <c r="H401" s="24" t="s">
        <v>880</v>
      </c>
      <c r="I401" s="21">
        <v>40</v>
      </c>
      <c r="J401" s="21" t="s">
        <v>106</v>
      </c>
      <c r="K401" s="21">
        <v>5299339</v>
      </c>
      <c r="L401" s="21" t="str">
        <f>RIGHT(КХЛ!$H401,4)</f>
        <v>1977</v>
      </c>
    </row>
    <row r="402" spans="5:12" ht="15.75" customHeight="1" x14ac:dyDescent="0.2">
      <c r="E402" s="21">
        <v>493</v>
      </c>
      <c r="F402" s="21" t="s">
        <v>881</v>
      </c>
      <c r="G402" s="21" t="s">
        <v>87</v>
      </c>
      <c r="H402" s="24" t="s">
        <v>882</v>
      </c>
      <c r="I402" s="21">
        <v>52</v>
      </c>
      <c r="J402" s="21" t="s">
        <v>222</v>
      </c>
      <c r="K402" s="21">
        <v>97951243</v>
      </c>
      <c r="L402" s="21" t="str">
        <f>RIGHT(КХЛ!$H402,4)</f>
        <v>1965</v>
      </c>
    </row>
    <row r="403" spans="5:12" ht="15.75" customHeight="1" x14ac:dyDescent="0.2">
      <c r="E403" s="21">
        <v>1044</v>
      </c>
      <c r="F403" s="21" t="s">
        <v>883</v>
      </c>
      <c r="G403" s="21" t="s">
        <v>91</v>
      </c>
      <c r="H403" s="24" t="s">
        <v>884</v>
      </c>
      <c r="I403" s="21">
        <v>30</v>
      </c>
      <c r="J403" s="21" t="s">
        <v>885</v>
      </c>
      <c r="K403" s="21">
        <v>58488279</v>
      </c>
      <c r="L403" s="21" t="str">
        <f>RIGHT(КХЛ!$H403,4)</f>
        <v>1987</v>
      </c>
    </row>
    <row r="404" spans="5:12" ht="15.75" customHeight="1" x14ac:dyDescent="0.2">
      <c r="E404" s="21">
        <v>124</v>
      </c>
      <c r="F404" s="21" t="s">
        <v>886</v>
      </c>
      <c r="G404" s="21" t="s">
        <v>87</v>
      </c>
      <c r="H404" s="24" t="s">
        <v>887</v>
      </c>
      <c r="I404" s="21">
        <v>17</v>
      </c>
      <c r="J404" s="21" t="s">
        <v>89</v>
      </c>
      <c r="K404" s="21">
        <v>74023484</v>
      </c>
      <c r="L404" s="21" t="str">
        <f>RIGHT(КХЛ!$H404,4)</f>
        <v>2000</v>
      </c>
    </row>
    <row r="405" spans="5:12" ht="15.75" customHeight="1" x14ac:dyDescent="0.2">
      <c r="E405" s="21">
        <v>725</v>
      </c>
      <c r="F405" s="21" t="s">
        <v>888</v>
      </c>
      <c r="G405" s="21" t="s">
        <v>83</v>
      </c>
      <c r="H405" s="24" t="s">
        <v>889</v>
      </c>
      <c r="I405" s="21">
        <v>34</v>
      </c>
      <c r="J405" s="21" t="s">
        <v>93</v>
      </c>
      <c r="K405" s="21">
        <v>79523892</v>
      </c>
      <c r="L405" s="21" t="str">
        <f>RIGHT(КХЛ!$H405,4)</f>
        <v>1983</v>
      </c>
    </row>
    <row r="406" spans="5:12" ht="15.75" customHeight="1" x14ac:dyDescent="0.2">
      <c r="E406" s="21">
        <v>1001</v>
      </c>
      <c r="F406" s="21" t="s">
        <v>610</v>
      </c>
      <c r="G406" s="21" t="s">
        <v>91</v>
      </c>
      <c r="H406" s="24" t="s">
        <v>611</v>
      </c>
      <c r="I406" s="21">
        <v>24</v>
      </c>
      <c r="J406" s="21" t="s">
        <v>89</v>
      </c>
      <c r="K406" s="21">
        <v>97738836</v>
      </c>
      <c r="L406" s="21" t="str">
        <f>RIGHT(КХЛ!$H406,4)</f>
        <v>1993</v>
      </c>
    </row>
    <row r="407" spans="5:12" ht="15.75" customHeight="1" x14ac:dyDescent="0.2">
      <c r="E407" s="21">
        <v>1527</v>
      </c>
      <c r="F407" s="21" t="s">
        <v>890</v>
      </c>
      <c r="G407" s="21" t="s">
        <v>91</v>
      </c>
      <c r="H407" s="24" t="s">
        <v>891</v>
      </c>
      <c r="I407" s="21">
        <v>30</v>
      </c>
      <c r="J407" s="21" t="s">
        <v>93</v>
      </c>
      <c r="K407" s="21">
        <v>6480851</v>
      </c>
      <c r="L407" s="21" t="str">
        <f>RIGHT(КХЛ!$H407,4)</f>
        <v>1987</v>
      </c>
    </row>
    <row r="408" spans="5:12" ht="15.75" customHeight="1" x14ac:dyDescent="0.2">
      <c r="E408" s="21">
        <v>688</v>
      </c>
      <c r="F408" s="21" t="s">
        <v>892</v>
      </c>
      <c r="G408" s="21" t="s">
        <v>87</v>
      </c>
      <c r="H408" s="24" t="s">
        <v>504</v>
      </c>
      <c r="I408" s="21">
        <v>27</v>
      </c>
      <c r="J408" s="21" t="s">
        <v>222</v>
      </c>
      <c r="K408" s="21">
        <v>46059983</v>
      </c>
      <c r="L408" s="21" t="str">
        <f>RIGHT(КХЛ!$H408,4)</f>
        <v>1990</v>
      </c>
    </row>
    <row r="409" spans="5:12" ht="15.75" customHeight="1" x14ac:dyDescent="0.2">
      <c r="E409" s="21">
        <v>1666</v>
      </c>
      <c r="F409" s="21" t="s">
        <v>893</v>
      </c>
      <c r="G409" s="21" t="s">
        <v>91</v>
      </c>
      <c r="H409" s="24" t="s">
        <v>894</v>
      </c>
      <c r="I409" s="21">
        <v>28</v>
      </c>
      <c r="J409" s="21" t="s">
        <v>89</v>
      </c>
      <c r="K409" s="21">
        <v>74126558</v>
      </c>
      <c r="L409" s="21" t="str">
        <f>RIGHT(КХЛ!$H409,4)</f>
        <v>1990</v>
      </c>
    </row>
    <row r="410" spans="5:12" ht="15.75" customHeight="1" x14ac:dyDescent="0.2">
      <c r="E410" s="21">
        <v>585</v>
      </c>
      <c r="F410" s="21" t="s">
        <v>895</v>
      </c>
      <c r="G410" s="21" t="s">
        <v>87</v>
      </c>
      <c r="H410" s="24" t="s">
        <v>896</v>
      </c>
      <c r="I410" s="21">
        <v>23</v>
      </c>
      <c r="J410" s="21" t="s">
        <v>89</v>
      </c>
      <c r="K410" s="21">
        <v>94030042</v>
      </c>
      <c r="L410" s="21" t="str">
        <f>RIGHT(КХЛ!$H410,4)</f>
        <v>1995</v>
      </c>
    </row>
    <row r="411" spans="5:12" ht="15.75" customHeight="1" x14ac:dyDescent="0.2">
      <c r="E411" s="21">
        <v>1729</v>
      </c>
      <c r="F411" s="21" t="s">
        <v>897</v>
      </c>
      <c r="G411" s="21" t="s">
        <v>87</v>
      </c>
      <c r="H411" s="24" t="s">
        <v>898</v>
      </c>
      <c r="I411" s="21">
        <v>22</v>
      </c>
      <c r="J411" s="21" t="s">
        <v>89</v>
      </c>
      <c r="K411" s="21">
        <v>28313649</v>
      </c>
      <c r="L411" s="21" t="str">
        <f>RIGHT(КХЛ!$H411,4)</f>
        <v>1995</v>
      </c>
    </row>
    <row r="412" spans="5:12" ht="15.75" customHeight="1" x14ac:dyDescent="0.2">
      <c r="E412" s="21">
        <v>127</v>
      </c>
      <c r="F412" s="21" t="s">
        <v>899</v>
      </c>
      <c r="G412" s="21" t="s">
        <v>83</v>
      </c>
      <c r="H412" s="24" t="s">
        <v>900</v>
      </c>
      <c r="I412" s="21">
        <v>42</v>
      </c>
      <c r="J412" s="21" t="s">
        <v>106</v>
      </c>
      <c r="K412" s="21">
        <v>13343709</v>
      </c>
      <c r="L412" s="21" t="str">
        <f>RIGHT(КХЛ!$H412,4)</f>
        <v>1975</v>
      </c>
    </row>
    <row r="413" spans="5:12" ht="15.75" customHeight="1" x14ac:dyDescent="0.2">
      <c r="E413" s="21">
        <v>123</v>
      </c>
      <c r="F413" s="21" t="s">
        <v>901</v>
      </c>
      <c r="G413" s="21" t="s">
        <v>91</v>
      </c>
      <c r="H413" s="24" t="s">
        <v>902</v>
      </c>
      <c r="I413" s="21">
        <v>31</v>
      </c>
      <c r="J413" s="21" t="s">
        <v>222</v>
      </c>
      <c r="K413" s="21">
        <v>61643490</v>
      </c>
      <c r="L413" s="21" t="str">
        <f>RIGHT(КХЛ!$H413,4)</f>
        <v>1986</v>
      </c>
    </row>
    <row r="414" spans="5:12" ht="15.75" customHeight="1" x14ac:dyDescent="0.2">
      <c r="E414" s="21">
        <v>1369</v>
      </c>
      <c r="F414" s="21" t="s">
        <v>903</v>
      </c>
      <c r="G414" s="21" t="s">
        <v>83</v>
      </c>
      <c r="H414" s="24" t="s">
        <v>904</v>
      </c>
      <c r="I414" s="21">
        <v>33</v>
      </c>
      <c r="J414" s="21" t="s">
        <v>89</v>
      </c>
      <c r="K414" s="21">
        <v>42566110</v>
      </c>
      <c r="L414" s="21" t="str">
        <f>RIGHT(КХЛ!$H414,4)</f>
        <v>1984</v>
      </c>
    </row>
    <row r="415" spans="5:12" ht="15.75" customHeight="1" x14ac:dyDescent="0.2">
      <c r="E415" s="21">
        <v>341</v>
      </c>
      <c r="F415" s="21" t="s">
        <v>905</v>
      </c>
      <c r="G415" s="21" t="s">
        <v>87</v>
      </c>
      <c r="H415" s="24" t="s">
        <v>551</v>
      </c>
      <c r="I415" s="21">
        <v>26</v>
      </c>
      <c r="J415" s="21" t="s">
        <v>89</v>
      </c>
      <c r="K415" s="21">
        <v>83143084</v>
      </c>
      <c r="L415" s="21" t="str">
        <f>RIGHT(КХЛ!$H415,4)</f>
        <v>1991</v>
      </c>
    </row>
    <row r="416" spans="5:12" ht="15.75" customHeight="1" x14ac:dyDescent="0.2">
      <c r="E416" s="21">
        <v>477</v>
      </c>
      <c r="F416" s="21" t="s">
        <v>906</v>
      </c>
      <c r="G416" s="21" t="s">
        <v>91</v>
      </c>
      <c r="H416" s="24" t="s">
        <v>907</v>
      </c>
      <c r="I416" s="21">
        <v>42</v>
      </c>
      <c r="J416" s="21" t="s">
        <v>89</v>
      </c>
      <c r="K416" s="21">
        <v>76964222</v>
      </c>
      <c r="L416" s="21" t="str">
        <f>RIGHT(КХЛ!$H416,4)</f>
        <v>1975</v>
      </c>
    </row>
    <row r="417" spans="5:12" ht="15.75" customHeight="1" x14ac:dyDescent="0.2">
      <c r="E417" s="21">
        <v>162</v>
      </c>
      <c r="F417" s="21" t="s">
        <v>908</v>
      </c>
      <c r="G417" s="21" t="s">
        <v>91</v>
      </c>
      <c r="H417" s="24" t="s">
        <v>909</v>
      </c>
      <c r="I417" s="21">
        <v>37</v>
      </c>
      <c r="J417" s="21" t="s">
        <v>152</v>
      </c>
      <c r="K417" s="21">
        <v>94058865</v>
      </c>
      <c r="L417" s="21" t="str">
        <f>RIGHT(КХЛ!$H417,4)</f>
        <v>1980</v>
      </c>
    </row>
    <row r="418" spans="5:12" ht="15.75" customHeight="1" x14ac:dyDescent="0.2">
      <c r="E418" s="21">
        <v>1779</v>
      </c>
      <c r="F418" s="21" t="s">
        <v>910</v>
      </c>
      <c r="G418" s="21" t="s">
        <v>83</v>
      </c>
      <c r="H418" s="24" t="s">
        <v>911</v>
      </c>
      <c r="I418" s="21">
        <v>28</v>
      </c>
      <c r="J418" s="21" t="s">
        <v>106</v>
      </c>
      <c r="K418" s="21">
        <v>90809187</v>
      </c>
      <c r="L418" s="21" t="str">
        <f>RIGHT(КХЛ!$H418,4)</f>
        <v>1989</v>
      </c>
    </row>
    <row r="419" spans="5:12" ht="15.75" customHeight="1" x14ac:dyDescent="0.2">
      <c r="E419" s="21">
        <v>606</v>
      </c>
      <c r="F419" s="21" t="s">
        <v>912</v>
      </c>
      <c r="G419" s="21" t="s">
        <v>87</v>
      </c>
      <c r="H419" s="24" t="s">
        <v>314</v>
      </c>
      <c r="I419" s="21">
        <v>29</v>
      </c>
      <c r="J419" s="21" t="s">
        <v>93</v>
      </c>
      <c r="K419" s="21">
        <v>81604984</v>
      </c>
      <c r="L419" s="21" t="str">
        <f>RIGHT(КХЛ!$H419,4)</f>
        <v>1988</v>
      </c>
    </row>
    <row r="420" spans="5:12" ht="15.75" customHeight="1" x14ac:dyDescent="0.2">
      <c r="E420" s="21">
        <v>953</v>
      </c>
      <c r="F420" s="21" t="s">
        <v>913</v>
      </c>
      <c r="G420" s="21" t="s">
        <v>83</v>
      </c>
      <c r="H420" s="24" t="s">
        <v>914</v>
      </c>
      <c r="I420" s="21">
        <v>22</v>
      </c>
      <c r="J420" s="21" t="s">
        <v>89</v>
      </c>
      <c r="K420" s="21">
        <v>38333426</v>
      </c>
      <c r="L420" s="21" t="str">
        <f>RIGHT(КХЛ!$H420,4)</f>
        <v>1995</v>
      </c>
    </row>
    <row r="421" spans="5:12" ht="15.75" customHeight="1" x14ac:dyDescent="0.2">
      <c r="E421" s="21">
        <v>1162</v>
      </c>
      <c r="F421" s="21" t="s">
        <v>915</v>
      </c>
      <c r="G421" s="21" t="s">
        <v>91</v>
      </c>
      <c r="H421" s="24" t="s">
        <v>916</v>
      </c>
      <c r="I421" s="21">
        <v>32</v>
      </c>
      <c r="J421" s="21" t="s">
        <v>89</v>
      </c>
      <c r="K421" s="21">
        <v>79076889</v>
      </c>
      <c r="L421" s="21" t="str">
        <f>RIGHT(КХЛ!$H421,4)</f>
        <v>1985</v>
      </c>
    </row>
    <row r="422" spans="5:12" ht="15.75" customHeight="1" x14ac:dyDescent="0.2">
      <c r="E422" s="21">
        <v>1372</v>
      </c>
      <c r="F422" s="21" t="s">
        <v>917</v>
      </c>
      <c r="G422" s="21" t="s">
        <v>83</v>
      </c>
      <c r="H422" s="24" t="s">
        <v>918</v>
      </c>
      <c r="I422" s="21">
        <v>27</v>
      </c>
      <c r="J422" s="21" t="s">
        <v>152</v>
      </c>
      <c r="K422" s="21">
        <v>91214222</v>
      </c>
      <c r="L422" s="21" t="str">
        <f>RIGHT(КХЛ!$H422,4)</f>
        <v>1990</v>
      </c>
    </row>
    <row r="423" spans="5:12" ht="15.75" customHeight="1" x14ac:dyDescent="0.2">
      <c r="E423" s="21">
        <v>1612</v>
      </c>
      <c r="F423" s="21" t="s">
        <v>919</v>
      </c>
      <c r="G423" s="21" t="s">
        <v>87</v>
      </c>
      <c r="H423" s="24" t="s">
        <v>920</v>
      </c>
      <c r="I423" s="21">
        <v>45</v>
      </c>
      <c r="J423" s="21" t="s">
        <v>89</v>
      </c>
      <c r="K423" s="21">
        <v>47252294</v>
      </c>
      <c r="L423" s="21" t="str">
        <f>RIGHT(КХЛ!$H423,4)</f>
        <v>1972</v>
      </c>
    </row>
    <row r="424" spans="5:12" ht="15.75" customHeight="1" x14ac:dyDescent="0.2">
      <c r="E424" s="21">
        <v>1004</v>
      </c>
      <c r="F424" s="21" t="s">
        <v>827</v>
      </c>
      <c r="G424" s="21" t="s">
        <v>91</v>
      </c>
      <c r="H424" s="24" t="s">
        <v>828</v>
      </c>
      <c r="I424" s="21">
        <v>20</v>
      </c>
      <c r="J424" s="21" t="s">
        <v>89</v>
      </c>
      <c r="K424" s="21">
        <v>883369</v>
      </c>
      <c r="L424" s="21" t="str">
        <f>RIGHT(КХЛ!$H424,4)</f>
        <v>1998</v>
      </c>
    </row>
    <row r="425" spans="5:12" ht="15.75" customHeight="1" x14ac:dyDescent="0.2">
      <c r="E425" s="21">
        <v>805</v>
      </c>
      <c r="F425" s="21" t="s">
        <v>921</v>
      </c>
      <c r="G425" s="21" t="s">
        <v>83</v>
      </c>
      <c r="H425" s="24" t="s">
        <v>922</v>
      </c>
      <c r="I425" s="21">
        <v>26</v>
      </c>
      <c r="J425" s="21" t="s">
        <v>89</v>
      </c>
      <c r="K425" s="21">
        <v>99901340</v>
      </c>
      <c r="L425" s="21" t="str">
        <f>RIGHT(КХЛ!$H425,4)</f>
        <v>1991</v>
      </c>
    </row>
    <row r="426" spans="5:12" ht="15.75" customHeight="1" x14ac:dyDescent="0.2">
      <c r="E426" s="21">
        <v>957</v>
      </c>
      <c r="F426" s="21" t="s">
        <v>923</v>
      </c>
      <c r="G426" s="21" t="s">
        <v>83</v>
      </c>
      <c r="H426" s="24" t="s">
        <v>924</v>
      </c>
      <c r="I426" s="21">
        <v>22</v>
      </c>
      <c r="J426" s="21" t="s">
        <v>89</v>
      </c>
      <c r="K426" s="21">
        <v>81680016</v>
      </c>
      <c r="L426" s="21" t="str">
        <f>RIGHT(КХЛ!$H426,4)</f>
        <v>1996</v>
      </c>
    </row>
    <row r="427" spans="5:12" ht="15.75" customHeight="1" x14ac:dyDescent="0.2">
      <c r="E427" s="21">
        <v>841</v>
      </c>
      <c r="F427" s="21" t="s">
        <v>925</v>
      </c>
      <c r="G427" s="21" t="s">
        <v>91</v>
      </c>
      <c r="H427" s="24" t="s">
        <v>926</v>
      </c>
      <c r="I427" s="21">
        <v>42</v>
      </c>
      <c r="J427" s="21" t="s">
        <v>93</v>
      </c>
      <c r="K427" s="21">
        <v>72515569</v>
      </c>
      <c r="L427" s="21" t="str">
        <f>RIGHT(КХЛ!$H427,4)</f>
        <v>1976</v>
      </c>
    </row>
    <row r="428" spans="5:12" ht="15.75" customHeight="1" x14ac:dyDescent="0.2">
      <c r="E428" s="21">
        <v>15</v>
      </c>
      <c r="F428" s="21" t="s">
        <v>927</v>
      </c>
      <c r="G428" s="21" t="s">
        <v>91</v>
      </c>
      <c r="H428" s="24" t="s">
        <v>928</v>
      </c>
      <c r="I428" s="21">
        <v>41</v>
      </c>
      <c r="J428" s="21" t="s">
        <v>106</v>
      </c>
      <c r="K428" s="21">
        <v>12092353</v>
      </c>
      <c r="L428" s="21" t="str">
        <f>RIGHT(КХЛ!$H428,4)</f>
        <v>1976</v>
      </c>
    </row>
    <row r="429" spans="5:12" ht="15.75" customHeight="1" x14ac:dyDescent="0.2">
      <c r="E429" s="21">
        <v>455</v>
      </c>
      <c r="F429" s="21" t="s">
        <v>929</v>
      </c>
      <c r="G429" s="21" t="s">
        <v>91</v>
      </c>
      <c r="H429" s="24" t="s">
        <v>930</v>
      </c>
      <c r="I429" s="21">
        <v>32</v>
      </c>
      <c r="J429" s="21" t="s">
        <v>89</v>
      </c>
      <c r="K429" s="21">
        <v>74598492</v>
      </c>
      <c r="L429" s="21" t="str">
        <f>RIGHT(КХЛ!$H429,4)</f>
        <v>1985</v>
      </c>
    </row>
    <row r="430" spans="5:12" ht="15.75" customHeight="1" x14ac:dyDescent="0.2">
      <c r="E430" s="21">
        <v>960</v>
      </c>
      <c r="F430" s="21" t="s">
        <v>931</v>
      </c>
      <c r="G430" s="21" t="s">
        <v>83</v>
      </c>
      <c r="H430" s="24" t="s">
        <v>932</v>
      </c>
      <c r="I430" s="21">
        <v>26</v>
      </c>
      <c r="J430" s="21" t="s">
        <v>89</v>
      </c>
      <c r="K430" s="21">
        <v>9277699</v>
      </c>
      <c r="L430" s="21" t="str">
        <f>RIGHT(КХЛ!$H430,4)</f>
        <v>1991</v>
      </c>
    </row>
    <row r="431" spans="5:12" ht="15.75" customHeight="1" x14ac:dyDescent="0.2">
      <c r="E431" s="21">
        <v>1209</v>
      </c>
      <c r="F431" s="21" t="s">
        <v>933</v>
      </c>
      <c r="G431" s="21" t="s">
        <v>91</v>
      </c>
      <c r="H431" s="24" t="s">
        <v>934</v>
      </c>
      <c r="I431" s="21">
        <v>33</v>
      </c>
      <c r="J431" s="21" t="s">
        <v>89</v>
      </c>
      <c r="K431" s="21">
        <v>90579081</v>
      </c>
      <c r="L431" s="21" t="str">
        <f>RIGHT(КХЛ!$H431,4)</f>
        <v>1984</v>
      </c>
    </row>
    <row r="432" spans="5:12" ht="15.75" customHeight="1" x14ac:dyDescent="0.2">
      <c r="E432" s="21">
        <v>140</v>
      </c>
      <c r="F432" s="21" t="s">
        <v>935</v>
      </c>
      <c r="G432" s="21" t="s">
        <v>87</v>
      </c>
      <c r="H432" s="24" t="s">
        <v>936</v>
      </c>
      <c r="I432" s="21">
        <v>24</v>
      </c>
      <c r="J432" s="21" t="s">
        <v>89</v>
      </c>
      <c r="K432" s="21">
        <v>99525100</v>
      </c>
      <c r="L432" s="21" t="str">
        <f>RIGHT(КХЛ!$H432,4)</f>
        <v>1993</v>
      </c>
    </row>
    <row r="433" spans="5:12" ht="15.75" customHeight="1" x14ac:dyDescent="0.2">
      <c r="E433" s="21">
        <v>1634</v>
      </c>
      <c r="F433" s="21" t="s">
        <v>937</v>
      </c>
      <c r="G433" s="21" t="s">
        <v>87</v>
      </c>
      <c r="H433" s="24" t="s">
        <v>938</v>
      </c>
      <c r="I433" s="21">
        <v>20</v>
      </c>
      <c r="J433" s="21" t="s">
        <v>89</v>
      </c>
      <c r="K433" s="21">
        <v>94713714</v>
      </c>
      <c r="L433" s="21" t="str">
        <f>RIGHT(КХЛ!$H433,4)</f>
        <v>1997</v>
      </c>
    </row>
    <row r="434" spans="5:12" ht="15.75" customHeight="1" x14ac:dyDescent="0.2">
      <c r="E434" s="21">
        <v>1366</v>
      </c>
      <c r="F434" s="21" t="s">
        <v>939</v>
      </c>
      <c r="G434" s="21" t="s">
        <v>91</v>
      </c>
      <c r="H434" s="24" t="s">
        <v>940</v>
      </c>
      <c r="I434" s="21">
        <v>27</v>
      </c>
      <c r="J434" s="21" t="s">
        <v>89</v>
      </c>
      <c r="K434" s="21">
        <v>3635569</v>
      </c>
      <c r="L434" s="21" t="str">
        <f>RIGHT(КХЛ!$H434,4)</f>
        <v>1990</v>
      </c>
    </row>
    <row r="435" spans="5:12" ht="15.75" customHeight="1" x14ac:dyDescent="0.2">
      <c r="E435" s="21">
        <v>424</v>
      </c>
      <c r="F435" s="21" t="s">
        <v>941</v>
      </c>
      <c r="G435" s="21" t="s">
        <v>91</v>
      </c>
      <c r="H435" s="24" t="s">
        <v>942</v>
      </c>
      <c r="I435" s="21">
        <v>29</v>
      </c>
      <c r="J435" s="21" t="s">
        <v>89</v>
      </c>
      <c r="K435" s="21">
        <v>83559483</v>
      </c>
      <c r="L435" s="21" t="str">
        <f>RIGHT(КХЛ!$H435,4)</f>
        <v>1988</v>
      </c>
    </row>
    <row r="436" spans="5:12" ht="15.75" customHeight="1" x14ac:dyDescent="0.2">
      <c r="E436" s="21">
        <v>889</v>
      </c>
      <c r="F436" s="21" t="s">
        <v>943</v>
      </c>
      <c r="G436" s="21" t="s">
        <v>91</v>
      </c>
      <c r="H436" s="24" t="s">
        <v>944</v>
      </c>
      <c r="I436" s="21">
        <v>24</v>
      </c>
      <c r="J436" s="21" t="s">
        <v>89</v>
      </c>
      <c r="K436" s="21">
        <v>92329879</v>
      </c>
      <c r="L436" s="21" t="str">
        <f>RIGHT(КХЛ!$H436,4)</f>
        <v>1994</v>
      </c>
    </row>
    <row r="437" spans="5:12" ht="15.75" customHeight="1" x14ac:dyDescent="0.2">
      <c r="E437" s="21">
        <v>291</v>
      </c>
      <c r="F437" s="21" t="s">
        <v>945</v>
      </c>
      <c r="G437" s="21" t="s">
        <v>91</v>
      </c>
      <c r="H437" s="24" t="s">
        <v>946</v>
      </c>
      <c r="I437" s="21">
        <v>45</v>
      </c>
      <c r="J437" s="21" t="s">
        <v>89</v>
      </c>
      <c r="K437" s="21">
        <v>33413783</v>
      </c>
      <c r="L437" s="21" t="str">
        <f>RIGHT(КХЛ!$H437,4)</f>
        <v>1972</v>
      </c>
    </row>
    <row r="438" spans="5:12" ht="15.75" customHeight="1" x14ac:dyDescent="0.2">
      <c r="E438" s="21">
        <v>1044</v>
      </c>
      <c r="F438" s="21" t="s">
        <v>947</v>
      </c>
      <c r="G438" s="21" t="s">
        <v>83</v>
      </c>
      <c r="H438" s="24" t="s">
        <v>123</v>
      </c>
      <c r="I438" s="21">
        <v>37</v>
      </c>
      <c r="J438" s="21" t="s">
        <v>222</v>
      </c>
      <c r="K438" s="21">
        <v>77871434</v>
      </c>
      <c r="L438" s="21" t="str">
        <f>RIGHT(КХЛ!$H438,4)</f>
        <v>1980</v>
      </c>
    </row>
    <row r="439" spans="5:12" ht="15.75" customHeight="1" x14ac:dyDescent="0.2">
      <c r="E439" s="21">
        <v>842</v>
      </c>
      <c r="F439" s="21" t="s">
        <v>948</v>
      </c>
      <c r="G439" s="21" t="s">
        <v>83</v>
      </c>
      <c r="H439" s="24" t="s">
        <v>949</v>
      </c>
      <c r="I439" s="21">
        <v>22</v>
      </c>
      <c r="J439" s="21" t="s">
        <v>89</v>
      </c>
      <c r="K439" s="21">
        <v>65597501</v>
      </c>
      <c r="L439" s="21" t="str">
        <f>RIGHT(КХЛ!$H439,4)</f>
        <v>1995</v>
      </c>
    </row>
    <row r="440" spans="5:12" ht="15.75" customHeight="1" x14ac:dyDescent="0.2">
      <c r="E440" s="21">
        <v>338</v>
      </c>
      <c r="F440" s="21" t="s">
        <v>950</v>
      </c>
      <c r="G440" s="21" t="s">
        <v>91</v>
      </c>
      <c r="H440" s="24" t="s">
        <v>420</v>
      </c>
      <c r="I440" s="21">
        <v>24</v>
      </c>
      <c r="J440" s="21" t="s">
        <v>89</v>
      </c>
      <c r="K440" s="21">
        <v>16994125</v>
      </c>
      <c r="L440" s="21" t="str">
        <f>RIGHT(КХЛ!$H440,4)</f>
        <v>1994</v>
      </c>
    </row>
    <row r="441" spans="5:12" ht="15.75" customHeight="1" x14ac:dyDescent="0.2">
      <c r="E441" s="21">
        <v>198</v>
      </c>
      <c r="F441" s="21" t="s">
        <v>951</v>
      </c>
      <c r="G441" s="21" t="s">
        <v>91</v>
      </c>
      <c r="H441" s="24" t="s">
        <v>952</v>
      </c>
      <c r="I441" s="21">
        <v>30</v>
      </c>
      <c r="J441" s="21" t="s">
        <v>132</v>
      </c>
      <c r="K441" s="21">
        <v>29857040</v>
      </c>
      <c r="L441" s="21" t="str">
        <f>RIGHT(КХЛ!$H441,4)</f>
        <v>1987</v>
      </c>
    </row>
    <row r="442" spans="5:12" ht="15.75" customHeight="1" x14ac:dyDescent="0.2">
      <c r="E442" s="21">
        <v>76</v>
      </c>
      <c r="F442" s="21" t="s">
        <v>953</v>
      </c>
      <c r="G442" s="21" t="s">
        <v>91</v>
      </c>
      <c r="H442" s="24" t="s">
        <v>954</v>
      </c>
      <c r="I442" s="21">
        <v>25</v>
      </c>
      <c r="J442" s="21" t="s">
        <v>89</v>
      </c>
      <c r="K442" s="21">
        <v>40706657</v>
      </c>
      <c r="L442" s="21" t="str">
        <f>RIGHT(КХЛ!$H442,4)</f>
        <v>1992</v>
      </c>
    </row>
    <row r="443" spans="5:12" ht="15.75" customHeight="1" x14ac:dyDescent="0.2">
      <c r="E443" s="21">
        <v>1026</v>
      </c>
      <c r="F443" s="21" t="s">
        <v>955</v>
      </c>
      <c r="G443" s="21" t="s">
        <v>91</v>
      </c>
      <c r="H443" s="24" t="s">
        <v>956</v>
      </c>
      <c r="I443" s="21">
        <v>35</v>
      </c>
      <c r="J443" s="21" t="s">
        <v>152</v>
      </c>
      <c r="K443" s="21">
        <v>63219464</v>
      </c>
      <c r="L443" s="21" t="str">
        <f>RIGHT(КХЛ!$H443,4)</f>
        <v>1982</v>
      </c>
    </row>
    <row r="444" spans="5:12" ht="15.75" customHeight="1" x14ac:dyDescent="0.2">
      <c r="E444" s="21">
        <v>373</v>
      </c>
      <c r="F444" s="21" t="s">
        <v>957</v>
      </c>
      <c r="G444" s="21" t="s">
        <v>91</v>
      </c>
      <c r="H444" s="24" t="s">
        <v>958</v>
      </c>
      <c r="I444" s="21">
        <v>39</v>
      </c>
      <c r="J444" s="21" t="s">
        <v>93</v>
      </c>
      <c r="K444" s="21">
        <v>46720265</v>
      </c>
      <c r="L444" s="21" t="str">
        <f>RIGHT(КХЛ!$H444,4)</f>
        <v>1978</v>
      </c>
    </row>
    <row r="445" spans="5:12" ht="15.75" customHeight="1" x14ac:dyDescent="0.2">
      <c r="E445" s="21">
        <v>217</v>
      </c>
      <c r="F445" s="21" t="s">
        <v>959</v>
      </c>
      <c r="G445" s="21" t="s">
        <v>91</v>
      </c>
      <c r="H445" s="24" t="s">
        <v>932</v>
      </c>
      <c r="I445" s="21">
        <v>26</v>
      </c>
      <c r="J445" s="21" t="s">
        <v>282</v>
      </c>
      <c r="K445" s="21">
        <v>58306119</v>
      </c>
      <c r="L445" s="21" t="str">
        <f>RIGHT(КХЛ!$H445,4)</f>
        <v>1991</v>
      </c>
    </row>
    <row r="446" spans="5:12" ht="15.75" customHeight="1" x14ac:dyDescent="0.2">
      <c r="E446" s="21">
        <v>265</v>
      </c>
      <c r="F446" s="21" t="s">
        <v>960</v>
      </c>
      <c r="G446" s="21" t="s">
        <v>91</v>
      </c>
      <c r="H446" s="24" t="s">
        <v>961</v>
      </c>
      <c r="I446" s="21">
        <v>24</v>
      </c>
      <c r="J446" s="21" t="s">
        <v>241</v>
      </c>
      <c r="K446" s="21">
        <v>56283731</v>
      </c>
      <c r="L446" s="21" t="str">
        <f>RIGHT(КХЛ!$H446,4)</f>
        <v>1993</v>
      </c>
    </row>
    <row r="447" spans="5:12" ht="15.75" customHeight="1" x14ac:dyDescent="0.2">
      <c r="E447" s="21">
        <v>1383</v>
      </c>
      <c r="F447" s="21" t="s">
        <v>962</v>
      </c>
      <c r="G447" s="21" t="s">
        <v>91</v>
      </c>
      <c r="H447" s="24" t="s">
        <v>963</v>
      </c>
      <c r="I447" s="21">
        <v>37</v>
      </c>
      <c r="J447" s="21" t="s">
        <v>106</v>
      </c>
      <c r="K447" s="21">
        <v>77622051</v>
      </c>
      <c r="L447" s="21" t="str">
        <f>RIGHT(КХЛ!$H447,4)</f>
        <v>1981</v>
      </c>
    </row>
    <row r="448" spans="5:12" ht="15.75" customHeight="1" x14ac:dyDescent="0.2">
      <c r="E448" s="21">
        <v>993</v>
      </c>
      <c r="F448" s="21" t="s">
        <v>964</v>
      </c>
      <c r="G448" s="21" t="s">
        <v>83</v>
      </c>
      <c r="H448" s="24" t="s">
        <v>965</v>
      </c>
      <c r="I448" s="21">
        <v>20</v>
      </c>
      <c r="J448" s="21" t="s">
        <v>89</v>
      </c>
      <c r="K448" s="21">
        <v>31769327</v>
      </c>
      <c r="L448" s="21" t="str">
        <f>RIGHT(КХЛ!$H448,4)</f>
        <v>1997</v>
      </c>
    </row>
    <row r="449" spans="5:12" ht="15.75" customHeight="1" x14ac:dyDescent="0.2">
      <c r="E449" s="21">
        <v>1499</v>
      </c>
      <c r="F449" s="21" t="s">
        <v>966</v>
      </c>
      <c r="G449" s="21" t="s">
        <v>91</v>
      </c>
      <c r="H449" s="24" t="s">
        <v>967</v>
      </c>
      <c r="I449" s="21">
        <v>30</v>
      </c>
      <c r="J449" s="21" t="s">
        <v>282</v>
      </c>
      <c r="K449" s="21">
        <v>27990101</v>
      </c>
      <c r="L449" s="21" t="str">
        <f>RIGHT(КХЛ!$H449,4)</f>
        <v>1987</v>
      </c>
    </row>
    <row r="450" spans="5:12" ht="15.75" customHeight="1" x14ac:dyDescent="0.2">
      <c r="E450" s="21">
        <v>921</v>
      </c>
      <c r="F450" s="21" t="s">
        <v>968</v>
      </c>
      <c r="G450" s="21" t="s">
        <v>91</v>
      </c>
      <c r="H450" s="24" t="s">
        <v>969</v>
      </c>
      <c r="I450" s="21">
        <v>22</v>
      </c>
      <c r="J450" s="21" t="s">
        <v>89</v>
      </c>
      <c r="K450" s="21">
        <v>8762681</v>
      </c>
      <c r="L450" s="21" t="str">
        <f>RIGHT(КХЛ!$H450,4)</f>
        <v>1995</v>
      </c>
    </row>
    <row r="451" spans="5:12" ht="15.75" customHeight="1" x14ac:dyDescent="0.2">
      <c r="E451" s="21">
        <v>1334</v>
      </c>
      <c r="F451" s="21" t="s">
        <v>970</v>
      </c>
      <c r="G451" s="21" t="s">
        <v>91</v>
      </c>
      <c r="H451" s="24" t="s">
        <v>971</v>
      </c>
      <c r="I451" s="21">
        <v>46</v>
      </c>
      <c r="J451" s="21" t="s">
        <v>89</v>
      </c>
      <c r="K451" s="21">
        <v>14534649</v>
      </c>
      <c r="L451" s="21" t="str">
        <f>RIGHT(КХЛ!$H451,4)</f>
        <v>1971</v>
      </c>
    </row>
    <row r="452" spans="5:12" ht="15.75" customHeight="1" x14ac:dyDescent="0.2">
      <c r="E452" s="21">
        <v>863</v>
      </c>
      <c r="F452" s="21" t="s">
        <v>972</v>
      </c>
      <c r="G452" s="21" t="s">
        <v>87</v>
      </c>
      <c r="H452" s="24" t="s">
        <v>973</v>
      </c>
      <c r="I452" s="21">
        <v>30</v>
      </c>
      <c r="J452" s="21" t="s">
        <v>89</v>
      </c>
      <c r="K452" s="21">
        <v>84275064</v>
      </c>
      <c r="L452" s="21" t="str">
        <f>RIGHT(КХЛ!$H452,4)</f>
        <v>1987</v>
      </c>
    </row>
    <row r="453" spans="5:12" ht="15.75" customHeight="1" x14ac:dyDescent="0.2">
      <c r="E453" s="21">
        <v>540</v>
      </c>
      <c r="F453" s="21" t="s">
        <v>974</v>
      </c>
      <c r="G453" s="21" t="s">
        <v>83</v>
      </c>
      <c r="H453" s="24" t="s">
        <v>975</v>
      </c>
      <c r="I453" s="21">
        <v>22</v>
      </c>
      <c r="J453" s="21" t="s">
        <v>89</v>
      </c>
      <c r="K453" s="21">
        <v>84263838</v>
      </c>
      <c r="L453" s="21" t="str">
        <f>RIGHT(КХЛ!$H453,4)</f>
        <v>1995</v>
      </c>
    </row>
    <row r="454" spans="5:12" ht="15.75" customHeight="1" x14ac:dyDescent="0.2">
      <c r="E454" s="21">
        <v>62</v>
      </c>
      <c r="F454" s="21" t="s">
        <v>976</v>
      </c>
      <c r="G454" s="21" t="s">
        <v>91</v>
      </c>
      <c r="H454" s="24" t="s">
        <v>977</v>
      </c>
      <c r="I454" s="21">
        <v>40</v>
      </c>
      <c r="J454" s="21" t="s">
        <v>85</v>
      </c>
      <c r="K454" s="21">
        <v>44703233</v>
      </c>
      <c r="L454" s="21" t="str">
        <f>RIGHT(КХЛ!$H454,4)</f>
        <v>1977</v>
      </c>
    </row>
    <row r="455" spans="5:12" ht="15.75" customHeight="1" x14ac:dyDescent="0.2">
      <c r="E455" s="21">
        <v>1146</v>
      </c>
      <c r="F455" s="21" t="s">
        <v>978</v>
      </c>
      <c r="G455" s="21" t="s">
        <v>91</v>
      </c>
      <c r="H455" s="24" t="s">
        <v>979</v>
      </c>
      <c r="I455" s="21">
        <v>32</v>
      </c>
      <c r="J455" s="21" t="s">
        <v>89</v>
      </c>
      <c r="K455" s="21">
        <v>92982720</v>
      </c>
      <c r="L455" s="21" t="str">
        <f>RIGHT(КХЛ!$H455,4)</f>
        <v>1985</v>
      </c>
    </row>
    <row r="456" spans="5:12" ht="15.75" customHeight="1" x14ac:dyDescent="0.2">
      <c r="E456" s="21">
        <v>399</v>
      </c>
      <c r="F456" s="21" t="s">
        <v>980</v>
      </c>
      <c r="G456" s="21" t="s">
        <v>91</v>
      </c>
      <c r="H456" s="24" t="s">
        <v>981</v>
      </c>
      <c r="I456" s="21">
        <v>34</v>
      </c>
      <c r="J456" s="21" t="s">
        <v>89</v>
      </c>
      <c r="K456" s="21">
        <v>244509</v>
      </c>
      <c r="L456" s="21" t="str">
        <f>RIGHT(КХЛ!$H456,4)</f>
        <v>1983</v>
      </c>
    </row>
    <row r="457" spans="5:12" ht="15.75" customHeight="1" x14ac:dyDescent="0.2">
      <c r="E457" s="21">
        <v>1442</v>
      </c>
      <c r="F457" s="21" t="s">
        <v>982</v>
      </c>
      <c r="G457" s="21" t="s">
        <v>91</v>
      </c>
      <c r="H457" s="24" t="s">
        <v>983</v>
      </c>
      <c r="I457" s="21">
        <v>27</v>
      </c>
      <c r="J457" s="21" t="s">
        <v>89</v>
      </c>
      <c r="K457" s="21">
        <v>3677316</v>
      </c>
      <c r="L457" s="21" t="str">
        <f>RIGHT(КХЛ!$H457,4)</f>
        <v>1990</v>
      </c>
    </row>
    <row r="458" spans="5:12" ht="15.75" customHeight="1" x14ac:dyDescent="0.2">
      <c r="E458" s="21">
        <v>91</v>
      </c>
      <c r="F458" s="21" t="s">
        <v>984</v>
      </c>
      <c r="G458" s="21" t="s">
        <v>91</v>
      </c>
      <c r="H458" s="24" t="s">
        <v>985</v>
      </c>
      <c r="I458" s="21">
        <v>38</v>
      </c>
      <c r="J458" s="21" t="s">
        <v>152</v>
      </c>
      <c r="K458" s="21">
        <v>90622931</v>
      </c>
      <c r="L458" s="21" t="str">
        <f>RIGHT(КХЛ!$H458,4)</f>
        <v>1979</v>
      </c>
    </row>
    <row r="459" spans="5:12" ht="15.75" customHeight="1" x14ac:dyDescent="0.2">
      <c r="E459" s="21">
        <v>224</v>
      </c>
      <c r="F459" s="21" t="s">
        <v>986</v>
      </c>
      <c r="G459" s="21" t="s">
        <v>83</v>
      </c>
      <c r="H459" s="24" t="s">
        <v>987</v>
      </c>
      <c r="I459" s="21">
        <v>27</v>
      </c>
      <c r="J459" s="21" t="s">
        <v>222</v>
      </c>
      <c r="K459" s="21">
        <v>5495934</v>
      </c>
      <c r="L459" s="21" t="str">
        <f>RIGHT(КХЛ!$H459,4)</f>
        <v>1990</v>
      </c>
    </row>
    <row r="460" spans="5:12" ht="15.75" customHeight="1" x14ac:dyDescent="0.2">
      <c r="E460" s="21">
        <v>1122</v>
      </c>
      <c r="F460" s="21" t="s">
        <v>988</v>
      </c>
      <c r="G460" s="21" t="s">
        <v>91</v>
      </c>
      <c r="H460" s="24" t="s">
        <v>989</v>
      </c>
      <c r="I460" s="21">
        <v>35</v>
      </c>
      <c r="J460" s="21" t="s">
        <v>93</v>
      </c>
      <c r="K460" s="21">
        <v>12834136</v>
      </c>
      <c r="L460" s="21" t="str">
        <f>RIGHT(КХЛ!$H460,4)</f>
        <v>1982</v>
      </c>
    </row>
    <row r="461" spans="5:12" ht="15.75" customHeight="1" x14ac:dyDescent="0.2">
      <c r="E461" s="21">
        <v>273</v>
      </c>
      <c r="F461" s="21" t="s">
        <v>990</v>
      </c>
      <c r="G461" s="21" t="s">
        <v>91</v>
      </c>
      <c r="H461" s="24" t="s">
        <v>991</v>
      </c>
      <c r="I461" s="21">
        <v>28</v>
      </c>
      <c r="J461" s="21" t="s">
        <v>89</v>
      </c>
      <c r="K461" s="21">
        <v>97766690</v>
      </c>
      <c r="L461" s="21" t="str">
        <f>RIGHT(КХЛ!$H461,4)</f>
        <v>1989</v>
      </c>
    </row>
    <row r="462" spans="5:12" ht="15.75" customHeight="1" x14ac:dyDescent="0.2">
      <c r="E462" s="21">
        <v>1618</v>
      </c>
      <c r="F462" s="21" t="s">
        <v>992</v>
      </c>
      <c r="G462" s="21" t="s">
        <v>91</v>
      </c>
      <c r="H462" s="24" t="s">
        <v>993</v>
      </c>
      <c r="I462" s="21">
        <v>27</v>
      </c>
      <c r="J462" s="21" t="s">
        <v>85</v>
      </c>
      <c r="K462" s="21">
        <v>78272308</v>
      </c>
      <c r="L462" s="21" t="str">
        <f>RIGHT(КХЛ!$H462,4)</f>
        <v>1990</v>
      </c>
    </row>
    <row r="463" spans="5:12" ht="15.75" customHeight="1" x14ac:dyDescent="0.2">
      <c r="E463" s="21">
        <v>1115</v>
      </c>
      <c r="F463" s="21" t="s">
        <v>994</v>
      </c>
      <c r="G463" s="21" t="s">
        <v>87</v>
      </c>
      <c r="H463" s="24" t="s">
        <v>995</v>
      </c>
      <c r="I463" s="21">
        <v>30</v>
      </c>
      <c r="J463" s="21" t="s">
        <v>93</v>
      </c>
      <c r="K463" s="21">
        <v>94497339</v>
      </c>
      <c r="L463" s="21" t="str">
        <f>RIGHT(КХЛ!$H463,4)</f>
        <v>1987</v>
      </c>
    </row>
    <row r="464" spans="5:12" ht="15.75" customHeight="1" x14ac:dyDescent="0.2">
      <c r="E464" s="21">
        <v>417</v>
      </c>
      <c r="F464" s="21" t="s">
        <v>996</v>
      </c>
      <c r="G464" s="21" t="s">
        <v>91</v>
      </c>
      <c r="H464" s="24" t="s">
        <v>259</v>
      </c>
      <c r="I464" s="21">
        <v>32</v>
      </c>
      <c r="J464" s="21" t="s">
        <v>89</v>
      </c>
      <c r="K464" s="21">
        <v>14096407</v>
      </c>
      <c r="L464" s="21" t="str">
        <f>RIGHT(КХЛ!$H464,4)</f>
        <v>1985</v>
      </c>
    </row>
    <row r="465" spans="5:12" ht="15.75" customHeight="1" x14ac:dyDescent="0.2">
      <c r="E465" s="21">
        <v>421</v>
      </c>
      <c r="F465" s="21" t="s">
        <v>997</v>
      </c>
      <c r="G465" s="21" t="s">
        <v>87</v>
      </c>
      <c r="H465" s="24" t="s">
        <v>468</v>
      </c>
      <c r="I465" s="21">
        <v>28</v>
      </c>
      <c r="J465" s="21" t="s">
        <v>89</v>
      </c>
      <c r="K465" s="21">
        <v>5871667</v>
      </c>
      <c r="L465" s="21" t="str">
        <f>RIGHT(КХЛ!$H465,4)</f>
        <v>1989</v>
      </c>
    </row>
    <row r="466" spans="5:12" ht="15.75" customHeight="1" x14ac:dyDescent="0.2">
      <c r="E466" s="21">
        <v>519</v>
      </c>
      <c r="F466" s="21" t="s">
        <v>998</v>
      </c>
      <c r="G466" s="21" t="s">
        <v>87</v>
      </c>
      <c r="H466" s="24" t="s">
        <v>999</v>
      </c>
      <c r="I466" s="21">
        <v>37</v>
      </c>
      <c r="J466" s="21" t="s">
        <v>85</v>
      </c>
      <c r="K466" s="21">
        <v>41439969</v>
      </c>
      <c r="L466" s="21" t="str">
        <f>RIGHT(КХЛ!$H466,4)</f>
        <v>1980</v>
      </c>
    </row>
    <row r="467" spans="5:12" ht="15.75" customHeight="1" x14ac:dyDescent="0.2">
      <c r="E467" s="21">
        <v>275</v>
      </c>
      <c r="F467" s="21" t="s">
        <v>1000</v>
      </c>
      <c r="G467" s="21" t="s">
        <v>91</v>
      </c>
      <c r="H467" s="24" t="s">
        <v>1001</v>
      </c>
      <c r="I467" s="21">
        <v>26</v>
      </c>
      <c r="J467" s="21" t="s">
        <v>89</v>
      </c>
      <c r="K467" s="21">
        <v>4555698</v>
      </c>
      <c r="L467" s="21" t="str">
        <f>RIGHT(КХЛ!$H467,4)</f>
        <v>1991</v>
      </c>
    </row>
    <row r="468" spans="5:12" ht="15.75" customHeight="1" x14ac:dyDescent="0.2">
      <c r="E468" s="21">
        <v>355</v>
      </c>
      <c r="F468" s="21" t="s">
        <v>1002</v>
      </c>
      <c r="G468" s="21" t="s">
        <v>91</v>
      </c>
      <c r="H468" s="24" t="s">
        <v>1003</v>
      </c>
      <c r="I468" s="21">
        <v>39</v>
      </c>
      <c r="J468" s="21" t="s">
        <v>139</v>
      </c>
      <c r="K468" s="21">
        <v>44673513</v>
      </c>
      <c r="L468" s="21" t="str">
        <f>RIGHT(КХЛ!$H468,4)</f>
        <v>1978</v>
      </c>
    </row>
    <row r="469" spans="5:12" ht="15.75" customHeight="1" x14ac:dyDescent="0.2">
      <c r="E469" s="21">
        <v>840</v>
      </c>
      <c r="F469" s="21" t="s">
        <v>1004</v>
      </c>
      <c r="G469" s="21" t="s">
        <v>83</v>
      </c>
      <c r="H469" s="24" t="s">
        <v>1005</v>
      </c>
      <c r="I469" s="21">
        <v>28</v>
      </c>
      <c r="J469" s="21" t="s">
        <v>89</v>
      </c>
      <c r="K469" s="21">
        <v>45854607</v>
      </c>
      <c r="L469" s="21" t="str">
        <f>RIGHT(КХЛ!$H469,4)</f>
        <v>1989</v>
      </c>
    </row>
    <row r="470" spans="5:12" ht="15.75" customHeight="1" x14ac:dyDescent="0.2">
      <c r="E470" s="21">
        <v>821</v>
      </c>
      <c r="F470" s="21" t="s">
        <v>1006</v>
      </c>
      <c r="G470" s="21" t="s">
        <v>91</v>
      </c>
      <c r="H470" s="24" t="s">
        <v>1007</v>
      </c>
      <c r="I470" s="21">
        <v>31</v>
      </c>
      <c r="J470" s="21" t="s">
        <v>89</v>
      </c>
      <c r="K470" s="21">
        <v>23304612</v>
      </c>
      <c r="L470" s="21" t="str">
        <f>RIGHT(КХЛ!$H470,4)</f>
        <v>1986</v>
      </c>
    </row>
    <row r="471" spans="5:12" ht="15.75" customHeight="1" x14ac:dyDescent="0.2">
      <c r="E471" s="21">
        <v>714</v>
      </c>
      <c r="F471" s="21" t="s">
        <v>1008</v>
      </c>
      <c r="G471" s="21" t="s">
        <v>91</v>
      </c>
      <c r="H471" s="24" t="s">
        <v>1009</v>
      </c>
      <c r="I471" s="21">
        <v>40</v>
      </c>
      <c r="J471" s="21" t="s">
        <v>169</v>
      </c>
      <c r="K471" s="21">
        <v>41417225</v>
      </c>
      <c r="L471" s="21" t="str">
        <f>RIGHT(КХЛ!$H471,4)</f>
        <v>1977</v>
      </c>
    </row>
    <row r="472" spans="5:12" ht="15.75" customHeight="1" x14ac:dyDescent="0.2">
      <c r="E472" s="21">
        <v>1101</v>
      </c>
      <c r="F472" s="21" t="s">
        <v>1010</v>
      </c>
      <c r="G472" s="21" t="s">
        <v>91</v>
      </c>
      <c r="H472" s="24" t="s">
        <v>1011</v>
      </c>
      <c r="I472" s="21">
        <v>28</v>
      </c>
      <c r="J472" s="21" t="s">
        <v>89</v>
      </c>
      <c r="K472" s="21">
        <v>29364982</v>
      </c>
      <c r="L472" s="21" t="str">
        <f>RIGHT(КХЛ!$H472,4)</f>
        <v>1989</v>
      </c>
    </row>
    <row r="473" spans="5:12" ht="15.75" customHeight="1" x14ac:dyDescent="0.2">
      <c r="E473" s="21">
        <v>882</v>
      </c>
      <c r="F473" s="21" t="s">
        <v>1012</v>
      </c>
      <c r="G473" s="21" t="s">
        <v>91</v>
      </c>
      <c r="H473" s="24" t="s">
        <v>1013</v>
      </c>
      <c r="I473" s="21">
        <v>22</v>
      </c>
      <c r="J473" s="21" t="s">
        <v>89</v>
      </c>
      <c r="K473" s="21">
        <v>12526181</v>
      </c>
      <c r="L473" s="21" t="str">
        <f>RIGHT(КХЛ!$H473,4)</f>
        <v>1995</v>
      </c>
    </row>
    <row r="474" spans="5:12" ht="15.75" customHeight="1" x14ac:dyDescent="0.2">
      <c r="E474" s="21">
        <v>735</v>
      </c>
      <c r="F474" s="21" t="s">
        <v>1014</v>
      </c>
      <c r="G474" s="21" t="s">
        <v>83</v>
      </c>
      <c r="H474" s="24" t="s">
        <v>1015</v>
      </c>
      <c r="I474" s="21">
        <v>22</v>
      </c>
      <c r="J474" s="21" t="s">
        <v>169</v>
      </c>
      <c r="K474" s="21">
        <v>53894693</v>
      </c>
      <c r="L474" s="21" t="str">
        <f>RIGHT(КХЛ!$H474,4)</f>
        <v>1995</v>
      </c>
    </row>
    <row r="475" spans="5:12" ht="15.75" customHeight="1" x14ac:dyDescent="0.2">
      <c r="E475" s="21">
        <v>1531</v>
      </c>
      <c r="F475" s="21" t="s">
        <v>1016</v>
      </c>
      <c r="G475" s="21" t="s">
        <v>91</v>
      </c>
      <c r="H475" s="24" t="s">
        <v>1017</v>
      </c>
      <c r="I475" s="21">
        <v>21</v>
      </c>
      <c r="J475" s="21" t="s">
        <v>321</v>
      </c>
      <c r="K475" s="21">
        <v>60737651</v>
      </c>
      <c r="L475" s="21" t="str">
        <f>RIGHT(КХЛ!$H475,4)</f>
        <v>1996</v>
      </c>
    </row>
    <row r="476" spans="5:12" ht="15.75" customHeight="1" x14ac:dyDescent="0.2">
      <c r="E476" s="21">
        <v>810</v>
      </c>
      <c r="F476" s="21" t="s">
        <v>1018</v>
      </c>
      <c r="G476" s="21" t="s">
        <v>87</v>
      </c>
      <c r="H476" s="24" t="s">
        <v>1019</v>
      </c>
      <c r="I476" s="21">
        <v>21</v>
      </c>
      <c r="J476" s="21" t="s">
        <v>89</v>
      </c>
      <c r="K476" s="21">
        <v>39199408</v>
      </c>
      <c r="L476" s="21" t="str">
        <f>RIGHT(КХЛ!$H476,4)</f>
        <v>1996</v>
      </c>
    </row>
    <row r="477" spans="5:12" ht="15.75" customHeight="1" x14ac:dyDescent="0.2">
      <c r="E477" s="21">
        <v>901</v>
      </c>
      <c r="F477" s="21" t="s">
        <v>1020</v>
      </c>
      <c r="G477" s="21" t="s">
        <v>83</v>
      </c>
      <c r="H477" s="24" t="s">
        <v>1021</v>
      </c>
      <c r="I477" s="21">
        <v>33</v>
      </c>
      <c r="J477" s="21" t="s">
        <v>93</v>
      </c>
      <c r="K477" s="21">
        <v>82420771</v>
      </c>
      <c r="L477" s="21" t="str">
        <f>RIGHT(КХЛ!$H477,4)</f>
        <v>1984</v>
      </c>
    </row>
    <row r="478" spans="5:12" ht="15.75" customHeight="1" x14ac:dyDescent="0.2">
      <c r="E478" s="21">
        <v>310</v>
      </c>
      <c r="F478" s="21" t="s">
        <v>1022</v>
      </c>
      <c r="G478" s="21" t="s">
        <v>83</v>
      </c>
      <c r="H478" s="24" t="s">
        <v>1023</v>
      </c>
      <c r="I478" s="21">
        <v>40</v>
      </c>
      <c r="J478" s="21" t="s">
        <v>132</v>
      </c>
      <c r="K478" s="21">
        <v>95288678</v>
      </c>
      <c r="L478" s="21" t="str">
        <f>RIGHT(КХЛ!$H478,4)</f>
        <v>1978</v>
      </c>
    </row>
    <row r="479" spans="5:12" ht="15.75" customHeight="1" x14ac:dyDescent="0.2">
      <c r="E479" s="21">
        <v>1420</v>
      </c>
      <c r="F479" s="21" t="s">
        <v>1024</v>
      </c>
      <c r="G479" s="21" t="s">
        <v>91</v>
      </c>
      <c r="H479" s="24" t="s">
        <v>1025</v>
      </c>
      <c r="I479" s="21">
        <v>30</v>
      </c>
      <c r="J479" s="21" t="s">
        <v>89</v>
      </c>
      <c r="K479" s="21">
        <v>8586817</v>
      </c>
      <c r="L479" s="21" t="str">
        <f>RIGHT(КХЛ!$H479,4)</f>
        <v>1987</v>
      </c>
    </row>
    <row r="480" spans="5:12" ht="15.75" customHeight="1" x14ac:dyDescent="0.2">
      <c r="E480" s="21">
        <v>380</v>
      </c>
      <c r="F480" s="21" t="s">
        <v>1026</v>
      </c>
      <c r="G480" s="21" t="s">
        <v>87</v>
      </c>
      <c r="H480" s="24" t="s">
        <v>1027</v>
      </c>
      <c r="I480" s="21">
        <v>19</v>
      </c>
      <c r="J480" s="21" t="s">
        <v>89</v>
      </c>
      <c r="K480" s="21">
        <v>72284564</v>
      </c>
      <c r="L480" s="21" t="str">
        <f>RIGHT(КХЛ!$H480,4)</f>
        <v>1998</v>
      </c>
    </row>
    <row r="481" spans="5:12" ht="15.75" customHeight="1" x14ac:dyDescent="0.2">
      <c r="E481" s="21">
        <v>579</v>
      </c>
      <c r="F481" s="21" t="s">
        <v>1028</v>
      </c>
      <c r="G481" s="21" t="s">
        <v>83</v>
      </c>
      <c r="H481" s="24" t="s">
        <v>1029</v>
      </c>
      <c r="I481" s="21">
        <v>18</v>
      </c>
      <c r="J481" s="21" t="s">
        <v>89</v>
      </c>
      <c r="K481" s="21">
        <v>54368404</v>
      </c>
      <c r="L481" s="21" t="str">
        <f>RIGHT(КХЛ!$H481,4)</f>
        <v>1999</v>
      </c>
    </row>
    <row r="482" spans="5:12" ht="15.75" customHeight="1" x14ac:dyDescent="0.2">
      <c r="E482" s="21">
        <v>190</v>
      </c>
      <c r="F482" s="21" t="s">
        <v>1030</v>
      </c>
      <c r="G482" s="21" t="s">
        <v>91</v>
      </c>
      <c r="H482" s="24" t="s">
        <v>1031</v>
      </c>
      <c r="I482" s="21">
        <v>20</v>
      </c>
      <c r="J482" s="21" t="s">
        <v>89</v>
      </c>
      <c r="K482" s="21">
        <v>72832410</v>
      </c>
      <c r="L482" s="21" t="str">
        <f>RIGHT(КХЛ!$H482,4)</f>
        <v>1998</v>
      </c>
    </row>
    <row r="483" spans="5:12" ht="15.75" customHeight="1" x14ac:dyDescent="0.2">
      <c r="E483" s="21">
        <v>252</v>
      </c>
      <c r="F483" s="21" t="s">
        <v>1032</v>
      </c>
      <c r="G483" s="21" t="s">
        <v>83</v>
      </c>
      <c r="H483" s="24" t="s">
        <v>1033</v>
      </c>
      <c r="I483" s="21">
        <v>26</v>
      </c>
      <c r="J483" s="21" t="s">
        <v>89</v>
      </c>
      <c r="K483" s="21">
        <v>41265626</v>
      </c>
      <c r="L483" s="21" t="str">
        <f>RIGHT(КХЛ!$H483,4)</f>
        <v>1991</v>
      </c>
    </row>
    <row r="484" spans="5:12" ht="15.75" customHeight="1" x14ac:dyDescent="0.2">
      <c r="E484" s="21">
        <v>145</v>
      </c>
      <c r="F484" s="21" t="s">
        <v>1034</v>
      </c>
      <c r="G484" s="21" t="s">
        <v>91</v>
      </c>
      <c r="H484" s="24" t="s">
        <v>1035</v>
      </c>
      <c r="I484" s="21">
        <v>41</v>
      </c>
      <c r="J484" s="21" t="s">
        <v>93</v>
      </c>
      <c r="K484" s="21">
        <v>58732353</v>
      </c>
      <c r="L484" s="21" t="str">
        <f>RIGHT(КХЛ!$H484,4)</f>
        <v>1976</v>
      </c>
    </row>
    <row r="485" spans="5:12" ht="15.75" customHeight="1" x14ac:dyDescent="0.2">
      <c r="E485" s="21">
        <v>458</v>
      </c>
      <c r="F485" s="21" t="s">
        <v>1036</v>
      </c>
      <c r="G485" s="21" t="s">
        <v>91</v>
      </c>
      <c r="H485" s="24" t="s">
        <v>1037</v>
      </c>
      <c r="I485" s="21">
        <v>38</v>
      </c>
      <c r="J485" s="21" t="s">
        <v>89</v>
      </c>
      <c r="K485" s="21">
        <v>86272567</v>
      </c>
      <c r="L485" s="21" t="str">
        <f>RIGHT(КХЛ!$H485,4)</f>
        <v>1979</v>
      </c>
    </row>
    <row r="486" spans="5:12" ht="15.75" customHeight="1" x14ac:dyDescent="0.2">
      <c r="E486" s="21">
        <v>1073</v>
      </c>
      <c r="F486" s="21" t="s">
        <v>1038</v>
      </c>
      <c r="G486" s="21" t="s">
        <v>87</v>
      </c>
      <c r="H486" s="24" t="s">
        <v>1039</v>
      </c>
      <c r="I486" s="21">
        <v>29</v>
      </c>
      <c r="J486" s="21" t="s">
        <v>85</v>
      </c>
      <c r="K486" s="21">
        <v>15948863</v>
      </c>
      <c r="L486" s="21" t="str">
        <f>RIGHT(КХЛ!$H486,4)</f>
        <v>1988</v>
      </c>
    </row>
    <row r="487" spans="5:12" ht="15.75" customHeight="1" x14ac:dyDescent="0.2">
      <c r="E487" s="21">
        <v>1164</v>
      </c>
      <c r="F487" s="21" t="s">
        <v>1040</v>
      </c>
      <c r="G487" s="21" t="s">
        <v>91</v>
      </c>
      <c r="H487" s="24" t="s">
        <v>1041</v>
      </c>
      <c r="I487" s="21">
        <v>28</v>
      </c>
      <c r="J487" s="21" t="s">
        <v>89</v>
      </c>
      <c r="K487" s="21">
        <v>52870627</v>
      </c>
      <c r="L487" s="21" t="str">
        <f>RIGHT(КХЛ!$H487,4)</f>
        <v>1989</v>
      </c>
    </row>
    <row r="488" spans="5:12" ht="15.75" customHeight="1" x14ac:dyDescent="0.2">
      <c r="E488" s="21">
        <v>572</v>
      </c>
      <c r="F488" s="21" t="s">
        <v>1042</v>
      </c>
      <c r="G488" s="21" t="s">
        <v>91</v>
      </c>
      <c r="H488" s="24" t="s">
        <v>1043</v>
      </c>
      <c r="I488" s="21">
        <v>26</v>
      </c>
      <c r="J488" s="21" t="s">
        <v>89</v>
      </c>
      <c r="K488" s="21">
        <v>16201029</v>
      </c>
      <c r="L488" s="21" t="str">
        <f>RIGHT(КХЛ!$H488,4)</f>
        <v>1991</v>
      </c>
    </row>
    <row r="489" spans="5:12" ht="15.75" customHeight="1" x14ac:dyDescent="0.2">
      <c r="E489" s="21">
        <v>1056</v>
      </c>
      <c r="F489" s="21" t="s">
        <v>1044</v>
      </c>
      <c r="G489" s="21" t="s">
        <v>91</v>
      </c>
      <c r="H489" s="24" t="s">
        <v>1045</v>
      </c>
      <c r="I489" s="21">
        <v>32</v>
      </c>
      <c r="J489" s="21" t="s">
        <v>106</v>
      </c>
      <c r="K489" s="21">
        <v>47280106</v>
      </c>
      <c r="L489" s="21" t="str">
        <f>RIGHT(КХЛ!$H489,4)</f>
        <v>1985</v>
      </c>
    </row>
    <row r="490" spans="5:12" ht="15.75" customHeight="1" x14ac:dyDescent="0.2">
      <c r="E490" s="21">
        <v>1172</v>
      </c>
      <c r="F490" s="21" t="s">
        <v>1046</v>
      </c>
      <c r="G490" s="21" t="s">
        <v>91</v>
      </c>
      <c r="H490" s="24" t="s">
        <v>1047</v>
      </c>
      <c r="I490" s="21">
        <v>27</v>
      </c>
      <c r="J490" s="21" t="s">
        <v>222</v>
      </c>
      <c r="K490" s="21">
        <v>36660133</v>
      </c>
      <c r="L490" s="21" t="str">
        <f>RIGHT(КХЛ!$H490,4)</f>
        <v>1990</v>
      </c>
    </row>
    <row r="491" spans="5:12" ht="15.75" customHeight="1" x14ac:dyDescent="0.2">
      <c r="E491" s="21">
        <v>214</v>
      </c>
      <c r="F491" s="21" t="s">
        <v>1048</v>
      </c>
      <c r="G491" s="21" t="s">
        <v>91</v>
      </c>
      <c r="H491" s="24" t="s">
        <v>1049</v>
      </c>
      <c r="I491" s="21">
        <v>37</v>
      </c>
      <c r="J491" s="21" t="s">
        <v>89</v>
      </c>
      <c r="K491" s="21">
        <v>37533509</v>
      </c>
      <c r="L491" s="21" t="str">
        <f>RIGHT(КХЛ!$H491,4)</f>
        <v>1980</v>
      </c>
    </row>
    <row r="492" spans="5:12" ht="15.75" customHeight="1" x14ac:dyDescent="0.2">
      <c r="E492" s="21">
        <v>90</v>
      </c>
      <c r="F492" s="21" t="s">
        <v>1050</v>
      </c>
      <c r="G492" s="21" t="s">
        <v>87</v>
      </c>
      <c r="H492" s="24" t="s">
        <v>1051</v>
      </c>
      <c r="I492" s="21">
        <v>20</v>
      </c>
      <c r="J492" s="21" t="s">
        <v>169</v>
      </c>
      <c r="K492" s="21">
        <v>73168148</v>
      </c>
      <c r="L492" s="21" t="str">
        <f>RIGHT(КХЛ!$H492,4)</f>
        <v>1997</v>
      </c>
    </row>
    <row r="493" spans="5:12" ht="15.75" customHeight="1" x14ac:dyDescent="0.2">
      <c r="E493" s="21">
        <v>605</v>
      </c>
      <c r="F493" s="21" t="s">
        <v>1052</v>
      </c>
      <c r="G493" s="21" t="s">
        <v>91</v>
      </c>
      <c r="H493" s="24" t="s">
        <v>1053</v>
      </c>
      <c r="I493" s="21">
        <v>29</v>
      </c>
      <c r="J493" s="21" t="s">
        <v>152</v>
      </c>
      <c r="K493" s="21">
        <v>73454759</v>
      </c>
      <c r="L493" s="21" t="str">
        <f>RIGHT(КХЛ!$H493,4)</f>
        <v>1989</v>
      </c>
    </row>
    <row r="494" spans="5:12" ht="15.75" customHeight="1" x14ac:dyDescent="0.2">
      <c r="E494" s="21">
        <v>409</v>
      </c>
      <c r="F494" s="21" t="s">
        <v>1054</v>
      </c>
      <c r="G494" s="21" t="s">
        <v>83</v>
      </c>
      <c r="H494" s="24" t="s">
        <v>1055</v>
      </c>
      <c r="I494" s="21">
        <v>38</v>
      </c>
      <c r="J494" s="21" t="s">
        <v>93</v>
      </c>
      <c r="K494" s="21">
        <v>35896718</v>
      </c>
      <c r="L494" s="21" t="str">
        <f>RIGHT(КХЛ!$H494,4)</f>
        <v>1979</v>
      </c>
    </row>
    <row r="495" spans="5:12" ht="15.75" customHeight="1" x14ac:dyDescent="0.2">
      <c r="E495" s="21">
        <v>1062</v>
      </c>
      <c r="F495" s="21" t="s">
        <v>1056</v>
      </c>
      <c r="G495" s="21" t="s">
        <v>87</v>
      </c>
      <c r="H495" s="24" t="s">
        <v>1057</v>
      </c>
      <c r="I495" s="21">
        <v>18</v>
      </c>
      <c r="J495" s="21" t="s">
        <v>89</v>
      </c>
      <c r="K495" s="21">
        <v>84887614</v>
      </c>
      <c r="L495" s="21" t="str">
        <f>RIGHT(КХЛ!$H495,4)</f>
        <v>1999</v>
      </c>
    </row>
    <row r="496" spans="5:12" ht="15.75" customHeight="1" x14ac:dyDescent="0.2">
      <c r="E496" s="21">
        <v>706</v>
      </c>
      <c r="F496" s="21" t="s">
        <v>1058</v>
      </c>
      <c r="G496" s="21" t="s">
        <v>87</v>
      </c>
      <c r="H496" s="24" t="s">
        <v>1059</v>
      </c>
      <c r="I496" s="21">
        <v>38</v>
      </c>
      <c r="J496" s="21" t="s">
        <v>106</v>
      </c>
      <c r="K496" s="21">
        <v>13571329</v>
      </c>
      <c r="L496" s="21" t="str">
        <f>RIGHT(КХЛ!$H496,4)</f>
        <v>1979</v>
      </c>
    </row>
    <row r="497" spans="5:12" ht="15.75" customHeight="1" x14ac:dyDescent="0.2">
      <c r="E497" s="21">
        <v>854</v>
      </c>
      <c r="F497" s="21" t="s">
        <v>1060</v>
      </c>
      <c r="G497" s="21" t="s">
        <v>83</v>
      </c>
      <c r="H497" s="24" t="s">
        <v>444</v>
      </c>
      <c r="I497" s="21">
        <v>22</v>
      </c>
      <c r="J497" s="21" t="s">
        <v>89</v>
      </c>
      <c r="K497" s="21">
        <v>28694396</v>
      </c>
      <c r="L497" s="21" t="str">
        <f>RIGHT(КХЛ!$H497,4)</f>
        <v>1995</v>
      </c>
    </row>
    <row r="498" spans="5:12" ht="15.75" customHeight="1" x14ac:dyDescent="0.2">
      <c r="E498" s="21">
        <v>1138</v>
      </c>
      <c r="F498" s="21" t="s">
        <v>1061</v>
      </c>
      <c r="G498" s="21" t="s">
        <v>87</v>
      </c>
      <c r="H498" s="24" t="s">
        <v>631</v>
      </c>
      <c r="I498" s="21">
        <v>27</v>
      </c>
      <c r="J498" s="21" t="s">
        <v>89</v>
      </c>
      <c r="K498" s="21">
        <v>4481513</v>
      </c>
      <c r="L498" s="21" t="str">
        <f>RIGHT(КХЛ!$H498,4)</f>
        <v>1990</v>
      </c>
    </row>
    <row r="499" spans="5:12" ht="15.75" customHeight="1" x14ac:dyDescent="0.2">
      <c r="E499" s="21">
        <v>1669</v>
      </c>
      <c r="F499" s="21" t="s">
        <v>1062</v>
      </c>
      <c r="G499" s="21" t="s">
        <v>91</v>
      </c>
      <c r="H499" s="24" t="s">
        <v>1063</v>
      </c>
      <c r="I499" s="21">
        <v>23</v>
      </c>
      <c r="J499" s="21" t="s">
        <v>241</v>
      </c>
      <c r="K499" s="21">
        <v>36680884</v>
      </c>
      <c r="L499" s="21" t="str">
        <f>RIGHT(КХЛ!$H499,4)</f>
        <v>1994</v>
      </c>
    </row>
    <row r="500" spans="5:12" ht="15.75" customHeight="1" x14ac:dyDescent="0.2">
      <c r="E500" s="21">
        <v>742</v>
      </c>
      <c r="F500" s="21" t="s">
        <v>1064</v>
      </c>
      <c r="G500" s="21" t="s">
        <v>83</v>
      </c>
      <c r="H500" s="24" t="s">
        <v>1065</v>
      </c>
      <c r="I500" s="21">
        <v>19</v>
      </c>
      <c r="J500" s="21" t="s">
        <v>89</v>
      </c>
      <c r="K500" s="21">
        <v>94207022</v>
      </c>
      <c r="L500" s="21" t="str">
        <f>RIGHT(КХЛ!$H500,4)</f>
        <v>1998</v>
      </c>
    </row>
    <row r="501" spans="5:12" ht="15.75" customHeight="1" x14ac:dyDescent="0.2">
      <c r="E501" s="21">
        <v>821</v>
      </c>
      <c r="F501" s="21" t="s">
        <v>1066</v>
      </c>
      <c r="G501" s="21" t="s">
        <v>91</v>
      </c>
      <c r="H501" s="24" t="s">
        <v>1067</v>
      </c>
      <c r="I501" s="21">
        <v>32</v>
      </c>
      <c r="J501" s="21" t="s">
        <v>89</v>
      </c>
      <c r="K501" s="21">
        <v>50237023</v>
      </c>
      <c r="L501" s="21" t="str">
        <f>RIGHT(КХЛ!$H501,4)</f>
        <v>1985</v>
      </c>
    </row>
    <row r="502" spans="5:12" ht="15.75" customHeight="1" x14ac:dyDescent="0.2">
      <c r="E502" s="21">
        <v>591</v>
      </c>
      <c r="F502" s="21" t="s">
        <v>1068</v>
      </c>
      <c r="G502" s="21" t="s">
        <v>83</v>
      </c>
      <c r="H502" s="24" t="s">
        <v>1069</v>
      </c>
      <c r="I502" s="21">
        <v>32</v>
      </c>
      <c r="J502" s="21" t="s">
        <v>241</v>
      </c>
      <c r="K502" s="21">
        <v>22913391</v>
      </c>
      <c r="L502" s="21" t="str">
        <f>RIGHT(КХЛ!$H502,4)</f>
        <v>1985</v>
      </c>
    </row>
    <row r="503" spans="5:12" ht="15.75" customHeight="1" x14ac:dyDescent="0.2">
      <c r="E503" s="21">
        <v>222</v>
      </c>
      <c r="F503" s="21" t="s">
        <v>1070</v>
      </c>
      <c r="G503" s="21" t="s">
        <v>91</v>
      </c>
      <c r="H503" s="24" t="s">
        <v>1071</v>
      </c>
      <c r="I503" s="21">
        <v>40</v>
      </c>
      <c r="J503" s="21" t="s">
        <v>222</v>
      </c>
      <c r="K503" s="21">
        <v>83871634</v>
      </c>
      <c r="L503" s="21" t="str">
        <f>RIGHT(КХЛ!$H503,4)</f>
        <v>1977</v>
      </c>
    </row>
    <row r="504" spans="5:12" ht="15.75" customHeight="1" x14ac:dyDescent="0.2">
      <c r="E504" s="21">
        <v>959</v>
      </c>
      <c r="F504" s="21" t="s">
        <v>1072</v>
      </c>
      <c r="G504" s="21" t="s">
        <v>87</v>
      </c>
      <c r="H504" s="24" t="s">
        <v>298</v>
      </c>
      <c r="I504" s="21">
        <v>26</v>
      </c>
      <c r="J504" s="21" t="s">
        <v>89</v>
      </c>
      <c r="K504" s="21">
        <v>57394117</v>
      </c>
      <c r="L504" s="21" t="str">
        <f>RIGHT(КХЛ!$H504,4)</f>
        <v>1991</v>
      </c>
    </row>
    <row r="505" spans="5:12" ht="15.75" customHeight="1" x14ac:dyDescent="0.2">
      <c r="E505" s="21">
        <v>401</v>
      </c>
      <c r="F505" s="21" t="s">
        <v>1073</v>
      </c>
      <c r="G505" s="21" t="s">
        <v>91</v>
      </c>
      <c r="H505" s="24" t="s">
        <v>1074</v>
      </c>
      <c r="I505" s="21">
        <v>40</v>
      </c>
      <c r="J505" s="21" t="s">
        <v>89</v>
      </c>
      <c r="K505" s="21">
        <v>35732355</v>
      </c>
      <c r="L505" s="21" t="str">
        <f>RIGHT(КХЛ!$H505,4)</f>
        <v>1978</v>
      </c>
    </row>
    <row r="506" spans="5:12" ht="15.75" customHeight="1" x14ac:dyDescent="0.2">
      <c r="E506" s="21">
        <v>690</v>
      </c>
      <c r="F506" s="21" t="s">
        <v>1075</v>
      </c>
      <c r="G506" s="21" t="s">
        <v>87</v>
      </c>
      <c r="H506" s="24" t="s">
        <v>1076</v>
      </c>
      <c r="I506" s="21">
        <v>20</v>
      </c>
      <c r="J506" s="21" t="s">
        <v>89</v>
      </c>
      <c r="K506" s="21">
        <v>84097573</v>
      </c>
      <c r="L506" s="21" t="str">
        <f>RIGHT(КХЛ!$H506,4)</f>
        <v>1997</v>
      </c>
    </row>
    <row r="507" spans="5:12" ht="15.75" customHeight="1" x14ac:dyDescent="0.2">
      <c r="E507" s="21">
        <v>634</v>
      </c>
      <c r="F507" s="21" t="s">
        <v>1077</v>
      </c>
      <c r="G507" s="21" t="s">
        <v>91</v>
      </c>
      <c r="H507" s="24" t="s">
        <v>1078</v>
      </c>
      <c r="I507" s="21">
        <v>34</v>
      </c>
      <c r="J507" s="21" t="s">
        <v>106</v>
      </c>
      <c r="K507" s="21">
        <v>52814365</v>
      </c>
      <c r="L507" s="21" t="str">
        <f>RIGHT(КХЛ!$H507,4)</f>
        <v>1983</v>
      </c>
    </row>
    <row r="508" spans="5:12" ht="15.75" customHeight="1" x14ac:dyDescent="0.2">
      <c r="E508" s="21">
        <v>352</v>
      </c>
      <c r="F508" s="21" t="s">
        <v>1079</v>
      </c>
      <c r="G508" s="21" t="s">
        <v>91</v>
      </c>
      <c r="H508" s="24" t="s">
        <v>1080</v>
      </c>
      <c r="I508" s="21">
        <v>38</v>
      </c>
      <c r="J508" s="21" t="s">
        <v>132</v>
      </c>
      <c r="K508" s="21">
        <v>92788489</v>
      </c>
      <c r="L508" s="21" t="str">
        <f>RIGHT(КХЛ!$H508,4)</f>
        <v>1979</v>
      </c>
    </row>
    <row r="509" spans="5:12" ht="15.75" customHeight="1" x14ac:dyDescent="0.2">
      <c r="E509" s="21">
        <v>1362</v>
      </c>
      <c r="F509" s="21" t="s">
        <v>1081</v>
      </c>
      <c r="G509" s="21" t="s">
        <v>83</v>
      </c>
      <c r="H509" s="24" t="s">
        <v>1082</v>
      </c>
      <c r="I509" s="21">
        <v>37</v>
      </c>
      <c r="J509" s="21" t="s">
        <v>89</v>
      </c>
      <c r="K509" s="21">
        <v>4019648</v>
      </c>
      <c r="L509" s="21" t="str">
        <f>RIGHT(КХЛ!$H509,4)</f>
        <v>1981</v>
      </c>
    </row>
    <row r="510" spans="5:12" ht="15.75" customHeight="1" x14ac:dyDescent="0.2">
      <c r="E510" s="21">
        <v>1028</v>
      </c>
      <c r="F510" s="21" t="s">
        <v>1083</v>
      </c>
      <c r="G510" s="21" t="s">
        <v>83</v>
      </c>
      <c r="H510" s="24" t="s">
        <v>1084</v>
      </c>
      <c r="I510" s="21">
        <v>27</v>
      </c>
      <c r="J510" s="21" t="s">
        <v>89</v>
      </c>
      <c r="K510" s="21">
        <v>45807277</v>
      </c>
      <c r="L510" s="21" t="str">
        <f>RIGHT(КХЛ!$H510,4)</f>
        <v>1990</v>
      </c>
    </row>
    <row r="511" spans="5:12" ht="15.75" customHeight="1" x14ac:dyDescent="0.2">
      <c r="E511" s="21">
        <v>1003</v>
      </c>
      <c r="F511" s="21" t="s">
        <v>1085</v>
      </c>
      <c r="G511" s="21" t="s">
        <v>91</v>
      </c>
      <c r="H511" s="24" t="s">
        <v>1086</v>
      </c>
      <c r="I511" s="21">
        <v>19</v>
      </c>
      <c r="J511" s="21" t="s">
        <v>89</v>
      </c>
      <c r="K511" s="21">
        <v>19460251</v>
      </c>
      <c r="L511" s="21" t="str">
        <f>RIGHT(КХЛ!$H511,4)</f>
        <v>1998</v>
      </c>
    </row>
    <row r="512" spans="5:12" ht="15.75" customHeight="1" x14ac:dyDescent="0.2">
      <c r="E512" s="21">
        <v>1239</v>
      </c>
      <c r="F512" s="21" t="s">
        <v>1087</v>
      </c>
      <c r="G512" s="21" t="s">
        <v>83</v>
      </c>
      <c r="H512" s="24" t="s">
        <v>1088</v>
      </c>
      <c r="I512" s="21">
        <v>27</v>
      </c>
      <c r="J512" s="21" t="s">
        <v>89</v>
      </c>
      <c r="K512" s="21">
        <v>67751706</v>
      </c>
      <c r="L512" s="21" t="str">
        <f>RIGHT(КХЛ!$H512,4)</f>
        <v>1991</v>
      </c>
    </row>
    <row r="513" spans="5:12" ht="15.75" customHeight="1" x14ac:dyDescent="0.2">
      <c r="E513" s="21">
        <v>1506</v>
      </c>
      <c r="F513" s="21" t="s">
        <v>1089</v>
      </c>
      <c r="G513" s="21" t="s">
        <v>91</v>
      </c>
      <c r="H513" s="24" t="s">
        <v>1090</v>
      </c>
      <c r="I513" s="21">
        <v>29</v>
      </c>
      <c r="J513" s="21" t="s">
        <v>132</v>
      </c>
      <c r="K513" s="21">
        <v>69256558</v>
      </c>
      <c r="L513" s="21" t="str">
        <f>RIGHT(КХЛ!$H513,4)</f>
        <v>1989</v>
      </c>
    </row>
    <row r="514" spans="5:12" ht="15.75" customHeight="1" x14ac:dyDescent="0.2">
      <c r="E514" s="21">
        <v>1107</v>
      </c>
      <c r="F514" s="21" t="s">
        <v>1091</v>
      </c>
      <c r="G514" s="21" t="s">
        <v>91</v>
      </c>
      <c r="H514" s="24" t="s">
        <v>1092</v>
      </c>
      <c r="I514" s="21">
        <v>21</v>
      </c>
      <c r="J514" s="21" t="s">
        <v>89</v>
      </c>
      <c r="K514" s="21">
        <v>8216744</v>
      </c>
      <c r="L514" s="21" t="str">
        <f>RIGHT(КХЛ!$H514,4)</f>
        <v>1996</v>
      </c>
    </row>
    <row r="515" spans="5:12" ht="15.75" customHeight="1" x14ac:dyDescent="0.2">
      <c r="E515" s="21">
        <v>162</v>
      </c>
      <c r="F515" s="21" t="s">
        <v>1093</v>
      </c>
      <c r="G515" s="21" t="s">
        <v>91</v>
      </c>
      <c r="H515" s="24" t="s">
        <v>1094</v>
      </c>
      <c r="I515" s="21">
        <v>24</v>
      </c>
      <c r="J515" s="21" t="s">
        <v>282</v>
      </c>
      <c r="K515" s="21">
        <v>63715281</v>
      </c>
      <c r="L515" s="21" t="str">
        <f>RIGHT(КХЛ!$H515,4)</f>
        <v>1993</v>
      </c>
    </row>
    <row r="516" spans="5:12" ht="15.75" customHeight="1" x14ac:dyDescent="0.2">
      <c r="E516" s="21">
        <v>1061</v>
      </c>
      <c r="F516" s="21" t="s">
        <v>1095</v>
      </c>
      <c r="G516" s="21" t="s">
        <v>91</v>
      </c>
      <c r="H516" s="24" t="s">
        <v>1096</v>
      </c>
      <c r="I516" s="21">
        <v>21</v>
      </c>
      <c r="J516" s="21" t="s">
        <v>89</v>
      </c>
      <c r="K516" s="21">
        <v>64514920</v>
      </c>
      <c r="L516" s="21" t="str">
        <f>RIGHT(КХЛ!$H516,4)</f>
        <v>1996</v>
      </c>
    </row>
    <row r="517" spans="5:12" ht="15.75" customHeight="1" x14ac:dyDescent="0.2">
      <c r="E517" s="21">
        <v>858</v>
      </c>
      <c r="F517" s="21" t="s">
        <v>1097</v>
      </c>
      <c r="G517" s="21" t="s">
        <v>87</v>
      </c>
      <c r="H517" s="24" t="s">
        <v>1098</v>
      </c>
      <c r="I517" s="21">
        <v>21</v>
      </c>
      <c r="J517" s="21" t="s">
        <v>89</v>
      </c>
      <c r="K517" s="21">
        <v>3355818</v>
      </c>
      <c r="L517" s="21" t="str">
        <f>RIGHT(КХЛ!$H517,4)</f>
        <v>1997</v>
      </c>
    </row>
    <row r="518" spans="5:12" ht="15.75" customHeight="1" x14ac:dyDescent="0.2">
      <c r="E518" s="21">
        <v>1269</v>
      </c>
      <c r="F518" s="21" t="s">
        <v>1099</v>
      </c>
      <c r="G518" s="21" t="s">
        <v>83</v>
      </c>
      <c r="H518" s="24" t="s">
        <v>1100</v>
      </c>
      <c r="I518" s="21">
        <v>29</v>
      </c>
      <c r="J518" s="21" t="s">
        <v>89</v>
      </c>
      <c r="K518" s="21">
        <v>38787444</v>
      </c>
      <c r="L518" s="21" t="str">
        <f>RIGHT(КХЛ!$H518,4)</f>
        <v>1988</v>
      </c>
    </row>
    <row r="519" spans="5:12" ht="15.75" customHeight="1" x14ac:dyDescent="0.2">
      <c r="E519" s="21">
        <v>738</v>
      </c>
      <c r="F519" s="21" t="s">
        <v>1101</v>
      </c>
      <c r="G519" s="21" t="s">
        <v>83</v>
      </c>
      <c r="H519" s="24" t="s">
        <v>1102</v>
      </c>
      <c r="I519" s="21">
        <v>31</v>
      </c>
      <c r="J519" s="21" t="s">
        <v>132</v>
      </c>
      <c r="K519" s="21">
        <v>43471394</v>
      </c>
      <c r="L519" s="21" t="str">
        <f>RIGHT(КХЛ!$H519,4)</f>
        <v>1986</v>
      </c>
    </row>
    <row r="520" spans="5:12" ht="15.75" customHeight="1" x14ac:dyDescent="0.2">
      <c r="E520" s="21">
        <v>1002</v>
      </c>
      <c r="F520" s="21" t="s">
        <v>1103</v>
      </c>
      <c r="G520" s="21" t="s">
        <v>91</v>
      </c>
      <c r="H520" s="24" t="s">
        <v>1104</v>
      </c>
      <c r="I520" s="21">
        <v>20</v>
      </c>
      <c r="J520" s="21" t="s">
        <v>89</v>
      </c>
      <c r="K520" s="21">
        <v>83642782</v>
      </c>
      <c r="L520" s="21" t="str">
        <f>RIGHT(КХЛ!$H520,4)</f>
        <v>1997</v>
      </c>
    </row>
    <row r="521" spans="5:12" ht="15.75" customHeight="1" x14ac:dyDescent="0.2">
      <c r="E521" s="21">
        <v>1393</v>
      </c>
      <c r="F521" s="21" t="s">
        <v>1105</v>
      </c>
      <c r="G521" s="21" t="s">
        <v>91</v>
      </c>
      <c r="H521" s="24" t="s">
        <v>1106</v>
      </c>
      <c r="I521" s="21">
        <v>25</v>
      </c>
      <c r="J521" s="21" t="s">
        <v>89</v>
      </c>
      <c r="K521" s="21">
        <v>75162386</v>
      </c>
      <c r="L521" s="21" t="str">
        <f>RIGHT(КХЛ!$H521,4)</f>
        <v>1992</v>
      </c>
    </row>
    <row r="522" spans="5:12" ht="15.75" customHeight="1" x14ac:dyDescent="0.2">
      <c r="E522" s="21">
        <v>305</v>
      </c>
      <c r="F522" s="21" t="s">
        <v>1107</v>
      </c>
      <c r="G522" s="21" t="s">
        <v>87</v>
      </c>
      <c r="H522" s="24" t="s">
        <v>1108</v>
      </c>
      <c r="I522" s="21">
        <v>19</v>
      </c>
      <c r="J522" s="21" t="s">
        <v>89</v>
      </c>
      <c r="K522" s="21">
        <v>96787328</v>
      </c>
      <c r="L522" s="21" t="str">
        <f>RIGHT(КХЛ!$H522,4)</f>
        <v>1998</v>
      </c>
    </row>
    <row r="523" spans="5:12" ht="15.75" customHeight="1" x14ac:dyDescent="0.2">
      <c r="E523" s="21">
        <v>206</v>
      </c>
      <c r="F523" s="21" t="s">
        <v>1109</v>
      </c>
      <c r="G523" s="21" t="s">
        <v>83</v>
      </c>
      <c r="H523" s="24" t="s">
        <v>1110</v>
      </c>
      <c r="I523" s="21">
        <v>22</v>
      </c>
      <c r="J523" s="21" t="s">
        <v>89</v>
      </c>
      <c r="K523" s="21">
        <v>17472333</v>
      </c>
      <c r="L523" s="21" t="str">
        <f>RIGHT(КХЛ!$H523,4)</f>
        <v>1995</v>
      </c>
    </row>
    <row r="524" spans="5:12" ht="15.75" customHeight="1" x14ac:dyDescent="0.2">
      <c r="E524" s="21">
        <v>1236</v>
      </c>
      <c r="F524" s="21" t="s">
        <v>1111</v>
      </c>
      <c r="G524" s="21" t="s">
        <v>87</v>
      </c>
      <c r="H524" s="24" t="s">
        <v>1112</v>
      </c>
      <c r="I524" s="21">
        <v>19</v>
      </c>
      <c r="J524" s="21" t="s">
        <v>89</v>
      </c>
      <c r="K524" s="21">
        <v>91125249</v>
      </c>
      <c r="L524" s="21" t="str">
        <f>RIGHT(КХЛ!$H524,4)</f>
        <v>1998</v>
      </c>
    </row>
    <row r="525" spans="5:12" ht="15.75" customHeight="1" x14ac:dyDescent="0.2">
      <c r="E525" s="21">
        <v>1051</v>
      </c>
      <c r="F525" s="21" t="s">
        <v>1113</v>
      </c>
      <c r="G525" s="21" t="s">
        <v>91</v>
      </c>
      <c r="H525" s="24" t="s">
        <v>1114</v>
      </c>
      <c r="I525" s="21">
        <v>26</v>
      </c>
      <c r="J525" s="21" t="s">
        <v>106</v>
      </c>
      <c r="K525" s="21">
        <v>49108607</v>
      </c>
      <c r="L525" s="21" t="str">
        <f>RIGHT(КХЛ!$H525,4)</f>
        <v>1991</v>
      </c>
    </row>
    <row r="526" spans="5:12" ht="15.75" customHeight="1" x14ac:dyDescent="0.2">
      <c r="E526" s="21">
        <v>1421</v>
      </c>
      <c r="F526" s="21" t="s">
        <v>1115</v>
      </c>
      <c r="G526" s="21" t="s">
        <v>91</v>
      </c>
      <c r="H526" s="24" t="s">
        <v>1116</v>
      </c>
      <c r="I526" s="21">
        <v>32</v>
      </c>
      <c r="J526" s="21" t="s">
        <v>89</v>
      </c>
      <c r="K526" s="21">
        <v>14068043</v>
      </c>
      <c r="L526" s="21" t="str">
        <f>RIGHT(КХЛ!$H526,4)</f>
        <v>1985</v>
      </c>
    </row>
    <row r="527" spans="5:12" ht="15.75" customHeight="1" x14ac:dyDescent="0.2">
      <c r="E527" s="21">
        <v>903</v>
      </c>
      <c r="F527" s="21" t="s">
        <v>1117</v>
      </c>
      <c r="G527" s="21" t="s">
        <v>91</v>
      </c>
      <c r="H527" s="24" t="s">
        <v>1118</v>
      </c>
      <c r="I527" s="21">
        <v>22</v>
      </c>
      <c r="J527" s="21" t="s">
        <v>89</v>
      </c>
      <c r="K527" s="21">
        <v>32153478</v>
      </c>
      <c r="L527" s="21" t="str">
        <f>RIGHT(КХЛ!$H527,4)</f>
        <v>1995</v>
      </c>
    </row>
    <row r="528" spans="5:12" ht="15.75" customHeight="1" x14ac:dyDescent="0.2">
      <c r="E528" s="21">
        <v>646</v>
      </c>
      <c r="F528" s="21" t="s">
        <v>1119</v>
      </c>
      <c r="G528" s="21" t="s">
        <v>91</v>
      </c>
      <c r="H528" s="24" t="s">
        <v>1120</v>
      </c>
      <c r="I528" s="21">
        <v>39</v>
      </c>
      <c r="J528" s="21" t="s">
        <v>89</v>
      </c>
      <c r="K528" s="21">
        <v>97825311</v>
      </c>
      <c r="L528" s="21" t="str">
        <f>RIGHT(КХЛ!$H528,4)</f>
        <v>1978</v>
      </c>
    </row>
    <row r="529" spans="5:12" ht="15.75" customHeight="1" x14ac:dyDescent="0.2">
      <c r="E529" s="21">
        <v>625</v>
      </c>
      <c r="F529" s="21" t="s">
        <v>1121</v>
      </c>
      <c r="G529" s="21" t="s">
        <v>83</v>
      </c>
      <c r="H529" s="24" t="s">
        <v>1122</v>
      </c>
      <c r="I529" s="21">
        <v>41</v>
      </c>
      <c r="J529" s="21" t="s">
        <v>89</v>
      </c>
      <c r="K529" s="21">
        <v>30923528</v>
      </c>
      <c r="L529" s="21" t="str">
        <f>RIGHT(КХЛ!$H529,4)</f>
        <v>1976</v>
      </c>
    </row>
    <row r="530" spans="5:12" ht="15.75" customHeight="1" x14ac:dyDescent="0.2">
      <c r="E530" s="21">
        <v>867</v>
      </c>
      <c r="F530" s="21" t="s">
        <v>1123</v>
      </c>
      <c r="G530" s="21" t="s">
        <v>83</v>
      </c>
      <c r="H530" s="24" t="s">
        <v>1124</v>
      </c>
      <c r="I530" s="21">
        <v>34</v>
      </c>
      <c r="J530" s="21" t="s">
        <v>89</v>
      </c>
      <c r="K530" s="21">
        <v>94610358</v>
      </c>
      <c r="L530" s="21" t="str">
        <f>RIGHT(КХЛ!$H530,4)</f>
        <v>1983</v>
      </c>
    </row>
    <row r="531" spans="5:12" ht="15.75" customHeight="1" x14ac:dyDescent="0.2">
      <c r="E531" s="21">
        <v>545</v>
      </c>
      <c r="F531" s="21" t="s">
        <v>1125</v>
      </c>
      <c r="G531" s="21" t="s">
        <v>83</v>
      </c>
      <c r="H531" s="24" t="s">
        <v>1126</v>
      </c>
      <c r="I531" s="21">
        <v>43</v>
      </c>
      <c r="J531" s="21" t="s">
        <v>89</v>
      </c>
      <c r="K531" s="21">
        <v>55990344</v>
      </c>
      <c r="L531" s="21" t="str">
        <f>RIGHT(КХЛ!$H531,4)</f>
        <v>1974</v>
      </c>
    </row>
    <row r="532" spans="5:12" ht="15.75" customHeight="1" x14ac:dyDescent="0.2">
      <c r="E532" s="21">
        <v>1049</v>
      </c>
      <c r="F532" s="21" t="s">
        <v>1127</v>
      </c>
      <c r="G532" s="21" t="s">
        <v>83</v>
      </c>
      <c r="H532" s="24" t="s">
        <v>1128</v>
      </c>
      <c r="I532" s="21">
        <v>20</v>
      </c>
      <c r="J532" s="21" t="s">
        <v>89</v>
      </c>
      <c r="K532" s="21">
        <v>45609944</v>
      </c>
      <c r="L532" s="21" t="str">
        <f>RIGHT(КХЛ!$H532,4)</f>
        <v>1997</v>
      </c>
    </row>
    <row r="533" spans="5:12" ht="15.75" customHeight="1" x14ac:dyDescent="0.2">
      <c r="E533" s="21">
        <v>976</v>
      </c>
      <c r="F533" s="21" t="s">
        <v>1129</v>
      </c>
      <c r="G533" s="21" t="s">
        <v>87</v>
      </c>
      <c r="H533" s="24" t="s">
        <v>476</v>
      </c>
      <c r="I533" s="21">
        <v>34</v>
      </c>
      <c r="J533" s="21" t="s">
        <v>132</v>
      </c>
      <c r="K533" s="21">
        <v>94768728</v>
      </c>
      <c r="L533" s="21" t="str">
        <f>RIGHT(КХЛ!$H533,4)</f>
        <v>1983</v>
      </c>
    </row>
    <row r="534" spans="5:12" ht="15.75" customHeight="1" x14ac:dyDescent="0.2">
      <c r="E534" s="21">
        <v>808</v>
      </c>
      <c r="F534" s="21" t="s">
        <v>1130</v>
      </c>
      <c r="G534" s="21" t="s">
        <v>83</v>
      </c>
      <c r="H534" s="24" t="s">
        <v>1131</v>
      </c>
      <c r="I534" s="21">
        <v>22</v>
      </c>
      <c r="J534" s="21" t="s">
        <v>89</v>
      </c>
      <c r="K534" s="21">
        <v>28608247</v>
      </c>
      <c r="L534" s="21" t="str">
        <f>RIGHT(КХЛ!$H534,4)</f>
        <v>1995</v>
      </c>
    </row>
    <row r="535" spans="5:12" ht="15.75" customHeight="1" x14ac:dyDescent="0.2">
      <c r="E535" s="21">
        <v>92</v>
      </c>
      <c r="F535" s="21" t="s">
        <v>1132</v>
      </c>
      <c r="G535" s="21" t="s">
        <v>83</v>
      </c>
      <c r="H535" s="24" t="s">
        <v>1133</v>
      </c>
      <c r="I535" s="21">
        <v>29</v>
      </c>
      <c r="J535" s="21" t="s">
        <v>89</v>
      </c>
      <c r="K535" s="21">
        <v>80210154</v>
      </c>
      <c r="L535" s="21" t="str">
        <f>RIGHT(КХЛ!$H535,4)</f>
        <v>1989</v>
      </c>
    </row>
    <row r="536" spans="5:12" ht="15.75" customHeight="1" x14ac:dyDescent="0.2">
      <c r="E536" s="21">
        <v>313</v>
      </c>
      <c r="F536" s="21" t="s">
        <v>1134</v>
      </c>
      <c r="G536" s="21" t="s">
        <v>91</v>
      </c>
      <c r="H536" s="24" t="s">
        <v>1135</v>
      </c>
      <c r="I536" s="21">
        <v>26</v>
      </c>
      <c r="J536" s="21" t="s">
        <v>89</v>
      </c>
      <c r="K536" s="21">
        <v>42011999</v>
      </c>
      <c r="L536" s="21" t="str">
        <f>RIGHT(КХЛ!$H536,4)</f>
        <v>1991</v>
      </c>
    </row>
    <row r="537" spans="5:12" ht="15.75" customHeight="1" x14ac:dyDescent="0.2">
      <c r="E537" s="21">
        <v>478</v>
      </c>
      <c r="F537" s="21" t="s">
        <v>1136</v>
      </c>
      <c r="G537" s="21" t="s">
        <v>83</v>
      </c>
      <c r="H537" s="24" t="s">
        <v>1137</v>
      </c>
      <c r="I537" s="21">
        <v>20</v>
      </c>
      <c r="J537" s="21" t="s">
        <v>89</v>
      </c>
      <c r="K537" s="21">
        <v>37933954</v>
      </c>
      <c r="L537" s="21" t="str">
        <f>RIGHT(КХЛ!$H537,4)</f>
        <v>1997</v>
      </c>
    </row>
    <row r="538" spans="5:12" ht="15.75" customHeight="1" x14ac:dyDescent="0.2">
      <c r="E538" s="21">
        <v>542</v>
      </c>
      <c r="F538" s="21" t="s">
        <v>1138</v>
      </c>
      <c r="G538" s="21" t="s">
        <v>91</v>
      </c>
      <c r="H538" s="24" t="s">
        <v>1139</v>
      </c>
      <c r="I538" s="21">
        <v>23</v>
      </c>
      <c r="J538" s="21" t="s">
        <v>89</v>
      </c>
      <c r="K538" s="21">
        <v>58322632</v>
      </c>
      <c r="L538" s="21" t="str">
        <f>RIGHT(КХЛ!$H538,4)</f>
        <v>1994</v>
      </c>
    </row>
    <row r="539" spans="5:12" ht="15.75" customHeight="1" x14ac:dyDescent="0.2">
      <c r="E539" s="21">
        <v>1419</v>
      </c>
      <c r="F539" s="21" t="s">
        <v>1140</v>
      </c>
      <c r="G539" s="21" t="s">
        <v>91</v>
      </c>
      <c r="H539" s="24" t="s">
        <v>1141</v>
      </c>
      <c r="I539" s="21">
        <v>34</v>
      </c>
      <c r="J539" s="21" t="s">
        <v>89</v>
      </c>
      <c r="K539" s="21">
        <v>2934489</v>
      </c>
      <c r="L539" s="21" t="str">
        <f>RIGHT(КХЛ!$H539,4)</f>
        <v>1983</v>
      </c>
    </row>
    <row r="540" spans="5:12" ht="15.75" customHeight="1" x14ac:dyDescent="0.2">
      <c r="E540" s="21">
        <v>363</v>
      </c>
      <c r="F540" s="21" t="s">
        <v>1142</v>
      </c>
      <c r="G540" s="21" t="s">
        <v>83</v>
      </c>
      <c r="H540" s="24" t="s">
        <v>1143</v>
      </c>
      <c r="I540" s="21">
        <v>40</v>
      </c>
      <c r="J540" s="21" t="s">
        <v>89</v>
      </c>
      <c r="K540" s="21">
        <v>50440439</v>
      </c>
      <c r="L540" s="21" t="str">
        <f>RIGHT(КХЛ!$H540,4)</f>
        <v>1977</v>
      </c>
    </row>
    <row r="541" spans="5:12" ht="15.75" customHeight="1" x14ac:dyDescent="0.2">
      <c r="E541" s="21">
        <v>416</v>
      </c>
      <c r="F541" s="21" t="s">
        <v>996</v>
      </c>
      <c r="G541" s="21" t="s">
        <v>87</v>
      </c>
      <c r="H541" s="24" t="s">
        <v>1144</v>
      </c>
      <c r="I541" s="21">
        <v>20</v>
      </c>
      <c r="J541" s="21" t="s">
        <v>89</v>
      </c>
      <c r="K541" s="21">
        <v>12750937</v>
      </c>
      <c r="L541" s="21" t="str">
        <f>RIGHT(КХЛ!$H541,4)</f>
        <v>1997</v>
      </c>
    </row>
    <row r="542" spans="5:12" ht="15.75" customHeight="1" x14ac:dyDescent="0.2">
      <c r="E542" s="21">
        <v>683</v>
      </c>
      <c r="F542" s="21" t="s">
        <v>1145</v>
      </c>
      <c r="G542" s="21" t="s">
        <v>83</v>
      </c>
      <c r="H542" s="24" t="s">
        <v>1146</v>
      </c>
      <c r="I542" s="21">
        <v>38</v>
      </c>
      <c r="J542" s="21" t="s">
        <v>106</v>
      </c>
      <c r="K542" s="21">
        <v>94725575</v>
      </c>
      <c r="L542" s="21" t="str">
        <f>RIGHT(КХЛ!$H542,4)</f>
        <v>1979</v>
      </c>
    </row>
    <row r="543" spans="5:12" ht="15.75" customHeight="1" x14ac:dyDescent="0.2">
      <c r="E543" s="21">
        <v>1780</v>
      </c>
      <c r="F543" s="21" t="s">
        <v>1147</v>
      </c>
      <c r="G543" s="21" t="s">
        <v>91</v>
      </c>
      <c r="H543" s="24" t="s">
        <v>1148</v>
      </c>
      <c r="I543" s="21">
        <v>25</v>
      </c>
      <c r="J543" s="21" t="s">
        <v>169</v>
      </c>
      <c r="K543" s="21">
        <v>70241147</v>
      </c>
      <c r="L543" s="21" t="str">
        <f>RIGHT(КХЛ!$H543,4)</f>
        <v>1992</v>
      </c>
    </row>
    <row r="544" spans="5:12" ht="15.75" customHeight="1" x14ac:dyDescent="0.2">
      <c r="E544" s="21">
        <v>165</v>
      </c>
      <c r="F544" s="21" t="s">
        <v>1149</v>
      </c>
      <c r="G544" s="21" t="s">
        <v>91</v>
      </c>
      <c r="H544" s="24" t="s">
        <v>1150</v>
      </c>
      <c r="I544" s="21">
        <v>30</v>
      </c>
      <c r="J544" s="21" t="s">
        <v>85</v>
      </c>
      <c r="K544" s="21">
        <v>65412589</v>
      </c>
      <c r="L544" s="21" t="str">
        <f>RIGHT(КХЛ!$H544,4)</f>
        <v>1987</v>
      </c>
    </row>
    <row r="545" spans="5:12" ht="15.75" customHeight="1" x14ac:dyDescent="0.2">
      <c r="E545" s="21">
        <v>796</v>
      </c>
      <c r="F545" s="21" t="s">
        <v>1151</v>
      </c>
      <c r="G545" s="21" t="s">
        <v>83</v>
      </c>
      <c r="H545" s="24" t="s">
        <v>1152</v>
      </c>
      <c r="I545" s="21">
        <v>25</v>
      </c>
      <c r="J545" s="21" t="s">
        <v>93</v>
      </c>
      <c r="K545" s="21">
        <v>68852649</v>
      </c>
      <c r="L545" s="21" t="str">
        <f>RIGHT(КХЛ!$H545,4)</f>
        <v>1992</v>
      </c>
    </row>
    <row r="546" spans="5:12" ht="15.75" customHeight="1" x14ac:dyDescent="0.2">
      <c r="E546" s="21">
        <v>1272</v>
      </c>
      <c r="F546" s="21" t="s">
        <v>1153</v>
      </c>
      <c r="G546" s="21" t="s">
        <v>91</v>
      </c>
      <c r="H546" s="24" t="s">
        <v>1154</v>
      </c>
      <c r="I546" s="21">
        <v>34</v>
      </c>
      <c r="J546" s="21" t="s">
        <v>89</v>
      </c>
      <c r="K546" s="21">
        <v>33279102</v>
      </c>
      <c r="L546" s="21" t="str">
        <f>RIGHT(КХЛ!$H546,4)</f>
        <v>1983</v>
      </c>
    </row>
    <row r="547" spans="5:12" ht="15.75" customHeight="1" x14ac:dyDescent="0.2">
      <c r="E547" s="21">
        <v>128</v>
      </c>
      <c r="F547" s="21" t="s">
        <v>1155</v>
      </c>
      <c r="G547" s="21" t="s">
        <v>83</v>
      </c>
      <c r="H547" s="24" t="s">
        <v>177</v>
      </c>
      <c r="I547" s="21">
        <v>37</v>
      </c>
      <c r="J547" s="21" t="s">
        <v>132</v>
      </c>
      <c r="K547" s="21">
        <v>85621225</v>
      </c>
      <c r="L547" s="21" t="str">
        <f>RIGHT(КХЛ!$H547,4)</f>
        <v>1980</v>
      </c>
    </row>
    <row r="548" spans="5:12" ht="15.75" customHeight="1" x14ac:dyDescent="0.2">
      <c r="E548" s="21">
        <v>584</v>
      </c>
      <c r="F548" s="21" t="s">
        <v>1156</v>
      </c>
      <c r="G548" s="21" t="s">
        <v>91</v>
      </c>
      <c r="H548" s="24" t="s">
        <v>1157</v>
      </c>
      <c r="I548" s="21">
        <v>23</v>
      </c>
      <c r="J548" s="21" t="s">
        <v>89</v>
      </c>
      <c r="K548" s="21">
        <v>1808884</v>
      </c>
      <c r="L548" s="21" t="str">
        <f>RIGHT(КХЛ!$H548,4)</f>
        <v>1994</v>
      </c>
    </row>
    <row r="549" spans="5:12" ht="15.75" customHeight="1" x14ac:dyDescent="0.2">
      <c r="E549" s="21">
        <v>274</v>
      </c>
      <c r="F549" s="21" t="s">
        <v>1158</v>
      </c>
      <c r="G549" s="21" t="s">
        <v>87</v>
      </c>
      <c r="H549" s="24" t="s">
        <v>1159</v>
      </c>
      <c r="I549" s="21">
        <v>22</v>
      </c>
      <c r="J549" s="21" t="s">
        <v>89</v>
      </c>
      <c r="K549" s="21">
        <v>32426326</v>
      </c>
      <c r="L549" s="21" t="str">
        <f>RIGHT(КХЛ!$H549,4)</f>
        <v>1995</v>
      </c>
    </row>
    <row r="550" spans="5:12" ht="15.75" customHeight="1" x14ac:dyDescent="0.2">
      <c r="E550" s="21">
        <v>255</v>
      </c>
      <c r="F550" s="21" t="s">
        <v>1160</v>
      </c>
      <c r="G550" s="21" t="s">
        <v>91</v>
      </c>
      <c r="H550" s="24" t="s">
        <v>1161</v>
      </c>
      <c r="I550" s="21">
        <v>28</v>
      </c>
      <c r="J550" s="21" t="s">
        <v>106</v>
      </c>
      <c r="K550" s="21">
        <v>7311880</v>
      </c>
      <c r="L550" s="21" t="str">
        <f>RIGHT(КХЛ!$H550,4)</f>
        <v>1989</v>
      </c>
    </row>
    <row r="551" spans="5:12" ht="15.75" customHeight="1" x14ac:dyDescent="0.2">
      <c r="E551" s="21">
        <v>890</v>
      </c>
      <c r="F551" s="21" t="s">
        <v>484</v>
      </c>
      <c r="G551" s="21" t="s">
        <v>91</v>
      </c>
      <c r="H551" s="24" t="s">
        <v>485</v>
      </c>
      <c r="I551" s="21">
        <v>33</v>
      </c>
      <c r="J551" s="21" t="s">
        <v>89</v>
      </c>
      <c r="K551" s="21">
        <v>76854948</v>
      </c>
      <c r="L551" s="21" t="str">
        <f>RIGHT(КХЛ!$H551,4)</f>
        <v>1985</v>
      </c>
    </row>
    <row r="552" spans="5:12" ht="15.75" customHeight="1" x14ac:dyDescent="0.2">
      <c r="E552" s="21">
        <v>1732</v>
      </c>
      <c r="F552" s="21" t="s">
        <v>1162</v>
      </c>
      <c r="G552" s="21" t="s">
        <v>83</v>
      </c>
      <c r="H552" s="24" t="s">
        <v>1163</v>
      </c>
      <c r="I552" s="21">
        <v>26</v>
      </c>
      <c r="J552" s="21" t="s">
        <v>89</v>
      </c>
      <c r="K552" s="21">
        <v>63765102</v>
      </c>
      <c r="L552" s="21" t="str">
        <f>RIGHT(КХЛ!$H552,4)</f>
        <v>1991</v>
      </c>
    </row>
    <row r="553" spans="5:12" ht="15.75" customHeight="1" x14ac:dyDescent="0.2">
      <c r="E553" s="21">
        <v>293</v>
      </c>
      <c r="F553" s="21" t="s">
        <v>1164</v>
      </c>
      <c r="G553" s="21" t="s">
        <v>83</v>
      </c>
      <c r="H553" s="24" t="s">
        <v>1165</v>
      </c>
      <c r="I553" s="21">
        <v>22</v>
      </c>
      <c r="J553" s="21" t="s">
        <v>89</v>
      </c>
      <c r="K553" s="21">
        <v>96966430</v>
      </c>
      <c r="L553" s="21" t="str">
        <f>RIGHT(КХЛ!$H553,4)</f>
        <v>1995</v>
      </c>
    </row>
    <row r="554" spans="5:12" ht="15.75" customHeight="1" x14ac:dyDescent="0.2">
      <c r="E554" s="21">
        <v>287</v>
      </c>
      <c r="F554" s="21" t="s">
        <v>1166</v>
      </c>
      <c r="G554" s="21" t="s">
        <v>91</v>
      </c>
      <c r="H554" s="24" t="s">
        <v>1167</v>
      </c>
      <c r="I554" s="21">
        <v>33</v>
      </c>
      <c r="J554" s="21" t="s">
        <v>106</v>
      </c>
      <c r="K554" s="21">
        <v>11524946</v>
      </c>
      <c r="L554" s="21" t="str">
        <f>RIGHT(КХЛ!$H554,4)</f>
        <v>1984</v>
      </c>
    </row>
    <row r="555" spans="5:12" ht="15.75" customHeight="1" x14ac:dyDescent="0.2">
      <c r="E555" s="21">
        <v>1189</v>
      </c>
      <c r="F555" s="21" t="s">
        <v>1168</v>
      </c>
      <c r="G555" s="21" t="s">
        <v>91</v>
      </c>
      <c r="H555" s="24" t="s">
        <v>1169</v>
      </c>
      <c r="I555" s="21">
        <v>21</v>
      </c>
      <c r="J555" s="21" t="s">
        <v>89</v>
      </c>
      <c r="K555" s="21">
        <v>70391151</v>
      </c>
      <c r="L555" s="21" t="str">
        <f>RIGHT(КХЛ!$H555,4)</f>
        <v>1996</v>
      </c>
    </row>
    <row r="556" spans="5:12" ht="15.75" customHeight="1" x14ac:dyDescent="0.2">
      <c r="E556" s="21">
        <v>66</v>
      </c>
      <c r="F556" s="21" t="s">
        <v>1170</v>
      </c>
      <c r="G556" s="21" t="s">
        <v>83</v>
      </c>
      <c r="H556" s="24" t="s">
        <v>1171</v>
      </c>
      <c r="I556" s="21">
        <v>31</v>
      </c>
      <c r="J556" s="21" t="s">
        <v>106</v>
      </c>
      <c r="K556" s="21">
        <v>26378752</v>
      </c>
      <c r="L556" s="21" t="str">
        <f>RIGHT(КХЛ!$H556,4)</f>
        <v>1986</v>
      </c>
    </row>
    <row r="557" spans="5:12" ht="15.75" customHeight="1" x14ac:dyDescent="0.2">
      <c r="E557" s="21">
        <v>467</v>
      </c>
      <c r="F557" s="21" t="s">
        <v>1172</v>
      </c>
      <c r="G557" s="21" t="s">
        <v>91</v>
      </c>
      <c r="H557" s="24" t="s">
        <v>1173</v>
      </c>
      <c r="I557" s="21">
        <v>31</v>
      </c>
      <c r="J557" s="21" t="s">
        <v>89</v>
      </c>
      <c r="K557" s="21">
        <v>95981407</v>
      </c>
      <c r="L557" s="21" t="str">
        <f>RIGHT(КХЛ!$H557,4)</f>
        <v>1986</v>
      </c>
    </row>
    <row r="558" spans="5:12" ht="15.75" customHeight="1" x14ac:dyDescent="0.2">
      <c r="E558" s="21">
        <v>1051</v>
      </c>
      <c r="F558" s="21" t="s">
        <v>1174</v>
      </c>
      <c r="G558" s="21" t="s">
        <v>91</v>
      </c>
      <c r="H558" s="24" t="s">
        <v>1175</v>
      </c>
      <c r="I558" s="21">
        <v>44</v>
      </c>
      <c r="J558" s="21" t="s">
        <v>89</v>
      </c>
      <c r="K558" s="21">
        <v>76570279</v>
      </c>
      <c r="L558" s="21" t="str">
        <f>RIGHT(КХЛ!$H558,4)</f>
        <v>1973</v>
      </c>
    </row>
    <row r="559" spans="5:12" ht="15.75" customHeight="1" x14ac:dyDescent="0.2">
      <c r="E559" s="21">
        <v>1321</v>
      </c>
      <c r="F559" s="21" t="s">
        <v>1176</v>
      </c>
      <c r="G559" s="21" t="s">
        <v>91</v>
      </c>
      <c r="H559" s="24" t="s">
        <v>1177</v>
      </c>
      <c r="I559" s="21">
        <v>34</v>
      </c>
      <c r="J559" s="21" t="s">
        <v>85</v>
      </c>
      <c r="K559" s="21">
        <v>83072523</v>
      </c>
      <c r="L559" s="21" t="str">
        <f>RIGHT(КХЛ!$H559,4)</f>
        <v>1983</v>
      </c>
    </row>
    <row r="560" spans="5:12" ht="15.75" customHeight="1" x14ac:dyDescent="0.2">
      <c r="E560" s="21">
        <v>707</v>
      </c>
      <c r="F560" s="21" t="s">
        <v>1178</v>
      </c>
      <c r="G560" s="21" t="s">
        <v>91</v>
      </c>
      <c r="H560" s="24" t="s">
        <v>1179</v>
      </c>
      <c r="I560" s="21">
        <v>38</v>
      </c>
      <c r="J560" s="21" t="s">
        <v>132</v>
      </c>
      <c r="K560" s="21">
        <v>77462311</v>
      </c>
      <c r="L560" s="21" t="str">
        <f>RIGHT(КХЛ!$H560,4)</f>
        <v>1979</v>
      </c>
    </row>
    <row r="561" spans="5:12" ht="15.75" customHeight="1" x14ac:dyDescent="0.2">
      <c r="E561" s="21">
        <v>778</v>
      </c>
      <c r="F561" s="21" t="s">
        <v>1180</v>
      </c>
      <c r="G561" s="21" t="s">
        <v>91</v>
      </c>
      <c r="H561" s="24" t="s">
        <v>1181</v>
      </c>
      <c r="I561" s="21">
        <v>28</v>
      </c>
      <c r="J561" s="21" t="s">
        <v>89</v>
      </c>
      <c r="K561" s="21">
        <v>18301474</v>
      </c>
      <c r="L561" s="21" t="str">
        <f>RIGHT(КХЛ!$H561,4)</f>
        <v>1989</v>
      </c>
    </row>
    <row r="562" spans="5:12" ht="15.75" customHeight="1" x14ac:dyDescent="0.2">
      <c r="E562" s="21">
        <v>399</v>
      </c>
      <c r="F562" s="21" t="s">
        <v>1182</v>
      </c>
      <c r="G562" s="21" t="s">
        <v>91</v>
      </c>
      <c r="H562" s="24" t="s">
        <v>1183</v>
      </c>
      <c r="I562" s="21">
        <v>27</v>
      </c>
      <c r="J562" s="21" t="s">
        <v>89</v>
      </c>
      <c r="K562" s="21">
        <v>77232347</v>
      </c>
      <c r="L562" s="21" t="str">
        <f>RIGHT(КХЛ!$H562,4)</f>
        <v>1990</v>
      </c>
    </row>
    <row r="563" spans="5:12" ht="15.75" customHeight="1" x14ac:dyDescent="0.2">
      <c r="E563" s="21">
        <v>1768</v>
      </c>
      <c r="F563" s="21" t="s">
        <v>1184</v>
      </c>
      <c r="G563" s="21" t="s">
        <v>83</v>
      </c>
      <c r="H563" s="24" t="s">
        <v>1185</v>
      </c>
      <c r="I563" s="21">
        <v>24</v>
      </c>
      <c r="J563" s="21" t="s">
        <v>89</v>
      </c>
      <c r="K563" s="21">
        <v>12944782</v>
      </c>
      <c r="L563" s="21" t="str">
        <f>RIGHT(КХЛ!$H563,4)</f>
        <v>1993</v>
      </c>
    </row>
    <row r="564" spans="5:12" ht="15.75" customHeight="1" x14ac:dyDescent="0.2">
      <c r="E564" s="21">
        <v>1652</v>
      </c>
      <c r="F564" s="21" t="s">
        <v>1186</v>
      </c>
      <c r="G564" s="21" t="s">
        <v>87</v>
      </c>
      <c r="H564" s="24" t="s">
        <v>1187</v>
      </c>
      <c r="I564" s="21">
        <v>21</v>
      </c>
      <c r="J564" s="21" t="s">
        <v>89</v>
      </c>
      <c r="K564" s="21">
        <v>70203773</v>
      </c>
      <c r="L564" s="21" t="str">
        <f>RIGHT(КХЛ!$H564,4)</f>
        <v>1997</v>
      </c>
    </row>
    <row r="565" spans="5:12" ht="15.75" customHeight="1" x14ac:dyDescent="0.2">
      <c r="E565" s="21">
        <v>402</v>
      </c>
      <c r="F565" s="21" t="s">
        <v>1188</v>
      </c>
      <c r="G565" s="21" t="s">
        <v>91</v>
      </c>
      <c r="H565" s="24" t="s">
        <v>1189</v>
      </c>
      <c r="I565" s="21">
        <v>30</v>
      </c>
      <c r="J565" s="21" t="s">
        <v>89</v>
      </c>
      <c r="K565" s="21">
        <v>81795366</v>
      </c>
      <c r="L565" s="21" t="str">
        <f>RIGHT(КХЛ!$H565,4)</f>
        <v>1987</v>
      </c>
    </row>
    <row r="566" spans="5:12" ht="15.75" customHeight="1" x14ac:dyDescent="0.2">
      <c r="E566" s="21">
        <v>1119</v>
      </c>
      <c r="F566" s="21" t="s">
        <v>1190</v>
      </c>
      <c r="G566" s="21" t="s">
        <v>91</v>
      </c>
      <c r="H566" s="24" t="s">
        <v>1191</v>
      </c>
      <c r="I566" s="21">
        <v>36</v>
      </c>
      <c r="J566" s="21" t="s">
        <v>89</v>
      </c>
      <c r="K566" s="21">
        <v>62572205</v>
      </c>
      <c r="L566" s="21" t="str">
        <f>RIGHT(КХЛ!$H566,4)</f>
        <v>1981</v>
      </c>
    </row>
    <row r="567" spans="5:12" ht="15.75" customHeight="1" x14ac:dyDescent="0.2">
      <c r="E567" s="21">
        <v>875</v>
      </c>
      <c r="F567" s="21" t="s">
        <v>1192</v>
      </c>
      <c r="G567" s="21" t="s">
        <v>91</v>
      </c>
      <c r="H567" s="24" t="s">
        <v>1193</v>
      </c>
      <c r="I567" s="21">
        <v>22</v>
      </c>
      <c r="J567" s="21" t="s">
        <v>89</v>
      </c>
      <c r="K567" s="21">
        <v>4675141</v>
      </c>
      <c r="L567" s="21" t="str">
        <f>RIGHT(КХЛ!$H567,4)</f>
        <v>1995</v>
      </c>
    </row>
    <row r="568" spans="5:12" ht="15.75" customHeight="1" x14ac:dyDescent="0.2">
      <c r="E568" s="21">
        <v>895</v>
      </c>
      <c r="F568" s="21" t="s">
        <v>1194</v>
      </c>
      <c r="G568" s="21" t="s">
        <v>91</v>
      </c>
      <c r="H568" s="24" t="s">
        <v>1195</v>
      </c>
      <c r="I568" s="21">
        <v>22</v>
      </c>
      <c r="J568" s="21" t="s">
        <v>89</v>
      </c>
      <c r="K568" s="21">
        <v>65977729</v>
      </c>
      <c r="L568" s="21" t="str">
        <f>RIGHT(КХЛ!$H568,4)</f>
        <v>1995</v>
      </c>
    </row>
    <row r="569" spans="5:12" ht="15.75" customHeight="1" x14ac:dyDescent="0.2">
      <c r="E569" s="21">
        <v>1488</v>
      </c>
      <c r="F569" s="21" t="s">
        <v>1196</v>
      </c>
      <c r="G569" s="21" t="s">
        <v>91</v>
      </c>
      <c r="H569" s="24" t="s">
        <v>1197</v>
      </c>
      <c r="I569" s="21">
        <v>24</v>
      </c>
      <c r="J569" s="21" t="s">
        <v>89</v>
      </c>
      <c r="K569" s="21">
        <v>24212889</v>
      </c>
      <c r="L569" s="21" t="str">
        <f>RIGHT(КХЛ!$H569,4)</f>
        <v>1993</v>
      </c>
    </row>
    <row r="570" spans="5:12" ht="15.75" customHeight="1" x14ac:dyDescent="0.2">
      <c r="E570" s="21">
        <v>746</v>
      </c>
      <c r="F570" s="21" t="s">
        <v>1198</v>
      </c>
      <c r="G570" s="21" t="s">
        <v>91</v>
      </c>
      <c r="H570" s="24" t="s">
        <v>1199</v>
      </c>
      <c r="I570" s="21">
        <v>36</v>
      </c>
      <c r="J570" s="21" t="s">
        <v>89</v>
      </c>
      <c r="K570" s="21">
        <v>17908817</v>
      </c>
      <c r="L570" s="21" t="str">
        <f>RIGHT(КХЛ!$H570,4)</f>
        <v>1981</v>
      </c>
    </row>
    <row r="571" spans="5:12" ht="15.75" customHeight="1" x14ac:dyDescent="0.2">
      <c r="E571" s="21">
        <v>120</v>
      </c>
      <c r="F571" s="21" t="s">
        <v>1200</v>
      </c>
      <c r="G571" s="21" t="s">
        <v>87</v>
      </c>
      <c r="H571" s="24" t="s">
        <v>1201</v>
      </c>
      <c r="I571" s="21">
        <v>36</v>
      </c>
      <c r="J571" s="21" t="s">
        <v>132</v>
      </c>
      <c r="K571" s="21">
        <v>62675656</v>
      </c>
      <c r="L571" s="21" t="str">
        <f>RIGHT(КХЛ!$H571,4)</f>
        <v>1981</v>
      </c>
    </row>
    <row r="572" spans="5:12" ht="15.75" customHeight="1" x14ac:dyDescent="0.2">
      <c r="E572" s="21">
        <v>947</v>
      </c>
      <c r="F572" s="21" t="s">
        <v>1202</v>
      </c>
      <c r="G572" s="21" t="s">
        <v>91</v>
      </c>
      <c r="H572" s="24" t="s">
        <v>1203</v>
      </c>
      <c r="I572" s="21">
        <v>23</v>
      </c>
      <c r="J572" s="21" t="s">
        <v>89</v>
      </c>
      <c r="K572" s="21">
        <v>64494381</v>
      </c>
      <c r="L572" s="21" t="str">
        <f>RIGHT(КХЛ!$H572,4)</f>
        <v>1994</v>
      </c>
    </row>
    <row r="573" spans="5:12" ht="15.75" customHeight="1" x14ac:dyDescent="0.2">
      <c r="E573" s="21">
        <v>1005</v>
      </c>
      <c r="F573" s="21" t="s">
        <v>1204</v>
      </c>
      <c r="G573" s="21" t="s">
        <v>91</v>
      </c>
      <c r="H573" s="24" t="s">
        <v>1205</v>
      </c>
      <c r="I573" s="21">
        <v>20</v>
      </c>
      <c r="J573" s="21" t="s">
        <v>89</v>
      </c>
      <c r="K573" s="21">
        <v>17025053</v>
      </c>
      <c r="L573" s="21" t="str">
        <f>RIGHT(КХЛ!$H573,4)</f>
        <v>1997</v>
      </c>
    </row>
    <row r="574" spans="5:12" ht="15.75" customHeight="1" x14ac:dyDescent="0.2">
      <c r="E574" s="21">
        <v>360</v>
      </c>
      <c r="F574" s="21" t="s">
        <v>1206</v>
      </c>
      <c r="G574" s="21" t="s">
        <v>91</v>
      </c>
      <c r="H574" s="24" t="s">
        <v>1207</v>
      </c>
      <c r="I574" s="21">
        <v>38</v>
      </c>
      <c r="J574" s="21" t="s">
        <v>89</v>
      </c>
      <c r="K574" s="21">
        <v>42817152</v>
      </c>
      <c r="L574" s="21" t="str">
        <f>RIGHT(КХЛ!$H574,4)</f>
        <v>1979</v>
      </c>
    </row>
    <row r="575" spans="5:12" ht="15.75" customHeight="1" x14ac:dyDescent="0.2">
      <c r="E575" s="21">
        <v>731</v>
      </c>
      <c r="F575" s="21" t="s">
        <v>1208</v>
      </c>
      <c r="G575" s="21" t="s">
        <v>83</v>
      </c>
      <c r="H575" s="24" t="s">
        <v>1209</v>
      </c>
      <c r="I575" s="21">
        <v>33</v>
      </c>
      <c r="J575" s="21" t="s">
        <v>85</v>
      </c>
      <c r="K575" s="21">
        <v>68927540</v>
      </c>
      <c r="L575" s="21" t="str">
        <f>RIGHT(КХЛ!$H575,4)</f>
        <v>1984</v>
      </c>
    </row>
    <row r="576" spans="5:12" ht="15.75" customHeight="1" x14ac:dyDescent="0.2">
      <c r="E576" s="21">
        <v>686</v>
      </c>
      <c r="F576" s="21" t="s">
        <v>1210</v>
      </c>
      <c r="G576" s="21" t="s">
        <v>83</v>
      </c>
      <c r="H576" s="24" t="s">
        <v>1211</v>
      </c>
      <c r="I576" s="21">
        <v>22</v>
      </c>
      <c r="J576" s="21" t="s">
        <v>132</v>
      </c>
      <c r="K576" s="21">
        <v>76826031</v>
      </c>
      <c r="L576" s="21" t="str">
        <f>RIGHT(КХЛ!$H576,4)</f>
        <v>1995</v>
      </c>
    </row>
    <row r="577" spans="5:12" ht="15.75" customHeight="1" x14ac:dyDescent="0.2">
      <c r="E577" s="21">
        <v>74</v>
      </c>
      <c r="F577" s="21" t="s">
        <v>1212</v>
      </c>
      <c r="G577" s="21" t="s">
        <v>91</v>
      </c>
      <c r="H577" s="24" t="s">
        <v>1213</v>
      </c>
      <c r="I577" s="21">
        <v>46</v>
      </c>
      <c r="J577" s="21" t="s">
        <v>89</v>
      </c>
      <c r="K577" s="21">
        <v>61125603</v>
      </c>
      <c r="L577" s="21" t="str">
        <f>RIGHT(КХЛ!$H577,4)</f>
        <v>1971</v>
      </c>
    </row>
    <row r="578" spans="5:12" ht="15.75" customHeight="1" x14ac:dyDescent="0.2">
      <c r="E578" s="21">
        <v>1759</v>
      </c>
      <c r="F578" s="21" t="s">
        <v>1214</v>
      </c>
      <c r="G578" s="21" t="s">
        <v>91</v>
      </c>
      <c r="H578" s="24" t="s">
        <v>1215</v>
      </c>
      <c r="I578" s="21">
        <v>26</v>
      </c>
      <c r="J578" s="21" t="s">
        <v>89</v>
      </c>
      <c r="K578" s="21">
        <v>68878301</v>
      </c>
      <c r="L578" s="21" t="str">
        <f>RIGHT(КХЛ!$H578,4)</f>
        <v>1991</v>
      </c>
    </row>
    <row r="579" spans="5:12" ht="15.75" customHeight="1" x14ac:dyDescent="0.2">
      <c r="E579" s="21">
        <v>782</v>
      </c>
      <c r="F579" s="21" t="s">
        <v>1216</v>
      </c>
      <c r="G579" s="21" t="s">
        <v>87</v>
      </c>
      <c r="H579" s="24" t="s">
        <v>232</v>
      </c>
      <c r="I579" s="21">
        <v>28</v>
      </c>
      <c r="J579" s="21" t="s">
        <v>89</v>
      </c>
      <c r="K579" s="21">
        <v>40591037</v>
      </c>
      <c r="L579" s="21" t="str">
        <f>RIGHT(КХЛ!$H579,4)</f>
        <v>1989</v>
      </c>
    </row>
    <row r="580" spans="5:12" ht="15.75" customHeight="1" x14ac:dyDescent="0.2">
      <c r="E580" s="21">
        <v>1135</v>
      </c>
      <c r="F580" s="21" t="s">
        <v>1217</v>
      </c>
      <c r="G580" s="21" t="s">
        <v>87</v>
      </c>
      <c r="H580" s="24" t="s">
        <v>1218</v>
      </c>
      <c r="I580" s="21">
        <v>28</v>
      </c>
      <c r="J580" s="21" t="s">
        <v>89</v>
      </c>
      <c r="K580" s="21">
        <v>40042838</v>
      </c>
      <c r="L580" s="21" t="str">
        <f>RIGHT(КХЛ!$H580,4)</f>
        <v>1989</v>
      </c>
    </row>
    <row r="581" spans="5:12" ht="15.75" customHeight="1" x14ac:dyDescent="0.2">
      <c r="E581" s="21">
        <v>118</v>
      </c>
      <c r="F581" s="21" t="s">
        <v>1219</v>
      </c>
      <c r="G581" s="21" t="s">
        <v>83</v>
      </c>
      <c r="H581" s="24" t="s">
        <v>1220</v>
      </c>
      <c r="I581" s="21">
        <v>31</v>
      </c>
      <c r="J581" s="21" t="s">
        <v>132</v>
      </c>
      <c r="K581" s="21">
        <v>81409059</v>
      </c>
      <c r="L581" s="21" t="str">
        <f>RIGHT(КХЛ!$H581,4)</f>
        <v>1986</v>
      </c>
    </row>
    <row r="582" spans="5:12" ht="15.75" customHeight="1" x14ac:dyDescent="0.2">
      <c r="E582" s="21">
        <v>1056</v>
      </c>
      <c r="F582" s="21" t="s">
        <v>1221</v>
      </c>
      <c r="G582" s="21" t="s">
        <v>91</v>
      </c>
      <c r="H582" s="24" t="s">
        <v>1222</v>
      </c>
      <c r="I582" s="21">
        <v>34</v>
      </c>
      <c r="J582" s="21" t="s">
        <v>89</v>
      </c>
      <c r="K582" s="21">
        <v>30508769</v>
      </c>
      <c r="L582" s="21" t="str">
        <f>RIGHT(КХЛ!$H582,4)</f>
        <v>1983</v>
      </c>
    </row>
    <row r="583" spans="5:12" ht="15.75" customHeight="1" x14ac:dyDescent="0.2">
      <c r="E583" s="21">
        <v>549</v>
      </c>
      <c r="F583" s="21" t="s">
        <v>1223</v>
      </c>
      <c r="G583" s="21" t="s">
        <v>91</v>
      </c>
      <c r="H583" s="24" t="s">
        <v>1224</v>
      </c>
      <c r="I583" s="21">
        <v>29</v>
      </c>
      <c r="J583" s="21" t="s">
        <v>89</v>
      </c>
      <c r="K583" s="21">
        <v>90918477</v>
      </c>
      <c r="L583" s="21" t="str">
        <f>RIGHT(КХЛ!$H583,4)</f>
        <v>1988</v>
      </c>
    </row>
    <row r="584" spans="5:12" ht="15.75" customHeight="1" x14ac:dyDescent="0.2">
      <c r="E584" s="21">
        <v>533</v>
      </c>
      <c r="F584" s="21" t="s">
        <v>1225</v>
      </c>
      <c r="G584" s="21" t="s">
        <v>83</v>
      </c>
      <c r="H584" s="24" t="s">
        <v>1226</v>
      </c>
      <c r="I584" s="21">
        <v>22</v>
      </c>
      <c r="J584" s="21" t="s">
        <v>89</v>
      </c>
      <c r="K584" s="21">
        <v>83212984</v>
      </c>
      <c r="L584" s="21" t="str">
        <f>RIGHT(КХЛ!$H584,4)</f>
        <v>1995</v>
      </c>
    </row>
    <row r="585" spans="5:12" ht="15.75" customHeight="1" x14ac:dyDescent="0.2">
      <c r="E585" s="21">
        <v>480</v>
      </c>
      <c r="F585" s="21" t="s">
        <v>1227</v>
      </c>
      <c r="G585" s="21" t="s">
        <v>91</v>
      </c>
      <c r="H585" s="24" t="s">
        <v>615</v>
      </c>
      <c r="I585" s="21">
        <v>29</v>
      </c>
      <c r="J585" s="21" t="s">
        <v>89</v>
      </c>
      <c r="K585" s="21">
        <v>74174227</v>
      </c>
      <c r="L585" s="21" t="str">
        <f>RIGHT(КХЛ!$H585,4)</f>
        <v>1988</v>
      </c>
    </row>
    <row r="586" spans="5:12" ht="15.75" customHeight="1" x14ac:dyDescent="0.2">
      <c r="E586" s="21">
        <v>88</v>
      </c>
      <c r="F586" s="21" t="s">
        <v>1228</v>
      </c>
      <c r="G586" s="21" t="s">
        <v>91</v>
      </c>
      <c r="H586" s="24" t="s">
        <v>1229</v>
      </c>
      <c r="I586" s="21">
        <v>24</v>
      </c>
      <c r="J586" s="21" t="s">
        <v>89</v>
      </c>
      <c r="K586" s="21">
        <v>38567595</v>
      </c>
      <c r="L586" s="21" t="str">
        <f>RIGHT(КХЛ!$H586,4)</f>
        <v>1993</v>
      </c>
    </row>
    <row r="587" spans="5:12" ht="15.75" customHeight="1" x14ac:dyDescent="0.2">
      <c r="E587" s="21">
        <v>253</v>
      </c>
      <c r="F587" s="21" t="s">
        <v>1230</v>
      </c>
      <c r="G587" s="21" t="s">
        <v>91</v>
      </c>
      <c r="H587" s="24" t="s">
        <v>1231</v>
      </c>
      <c r="I587" s="21">
        <v>42</v>
      </c>
      <c r="J587" s="21" t="s">
        <v>89</v>
      </c>
      <c r="K587" s="21">
        <v>26588728</v>
      </c>
      <c r="L587" s="21" t="str">
        <f>RIGHT(КХЛ!$H587,4)</f>
        <v>1975</v>
      </c>
    </row>
    <row r="588" spans="5:12" ht="15.75" customHeight="1" x14ac:dyDescent="0.2">
      <c r="E588" s="21">
        <v>461</v>
      </c>
      <c r="F588" s="21" t="s">
        <v>1232</v>
      </c>
      <c r="G588" s="21" t="s">
        <v>91</v>
      </c>
      <c r="H588" s="24" t="s">
        <v>1233</v>
      </c>
      <c r="I588" s="21">
        <v>28</v>
      </c>
      <c r="J588" s="21" t="s">
        <v>169</v>
      </c>
      <c r="K588" s="21">
        <v>37562353</v>
      </c>
      <c r="L588" s="21" t="str">
        <f>RIGHT(КХЛ!$H588,4)</f>
        <v>1989</v>
      </c>
    </row>
    <row r="589" spans="5:12" ht="15.75" customHeight="1" x14ac:dyDescent="0.2">
      <c r="E589" s="21">
        <v>784</v>
      </c>
      <c r="F589" s="21" t="s">
        <v>1234</v>
      </c>
      <c r="G589" s="21" t="s">
        <v>87</v>
      </c>
      <c r="H589" s="24" t="s">
        <v>1235</v>
      </c>
      <c r="I589" s="21">
        <v>24</v>
      </c>
      <c r="J589" s="21" t="s">
        <v>282</v>
      </c>
      <c r="K589" s="21">
        <v>71617261</v>
      </c>
      <c r="L589" s="21" t="str">
        <f>RIGHT(КХЛ!$H589,4)</f>
        <v>1993</v>
      </c>
    </row>
    <row r="590" spans="5:12" ht="15.75" customHeight="1" x14ac:dyDescent="0.2">
      <c r="E590" s="21">
        <v>1106</v>
      </c>
      <c r="F590" s="21" t="s">
        <v>1236</v>
      </c>
      <c r="G590" s="21" t="s">
        <v>91</v>
      </c>
      <c r="H590" s="24" t="s">
        <v>1237</v>
      </c>
      <c r="I590" s="21">
        <v>45</v>
      </c>
      <c r="J590" s="21" t="s">
        <v>222</v>
      </c>
      <c r="K590" s="21">
        <v>18956616</v>
      </c>
      <c r="L590" s="21" t="str">
        <f>RIGHT(КХЛ!$H590,4)</f>
        <v>1972</v>
      </c>
    </row>
    <row r="591" spans="5:12" ht="15.75" customHeight="1" x14ac:dyDescent="0.2">
      <c r="E591" s="21">
        <v>1308</v>
      </c>
      <c r="F591" s="21" t="s">
        <v>1238</v>
      </c>
      <c r="G591" s="21" t="s">
        <v>91</v>
      </c>
      <c r="H591" s="24" t="s">
        <v>1239</v>
      </c>
      <c r="I591" s="21">
        <v>21</v>
      </c>
      <c r="J591" s="21" t="s">
        <v>89</v>
      </c>
      <c r="K591" s="21">
        <v>55734320</v>
      </c>
      <c r="L591" s="21" t="str">
        <f>RIGHT(КХЛ!$H591,4)</f>
        <v>1996</v>
      </c>
    </row>
    <row r="592" spans="5:12" ht="15.75" customHeight="1" x14ac:dyDescent="0.2">
      <c r="E592" s="21">
        <v>281</v>
      </c>
      <c r="F592" s="21" t="s">
        <v>1240</v>
      </c>
      <c r="G592" s="21" t="s">
        <v>91</v>
      </c>
      <c r="H592" s="24" t="s">
        <v>1241</v>
      </c>
      <c r="I592" s="21">
        <v>20</v>
      </c>
      <c r="J592" s="21" t="s">
        <v>89</v>
      </c>
      <c r="K592" s="21">
        <v>47430170</v>
      </c>
      <c r="L592" s="21" t="str">
        <f>RIGHT(КХЛ!$H592,4)</f>
        <v>1997</v>
      </c>
    </row>
    <row r="593" spans="5:12" ht="15.75" customHeight="1" x14ac:dyDescent="0.2">
      <c r="E593" s="21">
        <v>212</v>
      </c>
      <c r="F593" s="21" t="s">
        <v>1242</v>
      </c>
      <c r="G593" s="21" t="s">
        <v>91</v>
      </c>
      <c r="H593" s="24" t="s">
        <v>1243</v>
      </c>
      <c r="I593" s="21">
        <v>40</v>
      </c>
      <c r="J593" s="21" t="s">
        <v>89</v>
      </c>
      <c r="K593" s="21">
        <v>24468257</v>
      </c>
      <c r="L593" s="21" t="str">
        <f>RIGHT(КХЛ!$H593,4)</f>
        <v>1977</v>
      </c>
    </row>
    <row r="594" spans="5:12" ht="15.75" customHeight="1" x14ac:dyDescent="0.2">
      <c r="E594" s="21">
        <v>160</v>
      </c>
      <c r="F594" s="21" t="s">
        <v>1244</v>
      </c>
      <c r="G594" s="21" t="s">
        <v>91</v>
      </c>
      <c r="H594" s="24" t="s">
        <v>1245</v>
      </c>
      <c r="I594" s="21">
        <v>28</v>
      </c>
      <c r="J594" s="21" t="s">
        <v>89</v>
      </c>
      <c r="K594" s="21">
        <v>32199814</v>
      </c>
      <c r="L594" s="21" t="str">
        <f>RIGHT(КХЛ!$H594,4)</f>
        <v>1989</v>
      </c>
    </row>
    <row r="595" spans="5:12" ht="15.75" customHeight="1" x14ac:dyDescent="0.2">
      <c r="E595" s="21">
        <v>139</v>
      </c>
      <c r="F595" s="21" t="s">
        <v>1246</v>
      </c>
      <c r="G595" s="21" t="s">
        <v>91</v>
      </c>
      <c r="H595" s="24" t="s">
        <v>1247</v>
      </c>
      <c r="I595" s="21">
        <v>35</v>
      </c>
      <c r="J595" s="21" t="s">
        <v>222</v>
      </c>
      <c r="K595" s="21">
        <v>99561007</v>
      </c>
      <c r="L595" s="21" t="str">
        <f>RIGHT(КХЛ!$H595,4)</f>
        <v>1982</v>
      </c>
    </row>
    <row r="596" spans="5:12" ht="15.75" customHeight="1" x14ac:dyDescent="0.2">
      <c r="E596" s="21">
        <v>954</v>
      </c>
      <c r="F596" s="21" t="s">
        <v>1248</v>
      </c>
      <c r="G596" s="21" t="s">
        <v>87</v>
      </c>
      <c r="H596" s="24" t="s">
        <v>1249</v>
      </c>
      <c r="I596" s="21">
        <v>26</v>
      </c>
      <c r="J596" s="21" t="s">
        <v>89</v>
      </c>
      <c r="K596" s="21">
        <v>40337922</v>
      </c>
      <c r="L596" s="21" t="str">
        <f>RIGHT(КХЛ!$H596,4)</f>
        <v>1991</v>
      </c>
    </row>
    <row r="597" spans="5:12" ht="15.75" customHeight="1" x14ac:dyDescent="0.2">
      <c r="E597" s="21">
        <v>854</v>
      </c>
      <c r="F597" s="21" t="s">
        <v>1250</v>
      </c>
      <c r="G597" s="21" t="s">
        <v>91</v>
      </c>
      <c r="H597" s="24" t="s">
        <v>1251</v>
      </c>
      <c r="I597" s="21">
        <v>24</v>
      </c>
      <c r="J597" s="21" t="s">
        <v>89</v>
      </c>
      <c r="K597" s="21">
        <v>49074734</v>
      </c>
      <c r="L597" s="21" t="str">
        <f>RIGHT(КХЛ!$H597,4)</f>
        <v>1993</v>
      </c>
    </row>
    <row r="598" spans="5:12" ht="15.75" customHeight="1" x14ac:dyDescent="0.2">
      <c r="E598" s="21">
        <v>989</v>
      </c>
      <c r="F598" s="21" t="s">
        <v>1252</v>
      </c>
      <c r="G598" s="21" t="s">
        <v>91</v>
      </c>
      <c r="H598" s="24" t="s">
        <v>1253</v>
      </c>
      <c r="I598" s="21">
        <v>21</v>
      </c>
      <c r="J598" s="21" t="s">
        <v>93</v>
      </c>
      <c r="K598" s="21">
        <v>55425574</v>
      </c>
      <c r="L598" s="21" t="str">
        <f>RIGHT(КХЛ!$H598,4)</f>
        <v>1996</v>
      </c>
    </row>
    <row r="599" spans="5:12" ht="15.75" customHeight="1" x14ac:dyDescent="0.2">
      <c r="E599" s="21">
        <v>633</v>
      </c>
      <c r="F599" s="21" t="s">
        <v>1254</v>
      </c>
      <c r="G599" s="21" t="s">
        <v>91</v>
      </c>
      <c r="H599" s="24" t="s">
        <v>1255</v>
      </c>
      <c r="I599" s="21">
        <v>25</v>
      </c>
      <c r="J599" s="21" t="s">
        <v>169</v>
      </c>
      <c r="K599" s="21">
        <v>41464047</v>
      </c>
      <c r="L599" s="21" t="str">
        <f>RIGHT(КХЛ!$H599,4)</f>
        <v>1992</v>
      </c>
    </row>
    <row r="600" spans="5:12" ht="15.75" customHeight="1" x14ac:dyDescent="0.2">
      <c r="E600" s="21">
        <v>389</v>
      </c>
      <c r="F600" s="21" t="s">
        <v>1256</v>
      </c>
      <c r="G600" s="21" t="s">
        <v>87</v>
      </c>
      <c r="H600" s="24" t="s">
        <v>1257</v>
      </c>
      <c r="I600" s="21">
        <v>26</v>
      </c>
      <c r="J600" s="21" t="s">
        <v>89</v>
      </c>
      <c r="K600" s="21">
        <v>57057755</v>
      </c>
      <c r="L600" s="21" t="str">
        <f>RIGHT(КХЛ!$H600,4)</f>
        <v>1991</v>
      </c>
    </row>
    <row r="601" spans="5:12" ht="15.75" customHeight="1" x14ac:dyDescent="0.2">
      <c r="E601" s="21">
        <v>1253</v>
      </c>
      <c r="F601" s="21" t="s">
        <v>1258</v>
      </c>
      <c r="G601" s="21" t="s">
        <v>91</v>
      </c>
      <c r="H601" s="24" t="s">
        <v>1259</v>
      </c>
      <c r="I601" s="21">
        <v>34</v>
      </c>
      <c r="J601" s="21" t="s">
        <v>169</v>
      </c>
      <c r="K601" s="21">
        <v>73448178</v>
      </c>
      <c r="L601" s="21" t="str">
        <f>RIGHT(КХЛ!$H601,4)</f>
        <v>1983</v>
      </c>
    </row>
    <row r="602" spans="5:12" ht="15.75" customHeight="1" x14ac:dyDescent="0.2">
      <c r="E602" s="21">
        <v>1243</v>
      </c>
      <c r="F602" s="21" t="s">
        <v>1260</v>
      </c>
      <c r="G602" s="21" t="s">
        <v>91</v>
      </c>
      <c r="H602" s="24" t="s">
        <v>230</v>
      </c>
      <c r="I602" s="21">
        <v>21</v>
      </c>
      <c r="J602" s="21" t="s">
        <v>89</v>
      </c>
      <c r="K602" s="21">
        <v>11582373</v>
      </c>
      <c r="L602" s="21" t="str">
        <f>RIGHT(КХЛ!$H602,4)</f>
        <v>1997</v>
      </c>
    </row>
    <row r="603" spans="5:12" ht="15.75" customHeight="1" x14ac:dyDescent="0.2">
      <c r="E603" s="21">
        <v>1489</v>
      </c>
      <c r="F603" s="21" t="s">
        <v>1261</v>
      </c>
      <c r="G603" s="21" t="s">
        <v>91</v>
      </c>
      <c r="H603" s="24" t="s">
        <v>1262</v>
      </c>
      <c r="I603" s="21">
        <v>28</v>
      </c>
      <c r="J603" s="21" t="s">
        <v>106</v>
      </c>
      <c r="K603" s="21">
        <v>71021872</v>
      </c>
      <c r="L603" s="21" t="str">
        <f>RIGHT(КХЛ!$H603,4)</f>
        <v>1989</v>
      </c>
    </row>
    <row r="604" spans="5:12" ht="15.75" customHeight="1" x14ac:dyDescent="0.2">
      <c r="E604" s="21">
        <v>1767</v>
      </c>
      <c r="F604" s="21" t="s">
        <v>1263</v>
      </c>
      <c r="G604" s="21" t="s">
        <v>91</v>
      </c>
      <c r="H604" s="24" t="s">
        <v>1264</v>
      </c>
      <c r="I604" s="21">
        <v>33</v>
      </c>
      <c r="J604" s="21" t="s">
        <v>89</v>
      </c>
      <c r="K604" s="21">
        <v>46800500</v>
      </c>
      <c r="L604" s="21" t="str">
        <f>RIGHT(КХЛ!$H604,4)</f>
        <v>1984</v>
      </c>
    </row>
    <row r="605" spans="5:12" ht="15.75" customHeight="1" x14ac:dyDescent="0.2">
      <c r="E605" s="21">
        <v>221</v>
      </c>
      <c r="F605" s="21" t="s">
        <v>1265</v>
      </c>
      <c r="G605" s="21" t="s">
        <v>91</v>
      </c>
      <c r="H605" s="24" t="s">
        <v>1266</v>
      </c>
      <c r="I605" s="21">
        <v>24</v>
      </c>
      <c r="J605" s="21" t="s">
        <v>89</v>
      </c>
      <c r="K605" s="21">
        <v>31393397</v>
      </c>
      <c r="L605" s="21" t="str">
        <f>RIGHT(КХЛ!$H605,4)</f>
        <v>1993</v>
      </c>
    </row>
    <row r="606" spans="5:12" ht="15.75" customHeight="1" x14ac:dyDescent="0.2">
      <c r="E606" s="21">
        <v>1737</v>
      </c>
      <c r="F606" s="21" t="s">
        <v>1267</v>
      </c>
      <c r="G606" s="21" t="s">
        <v>83</v>
      </c>
      <c r="H606" s="24" t="s">
        <v>1268</v>
      </c>
      <c r="I606" s="21">
        <v>21</v>
      </c>
      <c r="J606" s="21" t="s">
        <v>89</v>
      </c>
      <c r="K606" s="21">
        <v>90652205</v>
      </c>
      <c r="L606" s="21" t="str">
        <f>RIGHT(КХЛ!$H606,4)</f>
        <v>1996</v>
      </c>
    </row>
    <row r="607" spans="5:12" ht="15.75" customHeight="1" x14ac:dyDescent="0.2">
      <c r="E607" s="21">
        <v>1384</v>
      </c>
      <c r="F607" s="21" t="s">
        <v>1269</v>
      </c>
      <c r="G607" s="21" t="s">
        <v>87</v>
      </c>
      <c r="H607" s="24" t="s">
        <v>1270</v>
      </c>
      <c r="I607" s="21">
        <v>33</v>
      </c>
      <c r="J607" s="21" t="s">
        <v>132</v>
      </c>
      <c r="K607" s="21">
        <v>47857903</v>
      </c>
      <c r="L607" s="21" t="str">
        <f>RIGHT(КХЛ!$H607,4)</f>
        <v>1984</v>
      </c>
    </row>
    <row r="608" spans="5:12" ht="15.75" customHeight="1" x14ac:dyDescent="0.2">
      <c r="E608" s="21">
        <v>510</v>
      </c>
      <c r="F608" s="21" t="s">
        <v>1271</v>
      </c>
      <c r="G608" s="21" t="s">
        <v>91</v>
      </c>
      <c r="H608" s="24" t="s">
        <v>1272</v>
      </c>
      <c r="I608" s="21">
        <v>26</v>
      </c>
      <c r="J608" s="21" t="s">
        <v>89</v>
      </c>
      <c r="K608" s="21">
        <v>51153059</v>
      </c>
      <c r="L608" s="21" t="str">
        <f>RIGHT(КХЛ!$H608,4)</f>
        <v>1991</v>
      </c>
    </row>
    <row r="609" spans="5:12" ht="15.75" customHeight="1" x14ac:dyDescent="0.2">
      <c r="E609" s="21">
        <v>126</v>
      </c>
      <c r="F609" s="21" t="s">
        <v>1273</v>
      </c>
      <c r="G609" s="21" t="s">
        <v>83</v>
      </c>
      <c r="H609" s="24" t="s">
        <v>1274</v>
      </c>
      <c r="I609" s="21">
        <v>39</v>
      </c>
      <c r="J609" s="21" t="s">
        <v>152</v>
      </c>
      <c r="K609" s="21">
        <v>28913906</v>
      </c>
      <c r="L609" s="21" t="str">
        <f>RIGHT(КХЛ!$H609,4)</f>
        <v>1978</v>
      </c>
    </row>
    <row r="610" spans="5:12" ht="15.75" customHeight="1" x14ac:dyDescent="0.2">
      <c r="E610" s="21">
        <v>1651</v>
      </c>
      <c r="F610" s="21" t="s">
        <v>1275</v>
      </c>
      <c r="G610" s="21" t="s">
        <v>91</v>
      </c>
      <c r="H610" s="24" t="s">
        <v>613</v>
      </c>
      <c r="I610" s="21">
        <v>35</v>
      </c>
      <c r="J610" s="21" t="s">
        <v>222</v>
      </c>
      <c r="K610" s="21">
        <v>80371855</v>
      </c>
      <c r="L610" s="21" t="str">
        <f>RIGHT(КХЛ!$H610,4)</f>
        <v>1982</v>
      </c>
    </row>
    <row r="611" spans="5:12" ht="15.75" customHeight="1" x14ac:dyDescent="0.2">
      <c r="E611" s="21">
        <v>1180</v>
      </c>
      <c r="F611" s="21" t="s">
        <v>1276</v>
      </c>
      <c r="G611" s="21" t="s">
        <v>91</v>
      </c>
      <c r="H611" s="24" t="s">
        <v>1277</v>
      </c>
      <c r="I611" s="21">
        <v>38</v>
      </c>
      <c r="J611" s="21" t="s">
        <v>89</v>
      </c>
      <c r="K611" s="21">
        <v>71794242</v>
      </c>
      <c r="L611" s="21" t="str">
        <f>RIGHT(КХЛ!$H611,4)</f>
        <v>1979</v>
      </c>
    </row>
    <row r="612" spans="5:12" ht="15.75" customHeight="1" x14ac:dyDescent="0.2">
      <c r="E612" s="21">
        <v>175</v>
      </c>
      <c r="F612" s="21" t="s">
        <v>1278</v>
      </c>
      <c r="G612" s="21" t="s">
        <v>83</v>
      </c>
      <c r="H612" s="24" t="s">
        <v>1279</v>
      </c>
      <c r="I612" s="21">
        <v>29</v>
      </c>
      <c r="J612" s="21" t="s">
        <v>106</v>
      </c>
      <c r="K612" s="21">
        <v>13979903</v>
      </c>
      <c r="L612" s="21" t="str">
        <f>RIGHT(КХЛ!$H612,4)</f>
        <v>1988</v>
      </c>
    </row>
    <row r="613" spans="5:12" ht="15.75" customHeight="1" x14ac:dyDescent="0.2">
      <c r="E613" s="21">
        <v>570</v>
      </c>
      <c r="F613" s="21" t="s">
        <v>1280</v>
      </c>
      <c r="G613" s="21" t="s">
        <v>83</v>
      </c>
      <c r="H613" s="24" t="s">
        <v>1281</v>
      </c>
      <c r="I613" s="21">
        <v>34</v>
      </c>
      <c r="J613" s="21" t="s">
        <v>93</v>
      </c>
      <c r="K613" s="21">
        <v>49117381</v>
      </c>
      <c r="L613" s="21" t="str">
        <f>RIGHT(КХЛ!$H613,4)</f>
        <v>1983</v>
      </c>
    </row>
    <row r="614" spans="5:12" ht="15.75" customHeight="1" x14ac:dyDescent="0.2">
      <c r="E614" s="21">
        <v>347</v>
      </c>
      <c r="F614" s="21" t="s">
        <v>1282</v>
      </c>
      <c r="G614" s="21" t="s">
        <v>91</v>
      </c>
      <c r="H614" s="24" t="s">
        <v>1283</v>
      </c>
      <c r="I614" s="21">
        <v>36</v>
      </c>
      <c r="J614" s="21" t="s">
        <v>222</v>
      </c>
      <c r="K614" s="21">
        <v>62560738</v>
      </c>
      <c r="L614" s="21" t="str">
        <f>RIGHT(КХЛ!$H614,4)</f>
        <v>1982</v>
      </c>
    </row>
    <row r="615" spans="5:12" ht="15.75" customHeight="1" x14ac:dyDescent="0.2">
      <c r="E615" s="21">
        <v>793</v>
      </c>
      <c r="F615" s="21" t="s">
        <v>1284</v>
      </c>
      <c r="G615" s="21" t="s">
        <v>91</v>
      </c>
      <c r="H615" s="24" t="s">
        <v>1285</v>
      </c>
      <c r="I615" s="21">
        <v>35</v>
      </c>
      <c r="J615" s="21" t="s">
        <v>89</v>
      </c>
      <c r="K615" s="21">
        <v>95773974</v>
      </c>
      <c r="L615" s="21" t="str">
        <f>RIGHT(КХЛ!$H615,4)</f>
        <v>1982</v>
      </c>
    </row>
    <row r="616" spans="5:12" ht="15.75" customHeight="1" x14ac:dyDescent="0.2">
      <c r="E616" s="21">
        <v>141</v>
      </c>
      <c r="F616" s="21" t="s">
        <v>1286</v>
      </c>
      <c r="G616" s="21" t="s">
        <v>83</v>
      </c>
      <c r="H616" s="24" t="s">
        <v>1287</v>
      </c>
      <c r="I616" s="21">
        <v>33</v>
      </c>
      <c r="J616" s="21" t="s">
        <v>222</v>
      </c>
      <c r="K616" s="21">
        <v>36368605</v>
      </c>
      <c r="L616" s="21" t="str">
        <f>RIGHT(КХЛ!$H616,4)</f>
        <v>1984</v>
      </c>
    </row>
    <row r="617" spans="5:12" ht="15.75" customHeight="1" x14ac:dyDescent="0.2">
      <c r="E617" s="21">
        <v>1110</v>
      </c>
      <c r="F617" s="21" t="s">
        <v>1288</v>
      </c>
      <c r="G617" s="21" t="s">
        <v>87</v>
      </c>
      <c r="H617" s="24" t="s">
        <v>1289</v>
      </c>
      <c r="I617" s="21">
        <v>32</v>
      </c>
      <c r="J617" s="21" t="s">
        <v>89</v>
      </c>
      <c r="K617" s="21">
        <v>58109534</v>
      </c>
      <c r="L617" s="21" t="str">
        <f>RIGHT(КХЛ!$H617,4)</f>
        <v>1985</v>
      </c>
    </row>
    <row r="618" spans="5:12" ht="15.75" customHeight="1" x14ac:dyDescent="0.2">
      <c r="E618" s="21">
        <v>122</v>
      </c>
      <c r="F618" s="21" t="s">
        <v>1290</v>
      </c>
      <c r="G618" s="21" t="s">
        <v>91</v>
      </c>
      <c r="H618" s="24" t="s">
        <v>1291</v>
      </c>
      <c r="I618" s="21">
        <v>28</v>
      </c>
      <c r="J618" s="21" t="s">
        <v>89</v>
      </c>
      <c r="K618" s="21">
        <v>62176904</v>
      </c>
      <c r="L618" s="21" t="str">
        <f>RIGHT(КХЛ!$H618,4)</f>
        <v>1989</v>
      </c>
    </row>
    <row r="619" spans="5:12" ht="15.75" customHeight="1" x14ac:dyDescent="0.2">
      <c r="E619" s="21">
        <v>853</v>
      </c>
      <c r="F619" s="21" t="s">
        <v>1060</v>
      </c>
      <c r="G619" s="21" t="s">
        <v>83</v>
      </c>
      <c r="H619" s="24" t="s">
        <v>444</v>
      </c>
      <c r="I619" s="21">
        <v>22</v>
      </c>
      <c r="J619" s="21" t="s">
        <v>89</v>
      </c>
      <c r="K619" s="21">
        <v>31205608</v>
      </c>
      <c r="L619" s="21" t="str">
        <f>RIGHT(КХЛ!$H619,4)</f>
        <v>1995</v>
      </c>
    </row>
    <row r="620" spans="5:12" ht="15.75" customHeight="1" x14ac:dyDescent="0.2">
      <c r="E620" s="21">
        <v>369</v>
      </c>
      <c r="F620" s="21" t="s">
        <v>1292</v>
      </c>
      <c r="G620" s="21" t="s">
        <v>91</v>
      </c>
      <c r="H620" s="24" t="s">
        <v>1293</v>
      </c>
      <c r="I620" s="21">
        <v>36</v>
      </c>
      <c r="J620" s="21" t="s">
        <v>89</v>
      </c>
      <c r="K620" s="21">
        <v>9555799</v>
      </c>
      <c r="L620" s="21" t="str">
        <f>RIGHT(КХЛ!$H620,4)</f>
        <v>1981</v>
      </c>
    </row>
    <row r="621" spans="5:12" ht="15.75" customHeight="1" x14ac:dyDescent="0.2">
      <c r="E621" s="21">
        <v>1784</v>
      </c>
      <c r="F621" s="21" t="s">
        <v>1294</v>
      </c>
      <c r="G621" s="21" t="s">
        <v>91</v>
      </c>
      <c r="H621" s="24" t="s">
        <v>1295</v>
      </c>
      <c r="I621" s="21">
        <v>27</v>
      </c>
      <c r="J621" s="21" t="s">
        <v>222</v>
      </c>
      <c r="K621" s="21">
        <v>21544977</v>
      </c>
      <c r="L621" s="21" t="str">
        <f>RIGHT(КХЛ!$H621,4)</f>
        <v>1990</v>
      </c>
    </row>
    <row r="622" spans="5:12" ht="15.75" customHeight="1" x14ac:dyDescent="0.2">
      <c r="E622" s="21">
        <v>321</v>
      </c>
      <c r="F622" s="21" t="s">
        <v>1296</v>
      </c>
      <c r="G622" s="21" t="s">
        <v>91</v>
      </c>
      <c r="H622" s="24" t="s">
        <v>1297</v>
      </c>
      <c r="I622" s="21">
        <v>23</v>
      </c>
      <c r="J622" s="21" t="s">
        <v>89</v>
      </c>
      <c r="K622" s="21">
        <v>25670632</v>
      </c>
      <c r="L622" s="21" t="str">
        <f>RIGHT(КХЛ!$H622,4)</f>
        <v>1994</v>
      </c>
    </row>
    <row r="623" spans="5:12" ht="15.75" customHeight="1" x14ac:dyDescent="0.2">
      <c r="E623" s="21">
        <v>1252</v>
      </c>
      <c r="F623" s="21" t="s">
        <v>1298</v>
      </c>
      <c r="G623" s="21" t="s">
        <v>91</v>
      </c>
      <c r="H623" s="24" t="s">
        <v>1299</v>
      </c>
      <c r="I623" s="21">
        <v>24</v>
      </c>
      <c r="J623" s="21" t="s">
        <v>89</v>
      </c>
      <c r="K623" s="21">
        <v>86169290</v>
      </c>
      <c r="L623" s="21" t="str">
        <f>RIGHT(КХЛ!$H623,4)</f>
        <v>1994</v>
      </c>
    </row>
    <row r="624" spans="5:12" ht="15.75" customHeight="1" x14ac:dyDescent="0.2">
      <c r="E624" s="21">
        <v>30</v>
      </c>
      <c r="F624" s="21" t="s">
        <v>1300</v>
      </c>
      <c r="G624" s="21" t="s">
        <v>91</v>
      </c>
      <c r="H624" s="24" t="s">
        <v>1301</v>
      </c>
      <c r="I624" s="21">
        <v>24</v>
      </c>
      <c r="J624" s="21" t="s">
        <v>89</v>
      </c>
      <c r="K624" s="21">
        <v>71263688</v>
      </c>
      <c r="L624" s="21" t="str">
        <f>RIGHT(КХЛ!$H624,4)</f>
        <v>1993</v>
      </c>
    </row>
    <row r="625" spans="5:12" ht="15.75" customHeight="1" x14ac:dyDescent="0.2">
      <c r="E625" s="21">
        <v>652</v>
      </c>
      <c r="F625" s="21" t="s">
        <v>1302</v>
      </c>
      <c r="G625" s="21" t="s">
        <v>91</v>
      </c>
      <c r="H625" s="24" t="s">
        <v>1303</v>
      </c>
      <c r="I625" s="21">
        <v>48</v>
      </c>
      <c r="J625" s="21" t="s">
        <v>89</v>
      </c>
      <c r="K625" s="21">
        <v>40205306</v>
      </c>
      <c r="L625" s="21" t="str">
        <f>RIGHT(КХЛ!$H625,4)</f>
        <v>1969</v>
      </c>
    </row>
    <row r="626" spans="5:12" ht="15.75" customHeight="1" x14ac:dyDescent="0.2">
      <c r="E626" s="21">
        <v>27</v>
      </c>
      <c r="F626" s="21" t="s">
        <v>1304</v>
      </c>
      <c r="G626" s="21" t="s">
        <v>83</v>
      </c>
      <c r="H626" s="24" t="s">
        <v>1305</v>
      </c>
      <c r="I626" s="21">
        <v>41</v>
      </c>
      <c r="J626" s="21" t="s">
        <v>132</v>
      </c>
      <c r="K626" s="21">
        <v>74836285</v>
      </c>
      <c r="L626" s="21" t="str">
        <f>RIGHT(КХЛ!$H626,4)</f>
        <v>1976</v>
      </c>
    </row>
    <row r="627" spans="5:12" ht="15.75" customHeight="1" x14ac:dyDescent="0.2">
      <c r="E627" s="21">
        <v>1562</v>
      </c>
      <c r="F627" s="21" t="s">
        <v>1306</v>
      </c>
      <c r="G627" s="21" t="s">
        <v>83</v>
      </c>
      <c r="H627" s="24" t="s">
        <v>1307</v>
      </c>
      <c r="I627" s="21">
        <v>32</v>
      </c>
      <c r="J627" s="21" t="s">
        <v>89</v>
      </c>
      <c r="K627" s="21">
        <v>71718382</v>
      </c>
      <c r="L627" s="21" t="str">
        <f>RIGHT(КХЛ!$H627,4)</f>
        <v>1985</v>
      </c>
    </row>
    <row r="628" spans="5:12" ht="15.75" customHeight="1" x14ac:dyDescent="0.2">
      <c r="E628" s="21">
        <v>925</v>
      </c>
      <c r="F628" s="21" t="s">
        <v>1308</v>
      </c>
      <c r="G628" s="21" t="s">
        <v>83</v>
      </c>
      <c r="H628" s="24" t="s">
        <v>1309</v>
      </c>
      <c r="I628" s="21">
        <v>37</v>
      </c>
      <c r="J628" s="21" t="s">
        <v>89</v>
      </c>
      <c r="K628" s="21">
        <v>79586714</v>
      </c>
      <c r="L628" s="21" t="str">
        <f>RIGHT(КХЛ!$H628,4)</f>
        <v>1980</v>
      </c>
    </row>
    <row r="629" spans="5:12" ht="15.75" customHeight="1" x14ac:dyDescent="0.2">
      <c r="E629" s="21">
        <v>168</v>
      </c>
      <c r="F629" s="21" t="s">
        <v>1310</v>
      </c>
      <c r="G629" s="21" t="s">
        <v>91</v>
      </c>
      <c r="H629" s="24" t="s">
        <v>1311</v>
      </c>
      <c r="I629" s="21">
        <v>25</v>
      </c>
      <c r="J629" s="21" t="s">
        <v>89</v>
      </c>
      <c r="K629" s="21">
        <v>22201361</v>
      </c>
      <c r="L629" s="21" t="str">
        <f>RIGHT(КХЛ!$H629,4)</f>
        <v>1992</v>
      </c>
    </row>
    <row r="630" spans="5:12" ht="15.75" customHeight="1" x14ac:dyDescent="0.2">
      <c r="E630" s="21">
        <v>944</v>
      </c>
      <c r="F630" s="21" t="s">
        <v>1312</v>
      </c>
      <c r="G630" s="21" t="s">
        <v>91</v>
      </c>
      <c r="H630" s="24" t="s">
        <v>1313</v>
      </c>
      <c r="I630" s="21">
        <v>39</v>
      </c>
      <c r="J630" s="21" t="s">
        <v>152</v>
      </c>
      <c r="K630" s="21">
        <v>43493189</v>
      </c>
      <c r="L630" s="21" t="str">
        <f>RIGHT(КХЛ!$H630,4)</f>
        <v>1978</v>
      </c>
    </row>
    <row r="631" spans="5:12" ht="15.75" customHeight="1" x14ac:dyDescent="0.2">
      <c r="E631" s="21">
        <v>316</v>
      </c>
      <c r="F631" s="21" t="s">
        <v>1314</v>
      </c>
      <c r="G631" s="21" t="s">
        <v>83</v>
      </c>
      <c r="H631" s="24" t="s">
        <v>1315</v>
      </c>
      <c r="I631" s="21">
        <v>26</v>
      </c>
      <c r="J631" s="21" t="s">
        <v>132</v>
      </c>
      <c r="K631" s="21">
        <v>5272402</v>
      </c>
      <c r="L631" s="21" t="str">
        <f>RIGHT(КХЛ!$H631,4)</f>
        <v>1991</v>
      </c>
    </row>
    <row r="632" spans="5:12" ht="15.75" customHeight="1" x14ac:dyDescent="0.2">
      <c r="E632" s="21">
        <v>873</v>
      </c>
      <c r="F632" s="21" t="s">
        <v>1316</v>
      </c>
      <c r="G632" s="21" t="s">
        <v>91</v>
      </c>
      <c r="H632" s="24" t="s">
        <v>1317</v>
      </c>
      <c r="I632" s="21">
        <v>22</v>
      </c>
      <c r="J632" s="21" t="s">
        <v>89</v>
      </c>
      <c r="K632" s="21">
        <v>88788721</v>
      </c>
      <c r="L632" s="21" t="str">
        <f>RIGHT(КХЛ!$H632,4)</f>
        <v>1995</v>
      </c>
    </row>
    <row r="633" spans="5:12" ht="15.75" customHeight="1" x14ac:dyDescent="0.2">
      <c r="E633" s="21">
        <v>1743</v>
      </c>
      <c r="F633" s="21" t="s">
        <v>1318</v>
      </c>
      <c r="G633" s="21" t="s">
        <v>83</v>
      </c>
      <c r="H633" s="24" t="s">
        <v>1041</v>
      </c>
      <c r="I633" s="21">
        <v>28</v>
      </c>
      <c r="J633" s="21" t="s">
        <v>89</v>
      </c>
      <c r="K633" s="21">
        <v>96144545</v>
      </c>
      <c r="L633" s="21" t="str">
        <f>RIGHT(КХЛ!$H633,4)</f>
        <v>1989</v>
      </c>
    </row>
    <row r="634" spans="5:12" ht="15.75" customHeight="1" x14ac:dyDescent="0.2">
      <c r="E634" s="21">
        <v>446</v>
      </c>
      <c r="F634" s="21" t="s">
        <v>1319</v>
      </c>
      <c r="G634" s="21" t="s">
        <v>91</v>
      </c>
      <c r="H634" s="24" t="s">
        <v>1320</v>
      </c>
      <c r="I634" s="21">
        <v>30</v>
      </c>
      <c r="J634" s="21" t="s">
        <v>1321</v>
      </c>
      <c r="K634" s="21">
        <v>95089459</v>
      </c>
      <c r="L634" s="21" t="str">
        <f>RIGHT(КХЛ!$H634,4)</f>
        <v>1987</v>
      </c>
    </row>
    <row r="635" spans="5:12" ht="15.75" customHeight="1" x14ac:dyDescent="0.2">
      <c r="E635" s="21">
        <v>745</v>
      </c>
      <c r="F635" s="21" t="s">
        <v>1322</v>
      </c>
      <c r="G635" s="21" t="s">
        <v>91</v>
      </c>
      <c r="H635" s="24" t="s">
        <v>1323</v>
      </c>
      <c r="I635" s="21">
        <v>23</v>
      </c>
      <c r="J635" s="21" t="s">
        <v>89</v>
      </c>
      <c r="K635" s="21">
        <v>75005630</v>
      </c>
      <c r="L635" s="21" t="str">
        <f>RIGHT(КХЛ!$H635,4)</f>
        <v>1994</v>
      </c>
    </row>
    <row r="636" spans="5:12" ht="15.75" customHeight="1" x14ac:dyDescent="0.2">
      <c r="E636" s="21">
        <v>306</v>
      </c>
      <c r="F636" s="21" t="s">
        <v>1324</v>
      </c>
      <c r="G636" s="21" t="s">
        <v>87</v>
      </c>
      <c r="H636" s="24" t="s">
        <v>1325</v>
      </c>
      <c r="I636" s="21">
        <v>39</v>
      </c>
      <c r="J636" s="21" t="s">
        <v>222</v>
      </c>
      <c r="K636" s="21">
        <v>90665137</v>
      </c>
      <c r="L636" s="21" t="str">
        <f>RIGHT(КХЛ!$H636,4)</f>
        <v>1978</v>
      </c>
    </row>
    <row r="637" spans="5:12" ht="15.75" customHeight="1" x14ac:dyDescent="0.2">
      <c r="E637" s="21">
        <v>95</v>
      </c>
      <c r="F637" s="21" t="s">
        <v>1326</v>
      </c>
      <c r="G637" s="21" t="s">
        <v>91</v>
      </c>
      <c r="H637" s="24" t="s">
        <v>1327</v>
      </c>
      <c r="I637" s="21">
        <v>27</v>
      </c>
      <c r="J637" s="21" t="s">
        <v>89</v>
      </c>
      <c r="K637" s="21">
        <v>63994972</v>
      </c>
      <c r="L637" s="21" t="str">
        <f>RIGHT(КХЛ!$H637,4)</f>
        <v>1991</v>
      </c>
    </row>
    <row r="638" spans="5:12" ht="15.75" customHeight="1" x14ac:dyDescent="0.2">
      <c r="E638" s="21">
        <v>588</v>
      </c>
      <c r="F638" s="21" t="s">
        <v>1328</v>
      </c>
      <c r="G638" s="21" t="s">
        <v>83</v>
      </c>
      <c r="H638" s="24" t="s">
        <v>1329</v>
      </c>
      <c r="I638" s="21">
        <v>25</v>
      </c>
      <c r="J638" s="21" t="s">
        <v>93</v>
      </c>
      <c r="K638" s="21">
        <v>56530568</v>
      </c>
      <c r="L638" s="21" t="str">
        <f>RIGHT(КХЛ!$H638,4)</f>
        <v>1992</v>
      </c>
    </row>
    <row r="639" spans="5:12" ht="15.75" customHeight="1" x14ac:dyDescent="0.2">
      <c r="E639" s="21">
        <v>284</v>
      </c>
      <c r="F639" s="21" t="s">
        <v>1330</v>
      </c>
      <c r="G639" s="21" t="s">
        <v>91</v>
      </c>
      <c r="H639" s="24" t="s">
        <v>1331</v>
      </c>
      <c r="I639" s="21">
        <v>36</v>
      </c>
      <c r="J639" s="21" t="s">
        <v>222</v>
      </c>
      <c r="K639" s="21">
        <v>52251233</v>
      </c>
      <c r="L639" s="21" t="str">
        <f>RIGHT(КХЛ!$H639,4)</f>
        <v>1981</v>
      </c>
    </row>
    <row r="640" spans="5:12" ht="15.75" customHeight="1" x14ac:dyDescent="0.2">
      <c r="E640" s="21">
        <v>1703</v>
      </c>
      <c r="F640" s="21" t="s">
        <v>1332</v>
      </c>
      <c r="G640" s="21" t="s">
        <v>91</v>
      </c>
      <c r="H640" s="24" t="s">
        <v>1333</v>
      </c>
      <c r="I640" s="21">
        <v>34</v>
      </c>
      <c r="J640" s="21" t="s">
        <v>89</v>
      </c>
      <c r="K640" s="21">
        <v>17304730</v>
      </c>
      <c r="L640" s="21" t="str">
        <f>RIGHT(КХЛ!$H640,4)</f>
        <v>1983</v>
      </c>
    </row>
    <row r="641" spans="5:12" ht="15.75" customHeight="1" x14ac:dyDescent="0.2">
      <c r="E641" s="21">
        <v>172</v>
      </c>
      <c r="F641" s="21" t="s">
        <v>1334</v>
      </c>
      <c r="G641" s="21" t="s">
        <v>83</v>
      </c>
      <c r="H641" s="24" t="s">
        <v>1335</v>
      </c>
      <c r="I641" s="21">
        <v>22</v>
      </c>
      <c r="J641" s="21" t="s">
        <v>89</v>
      </c>
      <c r="K641" s="21">
        <v>90054998</v>
      </c>
      <c r="L641" s="21" t="str">
        <f>RIGHT(КХЛ!$H641,4)</f>
        <v>1995</v>
      </c>
    </row>
    <row r="642" spans="5:12" ht="15.75" customHeight="1" x14ac:dyDescent="0.2">
      <c r="E642" s="21">
        <v>1787</v>
      </c>
      <c r="F642" s="21" t="s">
        <v>1336</v>
      </c>
      <c r="G642" s="21" t="s">
        <v>91</v>
      </c>
      <c r="H642" s="24" t="s">
        <v>1337</v>
      </c>
      <c r="I642" s="21">
        <v>29</v>
      </c>
      <c r="J642" s="21" t="s">
        <v>85</v>
      </c>
      <c r="K642" s="21">
        <v>79774112</v>
      </c>
      <c r="L642" s="21" t="str">
        <f>RIGHT(КХЛ!$H642,4)</f>
        <v>1989</v>
      </c>
    </row>
    <row r="643" spans="5:12" ht="15.75" customHeight="1" x14ac:dyDescent="0.2">
      <c r="E643" s="21">
        <v>612</v>
      </c>
      <c r="F643" s="21" t="s">
        <v>1338</v>
      </c>
      <c r="G643" s="21" t="s">
        <v>83</v>
      </c>
      <c r="H643" s="24" t="s">
        <v>1339</v>
      </c>
      <c r="I643" s="21">
        <v>34</v>
      </c>
      <c r="J643" s="21" t="s">
        <v>152</v>
      </c>
      <c r="K643" s="21">
        <v>96614473</v>
      </c>
      <c r="L643" s="21" t="str">
        <f>RIGHT(КХЛ!$H643,4)</f>
        <v>1983</v>
      </c>
    </row>
    <row r="644" spans="5:12" ht="15.75" customHeight="1" x14ac:dyDescent="0.2">
      <c r="E644" s="21">
        <v>1148</v>
      </c>
      <c r="F644" s="21" t="s">
        <v>1340</v>
      </c>
      <c r="G644" s="21" t="s">
        <v>83</v>
      </c>
      <c r="H644" s="24" t="s">
        <v>1341</v>
      </c>
      <c r="I644" s="21">
        <v>33</v>
      </c>
      <c r="J644" s="21" t="s">
        <v>85</v>
      </c>
      <c r="K644" s="21">
        <v>85666604</v>
      </c>
      <c r="L644" s="21" t="str">
        <f>RIGHT(КХЛ!$H644,4)</f>
        <v>1984</v>
      </c>
    </row>
    <row r="645" spans="5:12" ht="15.75" customHeight="1" x14ac:dyDescent="0.2">
      <c r="E645" s="21">
        <v>437</v>
      </c>
      <c r="F645" s="21" t="s">
        <v>1342</v>
      </c>
      <c r="G645" s="21" t="s">
        <v>83</v>
      </c>
      <c r="H645" s="24" t="s">
        <v>1343</v>
      </c>
      <c r="I645" s="21">
        <v>34</v>
      </c>
      <c r="J645" s="21" t="s">
        <v>152</v>
      </c>
      <c r="K645" s="21">
        <v>99406973</v>
      </c>
      <c r="L645" s="21" t="str">
        <f>RIGHT(КХЛ!$H645,4)</f>
        <v>1983</v>
      </c>
    </row>
    <row r="646" spans="5:12" ht="15.75" customHeight="1" x14ac:dyDescent="0.2">
      <c r="E646" s="21">
        <v>1617</v>
      </c>
      <c r="F646" s="21" t="s">
        <v>1344</v>
      </c>
      <c r="G646" s="21" t="s">
        <v>91</v>
      </c>
      <c r="H646" s="24" t="s">
        <v>211</v>
      </c>
      <c r="I646" s="21">
        <v>36</v>
      </c>
      <c r="J646" s="21" t="s">
        <v>321</v>
      </c>
      <c r="K646" s="21">
        <v>72641051</v>
      </c>
      <c r="L646" s="21" t="str">
        <f>RIGHT(КХЛ!$H646,4)</f>
        <v>1981</v>
      </c>
    </row>
    <row r="647" spans="5:12" ht="15.75" customHeight="1" x14ac:dyDescent="0.2">
      <c r="E647" s="21">
        <v>1593</v>
      </c>
      <c r="F647" s="21" t="s">
        <v>1345</v>
      </c>
      <c r="G647" s="21" t="s">
        <v>91</v>
      </c>
      <c r="H647" s="24" t="s">
        <v>1346</v>
      </c>
      <c r="I647" s="21">
        <v>31</v>
      </c>
      <c r="J647" s="21" t="s">
        <v>89</v>
      </c>
      <c r="K647" s="21">
        <v>34156911</v>
      </c>
      <c r="L647" s="21" t="str">
        <f>RIGHT(КХЛ!$H647,4)</f>
        <v>1986</v>
      </c>
    </row>
    <row r="648" spans="5:12" ht="15.75" customHeight="1" x14ac:dyDescent="0.2">
      <c r="E648" s="21">
        <v>819</v>
      </c>
      <c r="F648" s="21" t="s">
        <v>1347</v>
      </c>
      <c r="G648" s="21" t="s">
        <v>83</v>
      </c>
      <c r="H648" s="24" t="s">
        <v>1348</v>
      </c>
      <c r="I648" s="21">
        <v>31</v>
      </c>
      <c r="J648" s="21" t="s">
        <v>169</v>
      </c>
      <c r="K648" s="21">
        <v>58211876</v>
      </c>
      <c r="L648" s="21" t="str">
        <f>RIGHT(КХЛ!$H648,4)</f>
        <v>1986</v>
      </c>
    </row>
    <row r="649" spans="5:12" ht="15.75" customHeight="1" x14ac:dyDescent="0.2">
      <c r="E649" s="21">
        <v>609</v>
      </c>
      <c r="F649" s="21" t="s">
        <v>1349</v>
      </c>
      <c r="G649" s="21" t="s">
        <v>87</v>
      </c>
      <c r="H649" s="24" t="s">
        <v>1350</v>
      </c>
      <c r="I649" s="21">
        <v>21</v>
      </c>
      <c r="J649" s="21" t="s">
        <v>89</v>
      </c>
      <c r="K649" s="21">
        <v>66321608</v>
      </c>
      <c r="L649" s="21" t="str">
        <f>RIGHT(КХЛ!$H649,4)</f>
        <v>1996</v>
      </c>
    </row>
    <row r="650" spans="5:12" ht="15.75" customHeight="1" x14ac:dyDescent="0.2">
      <c r="E650" s="21">
        <v>1449</v>
      </c>
      <c r="F650" s="21" t="s">
        <v>1351</v>
      </c>
      <c r="G650" s="21" t="s">
        <v>91</v>
      </c>
      <c r="H650" s="24" t="s">
        <v>1352</v>
      </c>
      <c r="I650" s="21">
        <v>33</v>
      </c>
      <c r="J650" s="21" t="s">
        <v>89</v>
      </c>
      <c r="K650" s="21">
        <v>69925849</v>
      </c>
      <c r="L650" s="21" t="str">
        <f>RIGHT(КХЛ!$H650,4)</f>
        <v>1984</v>
      </c>
    </row>
    <row r="651" spans="5:12" ht="15.75" customHeight="1" x14ac:dyDescent="0.2">
      <c r="E651" s="21">
        <v>1588</v>
      </c>
      <c r="F651" s="21" t="s">
        <v>1353</v>
      </c>
      <c r="G651" s="21" t="s">
        <v>83</v>
      </c>
      <c r="H651" s="24" t="s">
        <v>1354</v>
      </c>
      <c r="I651" s="21">
        <v>19</v>
      </c>
      <c r="J651" s="21" t="s">
        <v>89</v>
      </c>
      <c r="K651" s="21">
        <v>76203761</v>
      </c>
      <c r="L651" s="21" t="str">
        <f>RIGHT(КХЛ!$H651,4)</f>
        <v>1999</v>
      </c>
    </row>
    <row r="652" spans="5:12" ht="15.75" customHeight="1" x14ac:dyDescent="0.2">
      <c r="E652" s="21">
        <v>426</v>
      </c>
      <c r="F652" s="21" t="s">
        <v>1355</v>
      </c>
      <c r="G652" s="21" t="s">
        <v>83</v>
      </c>
      <c r="H652" s="24" t="s">
        <v>1356</v>
      </c>
      <c r="I652" s="21">
        <v>41</v>
      </c>
      <c r="J652" s="21" t="s">
        <v>106</v>
      </c>
      <c r="K652" s="21">
        <v>90829117</v>
      </c>
      <c r="L652" s="21" t="str">
        <f>RIGHT(КХЛ!$H652,4)</f>
        <v>1977</v>
      </c>
    </row>
    <row r="653" spans="5:12" ht="15.75" customHeight="1" x14ac:dyDescent="0.2">
      <c r="E653" s="21">
        <v>696</v>
      </c>
      <c r="F653" s="21" t="s">
        <v>1357</v>
      </c>
      <c r="G653" s="21" t="s">
        <v>91</v>
      </c>
      <c r="H653" s="24" t="s">
        <v>1358</v>
      </c>
      <c r="I653" s="21">
        <v>40</v>
      </c>
      <c r="J653" s="21" t="s">
        <v>222</v>
      </c>
      <c r="K653" s="21">
        <v>72187159</v>
      </c>
      <c r="L653" s="21" t="str">
        <f>RIGHT(КХЛ!$H653,4)</f>
        <v>1977</v>
      </c>
    </row>
    <row r="654" spans="5:12" ht="15.75" customHeight="1" x14ac:dyDescent="0.2">
      <c r="E654" s="21">
        <v>1037</v>
      </c>
      <c r="F654" s="21" t="s">
        <v>1359</v>
      </c>
      <c r="G654" s="21" t="s">
        <v>91</v>
      </c>
      <c r="H654" s="24" t="s">
        <v>1360</v>
      </c>
      <c r="I654" s="21">
        <v>34</v>
      </c>
      <c r="J654" s="21" t="s">
        <v>89</v>
      </c>
      <c r="K654" s="21">
        <v>37539453</v>
      </c>
      <c r="L654" s="21" t="str">
        <f>RIGHT(КХЛ!$H654,4)</f>
        <v>1983</v>
      </c>
    </row>
    <row r="655" spans="5:12" ht="15.75" customHeight="1" x14ac:dyDescent="0.2">
      <c r="E655" s="21">
        <v>1181</v>
      </c>
      <c r="F655" s="21" t="s">
        <v>1361</v>
      </c>
      <c r="G655" s="21" t="s">
        <v>83</v>
      </c>
      <c r="H655" s="24" t="s">
        <v>1154</v>
      </c>
      <c r="I655" s="21">
        <v>34</v>
      </c>
      <c r="J655" s="21" t="s">
        <v>222</v>
      </c>
      <c r="K655" s="21">
        <v>72633671</v>
      </c>
      <c r="L655" s="21" t="str">
        <f>RIGHT(КХЛ!$H655,4)</f>
        <v>1983</v>
      </c>
    </row>
    <row r="656" spans="5:12" ht="15.75" customHeight="1" x14ac:dyDescent="0.2">
      <c r="E656" s="21">
        <v>1509</v>
      </c>
      <c r="F656" s="21" t="s">
        <v>1362</v>
      </c>
      <c r="G656" s="21" t="s">
        <v>83</v>
      </c>
      <c r="H656" s="24" t="s">
        <v>1363</v>
      </c>
      <c r="I656" s="21">
        <v>20</v>
      </c>
      <c r="J656" s="21" t="s">
        <v>89</v>
      </c>
      <c r="K656" s="21">
        <v>89508324</v>
      </c>
      <c r="L656" s="21" t="str">
        <f>RIGHT(КХЛ!$H656,4)</f>
        <v>1997</v>
      </c>
    </row>
    <row r="657" spans="5:12" ht="15.75" customHeight="1" x14ac:dyDescent="0.2">
      <c r="E657" s="21">
        <v>1262</v>
      </c>
      <c r="F657" s="21" t="s">
        <v>1364</v>
      </c>
      <c r="G657" s="21" t="s">
        <v>83</v>
      </c>
      <c r="H657" s="24" t="s">
        <v>1365</v>
      </c>
      <c r="I657" s="21">
        <v>34</v>
      </c>
      <c r="J657" s="21" t="s">
        <v>89</v>
      </c>
      <c r="K657" s="21">
        <v>79167074</v>
      </c>
      <c r="L657" s="21" t="str">
        <f>RIGHT(КХЛ!$H657,4)</f>
        <v>1983</v>
      </c>
    </row>
    <row r="658" spans="5:12" ht="15.75" customHeight="1" x14ac:dyDescent="0.2">
      <c r="E658" s="21">
        <v>700</v>
      </c>
      <c r="F658" s="21" t="s">
        <v>1366</v>
      </c>
      <c r="G658" s="21" t="s">
        <v>91</v>
      </c>
      <c r="H658" s="24" t="s">
        <v>1367</v>
      </c>
      <c r="I658" s="21">
        <v>27</v>
      </c>
      <c r="J658" s="21" t="s">
        <v>169</v>
      </c>
      <c r="K658" s="21">
        <v>94602581</v>
      </c>
      <c r="L658" s="21" t="str">
        <f>RIGHT(КХЛ!$H658,4)</f>
        <v>1990</v>
      </c>
    </row>
    <row r="659" spans="5:12" ht="15.75" customHeight="1" x14ac:dyDescent="0.2">
      <c r="E659" s="21">
        <v>768</v>
      </c>
      <c r="F659" s="21" t="s">
        <v>1368</v>
      </c>
      <c r="G659" s="21" t="s">
        <v>83</v>
      </c>
      <c r="H659" s="24" t="s">
        <v>1369</v>
      </c>
      <c r="I659" s="21">
        <v>37</v>
      </c>
      <c r="J659" s="21" t="s">
        <v>89</v>
      </c>
      <c r="K659" s="21">
        <v>30523834</v>
      </c>
      <c r="L659" s="21" t="str">
        <f>RIGHT(КХЛ!$H659,4)</f>
        <v>1980</v>
      </c>
    </row>
    <row r="660" spans="5:12" ht="15.75" customHeight="1" x14ac:dyDescent="0.2">
      <c r="E660" s="21">
        <v>632</v>
      </c>
      <c r="F660" s="21" t="s">
        <v>1370</v>
      </c>
      <c r="G660" s="21" t="s">
        <v>87</v>
      </c>
      <c r="H660" s="24" t="s">
        <v>1371</v>
      </c>
      <c r="I660" s="21">
        <v>29</v>
      </c>
      <c r="J660" s="21" t="s">
        <v>89</v>
      </c>
      <c r="K660" s="21">
        <v>24251732</v>
      </c>
      <c r="L660" s="21" t="str">
        <f>RIGHT(КХЛ!$H660,4)</f>
        <v>1988</v>
      </c>
    </row>
    <row r="661" spans="5:12" ht="15.75" customHeight="1" x14ac:dyDescent="0.2">
      <c r="E661" s="21">
        <v>211</v>
      </c>
      <c r="F661" s="21" t="s">
        <v>1372</v>
      </c>
      <c r="G661" s="21" t="s">
        <v>83</v>
      </c>
      <c r="H661" s="24" t="s">
        <v>1373</v>
      </c>
      <c r="I661" s="21">
        <v>35</v>
      </c>
      <c r="J661" s="21" t="s">
        <v>89</v>
      </c>
      <c r="K661" s="21">
        <v>77921226</v>
      </c>
      <c r="L661" s="21" t="str">
        <f>RIGHT(КХЛ!$H661,4)</f>
        <v>1982</v>
      </c>
    </row>
    <row r="662" spans="5:12" ht="15.75" customHeight="1" x14ac:dyDescent="0.2">
      <c r="E662" s="21">
        <v>322</v>
      </c>
      <c r="F662" s="21" t="s">
        <v>1374</v>
      </c>
      <c r="G662" s="21" t="s">
        <v>91</v>
      </c>
      <c r="H662" s="24" t="s">
        <v>1375</v>
      </c>
      <c r="I662" s="21">
        <v>21</v>
      </c>
      <c r="J662" s="21" t="s">
        <v>89</v>
      </c>
      <c r="K662" s="21">
        <v>22609682</v>
      </c>
      <c r="L662" s="21" t="str">
        <f>RIGHT(КХЛ!$H662,4)</f>
        <v>1996</v>
      </c>
    </row>
    <row r="663" spans="5:12" ht="15.75" customHeight="1" x14ac:dyDescent="0.2">
      <c r="E663" s="21">
        <v>1542</v>
      </c>
      <c r="F663" s="21" t="s">
        <v>1376</v>
      </c>
      <c r="G663" s="21" t="s">
        <v>83</v>
      </c>
      <c r="H663" s="24" t="s">
        <v>1159</v>
      </c>
      <c r="I663" s="21">
        <v>22</v>
      </c>
      <c r="J663" s="21" t="s">
        <v>89</v>
      </c>
      <c r="K663" s="21">
        <v>17536117</v>
      </c>
      <c r="L663" s="21" t="str">
        <f>RIGHT(КХЛ!$H663,4)</f>
        <v>1995</v>
      </c>
    </row>
    <row r="664" spans="5:12" ht="15.75" customHeight="1" x14ac:dyDescent="0.2">
      <c r="E664" s="21">
        <v>995</v>
      </c>
      <c r="F664" s="21" t="s">
        <v>1377</v>
      </c>
      <c r="G664" s="21" t="s">
        <v>91</v>
      </c>
      <c r="H664" s="24" t="s">
        <v>1378</v>
      </c>
      <c r="I664" s="21">
        <v>38</v>
      </c>
      <c r="J664" s="21" t="s">
        <v>89</v>
      </c>
      <c r="K664" s="21">
        <v>79352460</v>
      </c>
      <c r="L664" s="21" t="str">
        <f>RIGHT(КХЛ!$H664,4)</f>
        <v>1979</v>
      </c>
    </row>
    <row r="665" spans="5:12" ht="15.75" customHeight="1" x14ac:dyDescent="0.2">
      <c r="E665" s="21">
        <v>144</v>
      </c>
      <c r="F665" s="21" t="s">
        <v>1379</v>
      </c>
      <c r="G665" s="21" t="s">
        <v>87</v>
      </c>
      <c r="H665" s="24" t="s">
        <v>1380</v>
      </c>
      <c r="I665" s="21">
        <v>23</v>
      </c>
      <c r="J665" s="21" t="s">
        <v>93</v>
      </c>
      <c r="K665" s="21">
        <v>57242113</v>
      </c>
      <c r="L665" s="21" t="str">
        <f>RIGHT(КХЛ!$H665,4)</f>
        <v>1994</v>
      </c>
    </row>
    <row r="666" spans="5:12" ht="15.75" customHeight="1" x14ac:dyDescent="0.2">
      <c r="E666" s="21">
        <v>1125</v>
      </c>
      <c r="F666" s="21" t="s">
        <v>1381</v>
      </c>
      <c r="G666" s="21" t="s">
        <v>91</v>
      </c>
      <c r="H666" s="24" t="s">
        <v>1382</v>
      </c>
      <c r="I666" s="21">
        <v>30</v>
      </c>
      <c r="J666" s="21" t="s">
        <v>89</v>
      </c>
      <c r="K666" s="21">
        <v>33986907</v>
      </c>
      <c r="L666" s="21" t="str">
        <f>RIGHT(КХЛ!$H666,4)</f>
        <v>1987</v>
      </c>
    </row>
    <row r="667" spans="5:12" ht="15.75" customHeight="1" x14ac:dyDescent="0.2">
      <c r="E667" s="21">
        <v>379</v>
      </c>
      <c r="F667" s="21" t="s">
        <v>1383</v>
      </c>
      <c r="G667" s="21" t="s">
        <v>91</v>
      </c>
      <c r="H667" s="24" t="s">
        <v>1384</v>
      </c>
      <c r="I667" s="21">
        <v>23</v>
      </c>
      <c r="J667" s="21" t="s">
        <v>89</v>
      </c>
      <c r="K667" s="21">
        <v>23261858</v>
      </c>
      <c r="L667" s="21" t="str">
        <f>RIGHT(КХЛ!$H667,4)</f>
        <v>1994</v>
      </c>
    </row>
    <row r="668" spans="5:12" ht="15.75" customHeight="1" x14ac:dyDescent="0.2">
      <c r="E668" s="21">
        <v>1624</v>
      </c>
      <c r="F668" s="21" t="s">
        <v>1385</v>
      </c>
      <c r="G668" s="21" t="s">
        <v>83</v>
      </c>
      <c r="H668" s="24" t="s">
        <v>1386</v>
      </c>
      <c r="I668" s="21">
        <v>36</v>
      </c>
      <c r="J668" s="21" t="s">
        <v>85</v>
      </c>
      <c r="K668" s="21">
        <v>53125603</v>
      </c>
      <c r="L668" s="21" t="str">
        <f>RIGHT(КХЛ!$H668,4)</f>
        <v>1981</v>
      </c>
    </row>
    <row r="669" spans="5:12" ht="15.75" customHeight="1" x14ac:dyDescent="0.2">
      <c r="E669" s="21">
        <v>529</v>
      </c>
      <c r="F669" s="21" t="s">
        <v>1387</v>
      </c>
      <c r="G669" s="21" t="s">
        <v>91</v>
      </c>
      <c r="H669" s="24" t="s">
        <v>1388</v>
      </c>
      <c r="I669" s="21">
        <v>29</v>
      </c>
      <c r="J669" s="21" t="s">
        <v>89</v>
      </c>
      <c r="K669" s="21">
        <v>58303468</v>
      </c>
      <c r="L669" s="21" t="str">
        <f>RIGHT(КХЛ!$H669,4)</f>
        <v>1988</v>
      </c>
    </row>
    <row r="670" spans="5:12" ht="15.75" customHeight="1" x14ac:dyDescent="0.2">
      <c r="E670" s="21">
        <v>1260</v>
      </c>
      <c r="F670" s="21" t="s">
        <v>1389</v>
      </c>
      <c r="G670" s="21" t="s">
        <v>83</v>
      </c>
      <c r="H670" s="24" t="s">
        <v>1390</v>
      </c>
      <c r="I670" s="21">
        <v>27</v>
      </c>
      <c r="J670" s="21" t="s">
        <v>89</v>
      </c>
      <c r="K670" s="21">
        <v>34790005</v>
      </c>
      <c r="L670" s="21" t="str">
        <f>RIGHT(КХЛ!$H670,4)</f>
        <v>1990</v>
      </c>
    </row>
    <row r="671" spans="5:12" ht="15.75" customHeight="1" x14ac:dyDescent="0.2">
      <c r="E671" s="21">
        <v>760</v>
      </c>
      <c r="F671" s="21" t="s">
        <v>1391</v>
      </c>
      <c r="G671" s="21" t="s">
        <v>91</v>
      </c>
      <c r="H671" s="24" t="s">
        <v>1392</v>
      </c>
      <c r="I671" s="21">
        <v>36</v>
      </c>
      <c r="J671" s="21" t="s">
        <v>93</v>
      </c>
      <c r="K671" s="21">
        <v>43640086</v>
      </c>
      <c r="L671" s="21" t="str">
        <f>RIGHT(КХЛ!$H671,4)</f>
        <v>1981</v>
      </c>
    </row>
    <row r="672" spans="5:12" ht="15.75" customHeight="1" x14ac:dyDescent="0.2">
      <c r="E672" s="21">
        <v>802</v>
      </c>
      <c r="F672" s="21" t="s">
        <v>1393</v>
      </c>
      <c r="G672" s="21" t="s">
        <v>91</v>
      </c>
      <c r="H672" s="24" t="s">
        <v>1394</v>
      </c>
      <c r="I672" s="21">
        <v>26</v>
      </c>
      <c r="J672" s="21" t="s">
        <v>89</v>
      </c>
      <c r="K672" s="21">
        <v>73043820</v>
      </c>
      <c r="L672" s="21" t="str">
        <f>RIGHT(КХЛ!$H672,4)</f>
        <v>1991</v>
      </c>
    </row>
    <row r="673" spans="5:12" ht="15.75" customHeight="1" x14ac:dyDescent="0.2">
      <c r="E673" s="21">
        <v>129</v>
      </c>
      <c r="F673" s="21" t="s">
        <v>1395</v>
      </c>
      <c r="G673" s="21" t="s">
        <v>83</v>
      </c>
      <c r="H673" s="24" t="s">
        <v>1396</v>
      </c>
      <c r="I673" s="21">
        <v>21</v>
      </c>
      <c r="J673" s="21" t="s">
        <v>282</v>
      </c>
      <c r="K673" s="21">
        <v>42915328</v>
      </c>
      <c r="L673" s="21" t="str">
        <f>RIGHT(КХЛ!$H673,4)</f>
        <v>1996</v>
      </c>
    </row>
    <row r="674" spans="5:12" ht="15.75" customHeight="1" x14ac:dyDescent="0.2">
      <c r="E674" s="21">
        <v>747</v>
      </c>
      <c r="F674" s="21" t="s">
        <v>1397</v>
      </c>
      <c r="G674" s="21" t="s">
        <v>83</v>
      </c>
      <c r="H674" s="24" t="s">
        <v>1398</v>
      </c>
      <c r="I674" s="21">
        <v>31</v>
      </c>
      <c r="J674" s="21" t="s">
        <v>89</v>
      </c>
      <c r="K674" s="21">
        <v>25774329</v>
      </c>
      <c r="L674" s="21" t="str">
        <f>RIGHT(КХЛ!$H674,4)</f>
        <v>1986</v>
      </c>
    </row>
    <row r="675" spans="5:12" ht="15.75" customHeight="1" x14ac:dyDescent="0.2">
      <c r="E675" s="21">
        <v>936</v>
      </c>
      <c r="F675" s="21" t="s">
        <v>1399</v>
      </c>
      <c r="G675" s="21" t="s">
        <v>91</v>
      </c>
      <c r="H675" s="24" t="s">
        <v>1400</v>
      </c>
      <c r="I675" s="21">
        <v>34</v>
      </c>
      <c r="J675" s="21" t="s">
        <v>89</v>
      </c>
      <c r="K675" s="21">
        <v>83850213</v>
      </c>
      <c r="L675" s="21" t="str">
        <f>RIGHT(КХЛ!$H675,4)</f>
        <v>1983</v>
      </c>
    </row>
    <row r="676" spans="5:12" ht="15.75" customHeight="1" x14ac:dyDescent="0.2">
      <c r="E676" s="21">
        <v>91</v>
      </c>
      <c r="F676" s="21" t="s">
        <v>1401</v>
      </c>
      <c r="G676" s="21" t="s">
        <v>83</v>
      </c>
      <c r="H676" s="24" t="s">
        <v>1402</v>
      </c>
      <c r="I676" s="21">
        <v>30</v>
      </c>
      <c r="J676" s="21" t="s">
        <v>89</v>
      </c>
      <c r="K676" s="21">
        <v>30116132</v>
      </c>
      <c r="L676" s="21" t="str">
        <f>RIGHT(КХЛ!$H676,4)</f>
        <v>1987</v>
      </c>
    </row>
    <row r="677" spans="5:12" ht="15.75" customHeight="1" x14ac:dyDescent="0.2">
      <c r="E677" s="21">
        <v>2</v>
      </c>
      <c r="F677" s="21" t="s">
        <v>1403</v>
      </c>
      <c r="G677" s="21" t="s">
        <v>91</v>
      </c>
      <c r="H677" s="24" t="s">
        <v>1404</v>
      </c>
      <c r="I677" s="21">
        <v>32</v>
      </c>
      <c r="J677" s="21" t="s">
        <v>85</v>
      </c>
      <c r="K677" s="21">
        <v>4338200</v>
      </c>
      <c r="L677" s="21" t="str">
        <f>RIGHT(КХЛ!$H677,4)</f>
        <v>1985</v>
      </c>
    </row>
    <row r="678" spans="5:12" ht="15.75" customHeight="1" x14ac:dyDescent="0.2">
      <c r="E678" s="21">
        <v>930</v>
      </c>
      <c r="F678" s="21" t="s">
        <v>1405</v>
      </c>
      <c r="G678" s="21" t="s">
        <v>91</v>
      </c>
      <c r="H678" s="24" t="s">
        <v>1406</v>
      </c>
      <c r="I678" s="21">
        <v>27</v>
      </c>
      <c r="J678" s="21" t="s">
        <v>89</v>
      </c>
      <c r="K678" s="21">
        <v>98906160</v>
      </c>
      <c r="L678" s="21" t="str">
        <f>RIGHT(КХЛ!$H678,4)</f>
        <v>1990</v>
      </c>
    </row>
    <row r="679" spans="5:12" ht="15.75" customHeight="1" x14ac:dyDescent="0.2">
      <c r="E679" s="21">
        <v>384</v>
      </c>
      <c r="F679" s="21" t="s">
        <v>1407</v>
      </c>
      <c r="G679" s="21" t="s">
        <v>91</v>
      </c>
      <c r="H679" s="24" t="s">
        <v>1408</v>
      </c>
      <c r="I679" s="21">
        <v>31</v>
      </c>
      <c r="J679" s="21" t="s">
        <v>89</v>
      </c>
      <c r="K679" s="21">
        <v>50429104</v>
      </c>
      <c r="L679" s="21" t="str">
        <f>RIGHT(КХЛ!$H679,4)</f>
        <v>1986</v>
      </c>
    </row>
    <row r="680" spans="5:12" ht="15.75" customHeight="1" x14ac:dyDescent="0.2">
      <c r="E680" s="21">
        <v>1609</v>
      </c>
      <c r="F680" s="21" t="s">
        <v>1409</v>
      </c>
      <c r="G680" s="21" t="s">
        <v>91</v>
      </c>
      <c r="H680" s="24" t="s">
        <v>1410</v>
      </c>
      <c r="I680" s="21">
        <v>26</v>
      </c>
      <c r="J680" s="21" t="s">
        <v>89</v>
      </c>
      <c r="K680" s="21">
        <v>45379250</v>
      </c>
      <c r="L680" s="21" t="str">
        <f>RIGHT(КХЛ!$H680,4)</f>
        <v>1991</v>
      </c>
    </row>
    <row r="681" spans="5:12" ht="15.75" customHeight="1" x14ac:dyDescent="0.2">
      <c r="E681" s="21">
        <v>1571</v>
      </c>
      <c r="F681" s="21" t="s">
        <v>1411</v>
      </c>
      <c r="G681" s="21" t="s">
        <v>91</v>
      </c>
      <c r="H681" s="24" t="s">
        <v>1412</v>
      </c>
      <c r="I681" s="21">
        <v>36</v>
      </c>
      <c r="J681" s="21" t="s">
        <v>89</v>
      </c>
      <c r="K681" s="21">
        <v>98414356</v>
      </c>
      <c r="L681" s="21" t="str">
        <f>RIGHT(КХЛ!$H681,4)</f>
        <v>1981</v>
      </c>
    </row>
    <row r="682" spans="5:12" ht="15.75" customHeight="1" x14ac:dyDescent="0.2">
      <c r="E682" s="21">
        <v>117</v>
      </c>
      <c r="F682" s="21" t="s">
        <v>1413</v>
      </c>
      <c r="G682" s="21" t="s">
        <v>91</v>
      </c>
      <c r="H682" s="24" t="s">
        <v>1414</v>
      </c>
      <c r="I682" s="21">
        <v>39</v>
      </c>
      <c r="J682" s="21" t="s">
        <v>89</v>
      </c>
      <c r="K682" s="21">
        <v>50121990</v>
      </c>
      <c r="L682" s="21" t="str">
        <f>RIGHT(КХЛ!$H682,4)</f>
        <v>1978</v>
      </c>
    </row>
    <row r="683" spans="5:12" ht="15.75" customHeight="1" x14ac:dyDescent="0.2">
      <c r="E683" s="21">
        <v>656</v>
      </c>
      <c r="F683" s="21" t="s">
        <v>1415</v>
      </c>
      <c r="G683" s="21" t="s">
        <v>87</v>
      </c>
      <c r="H683" s="24" t="s">
        <v>1416</v>
      </c>
      <c r="I683" s="21">
        <v>31</v>
      </c>
      <c r="J683" s="21" t="s">
        <v>89</v>
      </c>
      <c r="K683" s="21">
        <v>35406135</v>
      </c>
      <c r="L683" s="21" t="str">
        <f>RIGHT(КХЛ!$H683,4)</f>
        <v>1986</v>
      </c>
    </row>
    <row r="684" spans="5:12" ht="15.75" customHeight="1" x14ac:dyDescent="0.2">
      <c r="E684" s="21">
        <v>568</v>
      </c>
      <c r="F684" s="21" t="s">
        <v>1417</v>
      </c>
      <c r="G684" s="21" t="s">
        <v>91</v>
      </c>
      <c r="H684" s="24" t="s">
        <v>1418</v>
      </c>
      <c r="I684" s="21">
        <v>34</v>
      </c>
      <c r="J684" s="21" t="s">
        <v>1419</v>
      </c>
      <c r="K684" s="21">
        <v>5055067</v>
      </c>
      <c r="L684" s="21" t="str">
        <f>RIGHT(КХЛ!$H684,4)</f>
        <v>1983</v>
      </c>
    </row>
    <row r="685" spans="5:12" ht="15.75" customHeight="1" x14ac:dyDescent="0.2">
      <c r="E685" s="21">
        <v>1290</v>
      </c>
      <c r="F685" s="21" t="s">
        <v>1420</v>
      </c>
      <c r="G685" s="21" t="s">
        <v>83</v>
      </c>
      <c r="H685" s="24" t="s">
        <v>1421</v>
      </c>
      <c r="I685" s="21">
        <v>30</v>
      </c>
      <c r="J685" s="21" t="s">
        <v>241</v>
      </c>
      <c r="K685" s="21">
        <v>70038845</v>
      </c>
      <c r="L685" s="21" t="str">
        <f>RIGHT(КХЛ!$H685,4)</f>
        <v>1987</v>
      </c>
    </row>
    <row r="686" spans="5:12" ht="15.75" customHeight="1" x14ac:dyDescent="0.2">
      <c r="E686" s="21">
        <v>488</v>
      </c>
      <c r="F686" s="21" t="s">
        <v>1422</v>
      </c>
      <c r="G686" s="21" t="s">
        <v>91</v>
      </c>
      <c r="H686" s="24" t="s">
        <v>716</v>
      </c>
      <c r="I686" s="21">
        <v>25</v>
      </c>
      <c r="J686" s="21" t="s">
        <v>132</v>
      </c>
      <c r="K686" s="21">
        <v>95272199</v>
      </c>
      <c r="L686" s="21" t="str">
        <f>RIGHT(КХЛ!$H686,4)</f>
        <v>1992</v>
      </c>
    </row>
    <row r="687" spans="5:12" ht="15.75" customHeight="1" x14ac:dyDescent="0.2">
      <c r="E687" s="21">
        <v>324</v>
      </c>
      <c r="F687" s="21" t="s">
        <v>1423</v>
      </c>
      <c r="G687" s="21" t="s">
        <v>83</v>
      </c>
      <c r="H687" s="24" t="s">
        <v>1424</v>
      </c>
      <c r="I687" s="21">
        <v>36</v>
      </c>
      <c r="J687" s="21" t="s">
        <v>89</v>
      </c>
      <c r="K687" s="21">
        <v>50854045</v>
      </c>
      <c r="L687" s="21" t="str">
        <f>RIGHT(КХЛ!$H687,4)</f>
        <v>1981</v>
      </c>
    </row>
    <row r="688" spans="5:12" ht="15.75" customHeight="1" x14ac:dyDescent="0.2">
      <c r="E688" s="21">
        <v>229</v>
      </c>
      <c r="F688" s="21" t="s">
        <v>1425</v>
      </c>
      <c r="G688" s="21" t="s">
        <v>83</v>
      </c>
      <c r="H688" s="24" t="s">
        <v>1426</v>
      </c>
      <c r="I688" s="21">
        <v>23</v>
      </c>
      <c r="J688" s="21" t="s">
        <v>89</v>
      </c>
      <c r="K688" s="21">
        <v>55388338</v>
      </c>
      <c r="L688" s="21" t="str">
        <f>RIGHT(КХЛ!$H688,4)</f>
        <v>1994</v>
      </c>
    </row>
    <row r="689" spans="5:12" ht="15.75" customHeight="1" x14ac:dyDescent="0.2">
      <c r="E689" s="21">
        <v>497</v>
      </c>
      <c r="F689" s="21" t="s">
        <v>1427</v>
      </c>
      <c r="G689" s="21" t="s">
        <v>87</v>
      </c>
      <c r="H689" s="24" t="s">
        <v>1428</v>
      </c>
      <c r="I689" s="21">
        <v>34</v>
      </c>
      <c r="J689" s="21" t="s">
        <v>89</v>
      </c>
      <c r="K689" s="21">
        <v>68035974</v>
      </c>
      <c r="L689" s="21" t="str">
        <f>RIGHT(КХЛ!$H689,4)</f>
        <v>1983</v>
      </c>
    </row>
    <row r="690" spans="5:12" ht="15.75" customHeight="1" x14ac:dyDescent="0.2">
      <c r="E690" s="21">
        <v>1136</v>
      </c>
      <c r="F690" s="21" t="s">
        <v>1429</v>
      </c>
      <c r="G690" s="21" t="s">
        <v>83</v>
      </c>
      <c r="H690" s="24" t="s">
        <v>1430</v>
      </c>
      <c r="I690" s="21">
        <v>28</v>
      </c>
      <c r="J690" s="21" t="s">
        <v>169</v>
      </c>
      <c r="K690" s="21">
        <v>95585366</v>
      </c>
      <c r="L690" s="21" t="str">
        <f>RIGHT(КХЛ!$H690,4)</f>
        <v>1989</v>
      </c>
    </row>
    <row r="691" spans="5:12" ht="15.75" customHeight="1" x14ac:dyDescent="0.2">
      <c r="E691" s="21">
        <v>1754</v>
      </c>
      <c r="F691" s="21" t="s">
        <v>1431</v>
      </c>
      <c r="G691" s="21" t="s">
        <v>87</v>
      </c>
      <c r="H691" s="24" t="s">
        <v>1253</v>
      </c>
      <c r="I691" s="21">
        <v>21</v>
      </c>
      <c r="J691" s="21" t="s">
        <v>93</v>
      </c>
      <c r="K691" s="21">
        <v>4893335</v>
      </c>
      <c r="L691" s="21" t="str">
        <f>RIGHT(КХЛ!$H691,4)</f>
        <v>1996</v>
      </c>
    </row>
    <row r="692" spans="5:12" ht="15.75" customHeight="1" x14ac:dyDescent="0.2">
      <c r="E692" s="21">
        <v>1303</v>
      </c>
      <c r="F692" s="21" t="s">
        <v>1432</v>
      </c>
      <c r="G692" s="21" t="s">
        <v>91</v>
      </c>
      <c r="H692" s="24" t="s">
        <v>1433</v>
      </c>
      <c r="I692" s="21">
        <v>22</v>
      </c>
      <c r="J692" s="21" t="s">
        <v>89</v>
      </c>
      <c r="K692" s="21">
        <v>48525694</v>
      </c>
      <c r="L692" s="21" t="str">
        <f>RIGHT(КХЛ!$H692,4)</f>
        <v>1995</v>
      </c>
    </row>
    <row r="693" spans="5:12" ht="15.75" customHeight="1" x14ac:dyDescent="0.2">
      <c r="E693" s="21">
        <v>1679</v>
      </c>
      <c r="F693" s="21" t="s">
        <v>1434</v>
      </c>
      <c r="G693" s="21" t="s">
        <v>87</v>
      </c>
      <c r="H693" s="24" t="s">
        <v>1435</v>
      </c>
      <c r="I693" s="21">
        <v>22</v>
      </c>
      <c r="J693" s="21" t="s">
        <v>89</v>
      </c>
      <c r="K693" s="21">
        <v>648984</v>
      </c>
      <c r="L693" s="21" t="str">
        <f>RIGHT(КХЛ!$H693,4)</f>
        <v>1996</v>
      </c>
    </row>
    <row r="694" spans="5:12" ht="15.75" customHeight="1" x14ac:dyDescent="0.2">
      <c r="E694" s="21">
        <v>590</v>
      </c>
      <c r="F694" s="21" t="s">
        <v>1436</v>
      </c>
      <c r="G694" s="21" t="s">
        <v>91</v>
      </c>
      <c r="H694" s="24" t="s">
        <v>1437</v>
      </c>
      <c r="I694" s="21">
        <v>26</v>
      </c>
      <c r="J694" s="21" t="s">
        <v>93</v>
      </c>
      <c r="K694" s="21">
        <v>44918574</v>
      </c>
      <c r="L694" s="21" t="str">
        <f>RIGHT(КХЛ!$H694,4)</f>
        <v>1991</v>
      </c>
    </row>
    <row r="695" spans="5:12" ht="15.75" customHeight="1" x14ac:dyDescent="0.2">
      <c r="E695" s="21">
        <v>220</v>
      </c>
      <c r="F695" s="21" t="s">
        <v>1438</v>
      </c>
      <c r="G695" s="21" t="s">
        <v>83</v>
      </c>
      <c r="H695" s="24" t="s">
        <v>1439</v>
      </c>
      <c r="I695" s="21">
        <v>28</v>
      </c>
      <c r="J695" s="21" t="s">
        <v>152</v>
      </c>
      <c r="K695" s="21">
        <v>70892934</v>
      </c>
      <c r="L695" s="21" t="str">
        <f>RIGHT(КХЛ!$H695,4)</f>
        <v>1989</v>
      </c>
    </row>
    <row r="696" spans="5:12" ht="15.75" customHeight="1" x14ac:dyDescent="0.2">
      <c r="E696" s="21">
        <v>281</v>
      </c>
      <c r="F696" s="21" t="s">
        <v>1440</v>
      </c>
      <c r="G696" s="21" t="s">
        <v>91</v>
      </c>
      <c r="H696" s="24" t="s">
        <v>1441</v>
      </c>
      <c r="I696" s="21">
        <v>34</v>
      </c>
      <c r="J696" s="21" t="s">
        <v>282</v>
      </c>
      <c r="K696" s="21">
        <v>45227100</v>
      </c>
      <c r="L696" s="21" t="str">
        <f>RIGHT(КХЛ!$H696,4)</f>
        <v>1983</v>
      </c>
    </row>
    <row r="697" spans="5:12" ht="15.75" customHeight="1" x14ac:dyDescent="0.2">
      <c r="E697" s="21">
        <v>899</v>
      </c>
      <c r="F697" s="21" t="s">
        <v>1442</v>
      </c>
      <c r="G697" s="21" t="s">
        <v>91</v>
      </c>
      <c r="H697" s="24" t="s">
        <v>1443</v>
      </c>
      <c r="I697" s="21">
        <v>21</v>
      </c>
      <c r="J697" s="21" t="s">
        <v>89</v>
      </c>
      <c r="K697" s="21">
        <v>23322740</v>
      </c>
      <c r="L697" s="21" t="str">
        <f>RIGHT(КХЛ!$H697,4)</f>
        <v>1996</v>
      </c>
    </row>
    <row r="698" spans="5:12" ht="15.75" customHeight="1" x14ac:dyDescent="0.2">
      <c r="E698" s="21">
        <v>1455</v>
      </c>
      <c r="F698" s="21" t="s">
        <v>1444</v>
      </c>
      <c r="G698" s="21" t="s">
        <v>83</v>
      </c>
      <c r="H698" s="24" t="s">
        <v>1445</v>
      </c>
      <c r="I698" s="21">
        <v>27</v>
      </c>
      <c r="J698" s="21" t="s">
        <v>89</v>
      </c>
      <c r="K698" s="21">
        <v>76753542</v>
      </c>
      <c r="L698" s="21" t="str">
        <f>RIGHT(КХЛ!$H698,4)</f>
        <v>1990</v>
      </c>
    </row>
    <row r="699" spans="5:12" ht="15.75" customHeight="1" x14ac:dyDescent="0.2">
      <c r="E699" s="21">
        <v>1040</v>
      </c>
      <c r="F699" s="21" t="s">
        <v>1446</v>
      </c>
      <c r="G699" s="21" t="s">
        <v>91</v>
      </c>
      <c r="H699" s="24" t="s">
        <v>1447</v>
      </c>
      <c r="I699" s="21">
        <v>22</v>
      </c>
      <c r="J699" s="21" t="s">
        <v>89</v>
      </c>
      <c r="K699" s="21">
        <v>64396809</v>
      </c>
      <c r="L699" s="21" t="str">
        <f>RIGHT(КХЛ!$H699,4)</f>
        <v>1995</v>
      </c>
    </row>
    <row r="700" spans="5:12" ht="15.75" customHeight="1" x14ac:dyDescent="0.2">
      <c r="E700" s="21">
        <v>1</v>
      </c>
      <c r="F700" s="21" t="s">
        <v>1448</v>
      </c>
      <c r="G700" s="21" t="s">
        <v>83</v>
      </c>
      <c r="H700" s="24" t="s">
        <v>1449</v>
      </c>
      <c r="I700" s="21">
        <v>33</v>
      </c>
      <c r="J700" s="21" t="s">
        <v>89</v>
      </c>
      <c r="K700" s="21">
        <v>25719799</v>
      </c>
      <c r="L700" s="21" t="str">
        <f>RIGHT(КХЛ!$H700,4)</f>
        <v>1984</v>
      </c>
    </row>
    <row r="701" spans="5:12" ht="15.75" customHeight="1" x14ac:dyDescent="0.2">
      <c r="E701" s="21">
        <v>1263</v>
      </c>
      <c r="F701" s="21" t="s">
        <v>1450</v>
      </c>
      <c r="G701" s="21" t="s">
        <v>83</v>
      </c>
      <c r="H701" s="24" t="s">
        <v>1451</v>
      </c>
      <c r="I701" s="21">
        <v>28</v>
      </c>
      <c r="J701" s="21" t="s">
        <v>222</v>
      </c>
      <c r="K701" s="21">
        <v>96891963</v>
      </c>
      <c r="L701" s="21" t="str">
        <f>RIGHT(КХЛ!$H701,4)</f>
        <v>1989</v>
      </c>
    </row>
    <row r="702" spans="5:12" ht="15.75" customHeight="1" x14ac:dyDescent="0.2">
      <c r="E702" s="21">
        <v>505</v>
      </c>
      <c r="F702" s="21" t="s">
        <v>1452</v>
      </c>
      <c r="G702" s="21" t="s">
        <v>91</v>
      </c>
      <c r="H702" s="24" t="s">
        <v>1453</v>
      </c>
      <c r="I702" s="21">
        <v>20</v>
      </c>
      <c r="J702" s="21" t="s">
        <v>93</v>
      </c>
      <c r="K702" s="21">
        <v>32747637</v>
      </c>
      <c r="L702" s="21" t="str">
        <f>RIGHT(КХЛ!$H702,4)</f>
        <v>1997</v>
      </c>
    </row>
    <row r="703" spans="5:12" ht="15.75" customHeight="1" x14ac:dyDescent="0.2">
      <c r="E703" s="21">
        <v>93</v>
      </c>
      <c r="F703" s="21" t="s">
        <v>1454</v>
      </c>
      <c r="G703" s="21" t="s">
        <v>91</v>
      </c>
      <c r="H703" s="24" t="s">
        <v>1455</v>
      </c>
      <c r="I703" s="21">
        <v>38</v>
      </c>
      <c r="J703" s="21" t="s">
        <v>89</v>
      </c>
      <c r="K703" s="21">
        <v>55223129</v>
      </c>
      <c r="L703" s="21" t="str">
        <f>RIGHT(КХЛ!$H703,4)</f>
        <v>1979</v>
      </c>
    </row>
    <row r="704" spans="5:12" ht="15.75" customHeight="1" x14ac:dyDescent="0.2">
      <c r="E704" s="21">
        <v>303</v>
      </c>
      <c r="F704" s="21" t="s">
        <v>1456</v>
      </c>
      <c r="G704" s="21" t="s">
        <v>91</v>
      </c>
      <c r="H704" s="24" t="s">
        <v>1457</v>
      </c>
      <c r="I704" s="21">
        <v>35</v>
      </c>
      <c r="J704" s="21" t="s">
        <v>89</v>
      </c>
      <c r="K704" s="21">
        <v>56033928</v>
      </c>
      <c r="L704" s="21" t="str">
        <f>RIGHT(КХЛ!$H704,4)</f>
        <v>1982</v>
      </c>
    </row>
    <row r="705" spans="5:12" ht="15.75" customHeight="1" x14ac:dyDescent="0.2">
      <c r="E705" s="21">
        <v>1405</v>
      </c>
      <c r="F705" s="21" t="s">
        <v>1458</v>
      </c>
      <c r="G705" s="21" t="s">
        <v>83</v>
      </c>
      <c r="H705" s="24" t="s">
        <v>1459</v>
      </c>
      <c r="I705" s="21">
        <v>32</v>
      </c>
      <c r="J705" s="21" t="s">
        <v>89</v>
      </c>
      <c r="K705" s="21">
        <v>65229470</v>
      </c>
      <c r="L705" s="21" t="str">
        <f>RIGHT(КХЛ!$H705,4)</f>
        <v>1986</v>
      </c>
    </row>
    <row r="706" spans="5:12" ht="15.75" customHeight="1" x14ac:dyDescent="0.2">
      <c r="E706" s="21">
        <v>464</v>
      </c>
      <c r="F706" s="21" t="s">
        <v>1460</v>
      </c>
      <c r="G706" s="21" t="s">
        <v>91</v>
      </c>
      <c r="H706" s="24" t="s">
        <v>699</v>
      </c>
      <c r="I706" s="21">
        <v>19</v>
      </c>
      <c r="J706" s="21" t="s">
        <v>89</v>
      </c>
      <c r="K706" s="21">
        <v>78795855</v>
      </c>
      <c r="L706" s="21" t="str">
        <f>RIGHT(КХЛ!$H706,4)</f>
        <v>1998</v>
      </c>
    </row>
    <row r="707" spans="5:12" ht="15.75" customHeight="1" x14ac:dyDescent="0.2">
      <c r="E707" s="21">
        <v>1672</v>
      </c>
      <c r="F707" s="21" t="s">
        <v>1461</v>
      </c>
      <c r="G707" s="21" t="s">
        <v>87</v>
      </c>
      <c r="H707" s="24" t="s">
        <v>1462</v>
      </c>
      <c r="I707" s="21">
        <v>27</v>
      </c>
      <c r="J707" s="21" t="s">
        <v>132</v>
      </c>
      <c r="K707" s="21">
        <v>78779424</v>
      </c>
      <c r="L707" s="21" t="str">
        <f>RIGHT(КХЛ!$H707,4)</f>
        <v>1990</v>
      </c>
    </row>
    <row r="708" spans="5:12" ht="15.75" customHeight="1" x14ac:dyDescent="0.2">
      <c r="E708" s="21">
        <v>1678</v>
      </c>
      <c r="F708" s="21" t="s">
        <v>1463</v>
      </c>
      <c r="G708" s="21" t="s">
        <v>83</v>
      </c>
      <c r="H708" s="24" t="s">
        <v>1464</v>
      </c>
      <c r="I708" s="21">
        <v>29</v>
      </c>
      <c r="J708" s="21" t="s">
        <v>89</v>
      </c>
      <c r="K708" s="21">
        <v>53453720</v>
      </c>
      <c r="L708" s="21" t="str">
        <f>RIGHT(КХЛ!$H708,4)</f>
        <v>1988</v>
      </c>
    </row>
    <row r="709" spans="5:12" ht="15.75" customHeight="1" x14ac:dyDescent="0.2">
      <c r="E709" s="21">
        <v>292</v>
      </c>
      <c r="F709" s="21" t="s">
        <v>1465</v>
      </c>
      <c r="G709" s="21" t="s">
        <v>91</v>
      </c>
      <c r="H709" s="24" t="s">
        <v>1466</v>
      </c>
      <c r="I709" s="21">
        <v>44</v>
      </c>
      <c r="J709" s="21" t="s">
        <v>89</v>
      </c>
      <c r="K709" s="21">
        <v>50050768</v>
      </c>
      <c r="L709" s="21" t="str">
        <f>RIGHT(КХЛ!$H709,4)</f>
        <v>1974</v>
      </c>
    </row>
    <row r="710" spans="5:12" ht="15.75" customHeight="1" x14ac:dyDescent="0.2">
      <c r="E710" s="21">
        <v>1013</v>
      </c>
      <c r="F710" s="21" t="s">
        <v>1467</v>
      </c>
      <c r="G710" s="21" t="s">
        <v>91</v>
      </c>
      <c r="H710" s="24" t="s">
        <v>1468</v>
      </c>
      <c r="I710" s="21">
        <v>29</v>
      </c>
      <c r="J710" s="21" t="s">
        <v>132</v>
      </c>
      <c r="K710" s="21">
        <v>40230228</v>
      </c>
      <c r="L710" s="21" t="str">
        <f>RIGHT(КХЛ!$H710,4)</f>
        <v>1988</v>
      </c>
    </row>
    <row r="711" spans="5:12" ht="15.75" customHeight="1" x14ac:dyDescent="0.2">
      <c r="E711" s="21">
        <v>409</v>
      </c>
      <c r="F711" s="21" t="s">
        <v>1469</v>
      </c>
      <c r="G711" s="21" t="s">
        <v>83</v>
      </c>
      <c r="H711" s="24" t="s">
        <v>1470</v>
      </c>
      <c r="I711" s="21">
        <v>39</v>
      </c>
      <c r="J711" s="21" t="s">
        <v>106</v>
      </c>
      <c r="K711" s="21">
        <v>64295153</v>
      </c>
      <c r="L711" s="21" t="str">
        <f>RIGHT(КХЛ!$H711,4)</f>
        <v>1978</v>
      </c>
    </row>
    <row r="712" spans="5:12" ht="15.75" customHeight="1" x14ac:dyDescent="0.2">
      <c r="E712" s="21">
        <v>48</v>
      </c>
      <c r="F712" s="21" t="s">
        <v>1471</v>
      </c>
      <c r="G712" s="21" t="s">
        <v>91</v>
      </c>
      <c r="H712" s="24" t="s">
        <v>1472</v>
      </c>
      <c r="I712" s="21">
        <v>30</v>
      </c>
      <c r="J712" s="21" t="s">
        <v>282</v>
      </c>
      <c r="K712" s="21">
        <v>29496334</v>
      </c>
      <c r="L712" s="21" t="str">
        <f>RIGHT(КХЛ!$H712,4)</f>
        <v>1987</v>
      </c>
    </row>
    <row r="713" spans="5:12" ht="15.75" customHeight="1" x14ac:dyDescent="0.2">
      <c r="E713" s="21">
        <v>347</v>
      </c>
      <c r="F713" s="21" t="s">
        <v>1473</v>
      </c>
      <c r="G713" s="21" t="s">
        <v>83</v>
      </c>
      <c r="H713" s="24" t="s">
        <v>1474</v>
      </c>
      <c r="I713" s="21">
        <v>31</v>
      </c>
      <c r="J713" s="21" t="s">
        <v>106</v>
      </c>
      <c r="K713" s="21">
        <v>28686914</v>
      </c>
      <c r="L713" s="21" t="str">
        <f>RIGHT(КХЛ!$H713,4)</f>
        <v>1986</v>
      </c>
    </row>
    <row r="714" spans="5:12" ht="15.75" customHeight="1" x14ac:dyDescent="0.2">
      <c r="E714" s="21">
        <v>85</v>
      </c>
      <c r="F714" s="21" t="s">
        <v>1475</v>
      </c>
      <c r="G714" s="21" t="s">
        <v>91</v>
      </c>
      <c r="H714" s="24" t="s">
        <v>1476</v>
      </c>
      <c r="I714" s="21">
        <v>39</v>
      </c>
      <c r="J714" s="21" t="s">
        <v>89</v>
      </c>
      <c r="K714" s="21">
        <v>99858877</v>
      </c>
      <c r="L714" s="21" t="str">
        <f>RIGHT(КХЛ!$H714,4)</f>
        <v>1978</v>
      </c>
    </row>
    <row r="715" spans="5:12" ht="15.75" customHeight="1" x14ac:dyDescent="0.2">
      <c r="E715" s="21">
        <v>191</v>
      </c>
      <c r="F715" s="21" t="s">
        <v>1477</v>
      </c>
      <c r="G715" s="21" t="s">
        <v>91</v>
      </c>
      <c r="H715" s="24" t="s">
        <v>1478</v>
      </c>
      <c r="I715" s="21">
        <v>19</v>
      </c>
      <c r="J715" s="21" t="s">
        <v>89</v>
      </c>
      <c r="K715" s="21">
        <v>29300244</v>
      </c>
      <c r="L715" s="21" t="str">
        <f>RIGHT(КХЛ!$H715,4)</f>
        <v>1998</v>
      </c>
    </row>
    <row r="716" spans="5:12" ht="15.75" customHeight="1" x14ac:dyDescent="0.2">
      <c r="E716" s="21">
        <v>892</v>
      </c>
      <c r="F716" s="21" t="s">
        <v>1479</v>
      </c>
      <c r="G716" s="21" t="s">
        <v>91</v>
      </c>
      <c r="H716" s="24" t="s">
        <v>1480</v>
      </c>
      <c r="I716" s="21">
        <v>35</v>
      </c>
      <c r="J716" s="21" t="s">
        <v>106</v>
      </c>
      <c r="K716" s="21">
        <v>79216929</v>
      </c>
      <c r="L716" s="21" t="str">
        <f>RIGHT(КХЛ!$H716,4)</f>
        <v>1982</v>
      </c>
    </row>
    <row r="717" spans="5:12" ht="15.75" customHeight="1" x14ac:dyDescent="0.2">
      <c r="E717" s="21">
        <v>1191</v>
      </c>
      <c r="F717" s="21" t="s">
        <v>1481</v>
      </c>
      <c r="G717" s="21" t="s">
        <v>91</v>
      </c>
      <c r="H717" s="24" t="s">
        <v>1482</v>
      </c>
      <c r="I717" s="21">
        <v>33</v>
      </c>
      <c r="J717" s="21" t="s">
        <v>222</v>
      </c>
      <c r="K717" s="21">
        <v>76318330</v>
      </c>
      <c r="L717" s="21" t="str">
        <f>RIGHT(КХЛ!$H717,4)</f>
        <v>1984</v>
      </c>
    </row>
    <row r="718" spans="5:12" ht="15.75" customHeight="1" x14ac:dyDescent="0.2">
      <c r="E718" s="21">
        <v>6</v>
      </c>
      <c r="F718" s="21" t="s">
        <v>1483</v>
      </c>
      <c r="G718" s="21" t="s">
        <v>91</v>
      </c>
      <c r="H718" s="24" t="s">
        <v>388</v>
      </c>
      <c r="I718" s="21">
        <v>37</v>
      </c>
      <c r="J718" s="21" t="s">
        <v>106</v>
      </c>
      <c r="K718" s="21">
        <v>65426142</v>
      </c>
      <c r="L718" s="21" t="str">
        <f>RIGHT(КХЛ!$H718,4)</f>
        <v>1980</v>
      </c>
    </row>
    <row r="719" spans="5:12" ht="15.75" customHeight="1" x14ac:dyDescent="0.2">
      <c r="E719" s="21">
        <v>1478</v>
      </c>
      <c r="F719" s="21" t="s">
        <v>1484</v>
      </c>
      <c r="G719" s="21" t="s">
        <v>87</v>
      </c>
      <c r="H719" s="24" t="s">
        <v>1485</v>
      </c>
      <c r="I719" s="21">
        <v>37</v>
      </c>
      <c r="J719" s="21" t="s">
        <v>282</v>
      </c>
      <c r="K719" s="21">
        <v>78786864</v>
      </c>
      <c r="L719" s="21" t="str">
        <f>RIGHT(КХЛ!$H719,4)</f>
        <v>1980</v>
      </c>
    </row>
    <row r="720" spans="5:12" ht="15.75" customHeight="1" x14ac:dyDescent="0.2">
      <c r="E720" s="21">
        <v>493</v>
      </c>
      <c r="F720" s="21" t="s">
        <v>1486</v>
      </c>
      <c r="G720" s="21" t="s">
        <v>83</v>
      </c>
      <c r="H720" s="24" t="s">
        <v>1487</v>
      </c>
      <c r="I720" s="21">
        <v>23</v>
      </c>
      <c r="J720" s="21" t="s">
        <v>89</v>
      </c>
      <c r="K720" s="21">
        <v>31643329</v>
      </c>
      <c r="L720" s="21" t="str">
        <f>RIGHT(КХЛ!$H720,4)</f>
        <v>1994</v>
      </c>
    </row>
    <row r="721" spans="5:12" ht="15.75" customHeight="1" x14ac:dyDescent="0.2">
      <c r="E721" s="21">
        <v>52</v>
      </c>
      <c r="F721" s="21" t="s">
        <v>1488</v>
      </c>
      <c r="G721" s="21" t="s">
        <v>83</v>
      </c>
      <c r="H721" s="24" t="s">
        <v>1163</v>
      </c>
      <c r="I721" s="21">
        <v>26</v>
      </c>
      <c r="J721" s="21" t="s">
        <v>89</v>
      </c>
      <c r="K721" s="21">
        <v>26678156</v>
      </c>
      <c r="L721" s="21" t="str">
        <f>RIGHT(КХЛ!$H721,4)</f>
        <v>1991</v>
      </c>
    </row>
    <row r="722" spans="5:12" ht="15.75" customHeight="1" x14ac:dyDescent="0.2">
      <c r="E722" s="21">
        <v>1715</v>
      </c>
      <c r="F722" s="21" t="s">
        <v>1489</v>
      </c>
      <c r="G722" s="21" t="s">
        <v>83</v>
      </c>
      <c r="H722" s="24" t="s">
        <v>1490</v>
      </c>
      <c r="I722" s="21">
        <v>45</v>
      </c>
      <c r="J722" s="21" t="s">
        <v>282</v>
      </c>
      <c r="K722" s="21">
        <v>86057832</v>
      </c>
      <c r="L722" s="21" t="str">
        <f>RIGHT(КХЛ!$H722,4)</f>
        <v>1972</v>
      </c>
    </row>
    <row r="723" spans="5:12" ht="15.75" customHeight="1" x14ac:dyDescent="0.2">
      <c r="E723" s="21">
        <v>983</v>
      </c>
      <c r="F723" s="21" t="s">
        <v>1491</v>
      </c>
      <c r="G723" s="21" t="s">
        <v>83</v>
      </c>
      <c r="H723" s="24" t="s">
        <v>1492</v>
      </c>
      <c r="I723" s="21">
        <v>35</v>
      </c>
      <c r="J723" s="21" t="s">
        <v>282</v>
      </c>
      <c r="K723" s="21">
        <v>73941362</v>
      </c>
      <c r="L723" s="21" t="str">
        <f>RIGHT(КХЛ!$H723,4)</f>
        <v>1982</v>
      </c>
    </row>
    <row r="724" spans="5:12" ht="15.75" customHeight="1" x14ac:dyDescent="0.2">
      <c r="E724" s="21">
        <v>1654</v>
      </c>
      <c r="F724" s="21" t="s">
        <v>1493</v>
      </c>
      <c r="G724" s="21" t="s">
        <v>91</v>
      </c>
      <c r="H724" s="24" t="s">
        <v>1494</v>
      </c>
      <c r="I724" s="21">
        <v>29</v>
      </c>
      <c r="J724" s="21" t="s">
        <v>85</v>
      </c>
      <c r="K724" s="21">
        <v>19138867</v>
      </c>
      <c r="L724" s="21" t="str">
        <f>RIGHT(КХЛ!$H724,4)</f>
        <v>1988</v>
      </c>
    </row>
    <row r="725" spans="5:12" ht="15.75" customHeight="1" x14ac:dyDescent="0.2">
      <c r="E725" s="21">
        <v>434</v>
      </c>
      <c r="F725" s="21" t="s">
        <v>1495</v>
      </c>
      <c r="G725" s="21" t="s">
        <v>91</v>
      </c>
      <c r="H725" s="24" t="s">
        <v>914</v>
      </c>
      <c r="I725" s="21">
        <v>22</v>
      </c>
      <c r="J725" s="21" t="s">
        <v>89</v>
      </c>
      <c r="K725" s="21">
        <v>59016256</v>
      </c>
      <c r="L725" s="21" t="str">
        <f>RIGHT(КХЛ!$H725,4)</f>
        <v>1995</v>
      </c>
    </row>
    <row r="726" spans="5:12" ht="15.75" customHeight="1" x14ac:dyDescent="0.2">
      <c r="E726" s="21">
        <v>786</v>
      </c>
      <c r="F726" s="21" t="s">
        <v>1496</v>
      </c>
      <c r="G726" s="21" t="s">
        <v>83</v>
      </c>
      <c r="H726" s="24" t="s">
        <v>1497</v>
      </c>
      <c r="I726" s="21">
        <v>25</v>
      </c>
      <c r="J726" s="21" t="s">
        <v>89</v>
      </c>
      <c r="K726" s="21">
        <v>76770538</v>
      </c>
      <c r="L726" s="21" t="str">
        <f>RIGHT(КХЛ!$H726,4)</f>
        <v>1992</v>
      </c>
    </row>
    <row r="727" spans="5:12" ht="15.75" customHeight="1" x14ac:dyDescent="0.2">
      <c r="E727" s="21">
        <v>460</v>
      </c>
      <c r="F727" s="21" t="s">
        <v>1498</v>
      </c>
      <c r="G727" s="21" t="s">
        <v>91</v>
      </c>
      <c r="H727" s="24" t="s">
        <v>1499</v>
      </c>
      <c r="I727" s="21">
        <v>39</v>
      </c>
      <c r="J727" s="21" t="s">
        <v>241</v>
      </c>
      <c r="K727" s="21">
        <v>40013207</v>
      </c>
      <c r="L727" s="21" t="str">
        <f>RIGHT(КХЛ!$H727,4)</f>
        <v>1978</v>
      </c>
    </row>
    <row r="728" spans="5:12" ht="15.75" customHeight="1" x14ac:dyDescent="0.2">
      <c r="E728" s="21">
        <v>33</v>
      </c>
      <c r="F728" s="21" t="s">
        <v>1500</v>
      </c>
      <c r="G728" s="21" t="s">
        <v>91</v>
      </c>
      <c r="H728" s="24" t="s">
        <v>1501</v>
      </c>
      <c r="I728" s="21">
        <v>27</v>
      </c>
      <c r="J728" s="21" t="s">
        <v>89</v>
      </c>
      <c r="K728" s="21">
        <v>41262857</v>
      </c>
      <c r="L728" s="21" t="str">
        <f>RIGHT(КХЛ!$H728,4)</f>
        <v>1990</v>
      </c>
    </row>
    <row r="729" spans="5:12" ht="15.75" customHeight="1" x14ac:dyDescent="0.2">
      <c r="E729" s="21">
        <v>649</v>
      </c>
      <c r="F729" s="21" t="s">
        <v>1502</v>
      </c>
      <c r="G729" s="21" t="s">
        <v>91</v>
      </c>
      <c r="H729" s="24" t="s">
        <v>1503</v>
      </c>
      <c r="I729" s="21">
        <v>28</v>
      </c>
      <c r="J729" s="21" t="s">
        <v>89</v>
      </c>
      <c r="K729" s="21">
        <v>67867355</v>
      </c>
      <c r="L729" s="21" t="str">
        <f>RIGHT(КХЛ!$H729,4)</f>
        <v>1989</v>
      </c>
    </row>
    <row r="730" spans="5:12" ht="15.75" customHeight="1" x14ac:dyDescent="0.2">
      <c r="E730" s="21">
        <v>465</v>
      </c>
      <c r="F730" s="21" t="s">
        <v>1504</v>
      </c>
      <c r="G730" s="21" t="s">
        <v>91</v>
      </c>
      <c r="H730" s="24" t="s">
        <v>1505</v>
      </c>
      <c r="I730" s="21">
        <v>32</v>
      </c>
      <c r="J730" s="21" t="s">
        <v>132</v>
      </c>
      <c r="K730" s="21">
        <v>4012005</v>
      </c>
      <c r="L730" s="21" t="str">
        <f>RIGHT(КХЛ!$H730,4)</f>
        <v>1986</v>
      </c>
    </row>
    <row r="731" spans="5:12" ht="15.75" customHeight="1" x14ac:dyDescent="0.2">
      <c r="E731" s="21">
        <v>201</v>
      </c>
      <c r="F731" s="21" t="s">
        <v>1506</v>
      </c>
      <c r="G731" s="21" t="s">
        <v>91</v>
      </c>
      <c r="H731" s="24" t="s">
        <v>1507</v>
      </c>
      <c r="I731" s="21">
        <v>47</v>
      </c>
      <c r="J731" s="21" t="s">
        <v>89</v>
      </c>
      <c r="K731" s="21">
        <v>30499190</v>
      </c>
      <c r="L731" s="21" t="str">
        <f>RIGHT(КХЛ!$H731,4)</f>
        <v>1971</v>
      </c>
    </row>
    <row r="732" spans="5:12" ht="15.75" customHeight="1" x14ac:dyDescent="0.2">
      <c r="E732" s="21">
        <v>912</v>
      </c>
      <c r="F732" s="21" t="s">
        <v>1508</v>
      </c>
      <c r="G732" s="21" t="s">
        <v>91</v>
      </c>
      <c r="H732" s="24" t="s">
        <v>1509</v>
      </c>
      <c r="I732" s="21">
        <v>37</v>
      </c>
      <c r="J732" s="21" t="s">
        <v>89</v>
      </c>
      <c r="K732" s="21">
        <v>3605080</v>
      </c>
      <c r="L732" s="21" t="str">
        <f>RIGHT(КХЛ!$H732,4)</f>
        <v>1980</v>
      </c>
    </row>
    <row r="733" spans="5:12" ht="15.75" customHeight="1" x14ac:dyDescent="0.2">
      <c r="E733" s="21">
        <v>362</v>
      </c>
      <c r="F733" s="21" t="s">
        <v>1510</v>
      </c>
      <c r="G733" s="21" t="s">
        <v>91</v>
      </c>
      <c r="H733" s="24" t="s">
        <v>1511</v>
      </c>
      <c r="I733" s="21">
        <v>28</v>
      </c>
      <c r="J733" s="21" t="s">
        <v>89</v>
      </c>
      <c r="K733" s="21">
        <v>92215447</v>
      </c>
      <c r="L733" s="21" t="str">
        <f>RIGHT(КХЛ!$H733,4)</f>
        <v>1989</v>
      </c>
    </row>
    <row r="734" spans="5:12" ht="15.75" customHeight="1" x14ac:dyDescent="0.2">
      <c r="E734" s="21">
        <v>697</v>
      </c>
      <c r="F734" s="21" t="s">
        <v>1512</v>
      </c>
      <c r="G734" s="21" t="s">
        <v>83</v>
      </c>
      <c r="H734" s="24" t="s">
        <v>1513</v>
      </c>
      <c r="I734" s="21">
        <v>18</v>
      </c>
      <c r="J734" s="21" t="s">
        <v>89</v>
      </c>
      <c r="K734" s="21">
        <v>5250826</v>
      </c>
      <c r="L734" s="21" t="str">
        <f>RIGHT(КХЛ!$H734,4)</f>
        <v>1999</v>
      </c>
    </row>
    <row r="735" spans="5:12" ht="15.75" customHeight="1" x14ac:dyDescent="0.2">
      <c r="E735" s="21">
        <v>1558</v>
      </c>
      <c r="F735" s="21" t="s">
        <v>1514</v>
      </c>
      <c r="G735" s="21" t="s">
        <v>91</v>
      </c>
      <c r="H735" s="24" t="s">
        <v>1515</v>
      </c>
      <c r="I735" s="21">
        <v>35</v>
      </c>
      <c r="J735" s="21" t="s">
        <v>89</v>
      </c>
      <c r="K735" s="21">
        <v>89963634</v>
      </c>
      <c r="L735" s="21" t="str">
        <f>RIGHT(КХЛ!$H735,4)</f>
        <v>1982</v>
      </c>
    </row>
    <row r="736" spans="5:12" ht="15.75" customHeight="1" x14ac:dyDescent="0.2">
      <c r="E736" s="21">
        <v>469</v>
      </c>
      <c r="F736" s="21" t="s">
        <v>1516</v>
      </c>
      <c r="G736" s="21" t="s">
        <v>91</v>
      </c>
      <c r="H736" s="24" t="s">
        <v>1517</v>
      </c>
      <c r="I736" s="21">
        <v>24</v>
      </c>
      <c r="J736" s="21" t="s">
        <v>222</v>
      </c>
      <c r="K736" s="21">
        <v>33635315</v>
      </c>
      <c r="L736" s="21" t="str">
        <f>RIGHT(КХЛ!$H736,4)</f>
        <v>1993</v>
      </c>
    </row>
    <row r="737" spans="5:12" ht="15.75" customHeight="1" x14ac:dyDescent="0.2">
      <c r="E737" s="21">
        <v>152</v>
      </c>
      <c r="F737" s="21" t="s">
        <v>1518</v>
      </c>
      <c r="G737" s="21" t="s">
        <v>91</v>
      </c>
      <c r="H737" s="24" t="s">
        <v>1519</v>
      </c>
      <c r="I737" s="21">
        <v>22</v>
      </c>
      <c r="J737" s="21" t="s">
        <v>282</v>
      </c>
      <c r="K737" s="21">
        <v>11673573</v>
      </c>
      <c r="L737" s="21" t="str">
        <f>RIGHT(КХЛ!$H737,4)</f>
        <v>1995</v>
      </c>
    </row>
    <row r="738" spans="5:12" ht="15.75" customHeight="1" x14ac:dyDescent="0.2">
      <c r="E738" s="21">
        <v>297</v>
      </c>
      <c r="F738" s="21" t="s">
        <v>1520</v>
      </c>
      <c r="G738" s="21" t="s">
        <v>83</v>
      </c>
      <c r="H738" s="24" t="s">
        <v>1521</v>
      </c>
      <c r="I738" s="21">
        <v>19</v>
      </c>
      <c r="J738" s="21" t="s">
        <v>282</v>
      </c>
      <c r="K738" s="21">
        <v>10852117</v>
      </c>
      <c r="L738" s="21" t="str">
        <f>RIGHT(КХЛ!$H738,4)</f>
        <v>1998</v>
      </c>
    </row>
    <row r="739" spans="5:12" ht="15.75" customHeight="1" x14ac:dyDescent="0.2">
      <c r="E739" s="21">
        <v>1141</v>
      </c>
      <c r="F739" s="21" t="s">
        <v>1522</v>
      </c>
      <c r="G739" s="21" t="s">
        <v>83</v>
      </c>
      <c r="H739" s="24" t="s">
        <v>1499</v>
      </c>
      <c r="I739" s="21">
        <v>39</v>
      </c>
      <c r="J739" s="21" t="s">
        <v>89</v>
      </c>
      <c r="K739" s="21">
        <v>88400078</v>
      </c>
      <c r="L739" s="21" t="str">
        <f>RIGHT(КХЛ!$H739,4)</f>
        <v>1978</v>
      </c>
    </row>
    <row r="740" spans="5:12" ht="15.75" customHeight="1" x14ac:dyDescent="0.2">
      <c r="E740" s="21">
        <v>259</v>
      </c>
      <c r="F740" s="21" t="s">
        <v>1523</v>
      </c>
      <c r="G740" s="21" t="s">
        <v>83</v>
      </c>
      <c r="H740" s="24" t="s">
        <v>1524</v>
      </c>
      <c r="I740" s="21">
        <v>30</v>
      </c>
      <c r="J740" s="21" t="s">
        <v>89</v>
      </c>
      <c r="K740" s="21">
        <v>69644231</v>
      </c>
      <c r="L740" s="21" t="str">
        <f>RIGHT(КХЛ!$H740,4)</f>
        <v>1988</v>
      </c>
    </row>
    <row r="741" spans="5:12" ht="15.75" customHeight="1" x14ac:dyDescent="0.2">
      <c r="E741" s="21">
        <v>1526</v>
      </c>
      <c r="F741" s="21" t="s">
        <v>1525</v>
      </c>
      <c r="G741" s="21" t="s">
        <v>91</v>
      </c>
      <c r="H741" s="24" t="s">
        <v>1526</v>
      </c>
      <c r="I741" s="21">
        <v>24</v>
      </c>
      <c r="J741" s="21" t="s">
        <v>93</v>
      </c>
      <c r="K741" s="21">
        <v>59542039</v>
      </c>
      <c r="L741" s="21" t="str">
        <f>RIGHT(КХЛ!$H741,4)</f>
        <v>1993</v>
      </c>
    </row>
    <row r="742" spans="5:12" ht="15.75" customHeight="1" x14ac:dyDescent="0.2">
      <c r="E742" s="21">
        <v>802</v>
      </c>
      <c r="F742" s="21" t="s">
        <v>1527</v>
      </c>
      <c r="G742" s="21" t="s">
        <v>83</v>
      </c>
      <c r="H742" s="24" t="s">
        <v>145</v>
      </c>
      <c r="I742" s="21">
        <v>27</v>
      </c>
      <c r="J742" s="21" t="s">
        <v>89</v>
      </c>
      <c r="K742" s="21">
        <v>50914702</v>
      </c>
      <c r="L742" s="21" t="str">
        <f>RIGHT(КХЛ!$H742,4)</f>
        <v>1990</v>
      </c>
    </row>
    <row r="743" spans="5:12" ht="15.75" customHeight="1" x14ac:dyDescent="0.2">
      <c r="E743" s="21">
        <v>1183</v>
      </c>
      <c r="F743" s="21" t="s">
        <v>1528</v>
      </c>
      <c r="G743" s="21" t="s">
        <v>91</v>
      </c>
      <c r="H743" s="24" t="s">
        <v>1529</v>
      </c>
      <c r="I743" s="21">
        <v>23</v>
      </c>
      <c r="J743" s="21" t="s">
        <v>89</v>
      </c>
      <c r="K743" s="21">
        <v>23377666</v>
      </c>
      <c r="L743" s="21" t="str">
        <f>RIGHT(КХЛ!$H743,4)</f>
        <v>1994</v>
      </c>
    </row>
    <row r="744" spans="5:12" ht="15.75" customHeight="1" x14ac:dyDescent="0.2">
      <c r="E744" s="21">
        <v>330</v>
      </c>
      <c r="F744" s="21" t="s">
        <v>1530</v>
      </c>
      <c r="G744" s="21" t="s">
        <v>91</v>
      </c>
      <c r="H744" s="24" t="s">
        <v>1531</v>
      </c>
      <c r="I744" s="21">
        <v>23</v>
      </c>
      <c r="J744" s="21" t="s">
        <v>89</v>
      </c>
      <c r="K744" s="21">
        <v>36193254</v>
      </c>
      <c r="L744" s="21" t="str">
        <f>RIGHT(КХЛ!$H744,4)</f>
        <v>1994</v>
      </c>
    </row>
    <row r="745" spans="5:12" ht="15.75" customHeight="1" x14ac:dyDescent="0.2">
      <c r="E745" s="21">
        <v>133</v>
      </c>
      <c r="F745" s="21" t="s">
        <v>1532</v>
      </c>
      <c r="G745" s="21" t="s">
        <v>83</v>
      </c>
      <c r="H745" s="24" t="s">
        <v>1533</v>
      </c>
      <c r="I745" s="21">
        <v>32</v>
      </c>
      <c r="J745" s="21" t="s">
        <v>93</v>
      </c>
      <c r="K745" s="21">
        <v>90229955</v>
      </c>
      <c r="L745" s="21" t="str">
        <f>RIGHT(КХЛ!$H745,4)</f>
        <v>1985</v>
      </c>
    </row>
    <row r="746" spans="5:12" ht="15.75" customHeight="1" x14ac:dyDescent="0.2">
      <c r="E746" s="21">
        <v>145</v>
      </c>
      <c r="F746" s="21" t="s">
        <v>1534</v>
      </c>
      <c r="G746" s="21" t="s">
        <v>83</v>
      </c>
      <c r="H746" s="24" t="s">
        <v>1535</v>
      </c>
      <c r="I746" s="21">
        <v>29</v>
      </c>
      <c r="J746" s="21" t="s">
        <v>89</v>
      </c>
      <c r="K746" s="21">
        <v>50810350</v>
      </c>
      <c r="L746" s="21" t="str">
        <f>RIGHT(КХЛ!$H746,4)</f>
        <v>1988</v>
      </c>
    </row>
    <row r="747" spans="5:12" ht="15.75" customHeight="1" x14ac:dyDescent="0.2">
      <c r="E747" s="21">
        <v>23</v>
      </c>
      <c r="F747" s="21" t="s">
        <v>1536</v>
      </c>
      <c r="G747" s="21" t="s">
        <v>91</v>
      </c>
      <c r="H747" s="24" t="s">
        <v>1537</v>
      </c>
      <c r="I747" s="21">
        <v>27</v>
      </c>
      <c r="J747" s="21" t="s">
        <v>132</v>
      </c>
      <c r="K747" s="21">
        <v>77628430</v>
      </c>
      <c r="L747" s="21" t="str">
        <f>RIGHT(КХЛ!$H747,4)</f>
        <v>1990</v>
      </c>
    </row>
    <row r="748" spans="5:12" ht="15.75" customHeight="1" x14ac:dyDescent="0.2">
      <c r="E748" s="21">
        <v>463</v>
      </c>
      <c r="F748" s="21" t="s">
        <v>1538</v>
      </c>
      <c r="G748" s="21" t="s">
        <v>91</v>
      </c>
      <c r="H748" s="24" t="s">
        <v>1539</v>
      </c>
      <c r="I748" s="21">
        <v>24</v>
      </c>
      <c r="J748" s="21" t="s">
        <v>169</v>
      </c>
      <c r="K748" s="21">
        <v>53486224</v>
      </c>
      <c r="L748" s="21" t="str">
        <f>RIGHT(КХЛ!$H748,4)</f>
        <v>1994</v>
      </c>
    </row>
    <row r="749" spans="5:12" ht="15.75" customHeight="1" x14ac:dyDescent="0.2">
      <c r="E749" s="21">
        <v>1713</v>
      </c>
      <c r="F749" s="21" t="s">
        <v>1540</v>
      </c>
      <c r="G749" s="21" t="s">
        <v>91</v>
      </c>
      <c r="H749" s="24" t="s">
        <v>1541</v>
      </c>
      <c r="I749" s="21">
        <v>25</v>
      </c>
      <c r="J749" s="21" t="s">
        <v>106</v>
      </c>
      <c r="K749" s="21">
        <v>86511602</v>
      </c>
      <c r="L749" s="21" t="str">
        <f>RIGHT(КХЛ!$H749,4)</f>
        <v>1992</v>
      </c>
    </row>
    <row r="750" spans="5:12" ht="15.75" customHeight="1" x14ac:dyDescent="0.2">
      <c r="E750" s="21">
        <v>797</v>
      </c>
      <c r="F750" s="21" t="s">
        <v>1542</v>
      </c>
      <c r="G750" s="21" t="s">
        <v>87</v>
      </c>
      <c r="H750" s="24" t="s">
        <v>1543</v>
      </c>
      <c r="I750" s="21">
        <v>26</v>
      </c>
      <c r="J750" s="21" t="s">
        <v>282</v>
      </c>
      <c r="K750" s="21">
        <v>16236159</v>
      </c>
      <c r="L750" s="21" t="str">
        <f>RIGHT(КХЛ!$H750,4)</f>
        <v>1991</v>
      </c>
    </row>
    <row r="751" spans="5:12" ht="15.75" customHeight="1" x14ac:dyDescent="0.2">
      <c r="E751" s="21">
        <v>378</v>
      </c>
      <c r="F751" s="21" t="s">
        <v>1544</v>
      </c>
      <c r="G751" s="21" t="s">
        <v>83</v>
      </c>
      <c r="H751" s="24" t="s">
        <v>1545</v>
      </c>
      <c r="I751" s="21">
        <v>34</v>
      </c>
      <c r="J751" s="21" t="s">
        <v>106</v>
      </c>
      <c r="K751" s="21">
        <v>27637802</v>
      </c>
      <c r="L751" s="21" t="str">
        <f>RIGHT(КХЛ!$H751,4)</f>
        <v>1983</v>
      </c>
    </row>
    <row r="752" spans="5:12" ht="15.75" customHeight="1" x14ac:dyDescent="0.2">
      <c r="E752" s="21">
        <v>1087</v>
      </c>
      <c r="F752" s="21" t="s">
        <v>1546</v>
      </c>
      <c r="G752" s="21" t="s">
        <v>91</v>
      </c>
      <c r="H752" s="24" t="s">
        <v>586</v>
      </c>
      <c r="I752" s="21">
        <v>22</v>
      </c>
      <c r="J752" s="21" t="s">
        <v>89</v>
      </c>
      <c r="K752" s="21">
        <v>39614313</v>
      </c>
      <c r="L752" s="21" t="str">
        <f>RIGHT(КХЛ!$H752,4)</f>
        <v>1995</v>
      </c>
    </row>
    <row r="753" spans="5:12" ht="15.75" customHeight="1" x14ac:dyDescent="0.2">
      <c r="E753" s="21">
        <v>648</v>
      </c>
      <c r="F753" s="21" t="s">
        <v>1547</v>
      </c>
      <c r="G753" s="21" t="s">
        <v>91</v>
      </c>
      <c r="H753" s="24" t="s">
        <v>1548</v>
      </c>
      <c r="I753" s="21">
        <v>29</v>
      </c>
      <c r="J753" s="21" t="s">
        <v>89</v>
      </c>
      <c r="K753" s="21">
        <v>98506665</v>
      </c>
      <c r="L753" s="21" t="str">
        <f>RIGHT(КХЛ!$H753,4)</f>
        <v>1988</v>
      </c>
    </row>
    <row r="754" spans="5:12" ht="15.75" customHeight="1" x14ac:dyDescent="0.2">
      <c r="E754" s="21">
        <v>1698</v>
      </c>
      <c r="F754" s="21" t="s">
        <v>1549</v>
      </c>
      <c r="G754" s="21" t="s">
        <v>91</v>
      </c>
      <c r="H754" s="24" t="s">
        <v>1550</v>
      </c>
      <c r="I754" s="21">
        <v>42</v>
      </c>
      <c r="J754" s="21" t="s">
        <v>132</v>
      </c>
      <c r="K754" s="21">
        <v>11382772</v>
      </c>
      <c r="L754" s="21" t="str">
        <f>RIGHT(КХЛ!$H754,4)</f>
        <v>1976</v>
      </c>
    </row>
    <row r="755" spans="5:12" ht="15.75" customHeight="1" x14ac:dyDescent="0.2">
      <c r="E755" s="21">
        <v>1031</v>
      </c>
      <c r="F755" s="21" t="s">
        <v>1551</v>
      </c>
      <c r="G755" s="21" t="s">
        <v>91</v>
      </c>
      <c r="H755" s="24" t="s">
        <v>1552</v>
      </c>
      <c r="I755" s="21">
        <v>28</v>
      </c>
      <c r="J755" s="21" t="s">
        <v>93</v>
      </c>
      <c r="K755" s="21">
        <v>7645836</v>
      </c>
      <c r="L755" s="21" t="str">
        <f>RIGHT(КХЛ!$H755,4)</f>
        <v>1989</v>
      </c>
    </row>
    <row r="756" spans="5:12" ht="15.75" customHeight="1" x14ac:dyDescent="0.2">
      <c r="E756" s="21">
        <v>256</v>
      </c>
      <c r="F756" s="21" t="s">
        <v>1553</v>
      </c>
      <c r="G756" s="21" t="s">
        <v>91</v>
      </c>
      <c r="H756" s="24" t="s">
        <v>1554</v>
      </c>
      <c r="I756" s="21">
        <v>31</v>
      </c>
      <c r="J756" s="21" t="s">
        <v>89</v>
      </c>
      <c r="K756" s="21">
        <v>51271052</v>
      </c>
      <c r="L756" s="21" t="str">
        <f>RIGHT(КХЛ!$H756,4)</f>
        <v>1987</v>
      </c>
    </row>
    <row r="757" spans="5:12" ht="15.75" customHeight="1" x14ac:dyDescent="0.2">
      <c r="E757" s="21">
        <v>1448</v>
      </c>
      <c r="F757" s="21" t="s">
        <v>1555</v>
      </c>
      <c r="G757" s="21" t="s">
        <v>87</v>
      </c>
      <c r="H757" s="24" t="s">
        <v>1556</v>
      </c>
      <c r="I757" s="21">
        <v>29</v>
      </c>
      <c r="J757" s="21" t="s">
        <v>169</v>
      </c>
      <c r="K757" s="21">
        <v>14075264</v>
      </c>
      <c r="L757" s="21" t="str">
        <f>RIGHT(КХЛ!$H757,4)</f>
        <v>1988</v>
      </c>
    </row>
    <row r="758" spans="5:12" ht="15.75" customHeight="1" x14ac:dyDescent="0.2">
      <c r="E758" s="21">
        <v>1019</v>
      </c>
      <c r="F758" s="21" t="s">
        <v>1557</v>
      </c>
      <c r="G758" s="21" t="s">
        <v>83</v>
      </c>
      <c r="H758" s="24" t="s">
        <v>1558</v>
      </c>
      <c r="I758" s="21">
        <v>43</v>
      </c>
      <c r="J758" s="21" t="s">
        <v>93</v>
      </c>
      <c r="K758" s="21">
        <v>89420823</v>
      </c>
      <c r="L758" s="21" t="str">
        <f>RIGHT(КХЛ!$H758,4)</f>
        <v>1975</v>
      </c>
    </row>
    <row r="759" spans="5:12" ht="15.75" customHeight="1" x14ac:dyDescent="0.2">
      <c r="E759" s="21">
        <v>496</v>
      </c>
      <c r="F759" s="21" t="s">
        <v>1559</v>
      </c>
      <c r="G759" s="21" t="s">
        <v>83</v>
      </c>
      <c r="H759" s="24" t="s">
        <v>1560</v>
      </c>
      <c r="I759" s="21">
        <v>31</v>
      </c>
      <c r="J759" s="21" t="s">
        <v>169</v>
      </c>
      <c r="K759" s="21">
        <v>54271576</v>
      </c>
      <c r="L759" s="21" t="str">
        <f>RIGHT(КХЛ!$H759,4)</f>
        <v>1986</v>
      </c>
    </row>
    <row r="760" spans="5:12" ht="15.75" customHeight="1" x14ac:dyDescent="0.2">
      <c r="E760" s="21">
        <v>1019</v>
      </c>
      <c r="F760" s="21" t="s">
        <v>1561</v>
      </c>
      <c r="G760" s="21" t="s">
        <v>83</v>
      </c>
      <c r="H760" s="24" t="s">
        <v>1562</v>
      </c>
      <c r="I760" s="21">
        <v>26</v>
      </c>
      <c r="J760" s="21" t="s">
        <v>85</v>
      </c>
      <c r="K760" s="21">
        <v>18987752</v>
      </c>
      <c r="L760" s="21" t="str">
        <f>RIGHT(КХЛ!$H760,4)</f>
        <v>1991</v>
      </c>
    </row>
    <row r="761" spans="5:12" ht="15.75" customHeight="1" x14ac:dyDescent="0.2">
      <c r="E761" s="21">
        <v>1078</v>
      </c>
      <c r="F761" s="21" t="s">
        <v>1563</v>
      </c>
      <c r="G761" s="21" t="s">
        <v>83</v>
      </c>
      <c r="H761" s="24" t="s">
        <v>1564</v>
      </c>
      <c r="I761" s="21">
        <v>35</v>
      </c>
      <c r="J761" s="21" t="s">
        <v>85</v>
      </c>
      <c r="K761" s="21">
        <v>85761868</v>
      </c>
      <c r="L761" s="21" t="str">
        <f>RIGHT(КХЛ!$H761,4)</f>
        <v>1982</v>
      </c>
    </row>
    <row r="762" spans="5:12" ht="15.75" customHeight="1" x14ac:dyDescent="0.2">
      <c r="E762" s="21">
        <v>1121</v>
      </c>
      <c r="F762" s="21" t="s">
        <v>1565</v>
      </c>
      <c r="G762" s="21" t="s">
        <v>91</v>
      </c>
      <c r="H762" s="24" t="s">
        <v>1566</v>
      </c>
      <c r="I762" s="21">
        <v>34</v>
      </c>
      <c r="J762" s="21" t="s">
        <v>89</v>
      </c>
      <c r="K762" s="21">
        <v>34316177</v>
      </c>
      <c r="L762" s="21" t="str">
        <f>RIGHT(КХЛ!$H762,4)</f>
        <v>1983</v>
      </c>
    </row>
    <row r="763" spans="5:12" ht="15.75" customHeight="1" x14ac:dyDescent="0.2">
      <c r="E763" s="21">
        <v>219</v>
      </c>
      <c r="F763" s="21" t="s">
        <v>1567</v>
      </c>
      <c r="G763" s="21" t="s">
        <v>83</v>
      </c>
      <c r="H763" s="24" t="s">
        <v>742</v>
      </c>
      <c r="I763" s="21">
        <v>33</v>
      </c>
      <c r="J763" s="21" t="s">
        <v>89</v>
      </c>
      <c r="K763" s="21">
        <v>67153468</v>
      </c>
      <c r="L763" s="21" t="str">
        <f>RIGHT(КХЛ!$H763,4)</f>
        <v>1985</v>
      </c>
    </row>
    <row r="764" spans="5:12" ht="15.75" customHeight="1" x14ac:dyDescent="0.2">
      <c r="E764" s="21">
        <v>560</v>
      </c>
      <c r="F764" s="21" t="s">
        <v>1568</v>
      </c>
      <c r="G764" s="21" t="s">
        <v>91</v>
      </c>
      <c r="H764" s="24" t="s">
        <v>1569</v>
      </c>
      <c r="I764" s="21">
        <v>32</v>
      </c>
      <c r="J764" s="21" t="s">
        <v>89</v>
      </c>
      <c r="K764" s="21">
        <v>27272534</v>
      </c>
      <c r="L764" s="21" t="str">
        <f>RIGHT(КХЛ!$H764,4)</f>
        <v>1985</v>
      </c>
    </row>
    <row r="765" spans="5:12" ht="15.75" customHeight="1" x14ac:dyDescent="0.2">
      <c r="E765" s="21">
        <v>945</v>
      </c>
      <c r="F765" s="21" t="s">
        <v>1570</v>
      </c>
      <c r="G765" s="21" t="s">
        <v>87</v>
      </c>
      <c r="H765" s="24" t="s">
        <v>1571</v>
      </c>
      <c r="I765" s="21">
        <v>38</v>
      </c>
      <c r="J765" s="21" t="s">
        <v>106</v>
      </c>
      <c r="K765" s="21">
        <v>41680124</v>
      </c>
      <c r="L765" s="21" t="str">
        <f>RIGHT(КХЛ!$H765,4)</f>
        <v>1980</v>
      </c>
    </row>
    <row r="766" spans="5:12" ht="15.75" customHeight="1" x14ac:dyDescent="0.2">
      <c r="E766" s="21">
        <v>462</v>
      </c>
      <c r="F766" s="21" t="s">
        <v>1572</v>
      </c>
      <c r="G766" s="21" t="s">
        <v>83</v>
      </c>
      <c r="H766" s="24" t="s">
        <v>1573</v>
      </c>
      <c r="I766" s="21">
        <v>22</v>
      </c>
      <c r="J766" s="21" t="s">
        <v>89</v>
      </c>
      <c r="K766" s="21">
        <v>97527306</v>
      </c>
      <c r="L766" s="21" t="str">
        <f>RIGHT(КХЛ!$H766,4)</f>
        <v>1995</v>
      </c>
    </row>
    <row r="767" spans="5:12" ht="15.75" customHeight="1" x14ac:dyDescent="0.2">
      <c r="E767" s="21">
        <v>783</v>
      </c>
      <c r="F767" s="21" t="s">
        <v>1574</v>
      </c>
      <c r="G767" s="21" t="s">
        <v>91</v>
      </c>
      <c r="H767" s="24" t="s">
        <v>1575</v>
      </c>
      <c r="I767" s="21">
        <v>33</v>
      </c>
      <c r="J767" s="21" t="s">
        <v>89</v>
      </c>
      <c r="K767" s="21">
        <v>70354960</v>
      </c>
      <c r="L767" s="21" t="str">
        <f>RIGHT(КХЛ!$H767,4)</f>
        <v>1984</v>
      </c>
    </row>
    <row r="768" spans="5:12" ht="15.75" customHeight="1" x14ac:dyDescent="0.2">
      <c r="E768" s="21">
        <v>429</v>
      </c>
      <c r="F768" s="21" t="s">
        <v>1576</v>
      </c>
      <c r="G768" s="21" t="s">
        <v>87</v>
      </c>
      <c r="H768" s="24" t="s">
        <v>1577</v>
      </c>
      <c r="I768" s="21">
        <v>18</v>
      </c>
      <c r="J768" s="21" t="s">
        <v>282</v>
      </c>
      <c r="K768" s="21">
        <v>51059861</v>
      </c>
      <c r="L768" s="21" t="str">
        <f>RIGHT(КХЛ!$H768,4)</f>
        <v>2000</v>
      </c>
    </row>
    <row r="769" spans="5:12" ht="15.75" customHeight="1" x14ac:dyDescent="0.2">
      <c r="E769" s="21">
        <v>911</v>
      </c>
      <c r="F769" s="21" t="s">
        <v>1508</v>
      </c>
      <c r="G769" s="21" t="s">
        <v>91</v>
      </c>
      <c r="H769" s="24" t="s">
        <v>1509</v>
      </c>
      <c r="I769" s="21">
        <v>37</v>
      </c>
      <c r="J769" s="21" t="s">
        <v>89</v>
      </c>
      <c r="K769" s="21">
        <v>62699878</v>
      </c>
      <c r="L769" s="21" t="str">
        <f>RIGHT(КХЛ!$H769,4)</f>
        <v>1980</v>
      </c>
    </row>
    <row r="770" spans="5:12" ht="15.75" customHeight="1" x14ac:dyDescent="0.2">
      <c r="E770" s="21">
        <v>315</v>
      </c>
      <c r="F770" s="21" t="s">
        <v>1578</v>
      </c>
      <c r="G770" s="21" t="s">
        <v>91</v>
      </c>
      <c r="H770" s="24" t="s">
        <v>1579</v>
      </c>
      <c r="I770" s="21">
        <v>26</v>
      </c>
      <c r="J770" s="21" t="s">
        <v>89</v>
      </c>
      <c r="K770" s="21">
        <v>15470650</v>
      </c>
      <c r="L770" s="21" t="str">
        <f>RIGHT(КХЛ!$H770,4)</f>
        <v>1991</v>
      </c>
    </row>
    <row r="771" spans="5:12" ht="15.75" customHeight="1" x14ac:dyDescent="0.2">
      <c r="E771" s="21">
        <v>1131</v>
      </c>
      <c r="F771" s="21" t="s">
        <v>1580</v>
      </c>
      <c r="G771" s="21" t="s">
        <v>87</v>
      </c>
      <c r="H771" s="24" t="s">
        <v>874</v>
      </c>
      <c r="I771" s="21">
        <v>23</v>
      </c>
      <c r="J771" s="21" t="s">
        <v>89</v>
      </c>
      <c r="K771" s="21">
        <v>53813135</v>
      </c>
      <c r="L771" s="21" t="str">
        <f>RIGHT(КХЛ!$H771,4)</f>
        <v>1994</v>
      </c>
    </row>
    <row r="772" spans="5:12" ht="15.75" customHeight="1" x14ac:dyDescent="0.2">
      <c r="E772" s="21">
        <v>1160</v>
      </c>
      <c r="F772" s="21" t="s">
        <v>1581</v>
      </c>
      <c r="G772" s="21" t="s">
        <v>87</v>
      </c>
      <c r="H772" s="24" t="s">
        <v>1582</v>
      </c>
      <c r="I772" s="21">
        <v>22</v>
      </c>
      <c r="J772" s="21" t="s">
        <v>89</v>
      </c>
      <c r="K772" s="21">
        <v>91874482</v>
      </c>
      <c r="L772" s="21" t="str">
        <f>RIGHT(КХЛ!$H772,4)</f>
        <v>1995</v>
      </c>
    </row>
    <row r="773" spans="5:12" ht="15.75" customHeight="1" x14ac:dyDescent="0.2">
      <c r="E773" s="21">
        <v>553</v>
      </c>
      <c r="F773" s="21" t="s">
        <v>1583</v>
      </c>
      <c r="G773" s="21" t="s">
        <v>91</v>
      </c>
      <c r="H773" s="24" t="s">
        <v>1584</v>
      </c>
      <c r="I773" s="21">
        <v>22</v>
      </c>
      <c r="J773" s="21" t="s">
        <v>89</v>
      </c>
      <c r="K773" s="21">
        <v>98361454</v>
      </c>
      <c r="L773" s="21" t="str">
        <f>RIGHT(КХЛ!$H773,4)</f>
        <v>1995</v>
      </c>
    </row>
    <row r="774" spans="5:12" ht="15.75" customHeight="1" x14ac:dyDescent="0.2">
      <c r="E774" s="21">
        <v>910</v>
      </c>
      <c r="F774" s="21" t="s">
        <v>1585</v>
      </c>
      <c r="G774" s="21" t="s">
        <v>91</v>
      </c>
      <c r="H774" s="24" t="s">
        <v>1586</v>
      </c>
      <c r="I774" s="21">
        <v>22</v>
      </c>
      <c r="J774" s="21" t="s">
        <v>89</v>
      </c>
      <c r="K774" s="21">
        <v>10180944</v>
      </c>
      <c r="L774" s="21" t="str">
        <f>RIGHT(КХЛ!$H774,4)</f>
        <v>1995</v>
      </c>
    </row>
    <row r="775" spans="5:12" ht="15.75" customHeight="1" x14ac:dyDescent="0.2">
      <c r="E775" s="21">
        <v>600</v>
      </c>
      <c r="F775" s="21" t="s">
        <v>1587</v>
      </c>
      <c r="G775" s="21" t="s">
        <v>87</v>
      </c>
      <c r="H775" s="24" t="s">
        <v>1588</v>
      </c>
      <c r="I775" s="21">
        <v>31</v>
      </c>
      <c r="J775" s="21" t="s">
        <v>106</v>
      </c>
      <c r="K775" s="21">
        <v>44594683</v>
      </c>
      <c r="L775" s="21" t="str">
        <f>RIGHT(КХЛ!$H775,4)</f>
        <v>1986</v>
      </c>
    </row>
    <row r="776" spans="5:12" ht="15.75" customHeight="1" x14ac:dyDescent="0.2">
      <c r="E776" s="21">
        <v>1066</v>
      </c>
      <c r="F776" s="21" t="s">
        <v>1589</v>
      </c>
      <c r="G776" s="21" t="s">
        <v>91</v>
      </c>
      <c r="H776" s="24" t="s">
        <v>1590</v>
      </c>
      <c r="I776" s="21">
        <v>34</v>
      </c>
      <c r="J776" s="21" t="s">
        <v>106</v>
      </c>
      <c r="K776" s="21">
        <v>85685318</v>
      </c>
      <c r="L776" s="21" t="str">
        <f>RIGHT(КХЛ!$H776,4)</f>
        <v>1983</v>
      </c>
    </row>
    <row r="777" spans="5:12" ht="15.75" customHeight="1" x14ac:dyDescent="0.2">
      <c r="E777" s="21">
        <v>1763</v>
      </c>
      <c r="F777" s="21" t="s">
        <v>1591</v>
      </c>
      <c r="G777" s="21" t="s">
        <v>91</v>
      </c>
      <c r="H777" s="24" t="s">
        <v>1592</v>
      </c>
      <c r="I777" s="21">
        <v>22</v>
      </c>
      <c r="J777" s="21" t="s">
        <v>89</v>
      </c>
      <c r="K777" s="21">
        <v>31957573</v>
      </c>
      <c r="L777" s="21" t="str">
        <f>RIGHT(КХЛ!$H777,4)</f>
        <v>1995</v>
      </c>
    </row>
    <row r="778" spans="5:12" ht="15.75" customHeight="1" x14ac:dyDescent="0.2">
      <c r="E778" s="21">
        <v>47</v>
      </c>
      <c r="F778" s="21" t="s">
        <v>1593</v>
      </c>
      <c r="G778" s="21" t="s">
        <v>91</v>
      </c>
      <c r="H778" s="24" t="s">
        <v>641</v>
      </c>
      <c r="I778" s="21">
        <v>26</v>
      </c>
      <c r="J778" s="21" t="s">
        <v>89</v>
      </c>
      <c r="K778" s="21">
        <v>5952127</v>
      </c>
      <c r="L778" s="21" t="str">
        <f>RIGHT(КХЛ!$H778,4)</f>
        <v>1991</v>
      </c>
    </row>
    <row r="779" spans="5:12" ht="15.75" customHeight="1" x14ac:dyDescent="0.2">
      <c r="E779" s="21">
        <v>1111</v>
      </c>
      <c r="F779" s="21" t="s">
        <v>1594</v>
      </c>
      <c r="G779" s="21" t="s">
        <v>87</v>
      </c>
      <c r="H779" s="24" t="s">
        <v>1595</v>
      </c>
      <c r="I779" s="21">
        <v>19</v>
      </c>
      <c r="J779" s="21" t="s">
        <v>89</v>
      </c>
      <c r="K779" s="21">
        <v>28347445</v>
      </c>
      <c r="L779" s="21" t="str">
        <f>RIGHT(КХЛ!$H779,4)</f>
        <v>1998</v>
      </c>
    </row>
    <row r="780" spans="5:12" ht="15.75" customHeight="1" x14ac:dyDescent="0.2">
      <c r="E780" s="21">
        <v>888</v>
      </c>
      <c r="F780" s="21" t="s">
        <v>1596</v>
      </c>
      <c r="G780" s="21" t="s">
        <v>87</v>
      </c>
      <c r="H780" s="24" t="s">
        <v>1597</v>
      </c>
      <c r="I780" s="21">
        <v>23</v>
      </c>
      <c r="J780" s="21" t="s">
        <v>89</v>
      </c>
      <c r="K780" s="21">
        <v>64375048</v>
      </c>
      <c r="L780" s="21" t="str">
        <f>RIGHT(КХЛ!$H780,4)</f>
        <v>1994</v>
      </c>
    </row>
    <row r="781" spans="5:12" ht="15.75" customHeight="1" x14ac:dyDescent="0.2">
      <c r="E781" s="21">
        <v>924</v>
      </c>
      <c r="F781" s="21" t="s">
        <v>1598</v>
      </c>
      <c r="G781" s="21" t="s">
        <v>91</v>
      </c>
      <c r="H781" s="24" t="s">
        <v>1599</v>
      </c>
      <c r="I781" s="21">
        <v>30</v>
      </c>
      <c r="J781" s="21" t="s">
        <v>89</v>
      </c>
      <c r="K781" s="21">
        <v>84144016</v>
      </c>
      <c r="L781" s="21" t="str">
        <f>RIGHT(КХЛ!$H781,4)</f>
        <v>1988</v>
      </c>
    </row>
    <row r="782" spans="5:12" ht="15.75" customHeight="1" x14ac:dyDescent="0.2">
      <c r="E782" s="21">
        <v>1055</v>
      </c>
      <c r="F782" s="21" t="s">
        <v>1600</v>
      </c>
      <c r="G782" s="21" t="s">
        <v>87</v>
      </c>
      <c r="H782" s="24" t="s">
        <v>1485</v>
      </c>
      <c r="I782" s="21">
        <v>37</v>
      </c>
      <c r="J782" s="21" t="s">
        <v>89</v>
      </c>
      <c r="K782" s="21">
        <v>28846301</v>
      </c>
      <c r="L782" s="21" t="str">
        <f>RIGHT(КХЛ!$H782,4)</f>
        <v>1980</v>
      </c>
    </row>
    <row r="783" spans="5:12" ht="15.75" customHeight="1" x14ac:dyDescent="0.2">
      <c r="E783" s="21">
        <v>447</v>
      </c>
      <c r="F783" s="21" t="s">
        <v>1601</v>
      </c>
      <c r="G783" s="21" t="s">
        <v>91</v>
      </c>
      <c r="H783" s="24" t="s">
        <v>1602</v>
      </c>
      <c r="I783" s="21">
        <v>29</v>
      </c>
      <c r="J783" s="21" t="s">
        <v>89</v>
      </c>
      <c r="K783" s="21">
        <v>99929962</v>
      </c>
      <c r="L783" s="21" t="str">
        <f>RIGHT(КХЛ!$H783,4)</f>
        <v>1988</v>
      </c>
    </row>
    <row r="784" spans="5:12" ht="15.75" customHeight="1" x14ac:dyDescent="0.2">
      <c r="E784" s="21">
        <v>949</v>
      </c>
      <c r="F784" s="21" t="s">
        <v>1603</v>
      </c>
      <c r="G784" s="21" t="s">
        <v>91</v>
      </c>
      <c r="H784" s="24" t="s">
        <v>1604</v>
      </c>
      <c r="I784" s="21">
        <v>30</v>
      </c>
      <c r="J784" s="21" t="s">
        <v>89</v>
      </c>
      <c r="K784" s="21">
        <v>57959590</v>
      </c>
      <c r="L784" s="21" t="str">
        <f>RIGHT(КХЛ!$H784,4)</f>
        <v>1987</v>
      </c>
    </row>
    <row r="785" spans="5:12" ht="15.75" customHeight="1" x14ac:dyDescent="0.2">
      <c r="E785" s="21">
        <v>311</v>
      </c>
      <c r="F785" s="21" t="s">
        <v>1605</v>
      </c>
      <c r="G785" s="21" t="s">
        <v>91</v>
      </c>
      <c r="H785" s="24" t="s">
        <v>177</v>
      </c>
      <c r="I785" s="21">
        <v>37</v>
      </c>
      <c r="J785" s="21" t="s">
        <v>89</v>
      </c>
      <c r="K785" s="21">
        <v>78229573</v>
      </c>
      <c r="L785" s="21" t="str">
        <f>RIGHT(КХЛ!$H785,4)</f>
        <v>1980</v>
      </c>
    </row>
    <row r="786" spans="5:12" ht="15.75" customHeight="1" x14ac:dyDescent="0.2">
      <c r="E786" s="21">
        <v>1341</v>
      </c>
      <c r="F786" s="21" t="s">
        <v>1606</v>
      </c>
      <c r="G786" s="21" t="s">
        <v>91</v>
      </c>
      <c r="H786" s="24" t="s">
        <v>1607</v>
      </c>
      <c r="I786" s="21">
        <v>43</v>
      </c>
      <c r="J786" s="21" t="s">
        <v>106</v>
      </c>
      <c r="K786" s="21">
        <v>35953506</v>
      </c>
      <c r="L786" s="21" t="str">
        <f>RIGHT(КХЛ!$H786,4)</f>
        <v>1975</v>
      </c>
    </row>
    <row r="787" spans="5:12" ht="15.75" customHeight="1" x14ac:dyDescent="0.2">
      <c r="E787" s="21">
        <v>1426</v>
      </c>
      <c r="F787" s="21" t="s">
        <v>1608</v>
      </c>
      <c r="G787" s="21" t="s">
        <v>83</v>
      </c>
      <c r="H787" s="24" t="s">
        <v>1609</v>
      </c>
      <c r="I787" s="21">
        <v>36</v>
      </c>
      <c r="J787" s="21" t="s">
        <v>106</v>
      </c>
      <c r="K787" s="21">
        <v>209922</v>
      </c>
      <c r="L787" s="21" t="str">
        <f>RIGHT(КХЛ!$H787,4)</f>
        <v>1981</v>
      </c>
    </row>
    <row r="788" spans="5:12" ht="15.75" customHeight="1" x14ac:dyDescent="0.2">
      <c r="E788" s="21">
        <v>1574</v>
      </c>
      <c r="F788" s="21" t="s">
        <v>1610</v>
      </c>
      <c r="G788" s="21" t="s">
        <v>83</v>
      </c>
      <c r="H788" s="24" t="s">
        <v>1611</v>
      </c>
      <c r="I788" s="21">
        <v>35</v>
      </c>
      <c r="J788" s="21" t="s">
        <v>222</v>
      </c>
      <c r="K788" s="21">
        <v>76205131</v>
      </c>
      <c r="L788" s="21" t="str">
        <f>RIGHT(КХЛ!$H788,4)</f>
        <v>1982</v>
      </c>
    </row>
    <row r="789" spans="5:12" ht="15.75" customHeight="1" x14ac:dyDescent="0.2">
      <c r="E789" s="21">
        <v>163</v>
      </c>
      <c r="F789" s="21" t="s">
        <v>1612</v>
      </c>
      <c r="G789" s="21" t="s">
        <v>87</v>
      </c>
      <c r="H789" s="24" t="s">
        <v>1613</v>
      </c>
      <c r="I789" s="21">
        <v>18</v>
      </c>
      <c r="J789" s="21" t="s">
        <v>89</v>
      </c>
      <c r="K789" s="21">
        <v>57869571</v>
      </c>
      <c r="L789" s="21" t="str">
        <f>RIGHT(КХЛ!$H789,4)</f>
        <v>1999</v>
      </c>
    </row>
    <row r="790" spans="5:12" ht="15.75" customHeight="1" x14ac:dyDescent="0.2">
      <c r="E790" s="21">
        <v>826</v>
      </c>
      <c r="F790" s="21" t="s">
        <v>1614</v>
      </c>
      <c r="G790" s="21" t="s">
        <v>91</v>
      </c>
      <c r="H790" s="24" t="s">
        <v>1615</v>
      </c>
      <c r="I790" s="21">
        <v>31</v>
      </c>
      <c r="J790" s="21" t="s">
        <v>106</v>
      </c>
      <c r="K790" s="21">
        <v>46945144</v>
      </c>
      <c r="L790" s="21" t="str">
        <f>RIGHT(КХЛ!$H790,4)</f>
        <v>1986</v>
      </c>
    </row>
    <row r="791" spans="5:12" ht="15.75" customHeight="1" x14ac:dyDescent="0.2">
      <c r="E791" s="21">
        <v>271</v>
      </c>
      <c r="F791" s="21" t="s">
        <v>1616</v>
      </c>
      <c r="G791" s="21" t="s">
        <v>87</v>
      </c>
      <c r="H791" s="24" t="s">
        <v>1617</v>
      </c>
      <c r="I791" s="21">
        <v>26</v>
      </c>
      <c r="J791" s="21" t="s">
        <v>89</v>
      </c>
      <c r="K791" s="21">
        <v>34798385</v>
      </c>
      <c r="L791" s="21" t="str">
        <f>RIGHT(КХЛ!$H791,4)</f>
        <v>1991</v>
      </c>
    </row>
    <row r="792" spans="5:12" ht="15.75" customHeight="1" x14ac:dyDescent="0.2">
      <c r="E792" s="21">
        <v>1149</v>
      </c>
      <c r="F792" s="21" t="s">
        <v>1618</v>
      </c>
      <c r="G792" s="21" t="s">
        <v>91</v>
      </c>
      <c r="H792" s="24" t="s">
        <v>1619</v>
      </c>
      <c r="I792" s="21">
        <v>39</v>
      </c>
      <c r="J792" s="21" t="s">
        <v>106</v>
      </c>
      <c r="K792" s="21">
        <v>58219210</v>
      </c>
      <c r="L792" s="21" t="str">
        <f>RIGHT(КХЛ!$H792,4)</f>
        <v>1978</v>
      </c>
    </row>
    <row r="793" spans="5:12" ht="15.75" customHeight="1" x14ac:dyDescent="0.2">
      <c r="E793" s="21">
        <v>913</v>
      </c>
      <c r="F793" s="21" t="s">
        <v>1620</v>
      </c>
      <c r="G793" s="21" t="s">
        <v>83</v>
      </c>
      <c r="H793" s="24" t="s">
        <v>914</v>
      </c>
      <c r="I793" s="21">
        <v>22</v>
      </c>
      <c r="J793" s="21" t="s">
        <v>89</v>
      </c>
      <c r="K793" s="21">
        <v>18723741</v>
      </c>
      <c r="L793" s="21" t="str">
        <f>RIGHT(КХЛ!$H793,4)</f>
        <v>1995</v>
      </c>
    </row>
    <row r="794" spans="5:12" ht="15.75" customHeight="1" x14ac:dyDescent="0.2">
      <c r="E794" s="21">
        <v>1520</v>
      </c>
      <c r="F794" s="21" t="s">
        <v>1621</v>
      </c>
      <c r="G794" s="21" t="s">
        <v>83</v>
      </c>
      <c r="H794" s="24" t="s">
        <v>1622</v>
      </c>
      <c r="I794" s="21">
        <v>30</v>
      </c>
      <c r="J794" s="21" t="s">
        <v>93</v>
      </c>
      <c r="K794" s="21">
        <v>16422423</v>
      </c>
      <c r="L794" s="21" t="str">
        <f>RIGHT(КХЛ!$H794,4)</f>
        <v>1987</v>
      </c>
    </row>
    <row r="795" spans="5:12" ht="15.75" customHeight="1" x14ac:dyDescent="0.2">
      <c r="E795" s="21">
        <v>1270</v>
      </c>
      <c r="F795" s="21" t="s">
        <v>1623</v>
      </c>
      <c r="G795" s="21" t="s">
        <v>91</v>
      </c>
      <c r="H795" s="24" t="s">
        <v>1624</v>
      </c>
      <c r="I795" s="21">
        <v>29</v>
      </c>
      <c r="J795" s="21" t="s">
        <v>89</v>
      </c>
      <c r="K795" s="21">
        <v>12895938</v>
      </c>
      <c r="L795" s="21" t="str">
        <f>RIGHT(КХЛ!$H795,4)</f>
        <v>1988</v>
      </c>
    </row>
    <row r="796" spans="5:12" ht="15.75" customHeight="1" x14ac:dyDescent="0.2">
      <c r="E796" s="21">
        <v>712</v>
      </c>
      <c r="F796" s="21" t="s">
        <v>1625</v>
      </c>
      <c r="G796" s="21" t="s">
        <v>91</v>
      </c>
      <c r="H796" s="24" t="s">
        <v>1626</v>
      </c>
      <c r="I796" s="21">
        <v>40</v>
      </c>
      <c r="J796" s="21" t="s">
        <v>106</v>
      </c>
      <c r="K796" s="21">
        <v>21703982</v>
      </c>
      <c r="L796" s="21" t="str">
        <f>RIGHT(КХЛ!$H796,4)</f>
        <v>1977</v>
      </c>
    </row>
    <row r="797" spans="5:12" ht="15.75" customHeight="1" x14ac:dyDescent="0.2">
      <c r="E797" s="21">
        <v>256</v>
      </c>
      <c r="F797" s="21" t="s">
        <v>1627</v>
      </c>
      <c r="G797" s="21" t="s">
        <v>91</v>
      </c>
      <c r="H797" s="24" t="s">
        <v>1628</v>
      </c>
      <c r="I797" s="21">
        <v>42</v>
      </c>
      <c r="J797" s="21" t="s">
        <v>89</v>
      </c>
      <c r="K797" s="21">
        <v>16947650</v>
      </c>
      <c r="L797" s="21" t="str">
        <f>RIGHT(КХЛ!$H797,4)</f>
        <v>1975</v>
      </c>
    </row>
    <row r="798" spans="5:12" ht="15.75" customHeight="1" x14ac:dyDescent="0.2">
      <c r="E798" s="21">
        <v>526</v>
      </c>
      <c r="F798" s="21" t="s">
        <v>1629</v>
      </c>
      <c r="G798" s="21" t="s">
        <v>91</v>
      </c>
      <c r="H798" s="24" t="s">
        <v>615</v>
      </c>
      <c r="I798" s="21">
        <v>29</v>
      </c>
      <c r="J798" s="21" t="s">
        <v>89</v>
      </c>
      <c r="K798" s="21">
        <v>44209232</v>
      </c>
      <c r="L798" s="21" t="str">
        <f>RIGHT(КХЛ!$H798,4)</f>
        <v>1988</v>
      </c>
    </row>
    <row r="799" spans="5:12" ht="15.75" customHeight="1" x14ac:dyDescent="0.2">
      <c r="E799" s="21">
        <v>112</v>
      </c>
      <c r="F799" s="21" t="s">
        <v>1630</v>
      </c>
      <c r="G799" s="21" t="s">
        <v>91</v>
      </c>
      <c r="H799" s="24" t="s">
        <v>1631</v>
      </c>
      <c r="I799" s="21">
        <v>20</v>
      </c>
      <c r="J799" s="21" t="s">
        <v>89</v>
      </c>
      <c r="K799" s="21">
        <v>25508270</v>
      </c>
      <c r="L799" s="21" t="str">
        <f>RIGHT(КХЛ!$H799,4)</f>
        <v>1997</v>
      </c>
    </row>
    <row r="800" spans="5:12" ht="15.75" customHeight="1" x14ac:dyDescent="0.2">
      <c r="E800" s="21">
        <v>914</v>
      </c>
      <c r="F800" s="21" t="s">
        <v>1632</v>
      </c>
      <c r="G800" s="21" t="s">
        <v>83</v>
      </c>
      <c r="H800" s="24" t="s">
        <v>1633</v>
      </c>
      <c r="I800" s="21">
        <v>28</v>
      </c>
      <c r="J800" s="21" t="s">
        <v>89</v>
      </c>
      <c r="K800" s="21">
        <v>56445420</v>
      </c>
      <c r="L800" s="21" t="str">
        <f>RIGHT(КХЛ!$H800,4)</f>
        <v>1989</v>
      </c>
    </row>
    <row r="801" spans="5:12" ht="15.75" customHeight="1" x14ac:dyDescent="0.2">
      <c r="E801" s="21">
        <v>1242</v>
      </c>
      <c r="F801" s="21" t="s">
        <v>1634</v>
      </c>
      <c r="G801" s="21" t="s">
        <v>91</v>
      </c>
      <c r="H801" s="24" t="s">
        <v>1635</v>
      </c>
      <c r="I801" s="21">
        <v>36</v>
      </c>
      <c r="J801" s="21" t="s">
        <v>89</v>
      </c>
      <c r="K801" s="21">
        <v>42042078</v>
      </c>
      <c r="L801" s="21" t="str">
        <f>RIGHT(КХЛ!$H801,4)</f>
        <v>1981</v>
      </c>
    </row>
    <row r="802" spans="5:12" ht="15.75" customHeight="1" x14ac:dyDescent="0.2">
      <c r="E802" s="21">
        <v>307</v>
      </c>
      <c r="F802" s="21" t="s">
        <v>1636</v>
      </c>
      <c r="G802" s="21" t="s">
        <v>91</v>
      </c>
      <c r="H802" s="24" t="s">
        <v>1637</v>
      </c>
      <c r="I802" s="21">
        <v>32</v>
      </c>
      <c r="J802" s="21" t="s">
        <v>89</v>
      </c>
      <c r="K802" s="21">
        <v>2780464</v>
      </c>
      <c r="L802" s="21" t="str">
        <f>RIGHT(КХЛ!$H802,4)</f>
        <v>1985</v>
      </c>
    </row>
    <row r="803" spans="5:12" ht="15.75" customHeight="1" x14ac:dyDescent="0.2">
      <c r="E803" s="21">
        <v>544</v>
      </c>
      <c r="F803" s="21" t="s">
        <v>1638</v>
      </c>
      <c r="G803" s="21" t="s">
        <v>87</v>
      </c>
      <c r="H803" s="24" t="s">
        <v>872</v>
      </c>
      <c r="I803" s="21">
        <v>19</v>
      </c>
      <c r="J803" s="21" t="s">
        <v>89</v>
      </c>
      <c r="K803" s="21">
        <v>26739937</v>
      </c>
      <c r="L803" s="21" t="str">
        <f>RIGHT(КХЛ!$H803,4)</f>
        <v>1998</v>
      </c>
    </row>
    <row r="804" spans="5:12" ht="15.75" customHeight="1" x14ac:dyDescent="0.2">
      <c r="E804" s="21">
        <v>1725</v>
      </c>
      <c r="F804" s="21" t="s">
        <v>1639</v>
      </c>
      <c r="G804" s="21" t="s">
        <v>83</v>
      </c>
      <c r="H804" s="24" t="s">
        <v>1640</v>
      </c>
      <c r="I804" s="21">
        <v>30</v>
      </c>
      <c r="J804" s="21" t="s">
        <v>89</v>
      </c>
      <c r="K804" s="21">
        <v>7140747</v>
      </c>
      <c r="L804" s="21" t="str">
        <f>RIGHT(КХЛ!$H804,4)</f>
        <v>1987</v>
      </c>
    </row>
    <row r="805" spans="5:12" ht="15.75" customHeight="1" x14ac:dyDescent="0.2">
      <c r="E805" s="21">
        <v>492</v>
      </c>
      <c r="F805" s="21" t="s">
        <v>1641</v>
      </c>
      <c r="G805" s="21" t="s">
        <v>87</v>
      </c>
      <c r="H805" s="24" t="s">
        <v>1642</v>
      </c>
      <c r="I805" s="21">
        <v>24</v>
      </c>
      <c r="J805" s="21" t="s">
        <v>89</v>
      </c>
      <c r="K805" s="21">
        <v>17176432</v>
      </c>
      <c r="L805" s="21" t="str">
        <f>RIGHT(КХЛ!$H805,4)</f>
        <v>1993</v>
      </c>
    </row>
    <row r="806" spans="5:12" ht="15.75" customHeight="1" x14ac:dyDescent="0.2">
      <c r="E806" s="21">
        <v>333</v>
      </c>
      <c r="F806" s="21" t="s">
        <v>1643</v>
      </c>
      <c r="G806" s="21" t="s">
        <v>91</v>
      </c>
      <c r="H806" s="24" t="s">
        <v>1644</v>
      </c>
      <c r="I806" s="21">
        <v>25</v>
      </c>
      <c r="J806" s="21" t="s">
        <v>1321</v>
      </c>
      <c r="K806" s="21">
        <v>73818093</v>
      </c>
      <c r="L806" s="21" t="str">
        <f>RIGHT(КХЛ!$H806,4)</f>
        <v>1992</v>
      </c>
    </row>
    <row r="807" spans="5:12" ht="15.75" customHeight="1" x14ac:dyDescent="0.2">
      <c r="E807" s="21">
        <v>960</v>
      </c>
      <c r="F807" s="21" t="s">
        <v>1072</v>
      </c>
      <c r="G807" s="21" t="s">
        <v>87</v>
      </c>
      <c r="H807" s="24" t="s">
        <v>298</v>
      </c>
      <c r="I807" s="21">
        <v>26</v>
      </c>
      <c r="J807" s="21" t="s">
        <v>89</v>
      </c>
      <c r="K807" s="21">
        <v>29741958</v>
      </c>
      <c r="L807" s="21" t="str">
        <f>RIGHT(КХЛ!$H807,4)</f>
        <v>1991</v>
      </c>
    </row>
    <row r="808" spans="5:12" ht="15.75" customHeight="1" x14ac:dyDescent="0.2">
      <c r="E808" s="21">
        <v>517</v>
      </c>
      <c r="F808" s="21" t="s">
        <v>1645</v>
      </c>
      <c r="G808" s="21" t="s">
        <v>91</v>
      </c>
      <c r="H808" s="24" t="s">
        <v>1646</v>
      </c>
      <c r="I808" s="21">
        <v>34</v>
      </c>
      <c r="J808" s="21" t="s">
        <v>89</v>
      </c>
      <c r="K808" s="21">
        <v>77465839</v>
      </c>
      <c r="L808" s="21" t="str">
        <f>RIGHT(КХЛ!$H808,4)</f>
        <v>1983</v>
      </c>
    </row>
    <row r="809" spans="5:12" ht="15.75" customHeight="1" x14ac:dyDescent="0.2">
      <c r="E809" s="21">
        <v>1280</v>
      </c>
      <c r="F809" s="21" t="s">
        <v>1647</v>
      </c>
      <c r="G809" s="21" t="s">
        <v>91</v>
      </c>
      <c r="H809" s="24" t="s">
        <v>1135</v>
      </c>
      <c r="I809" s="21">
        <v>26</v>
      </c>
      <c r="J809" s="21" t="s">
        <v>89</v>
      </c>
      <c r="K809" s="21">
        <v>38445216</v>
      </c>
      <c r="L809" s="21" t="str">
        <f>RIGHT(КХЛ!$H809,4)</f>
        <v>1991</v>
      </c>
    </row>
    <row r="810" spans="5:12" ht="15.75" customHeight="1" x14ac:dyDescent="0.2">
      <c r="E810" s="21">
        <v>582</v>
      </c>
      <c r="F810" s="21" t="s">
        <v>1648</v>
      </c>
      <c r="G810" s="21" t="s">
        <v>91</v>
      </c>
      <c r="H810" s="24" t="s">
        <v>1649</v>
      </c>
      <c r="I810" s="21">
        <v>25</v>
      </c>
      <c r="J810" s="21" t="s">
        <v>89</v>
      </c>
      <c r="K810" s="21">
        <v>81685919</v>
      </c>
      <c r="L810" s="21" t="str">
        <f>RIGHT(КХЛ!$H810,4)</f>
        <v>1992</v>
      </c>
    </row>
    <row r="811" spans="5:12" ht="15.75" customHeight="1" x14ac:dyDescent="0.2">
      <c r="E811" s="21">
        <v>595</v>
      </c>
      <c r="F811" s="21" t="s">
        <v>1650</v>
      </c>
      <c r="G811" s="21" t="s">
        <v>91</v>
      </c>
      <c r="H811" s="24" t="s">
        <v>1651</v>
      </c>
      <c r="I811" s="21">
        <v>37</v>
      </c>
      <c r="J811" s="21" t="s">
        <v>85</v>
      </c>
      <c r="K811" s="21">
        <v>40331718</v>
      </c>
      <c r="L811" s="21" t="str">
        <f>RIGHT(КХЛ!$H811,4)</f>
        <v>1980</v>
      </c>
    </row>
    <row r="812" spans="5:12" ht="15.75" customHeight="1" x14ac:dyDescent="0.2">
      <c r="E812" s="21">
        <v>938</v>
      </c>
      <c r="F812" s="21" t="s">
        <v>1652</v>
      </c>
      <c r="G812" s="21" t="s">
        <v>83</v>
      </c>
      <c r="H812" s="24" t="s">
        <v>1653</v>
      </c>
      <c r="I812" s="21">
        <v>26</v>
      </c>
      <c r="J812" s="21" t="s">
        <v>89</v>
      </c>
      <c r="K812" s="21">
        <v>5043683</v>
      </c>
      <c r="L812" s="21" t="str">
        <f>RIGHT(КХЛ!$H812,4)</f>
        <v>1991</v>
      </c>
    </row>
    <row r="813" spans="5:12" ht="15.75" customHeight="1" x14ac:dyDescent="0.2">
      <c r="E813" s="21">
        <v>1607</v>
      </c>
      <c r="F813" s="21" t="s">
        <v>1654</v>
      </c>
      <c r="G813" s="21" t="s">
        <v>91</v>
      </c>
      <c r="H813" s="24" t="s">
        <v>1655</v>
      </c>
      <c r="I813" s="21">
        <v>30</v>
      </c>
      <c r="J813" s="21" t="s">
        <v>89</v>
      </c>
      <c r="K813" s="21">
        <v>52014050</v>
      </c>
      <c r="L813" s="21" t="str">
        <f>RIGHT(КХЛ!$H813,4)</f>
        <v>1987</v>
      </c>
    </row>
    <row r="814" spans="5:12" ht="15.75" customHeight="1" x14ac:dyDescent="0.2">
      <c r="E814" s="21">
        <v>49</v>
      </c>
      <c r="F814" s="21" t="s">
        <v>1656</v>
      </c>
      <c r="G814" s="21" t="s">
        <v>87</v>
      </c>
      <c r="H814" s="24" t="s">
        <v>1657</v>
      </c>
      <c r="I814" s="21">
        <v>24</v>
      </c>
      <c r="J814" s="21" t="s">
        <v>89</v>
      </c>
      <c r="K814" s="21">
        <v>68118160</v>
      </c>
      <c r="L814" s="21" t="str">
        <f>RIGHT(КХЛ!$H814,4)</f>
        <v>1993</v>
      </c>
    </row>
    <row r="815" spans="5:12" ht="15.75" customHeight="1" x14ac:dyDescent="0.2">
      <c r="E815" s="21">
        <v>423</v>
      </c>
      <c r="F815" s="21" t="s">
        <v>1658</v>
      </c>
      <c r="G815" s="21" t="s">
        <v>83</v>
      </c>
      <c r="H815" s="24" t="s">
        <v>1659</v>
      </c>
      <c r="I815" s="21">
        <v>38</v>
      </c>
      <c r="J815" s="21" t="s">
        <v>89</v>
      </c>
      <c r="K815" s="21">
        <v>2556877</v>
      </c>
      <c r="L815" s="21" t="str">
        <f>RIGHT(КХЛ!$H815,4)</f>
        <v>1979</v>
      </c>
    </row>
    <row r="816" spans="5:12" ht="15.75" customHeight="1" x14ac:dyDescent="0.2">
      <c r="E816" s="21">
        <v>1000</v>
      </c>
      <c r="F816" s="21" t="s">
        <v>1660</v>
      </c>
      <c r="G816" s="21" t="s">
        <v>83</v>
      </c>
      <c r="H816" s="24" t="s">
        <v>1661</v>
      </c>
      <c r="I816" s="21">
        <v>38</v>
      </c>
      <c r="J816" s="21" t="s">
        <v>222</v>
      </c>
      <c r="K816" s="21">
        <v>82054606</v>
      </c>
      <c r="L816" s="21" t="str">
        <f>RIGHT(КХЛ!$H816,4)</f>
        <v>1979</v>
      </c>
    </row>
    <row r="817" spans="5:12" ht="15.75" customHeight="1" x14ac:dyDescent="0.2">
      <c r="E817" s="21">
        <v>898</v>
      </c>
      <c r="F817" s="21" t="s">
        <v>1662</v>
      </c>
      <c r="G817" s="21" t="s">
        <v>83</v>
      </c>
      <c r="H817" s="24" t="s">
        <v>1663</v>
      </c>
      <c r="I817" s="21">
        <v>20</v>
      </c>
      <c r="J817" s="21" t="s">
        <v>89</v>
      </c>
      <c r="K817" s="21">
        <v>59767233</v>
      </c>
      <c r="L817" s="21" t="str">
        <f>RIGHT(КХЛ!$H817,4)</f>
        <v>1997</v>
      </c>
    </row>
    <row r="818" spans="5:12" ht="15.75" customHeight="1" x14ac:dyDescent="0.2">
      <c r="E818" s="21">
        <v>126</v>
      </c>
      <c r="F818" s="21" t="s">
        <v>1664</v>
      </c>
      <c r="G818" s="21" t="s">
        <v>87</v>
      </c>
      <c r="H818" s="24" t="s">
        <v>1665</v>
      </c>
      <c r="I818" s="21">
        <v>21</v>
      </c>
      <c r="J818" s="21" t="s">
        <v>282</v>
      </c>
      <c r="K818" s="21">
        <v>65835125</v>
      </c>
      <c r="L818" s="21" t="str">
        <f>RIGHT(КХЛ!$H818,4)</f>
        <v>1996</v>
      </c>
    </row>
    <row r="819" spans="5:12" ht="15.75" customHeight="1" x14ac:dyDescent="0.2">
      <c r="E819" s="21">
        <v>371</v>
      </c>
      <c r="F819" s="21" t="s">
        <v>1666</v>
      </c>
      <c r="G819" s="21" t="s">
        <v>91</v>
      </c>
      <c r="H819" s="24" t="s">
        <v>1667</v>
      </c>
      <c r="I819" s="21">
        <v>25</v>
      </c>
      <c r="J819" s="21" t="s">
        <v>169</v>
      </c>
      <c r="K819" s="21">
        <v>98987541</v>
      </c>
      <c r="L819" s="21" t="str">
        <f>RIGHT(КХЛ!$H819,4)</f>
        <v>1992</v>
      </c>
    </row>
    <row r="820" spans="5:12" ht="15.75" customHeight="1" x14ac:dyDescent="0.2">
      <c r="E820" s="21">
        <v>1348</v>
      </c>
      <c r="F820" s="21" t="s">
        <v>1668</v>
      </c>
      <c r="G820" s="21" t="s">
        <v>91</v>
      </c>
      <c r="H820" s="24" t="s">
        <v>1669</v>
      </c>
      <c r="I820" s="21">
        <v>26</v>
      </c>
      <c r="J820" s="21" t="s">
        <v>282</v>
      </c>
      <c r="K820" s="21">
        <v>57255315</v>
      </c>
      <c r="L820" s="21" t="str">
        <f>RIGHT(КХЛ!$H820,4)</f>
        <v>1991</v>
      </c>
    </row>
    <row r="821" spans="5:12" ht="15.75" customHeight="1" x14ac:dyDescent="0.2">
      <c r="E821" s="21">
        <v>161</v>
      </c>
      <c r="F821" s="21" t="s">
        <v>1670</v>
      </c>
      <c r="G821" s="21" t="s">
        <v>83</v>
      </c>
      <c r="H821" s="24" t="s">
        <v>1671</v>
      </c>
      <c r="I821" s="21">
        <v>35</v>
      </c>
      <c r="J821" s="21" t="s">
        <v>169</v>
      </c>
      <c r="K821" s="21">
        <v>800554</v>
      </c>
      <c r="L821" s="21" t="str">
        <f>RIGHT(КХЛ!$H821,4)</f>
        <v>1982</v>
      </c>
    </row>
    <row r="822" spans="5:12" ht="15.75" customHeight="1" x14ac:dyDescent="0.2">
      <c r="E822" s="21">
        <v>1533</v>
      </c>
      <c r="F822" s="21" t="s">
        <v>1672</v>
      </c>
      <c r="G822" s="21" t="s">
        <v>87</v>
      </c>
      <c r="H822" s="24" t="s">
        <v>1673</v>
      </c>
      <c r="I822" s="21">
        <v>31</v>
      </c>
      <c r="J822" s="21" t="s">
        <v>169</v>
      </c>
      <c r="K822" s="21">
        <v>77351067</v>
      </c>
      <c r="L822" s="21" t="str">
        <f>RIGHT(КХЛ!$H822,4)</f>
        <v>1986</v>
      </c>
    </row>
    <row r="823" spans="5:12" ht="15.75" customHeight="1" x14ac:dyDescent="0.2">
      <c r="E823" s="21">
        <v>579</v>
      </c>
      <c r="F823" s="21" t="s">
        <v>1674</v>
      </c>
      <c r="G823" s="21" t="s">
        <v>83</v>
      </c>
      <c r="H823" s="24" t="s">
        <v>1675</v>
      </c>
      <c r="I823" s="21">
        <v>37</v>
      </c>
      <c r="J823" s="21" t="s">
        <v>106</v>
      </c>
      <c r="K823" s="21">
        <v>51262928</v>
      </c>
      <c r="L823" s="21" t="str">
        <f>RIGHT(КХЛ!$H823,4)</f>
        <v>1980</v>
      </c>
    </row>
    <row r="824" spans="5:12" ht="15.75" customHeight="1" x14ac:dyDescent="0.2">
      <c r="E824" s="21">
        <v>1517</v>
      </c>
      <c r="F824" s="21" t="s">
        <v>1676</v>
      </c>
      <c r="G824" s="21" t="s">
        <v>83</v>
      </c>
      <c r="H824" s="24" t="s">
        <v>1677</v>
      </c>
      <c r="I824" s="21">
        <v>27</v>
      </c>
      <c r="J824" s="21" t="s">
        <v>241</v>
      </c>
      <c r="K824" s="21">
        <v>32333155</v>
      </c>
      <c r="L824" s="21" t="str">
        <f>RIGHT(КХЛ!$H824,4)</f>
        <v>1990</v>
      </c>
    </row>
    <row r="825" spans="5:12" ht="15.75" customHeight="1" x14ac:dyDescent="0.2">
      <c r="E825" s="21">
        <v>872</v>
      </c>
      <c r="F825" s="21" t="s">
        <v>1678</v>
      </c>
      <c r="G825" s="21" t="s">
        <v>83</v>
      </c>
      <c r="H825" s="24" t="s">
        <v>1679</v>
      </c>
      <c r="I825" s="21">
        <v>21</v>
      </c>
      <c r="J825" s="21" t="s">
        <v>89</v>
      </c>
      <c r="K825" s="21">
        <v>71993937</v>
      </c>
      <c r="L825" s="21" t="str">
        <f>RIGHT(КХЛ!$H825,4)</f>
        <v>1996</v>
      </c>
    </row>
    <row r="826" spans="5:12" ht="15.75" customHeight="1" x14ac:dyDescent="0.2">
      <c r="E826" s="21">
        <v>881</v>
      </c>
      <c r="F826" s="21" t="s">
        <v>1680</v>
      </c>
      <c r="G826" s="21" t="s">
        <v>91</v>
      </c>
      <c r="H826" s="24" t="s">
        <v>1681</v>
      </c>
      <c r="I826" s="21">
        <v>35</v>
      </c>
      <c r="J826" s="21" t="s">
        <v>89</v>
      </c>
      <c r="K826" s="21">
        <v>13790041</v>
      </c>
      <c r="L826" s="21" t="str">
        <f>RIGHT(КХЛ!$H826,4)</f>
        <v>1982</v>
      </c>
    </row>
    <row r="827" spans="5:12" ht="15.75" customHeight="1" x14ac:dyDescent="0.2">
      <c r="E827" s="21">
        <v>847</v>
      </c>
      <c r="F827" s="21" t="s">
        <v>1682</v>
      </c>
      <c r="G827" s="21" t="s">
        <v>91</v>
      </c>
      <c r="H827" s="24" t="s">
        <v>1683</v>
      </c>
      <c r="I827" s="21">
        <v>26</v>
      </c>
      <c r="J827" s="21" t="s">
        <v>106</v>
      </c>
      <c r="K827" s="21">
        <v>58114001</v>
      </c>
      <c r="L827" s="21" t="str">
        <f>RIGHT(КХЛ!$H827,4)</f>
        <v>1991</v>
      </c>
    </row>
    <row r="828" spans="5:12" ht="15.75" customHeight="1" x14ac:dyDescent="0.2">
      <c r="E828" s="21">
        <v>841</v>
      </c>
      <c r="F828" s="21" t="s">
        <v>1684</v>
      </c>
      <c r="G828" s="21" t="s">
        <v>91</v>
      </c>
      <c r="H828" s="24" t="s">
        <v>1685</v>
      </c>
      <c r="I828" s="21">
        <v>23</v>
      </c>
      <c r="J828" s="21" t="s">
        <v>89</v>
      </c>
      <c r="K828" s="21">
        <v>51870056</v>
      </c>
      <c r="L828" s="21" t="str">
        <f>RIGHT(КХЛ!$H828,4)</f>
        <v>1994</v>
      </c>
    </row>
    <row r="829" spans="5:12" ht="15.75" customHeight="1" x14ac:dyDescent="0.2">
      <c r="E829" s="21">
        <v>1628</v>
      </c>
      <c r="F829" s="21" t="s">
        <v>1686</v>
      </c>
      <c r="G829" s="21" t="s">
        <v>83</v>
      </c>
      <c r="H829" s="24" t="s">
        <v>1687</v>
      </c>
      <c r="I829" s="21">
        <v>21</v>
      </c>
      <c r="J829" s="21" t="s">
        <v>89</v>
      </c>
      <c r="K829" s="21">
        <v>45123550</v>
      </c>
      <c r="L829" s="21" t="str">
        <f>RIGHT(КХЛ!$H829,4)</f>
        <v>1996</v>
      </c>
    </row>
    <row r="830" spans="5:12" ht="15.75" customHeight="1" x14ac:dyDescent="0.2">
      <c r="E830" s="21">
        <v>940</v>
      </c>
      <c r="F830" s="21" t="s">
        <v>1688</v>
      </c>
      <c r="G830" s="21" t="s">
        <v>91</v>
      </c>
      <c r="H830" s="24" t="s">
        <v>812</v>
      </c>
      <c r="I830" s="21">
        <v>37</v>
      </c>
      <c r="J830" s="21" t="s">
        <v>89</v>
      </c>
      <c r="K830" s="21">
        <v>25587058</v>
      </c>
      <c r="L830" s="21" t="str">
        <f>RIGHT(КХЛ!$H830,4)</f>
        <v>1980</v>
      </c>
    </row>
    <row r="831" spans="5:12" ht="15.75" customHeight="1" x14ac:dyDescent="0.2">
      <c r="E831" s="21">
        <v>460</v>
      </c>
      <c r="F831" s="21" t="s">
        <v>1689</v>
      </c>
      <c r="G831" s="21" t="s">
        <v>83</v>
      </c>
      <c r="H831" s="24" t="s">
        <v>1690</v>
      </c>
      <c r="I831" s="21">
        <v>25</v>
      </c>
      <c r="J831" s="21" t="s">
        <v>89</v>
      </c>
      <c r="K831" s="21">
        <v>84914615</v>
      </c>
      <c r="L831" s="21" t="str">
        <f>RIGHT(КХЛ!$H831,4)</f>
        <v>1992</v>
      </c>
    </row>
    <row r="832" spans="5:12" ht="15.75" customHeight="1" x14ac:dyDescent="0.2">
      <c r="E832" s="21">
        <v>663</v>
      </c>
      <c r="F832" s="21" t="s">
        <v>1691</v>
      </c>
      <c r="G832" s="21" t="s">
        <v>83</v>
      </c>
      <c r="H832" s="24" t="s">
        <v>1692</v>
      </c>
      <c r="I832" s="21">
        <v>36</v>
      </c>
      <c r="J832" s="21" t="s">
        <v>89</v>
      </c>
      <c r="K832" s="21">
        <v>90477795</v>
      </c>
      <c r="L832" s="21" t="str">
        <f>RIGHT(КХЛ!$H832,4)</f>
        <v>1981</v>
      </c>
    </row>
    <row r="833" spans="5:12" ht="15.75" customHeight="1" x14ac:dyDescent="0.2">
      <c r="E833" s="21">
        <v>631</v>
      </c>
      <c r="F833" s="21" t="s">
        <v>1693</v>
      </c>
      <c r="G833" s="21" t="s">
        <v>83</v>
      </c>
      <c r="H833" s="24" t="s">
        <v>1694</v>
      </c>
      <c r="I833" s="21">
        <v>45</v>
      </c>
      <c r="J833" s="21" t="s">
        <v>89</v>
      </c>
      <c r="K833" s="21">
        <v>4317279</v>
      </c>
      <c r="L833" s="21" t="str">
        <f>RIGHT(КХЛ!$H833,4)</f>
        <v>1972</v>
      </c>
    </row>
    <row r="834" spans="5:12" ht="15.75" customHeight="1" x14ac:dyDescent="0.2">
      <c r="E834" s="21">
        <v>138</v>
      </c>
      <c r="F834" s="21" t="s">
        <v>1695</v>
      </c>
      <c r="G834" s="21" t="s">
        <v>91</v>
      </c>
      <c r="H834" s="24" t="s">
        <v>1696</v>
      </c>
      <c r="I834" s="21">
        <v>25</v>
      </c>
      <c r="J834" s="21" t="s">
        <v>89</v>
      </c>
      <c r="K834" s="21">
        <v>20454876</v>
      </c>
      <c r="L834" s="21" t="str">
        <f>RIGHT(КХЛ!$H834,4)</f>
        <v>1992</v>
      </c>
    </row>
    <row r="835" spans="5:12" ht="15.75" customHeight="1" x14ac:dyDescent="0.2">
      <c r="E835" s="21">
        <v>735</v>
      </c>
      <c r="F835" s="21" t="s">
        <v>1697</v>
      </c>
      <c r="G835" s="21" t="s">
        <v>87</v>
      </c>
      <c r="H835" s="24" t="s">
        <v>1698</v>
      </c>
      <c r="I835" s="21">
        <v>41</v>
      </c>
      <c r="J835" s="21" t="s">
        <v>89</v>
      </c>
      <c r="K835" s="21">
        <v>63600102</v>
      </c>
      <c r="L835" s="21" t="str">
        <f>RIGHT(КХЛ!$H835,4)</f>
        <v>1976</v>
      </c>
    </row>
    <row r="836" spans="5:12" ht="15.75" customHeight="1" x14ac:dyDescent="0.2">
      <c r="E836" s="21">
        <v>1139</v>
      </c>
      <c r="F836" s="21" t="s">
        <v>1699</v>
      </c>
      <c r="G836" s="21" t="s">
        <v>87</v>
      </c>
      <c r="H836" s="24" t="s">
        <v>1700</v>
      </c>
      <c r="I836" s="21">
        <v>45</v>
      </c>
      <c r="J836" s="21" t="s">
        <v>89</v>
      </c>
      <c r="K836" s="21">
        <v>87792810</v>
      </c>
      <c r="L836" s="21" t="str">
        <f>RIGHT(КХЛ!$H836,4)</f>
        <v>1972</v>
      </c>
    </row>
    <row r="837" spans="5:12" ht="15.75" customHeight="1" x14ac:dyDescent="0.2">
      <c r="E837" s="21">
        <v>1656</v>
      </c>
      <c r="F837" s="21" t="s">
        <v>1701</v>
      </c>
      <c r="G837" s="21" t="s">
        <v>87</v>
      </c>
      <c r="H837" s="24" t="s">
        <v>1702</v>
      </c>
      <c r="I837" s="21">
        <v>30</v>
      </c>
      <c r="J837" s="21" t="s">
        <v>85</v>
      </c>
      <c r="K837" s="21">
        <v>66861612</v>
      </c>
      <c r="L837" s="21" t="str">
        <f>RIGHT(КХЛ!$H837,4)</f>
        <v>1987</v>
      </c>
    </row>
    <row r="838" spans="5:12" ht="15.75" customHeight="1" x14ac:dyDescent="0.2">
      <c r="E838" s="21">
        <v>759</v>
      </c>
      <c r="F838" s="21" t="s">
        <v>1703</v>
      </c>
      <c r="G838" s="21" t="s">
        <v>87</v>
      </c>
      <c r="H838" s="24" t="s">
        <v>1704</v>
      </c>
      <c r="I838" s="21">
        <v>37</v>
      </c>
      <c r="J838" s="21" t="s">
        <v>89</v>
      </c>
      <c r="K838" s="21">
        <v>92049085</v>
      </c>
      <c r="L838" s="21" t="str">
        <f>RIGHT(КХЛ!$H838,4)</f>
        <v>1980</v>
      </c>
    </row>
    <row r="839" spans="5:12" ht="15.75" customHeight="1" x14ac:dyDescent="0.2">
      <c r="E839" s="21">
        <v>117</v>
      </c>
      <c r="F839" s="21" t="s">
        <v>1705</v>
      </c>
      <c r="G839" s="21" t="s">
        <v>83</v>
      </c>
      <c r="H839" s="24" t="s">
        <v>1706</v>
      </c>
      <c r="I839" s="21">
        <v>26</v>
      </c>
      <c r="J839" s="21" t="s">
        <v>282</v>
      </c>
      <c r="K839" s="21">
        <v>87740033</v>
      </c>
      <c r="L839" s="21" t="str">
        <f>RIGHT(КХЛ!$H839,4)</f>
        <v>1991</v>
      </c>
    </row>
    <row r="840" spans="5:12" ht="15.75" customHeight="1" x14ac:dyDescent="0.2">
      <c r="E840" s="21">
        <v>470</v>
      </c>
      <c r="F840" s="21" t="s">
        <v>1707</v>
      </c>
      <c r="G840" s="21" t="s">
        <v>83</v>
      </c>
      <c r="H840" s="24" t="s">
        <v>1708</v>
      </c>
      <c r="I840" s="21">
        <v>31</v>
      </c>
      <c r="J840" s="21" t="s">
        <v>282</v>
      </c>
      <c r="K840" s="21">
        <v>30908864</v>
      </c>
      <c r="L840" s="21" t="str">
        <f>RIGHT(КХЛ!$H840,4)</f>
        <v>1986</v>
      </c>
    </row>
    <row r="841" spans="5:12" ht="15.75" customHeight="1" x14ac:dyDescent="0.2">
      <c r="E841" s="21">
        <v>1577</v>
      </c>
      <c r="F841" s="21" t="s">
        <v>1709</v>
      </c>
      <c r="G841" s="21" t="s">
        <v>91</v>
      </c>
      <c r="H841" s="24" t="s">
        <v>1710</v>
      </c>
      <c r="I841" s="21">
        <v>22</v>
      </c>
      <c r="J841" s="21" t="s">
        <v>89</v>
      </c>
      <c r="K841" s="21">
        <v>76782209</v>
      </c>
      <c r="L841" s="21" t="str">
        <f>RIGHT(КХЛ!$H841,4)</f>
        <v>1995</v>
      </c>
    </row>
    <row r="842" spans="5:12" ht="15.75" customHeight="1" x14ac:dyDescent="0.2">
      <c r="E842" s="21">
        <v>193</v>
      </c>
      <c r="F842" s="21" t="s">
        <v>1711</v>
      </c>
      <c r="G842" s="21" t="s">
        <v>91</v>
      </c>
      <c r="H842" s="24" t="s">
        <v>1712</v>
      </c>
      <c r="I842" s="21">
        <v>29</v>
      </c>
      <c r="J842" s="21" t="s">
        <v>222</v>
      </c>
      <c r="K842" s="21">
        <v>19007190</v>
      </c>
      <c r="L842" s="21" t="str">
        <f>RIGHT(КХЛ!$H842,4)</f>
        <v>1988</v>
      </c>
    </row>
    <row r="843" spans="5:12" ht="15.75" customHeight="1" x14ac:dyDescent="0.2">
      <c r="E843" s="21">
        <v>7</v>
      </c>
      <c r="F843" s="21" t="s">
        <v>1713</v>
      </c>
      <c r="G843" s="21" t="s">
        <v>91</v>
      </c>
      <c r="H843" s="24" t="s">
        <v>1714</v>
      </c>
      <c r="I843" s="21">
        <v>34</v>
      </c>
      <c r="J843" s="21" t="s">
        <v>89</v>
      </c>
      <c r="K843" s="21">
        <v>66455401</v>
      </c>
      <c r="L843" s="21" t="str">
        <f>RIGHT(КХЛ!$H843,4)</f>
        <v>1983</v>
      </c>
    </row>
    <row r="844" spans="5:12" ht="15.75" customHeight="1" x14ac:dyDescent="0.2">
      <c r="E844" s="21">
        <v>224</v>
      </c>
      <c r="F844" s="21" t="s">
        <v>1715</v>
      </c>
      <c r="G844" s="21" t="s">
        <v>83</v>
      </c>
      <c r="H844" s="24" t="s">
        <v>1716</v>
      </c>
      <c r="I844" s="21">
        <v>31</v>
      </c>
      <c r="J844" s="21" t="s">
        <v>89</v>
      </c>
      <c r="K844" s="21">
        <v>22939241</v>
      </c>
      <c r="L844" s="21" t="str">
        <f>RIGHT(КХЛ!$H844,4)</f>
        <v>1986</v>
      </c>
    </row>
    <row r="845" spans="5:12" ht="15.75" customHeight="1" x14ac:dyDescent="0.2">
      <c r="E845" s="21">
        <v>250</v>
      </c>
      <c r="F845" s="21" t="s">
        <v>1717</v>
      </c>
      <c r="G845" s="21" t="s">
        <v>91</v>
      </c>
      <c r="H845" s="24" t="s">
        <v>1718</v>
      </c>
      <c r="I845" s="21">
        <v>37</v>
      </c>
      <c r="J845" s="21" t="s">
        <v>106</v>
      </c>
      <c r="K845" s="21">
        <v>18171823</v>
      </c>
      <c r="L845" s="21" t="str">
        <f>RIGHT(КХЛ!$H845,4)</f>
        <v>1980</v>
      </c>
    </row>
    <row r="846" spans="5:12" ht="15.75" customHeight="1" x14ac:dyDescent="0.2">
      <c r="E846" s="21">
        <v>1708</v>
      </c>
      <c r="F846" s="21" t="s">
        <v>1719</v>
      </c>
      <c r="G846" s="21" t="s">
        <v>83</v>
      </c>
      <c r="H846" s="24" t="s">
        <v>1720</v>
      </c>
      <c r="I846" s="21">
        <v>21</v>
      </c>
      <c r="J846" s="21" t="s">
        <v>89</v>
      </c>
      <c r="K846" s="21">
        <v>84777974</v>
      </c>
      <c r="L846" s="21" t="str">
        <f>RIGHT(КХЛ!$H846,4)</f>
        <v>1996</v>
      </c>
    </row>
    <row r="847" spans="5:12" ht="15.75" customHeight="1" x14ac:dyDescent="0.2">
      <c r="E847" s="21">
        <v>625</v>
      </c>
      <c r="F847" s="21" t="s">
        <v>1721</v>
      </c>
      <c r="G847" s="21" t="s">
        <v>91</v>
      </c>
      <c r="H847" s="24" t="s">
        <v>261</v>
      </c>
      <c r="I847" s="21">
        <v>31</v>
      </c>
      <c r="J847" s="21" t="s">
        <v>169</v>
      </c>
      <c r="K847" s="21">
        <v>33533709</v>
      </c>
      <c r="L847" s="21" t="str">
        <f>RIGHT(КХЛ!$H847,4)</f>
        <v>1986</v>
      </c>
    </row>
    <row r="848" spans="5:12" ht="15.75" customHeight="1" x14ac:dyDescent="0.2">
      <c r="E848" s="21">
        <v>471</v>
      </c>
      <c r="F848" s="21" t="s">
        <v>1722</v>
      </c>
      <c r="G848" s="21" t="s">
        <v>83</v>
      </c>
      <c r="H848" s="24" t="s">
        <v>1723</v>
      </c>
      <c r="I848" s="21">
        <v>17</v>
      </c>
      <c r="J848" s="21" t="s">
        <v>89</v>
      </c>
      <c r="K848" s="21">
        <v>32522768</v>
      </c>
      <c r="L848" s="21" t="str">
        <f>RIGHT(КХЛ!$H848,4)</f>
        <v>2000</v>
      </c>
    </row>
    <row r="849" spans="5:12" ht="15.75" customHeight="1" x14ac:dyDescent="0.2">
      <c r="E849" s="21">
        <v>1156</v>
      </c>
      <c r="F849" s="21" t="s">
        <v>1724</v>
      </c>
      <c r="G849" s="21" t="s">
        <v>83</v>
      </c>
      <c r="H849" s="24" t="s">
        <v>1725</v>
      </c>
      <c r="I849" s="21">
        <v>32</v>
      </c>
      <c r="J849" s="21" t="s">
        <v>89</v>
      </c>
      <c r="K849" s="21">
        <v>7932626</v>
      </c>
      <c r="L849" s="21" t="str">
        <f>RIGHT(КХЛ!$H849,4)</f>
        <v>1985</v>
      </c>
    </row>
    <row r="850" spans="5:12" ht="15.75" customHeight="1" x14ac:dyDescent="0.2">
      <c r="E850" s="21">
        <v>743</v>
      </c>
      <c r="F850" s="21" t="s">
        <v>1726</v>
      </c>
      <c r="G850" s="21" t="s">
        <v>91</v>
      </c>
      <c r="H850" s="24" t="s">
        <v>1727</v>
      </c>
      <c r="I850" s="21">
        <v>26</v>
      </c>
      <c r="J850" s="21" t="s">
        <v>106</v>
      </c>
      <c r="K850" s="21">
        <v>85257203</v>
      </c>
      <c r="L850" s="21" t="str">
        <f>RIGHT(КХЛ!$H850,4)</f>
        <v>1991</v>
      </c>
    </row>
    <row r="851" spans="5:12" ht="15.75" customHeight="1" x14ac:dyDescent="0.2">
      <c r="E851" s="21">
        <v>900</v>
      </c>
      <c r="F851" s="21" t="s">
        <v>1728</v>
      </c>
      <c r="G851" s="21" t="s">
        <v>83</v>
      </c>
      <c r="H851" s="24" t="s">
        <v>1729</v>
      </c>
      <c r="I851" s="21">
        <v>20</v>
      </c>
      <c r="J851" s="21" t="s">
        <v>89</v>
      </c>
      <c r="K851" s="21">
        <v>15816488</v>
      </c>
      <c r="L851" s="21" t="str">
        <f>RIGHT(КХЛ!$H851,4)</f>
        <v>1997</v>
      </c>
    </row>
    <row r="852" spans="5:12" ht="15.75" customHeight="1" x14ac:dyDescent="0.2">
      <c r="E852" s="21">
        <v>1085</v>
      </c>
      <c r="F852" s="21" t="s">
        <v>1730</v>
      </c>
      <c r="G852" s="21" t="s">
        <v>91</v>
      </c>
      <c r="H852" s="24" t="s">
        <v>1731</v>
      </c>
      <c r="I852" s="21">
        <v>31</v>
      </c>
      <c r="J852" s="21" t="s">
        <v>152</v>
      </c>
      <c r="K852" s="21">
        <v>64673785</v>
      </c>
      <c r="L852" s="21" t="str">
        <f>RIGHT(КХЛ!$H852,4)</f>
        <v>1986</v>
      </c>
    </row>
    <row r="853" spans="5:12" ht="15.75" customHeight="1" x14ac:dyDescent="0.2">
      <c r="E853" s="21">
        <v>216</v>
      </c>
      <c r="F853" s="21" t="s">
        <v>1732</v>
      </c>
      <c r="G853" s="21" t="s">
        <v>91</v>
      </c>
      <c r="H853" s="24" t="s">
        <v>1733</v>
      </c>
      <c r="I853" s="21">
        <v>21</v>
      </c>
      <c r="J853" s="21" t="s">
        <v>89</v>
      </c>
      <c r="K853" s="21">
        <v>63648845</v>
      </c>
      <c r="L853" s="21" t="str">
        <f>RIGHT(КХЛ!$H853,4)</f>
        <v>1996</v>
      </c>
    </row>
    <row r="854" spans="5:12" ht="15.75" customHeight="1" x14ac:dyDescent="0.2">
      <c r="E854" s="21">
        <v>55</v>
      </c>
      <c r="F854" s="21" t="s">
        <v>656</v>
      </c>
      <c r="G854" s="21" t="s">
        <v>83</v>
      </c>
      <c r="H854" s="24" t="s">
        <v>1734</v>
      </c>
      <c r="I854" s="21">
        <v>32</v>
      </c>
      <c r="J854" s="21" t="s">
        <v>106</v>
      </c>
      <c r="K854" s="21">
        <v>94523183</v>
      </c>
      <c r="L854" s="21" t="str">
        <f>RIGHT(КХЛ!$H854,4)</f>
        <v>1985</v>
      </c>
    </row>
    <row r="855" spans="5:12" ht="15.75" customHeight="1" x14ac:dyDescent="0.2">
      <c r="E855" s="21">
        <v>251</v>
      </c>
      <c r="F855" s="21" t="s">
        <v>1735</v>
      </c>
      <c r="G855" s="21" t="s">
        <v>91</v>
      </c>
      <c r="H855" s="24" t="s">
        <v>1736</v>
      </c>
      <c r="I855" s="21">
        <v>31</v>
      </c>
      <c r="J855" s="21" t="s">
        <v>106</v>
      </c>
      <c r="K855" s="21">
        <v>16729662</v>
      </c>
      <c r="L855" s="21" t="str">
        <f>RIGHT(КХЛ!$H855,4)</f>
        <v>1986</v>
      </c>
    </row>
    <row r="856" spans="5:12" ht="15.75" customHeight="1" x14ac:dyDescent="0.2">
      <c r="E856" s="21">
        <v>1724</v>
      </c>
      <c r="F856" s="21" t="s">
        <v>1737</v>
      </c>
      <c r="G856" s="21" t="s">
        <v>91</v>
      </c>
      <c r="H856" s="24" t="s">
        <v>1738</v>
      </c>
      <c r="I856" s="21">
        <v>24</v>
      </c>
      <c r="J856" s="21" t="s">
        <v>89</v>
      </c>
      <c r="K856" s="21">
        <v>66729449</v>
      </c>
      <c r="L856" s="21" t="str">
        <f>RIGHT(КХЛ!$H856,4)</f>
        <v>1993</v>
      </c>
    </row>
    <row r="857" spans="5:12" ht="15.75" customHeight="1" x14ac:dyDescent="0.2">
      <c r="E857" s="21">
        <v>722</v>
      </c>
      <c r="F857" s="21" t="s">
        <v>1739</v>
      </c>
      <c r="G857" s="21" t="s">
        <v>83</v>
      </c>
      <c r="H857" s="24" t="s">
        <v>1740</v>
      </c>
      <c r="I857" s="21">
        <v>22</v>
      </c>
      <c r="J857" s="21" t="s">
        <v>169</v>
      </c>
      <c r="K857" s="21">
        <v>54356687</v>
      </c>
      <c r="L857" s="21" t="str">
        <f>RIGHT(КХЛ!$H857,4)</f>
        <v>1995</v>
      </c>
    </row>
    <row r="858" spans="5:12" ht="15.75" customHeight="1" x14ac:dyDescent="0.2">
      <c r="E858" s="21">
        <v>520</v>
      </c>
      <c r="F858" s="21" t="s">
        <v>1741</v>
      </c>
      <c r="G858" s="21" t="s">
        <v>87</v>
      </c>
      <c r="H858" s="24" t="s">
        <v>1742</v>
      </c>
      <c r="I858" s="21">
        <v>28</v>
      </c>
      <c r="J858" s="21" t="s">
        <v>89</v>
      </c>
      <c r="K858" s="21">
        <v>52754151</v>
      </c>
      <c r="L858" s="21" t="str">
        <f>RIGHT(КХЛ!$H858,4)</f>
        <v>1989</v>
      </c>
    </row>
    <row r="859" spans="5:12" ht="15.75" customHeight="1" x14ac:dyDescent="0.2">
      <c r="E859" s="21">
        <v>514</v>
      </c>
      <c r="F859" s="21" t="s">
        <v>1743</v>
      </c>
      <c r="G859" s="21" t="s">
        <v>87</v>
      </c>
      <c r="H859" s="24" t="s">
        <v>1744</v>
      </c>
      <c r="I859" s="21">
        <v>22</v>
      </c>
      <c r="J859" s="21" t="s">
        <v>89</v>
      </c>
      <c r="K859" s="21">
        <v>39688073</v>
      </c>
      <c r="L859" s="21" t="str">
        <f>RIGHT(КХЛ!$H859,4)</f>
        <v>1995</v>
      </c>
    </row>
    <row r="860" spans="5:12" ht="15.75" customHeight="1" x14ac:dyDescent="0.2">
      <c r="E860" s="21">
        <v>1226</v>
      </c>
      <c r="F860" s="21" t="s">
        <v>1745</v>
      </c>
      <c r="G860" s="21" t="s">
        <v>91</v>
      </c>
      <c r="H860" s="24" t="s">
        <v>1746</v>
      </c>
      <c r="I860" s="21">
        <v>42</v>
      </c>
      <c r="J860" s="21" t="s">
        <v>222</v>
      </c>
      <c r="K860" s="21">
        <v>15890828</v>
      </c>
      <c r="L860" s="21" t="str">
        <f>RIGHT(КХЛ!$H860,4)</f>
        <v>1975</v>
      </c>
    </row>
    <row r="861" spans="5:12" ht="15.75" customHeight="1" x14ac:dyDescent="0.2">
      <c r="E861" s="21">
        <v>527</v>
      </c>
      <c r="F861" s="21" t="s">
        <v>1747</v>
      </c>
      <c r="G861" s="21" t="s">
        <v>91</v>
      </c>
      <c r="H861" s="24" t="s">
        <v>1748</v>
      </c>
      <c r="I861" s="21">
        <v>24</v>
      </c>
      <c r="J861" s="21" t="s">
        <v>93</v>
      </c>
      <c r="K861" s="21">
        <v>92071508</v>
      </c>
      <c r="L861" s="21" t="str">
        <f>RIGHT(КХЛ!$H861,4)</f>
        <v>1993</v>
      </c>
    </row>
    <row r="862" spans="5:12" ht="15.75" customHeight="1" x14ac:dyDescent="0.2">
      <c r="E862" s="21">
        <v>969</v>
      </c>
      <c r="F862" s="21" t="s">
        <v>1749</v>
      </c>
      <c r="G862" s="21" t="s">
        <v>91</v>
      </c>
      <c r="H862" s="24" t="s">
        <v>1750</v>
      </c>
      <c r="I862" s="21">
        <v>28</v>
      </c>
      <c r="J862" s="21" t="s">
        <v>89</v>
      </c>
      <c r="K862" s="21">
        <v>52259534</v>
      </c>
      <c r="L862" s="21" t="str">
        <f>RIGHT(КХЛ!$H862,4)</f>
        <v>1989</v>
      </c>
    </row>
    <row r="863" spans="5:12" ht="15.75" customHeight="1" x14ac:dyDescent="0.2">
      <c r="E863" s="21">
        <v>779</v>
      </c>
      <c r="F863" s="21" t="s">
        <v>1751</v>
      </c>
      <c r="G863" s="21" t="s">
        <v>83</v>
      </c>
      <c r="H863" s="24" t="s">
        <v>1752</v>
      </c>
      <c r="I863" s="21">
        <v>25</v>
      </c>
      <c r="J863" s="21" t="s">
        <v>89</v>
      </c>
      <c r="K863" s="21">
        <v>1593923</v>
      </c>
      <c r="L863" s="21" t="str">
        <f>RIGHT(КХЛ!$H863,4)</f>
        <v>1992</v>
      </c>
    </row>
    <row r="864" spans="5:12" ht="15.75" customHeight="1" x14ac:dyDescent="0.2">
      <c r="E864" s="21">
        <v>1734</v>
      </c>
      <c r="F864" s="21" t="s">
        <v>725</v>
      </c>
      <c r="G864" s="21" t="s">
        <v>91</v>
      </c>
      <c r="H864" s="24" t="s">
        <v>1753</v>
      </c>
      <c r="I864" s="21">
        <v>34</v>
      </c>
      <c r="J864" s="21" t="s">
        <v>89</v>
      </c>
      <c r="K864" s="21">
        <v>60658893</v>
      </c>
      <c r="L864" s="21" t="str">
        <f>RIGHT(КХЛ!$H864,4)</f>
        <v>1983</v>
      </c>
    </row>
    <row r="865" spans="5:12" ht="15.75" customHeight="1" x14ac:dyDescent="0.2">
      <c r="E865" s="21">
        <v>297</v>
      </c>
      <c r="F865" s="21" t="s">
        <v>1754</v>
      </c>
      <c r="G865" s="21" t="s">
        <v>83</v>
      </c>
      <c r="H865" s="24" t="s">
        <v>1755</v>
      </c>
      <c r="I865" s="21">
        <v>31</v>
      </c>
      <c r="J865" s="21" t="s">
        <v>89</v>
      </c>
      <c r="K865" s="21">
        <v>51865905</v>
      </c>
      <c r="L865" s="21" t="str">
        <f>RIGHT(КХЛ!$H865,4)</f>
        <v>1986</v>
      </c>
    </row>
    <row r="866" spans="5:12" ht="15.75" customHeight="1" x14ac:dyDescent="0.2">
      <c r="E866" s="21">
        <v>73</v>
      </c>
      <c r="F866" s="21" t="s">
        <v>1756</v>
      </c>
      <c r="G866" s="21" t="s">
        <v>91</v>
      </c>
      <c r="H866" s="24" t="s">
        <v>1757</v>
      </c>
      <c r="I866" s="21">
        <v>32</v>
      </c>
      <c r="J866" s="21" t="s">
        <v>106</v>
      </c>
      <c r="K866" s="21">
        <v>365703</v>
      </c>
      <c r="L866" s="21" t="str">
        <f>RIGHT(КХЛ!$H866,4)</f>
        <v>1985</v>
      </c>
    </row>
    <row r="867" spans="5:12" ht="15.75" customHeight="1" x14ac:dyDescent="0.2">
      <c r="E867" s="21">
        <v>1118</v>
      </c>
      <c r="F867" s="21" t="s">
        <v>1758</v>
      </c>
      <c r="G867" s="21" t="s">
        <v>91</v>
      </c>
      <c r="H867" s="24" t="s">
        <v>1759</v>
      </c>
      <c r="I867" s="21">
        <v>24</v>
      </c>
      <c r="J867" s="21" t="s">
        <v>89</v>
      </c>
      <c r="K867" s="21">
        <v>33308618</v>
      </c>
      <c r="L867" s="21" t="str">
        <f>RIGHT(КХЛ!$H867,4)</f>
        <v>1993</v>
      </c>
    </row>
    <row r="868" spans="5:12" ht="15.75" customHeight="1" x14ac:dyDescent="0.2">
      <c r="E868" s="21">
        <v>1291</v>
      </c>
      <c r="F868" s="21" t="s">
        <v>1760</v>
      </c>
      <c r="G868" s="21" t="s">
        <v>83</v>
      </c>
      <c r="H868" s="24" t="s">
        <v>1761</v>
      </c>
      <c r="I868" s="21">
        <v>38</v>
      </c>
      <c r="J868" s="21" t="s">
        <v>1762</v>
      </c>
      <c r="K868" s="21">
        <v>11917693</v>
      </c>
      <c r="L868" s="21" t="str">
        <f>RIGHT(КХЛ!$H868,4)</f>
        <v>1979</v>
      </c>
    </row>
    <row r="869" spans="5:12" ht="15.75" customHeight="1" x14ac:dyDescent="0.2">
      <c r="E869" s="21">
        <v>1312</v>
      </c>
      <c r="F869" s="21" t="s">
        <v>1763</v>
      </c>
      <c r="G869" s="21" t="s">
        <v>87</v>
      </c>
      <c r="H869" s="24" t="s">
        <v>1764</v>
      </c>
      <c r="I869" s="21">
        <v>38</v>
      </c>
      <c r="J869" s="21" t="s">
        <v>93</v>
      </c>
      <c r="K869" s="21">
        <v>27624199</v>
      </c>
      <c r="L869" s="21" t="str">
        <f>RIGHT(КХЛ!$H869,4)</f>
        <v>1979</v>
      </c>
    </row>
    <row r="870" spans="5:12" ht="15.75" customHeight="1" x14ac:dyDescent="0.2">
      <c r="E870" s="21">
        <v>1638</v>
      </c>
      <c r="F870" s="21" t="s">
        <v>1765</v>
      </c>
      <c r="G870" s="21" t="s">
        <v>83</v>
      </c>
      <c r="H870" s="24" t="s">
        <v>1766</v>
      </c>
      <c r="I870" s="21">
        <v>21</v>
      </c>
      <c r="J870" s="21" t="s">
        <v>89</v>
      </c>
      <c r="K870" s="21">
        <v>68403561</v>
      </c>
      <c r="L870" s="21" t="str">
        <f>RIGHT(КХЛ!$H870,4)</f>
        <v>1996</v>
      </c>
    </row>
    <row r="871" spans="5:12" ht="15.75" customHeight="1" x14ac:dyDescent="0.2">
      <c r="E871" s="21">
        <v>1090</v>
      </c>
      <c r="F871" s="21" t="s">
        <v>1767</v>
      </c>
      <c r="G871" s="21" t="s">
        <v>91</v>
      </c>
      <c r="H871" s="24" t="s">
        <v>1768</v>
      </c>
      <c r="I871" s="21">
        <v>23</v>
      </c>
      <c r="J871" s="21" t="s">
        <v>93</v>
      </c>
      <c r="K871" s="21">
        <v>17445766</v>
      </c>
      <c r="L871" s="21" t="str">
        <f>RIGHT(КХЛ!$H871,4)</f>
        <v>1994</v>
      </c>
    </row>
    <row r="872" spans="5:12" ht="15.75" customHeight="1" x14ac:dyDescent="0.2">
      <c r="E872" s="21">
        <v>1014</v>
      </c>
      <c r="F872" s="21" t="s">
        <v>1769</v>
      </c>
      <c r="G872" s="21" t="s">
        <v>83</v>
      </c>
      <c r="H872" s="24" t="s">
        <v>1770</v>
      </c>
      <c r="I872" s="21">
        <v>27</v>
      </c>
      <c r="J872" s="21" t="s">
        <v>93</v>
      </c>
      <c r="K872" s="21">
        <v>77217411</v>
      </c>
      <c r="L872" s="21" t="str">
        <f>RIGHT(КХЛ!$H872,4)</f>
        <v>1990</v>
      </c>
    </row>
    <row r="873" spans="5:12" ht="15.75" customHeight="1" x14ac:dyDescent="0.2">
      <c r="E873" s="21">
        <v>130</v>
      </c>
      <c r="F873" s="21" t="s">
        <v>1771</v>
      </c>
      <c r="G873" s="21" t="s">
        <v>91</v>
      </c>
      <c r="H873" s="24" t="s">
        <v>1772</v>
      </c>
      <c r="I873" s="21">
        <v>38</v>
      </c>
      <c r="J873" s="21" t="s">
        <v>89</v>
      </c>
      <c r="K873" s="21">
        <v>17118290</v>
      </c>
      <c r="L873" s="21" t="str">
        <f>RIGHT(КХЛ!$H873,4)</f>
        <v>1979</v>
      </c>
    </row>
    <row r="874" spans="5:12" ht="15.75" customHeight="1" x14ac:dyDescent="0.2">
      <c r="E874" s="21">
        <v>857</v>
      </c>
      <c r="F874" s="21" t="s">
        <v>1773</v>
      </c>
      <c r="G874" s="21" t="s">
        <v>83</v>
      </c>
      <c r="H874" s="24" t="s">
        <v>1774</v>
      </c>
      <c r="I874" s="21">
        <v>25</v>
      </c>
      <c r="J874" s="21" t="s">
        <v>169</v>
      </c>
      <c r="K874" s="21">
        <v>99625321</v>
      </c>
      <c r="L874" s="21" t="str">
        <f>RIGHT(КХЛ!$H874,4)</f>
        <v>1993</v>
      </c>
    </row>
    <row r="875" spans="5:12" ht="15.75" customHeight="1" x14ac:dyDescent="0.2">
      <c r="E875" s="21">
        <v>734</v>
      </c>
      <c r="F875" s="21" t="s">
        <v>1775</v>
      </c>
      <c r="G875" s="21" t="s">
        <v>83</v>
      </c>
      <c r="H875" s="24" t="s">
        <v>1776</v>
      </c>
      <c r="I875" s="21">
        <v>30</v>
      </c>
      <c r="J875" s="21" t="s">
        <v>132</v>
      </c>
      <c r="K875" s="21">
        <v>96753891</v>
      </c>
      <c r="L875" s="21" t="str">
        <f>RIGHT(КХЛ!$H875,4)</f>
        <v>1987</v>
      </c>
    </row>
    <row r="876" spans="5:12" ht="15.75" customHeight="1" x14ac:dyDescent="0.2">
      <c r="E876" s="21">
        <v>880</v>
      </c>
      <c r="F876" s="21" t="s">
        <v>1777</v>
      </c>
      <c r="G876" s="21" t="s">
        <v>91</v>
      </c>
      <c r="H876" s="24" t="s">
        <v>1778</v>
      </c>
      <c r="I876" s="21">
        <v>36</v>
      </c>
      <c r="J876" s="21" t="s">
        <v>89</v>
      </c>
      <c r="K876" s="21">
        <v>15503310</v>
      </c>
      <c r="L876" s="21" t="str">
        <f>RIGHT(КХЛ!$H876,4)</f>
        <v>1981</v>
      </c>
    </row>
    <row r="877" spans="5:12" ht="15.75" customHeight="1" x14ac:dyDescent="0.2">
      <c r="E877" s="21">
        <v>1131</v>
      </c>
      <c r="F877" s="21" t="s">
        <v>1779</v>
      </c>
      <c r="G877" s="21" t="s">
        <v>91</v>
      </c>
      <c r="H877" s="24" t="s">
        <v>1780</v>
      </c>
      <c r="I877" s="21">
        <v>49</v>
      </c>
      <c r="J877" s="21" t="s">
        <v>241</v>
      </c>
      <c r="K877" s="21">
        <v>99697223</v>
      </c>
      <c r="L877" s="21" t="str">
        <f>RIGHT(КХЛ!$H877,4)</f>
        <v>1968</v>
      </c>
    </row>
    <row r="878" spans="5:12" ht="15.75" customHeight="1" x14ac:dyDescent="0.2">
      <c r="E878" s="21">
        <v>778</v>
      </c>
      <c r="F878" s="21" t="s">
        <v>1781</v>
      </c>
      <c r="G878" s="21" t="s">
        <v>87</v>
      </c>
      <c r="H878" s="24" t="s">
        <v>1782</v>
      </c>
      <c r="I878" s="21">
        <v>34</v>
      </c>
      <c r="J878" s="21" t="s">
        <v>89</v>
      </c>
      <c r="K878" s="21">
        <v>16159823</v>
      </c>
      <c r="L878" s="21" t="str">
        <f>RIGHT(КХЛ!$H878,4)</f>
        <v>1983</v>
      </c>
    </row>
    <row r="879" spans="5:12" ht="15.75" customHeight="1" x14ac:dyDescent="0.2">
      <c r="E879" s="21">
        <v>524</v>
      </c>
      <c r="F879" s="21" t="s">
        <v>1783</v>
      </c>
      <c r="G879" s="21" t="s">
        <v>91</v>
      </c>
      <c r="H879" s="24" t="s">
        <v>1784</v>
      </c>
      <c r="I879" s="21">
        <v>36</v>
      </c>
      <c r="J879" s="21" t="s">
        <v>152</v>
      </c>
      <c r="K879" s="21">
        <v>93440604</v>
      </c>
      <c r="L879" s="21" t="str">
        <f>RIGHT(КХЛ!$H879,4)</f>
        <v>1981</v>
      </c>
    </row>
    <row r="880" spans="5:12" ht="15.75" customHeight="1" x14ac:dyDescent="0.2">
      <c r="E880" s="21">
        <v>192</v>
      </c>
      <c r="F880" s="21" t="s">
        <v>1785</v>
      </c>
      <c r="G880" s="21" t="s">
        <v>91</v>
      </c>
      <c r="H880" s="24" t="s">
        <v>418</v>
      </c>
      <c r="I880" s="21">
        <v>30</v>
      </c>
      <c r="J880" s="21" t="s">
        <v>89</v>
      </c>
      <c r="K880" s="21">
        <v>653345</v>
      </c>
      <c r="L880" s="21" t="str">
        <f>RIGHT(КХЛ!$H880,4)</f>
        <v>1987</v>
      </c>
    </row>
    <row r="881" spans="5:12" ht="15.75" customHeight="1" x14ac:dyDescent="0.2">
      <c r="E881" s="21">
        <v>1119</v>
      </c>
      <c r="F881" s="21" t="s">
        <v>1786</v>
      </c>
      <c r="G881" s="21" t="s">
        <v>91</v>
      </c>
      <c r="H881" s="24" t="s">
        <v>1787</v>
      </c>
      <c r="I881" s="21">
        <v>35</v>
      </c>
      <c r="J881" s="21" t="s">
        <v>89</v>
      </c>
      <c r="K881" s="21">
        <v>24638367</v>
      </c>
      <c r="L881" s="21" t="str">
        <f>RIGHT(КХЛ!$H881,4)</f>
        <v>1982</v>
      </c>
    </row>
    <row r="882" spans="5:12" ht="15.75" customHeight="1" x14ac:dyDescent="0.2">
      <c r="E882" s="21">
        <v>723</v>
      </c>
      <c r="F882" s="21" t="s">
        <v>1788</v>
      </c>
      <c r="G882" s="21" t="s">
        <v>91</v>
      </c>
      <c r="H882" s="24" t="s">
        <v>1789</v>
      </c>
      <c r="I882" s="21">
        <v>22</v>
      </c>
      <c r="J882" s="21" t="s">
        <v>89</v>
      </c>
      <c r="K882" s="21">
        <v>20450518</v>
      </c>
      <c r="L882" s="21" t="str">
        <f>RIGHT(КХЛ!$H882,4)</f>
        <v>1995</v>
      </c>
    </row>
    <row r="883" spans="5:12" ht="15.75" customHeight="1" x14ac:dyDescent="0.2">
      <c r="E883" s="21">
        <v>924</v>
      </c>
      <c r="F883" s="21" t="s">
        <v>1790</v>
      </c>
      <c r="G883" s="21" t="s">
        <v>83</v>
      </c>
      <c r="H883" s="24" t="s">
        <v>1791</v>
      </c>
      <c r="I883" s="21">
        <v>26</v>
      </c>
      <c r="J883" s="21" t="s">
        <v>282</v>
      </c>
      <c r="K883" s="21">
        <v>74284671</v>
      </c>
      <c r="L883" s="21" t="str">
        <f>RIGHT(КХЛ!$H883,4)</f>
        <v>1991</v>
      </c>
    </row>
    <row r="884" spans="5:12" ht="15.75" customHeight="1" x14ac:dyDescent="0.2">
      <c r="E884" s="21">
        <v>46</v>
      </c>
      <c r="F884" s="21" t="s">
        <v>1792</v>
      </c>
      <c r="G884" s="21" t="s">
        <v>91</v>
      </c>
      <c r="H884" s="24" t="s">
        <v>641</v>
      </c>
      <c r="I884" s="21">
        <v>26</v>
      </c>
      <c r="J884" s="21" t="s">
        <v>89</v>
      </c>
      <c r="K884" s="21">
        <v>60035982</v>
      </c>
      <c r="L884" s="21" t="str">
        <f>RIGHT(КХЛ!$H884,4)</f>
        <v>1991</v>
      </c>
    </row>
    <row r="885" spans="5:12" ht="15.75" customHeight="1" x14ac:dyDescent="0.2">
      <c r="E885" s="21">
        <v>1047</v>
      </c>
      <c r="F885" s="21" t="s">
        <v>1793</v>
      </c>
      <c r="G885" s="21" t="s">
        <v>91</v>
      </c>
      <c r="H885" s="24" t="s">
        <v>1794</v>
      </c>
      <c r="I885" s="21">
        <v>23</v>
      </c>
      <c r="J885" s="21" t="s">
        <v>89</v>
      </c>
      <c r="K885" s="21">
        <v>61348972</v>
      </c>
      <c r="L885" s="21" t="str">
        <f>RIGHT(КХЛ!$H885,4)</f>
        <v>1994</v>
      </c>
    </row>
    <row r="886" spans="5:12" ht="15.75" customHeight="1" x14ac:dyDescent="0.2">
      <c r="E886" s="21">
        <v>1227</v>
      </c>
      <c r="F886" s="21" t="s">
        <v>1795</v>
      </c>
      <c r="G886" s="21" t="s">
        <v>83</v>
      </c>
      <c r="H886" s="24" t="s">
        <v>1796</v>
      </c>
      <c r="I886" s="21">
        <v>36</v>
      </c>
      <c r="J886" s="21" t="s">
        <v>93</v>
      </c>
      <c r="K886" s="21">
        <v>94893579</v>
      </c>
      <c r="L886" s="21" t="str">
        <f>RIGHT(КХЛ!$H886,4)</f>
        <v>1981</v>
      </c>
    </row>
    <row r="887" spans="5:12" ht="15.75" customHeight="1" x14ac:dyDescent="0.2">
      <c r="E887" s="21">
        <v>703</v>
      </c>
      <c r="F887" s="21" t="s">
        <v>1797</v>
      </c>
      <c r="G887" s="21" t="s">
        <v>83</v>
      </c>
      <c r="H887" s="24" t="s">
        <v>1798</v>
      </c>
      <c r="I887" s="21">
        <v>20</v>
      </c>
      <c r="J887" s="21" t="s">
        <v>89</v>
      </c>
      <c r="K887" s="21">
        <v>41318907</v>
      </c>
      <c r="L887" s="21" t="str">
        <f>RIGHT(КХЛ!$H887,4)</f>
        <v>1998</v>
      </c>
    </row>
    <row r="888" spans="5:12" ht="15.75" customHeight="1" x14ac:dyDescent="0.2">
      <c r="E888" s="21">
        <v>999</v>
      </c>
      <c r="F888" s="21" t="s">
        <v>1799</v>
      </c>
      <c r="G888" s="21" t="s">
        <v>91</v>
      </c>
      <c r="H888" s="24" t="s">
        <v>1800</v>
      </c>
      <c r="I888" s="21">
        <v>26</v>
      </c>
      <c r="J888" s="21" t="s">
        <v>89</v>
      </c>
      <c r="K888" s="21">
        <v>57483487</v>
      </c>
      <c r="L888" s="21" t="str">
        <f>RIGHT(КХЛ!$H888,4)</f>
        <v>1991</v>
      </c>
    </row>
    <row r="889" spans="5:12" ht="15.75" customHeight="1" x14ac:dyDescent="0.2">
      <c r="E889" s="21">
        <v>1081</v>
      </c>
      <c r="F889" s="21" t="s">
        <v>1801</v>
      </c>
      <c r="G889" s="21" t="s">
        <v>91</v>
      </c>
      <c r="H889" s="24" t="s">
        <v>1802</v>
      </c>
      <c r="I889" s="21">
        <v>32</v>
      </c>
      <c r="J889" s="21" t="s">
        <v>89</v>
      </c>
      <c r="K889" s="21">
        <v>7502456</v>
      </c>
      <c r="L889" s="21" t="str">
        <f>RIGHT(КХЛ!$H889,4)</f>
        <v>1985</v>
      </c>
    </row>
    <row r="890" spans="5:12" ht="15.75" customHeight="1" x14ac:dyDescent="0.2">
      <c r="E890" s="21">
        <v>1373</v>
      </c>
      <c r="F890" s="21" t="s">
        <v>1803</v>
      </c>
      <c r="G890" s="21" t="s">
        <v>91</v>
      </c>
      <c r="H890" s="24" t="s">
        <v>1804</v>
      </c>
      <c r="I890" s="21">
        <v>21</v>
      </c>
      <c r="J890" s="21" t="s">
        <v>282</v>
      </c>
      <c r="K890" s="21">
        <v>77913898</v>
      </c>
      <c r="L890" s="21" t="str">
        <f>RIGHT(КХЛ!$H890,4)</f>
        <v>1996</v>
      </c>
    </row>
    <row r="891" spans="5:12" ht="15.75" customHeight="1" x14ac:dyDescent="0.2">
      <c r="E891" s="21">
        <v>902</v>
      </c>
      <c r="F891" s="21" t="s">
        <v>1805</v>
      </c>
      <c r="G891" s="21" t="s">
        <v>91</v>
      </c>
      <c r="H891" s="24" t="s">
        <v>1806</v>
      </c>
      <c r="I891" s="21">
        <v>21</v>
      </c>
      <c r="J891" s="21" t="s">
        <v>89</v>
      </c>
      <c r="K891" s="21">
        <v>3923992</v>
      </c>
      <c r="L891" s="21" t="str">
        <f>RIGHT(КХЛ!$H891,4)</f>
        <v>1996</v>
      </c>
    </row>
    <row r="892" spans="5:12" ht="15.75" customHeight="1" x14ac:dyDescent="0.2">
      <c r="E892" s="21">
        <v>594</v>
      </c>
      <c r="F892" s="21" t="s">
        <v>1807</v>
      </c>
      <c r="G892" s="21" t="s">
        <v>83</v>
      </c>
      <c r="H892" s="24" t="s">
        <v>1808</v>
      </c>
      <c r="I892" s="21">
        <v>19</v>
      </c>
      <c r="J892" s="21" t="s">
        <v>89</v>
      </c>
      <c r="K892" s="21">
        <v>68679548</v>
      </c>
      <c r="L892" s="21" t="str">
        <f>RIGHT(КХЛ!$H892,4)</f>
        <v>1998</v>
      </c>
    </row>
    <row r="893" spans="5:12" ht="15.75" customHeight="1" x14ac:dyDescent="0.2">
      <c r="E893" s="21">
        <v>575</v>
      </c>
      <c r="F893" s="21" t="s">
        <v>1809</v>
      </c>
      <c r="G893" s="21" t="s">
        <v>91</v>
      </c>
      <c r="H893" s="24" t="s">
        <v>1810</v>
      </c>
      <c r="I893" s="21">
        <v>23</v>
      </c>
      <c r="J893" s="21" t="s">
        <v>89</v>
      </c>
      <c r="K893" s="21">
        <v>57484346</v>
      </c>
      <c r="L893" s="21" t="str">
        <f>RIGHT(КХЛ!$H893,4)</f>
        <v>1994</v>
      </c>
    </row>
    <row r="894" spans="5:12" ht="15.75" customHeight="1" x14ac:dyDescent="0.2">
      <c r="E894" s="21">
        <v>270</v>
      </c>
      <c r="F894" s="21" t="s">
        <v>1811</v>
      </c>
      <c r="G894" s="21" t="s">
        <v>87</v>
      </c>
      <c r="H894" s="24" t="s">
        <v>1554</v>
      </c>
      <c r="I894" s="21">
        <v>31</v>
      </c>
      <c r="J894" s="21" t="s">
        <v>222</v>
      </c>
      <c r="K894" s="21">
        <v>59474500</v>
      </c>
      <c r="L894" s="21" t="str">
        <f>RIGHT(КХЛ!$H894,4)</f>
        <v>1987</v>
      </c>
    </row>
    <row r="895" spans="5:12" ht="15.75" customHeight="1" x14ac:dyDescent="0.2">
      <c r="E895" s="21">
        <v>555</v>
      </c>
      <c r="F895" s="21" t="s">
        <v>1812</v>
      </c>
      <c r="G895" s="21" t="s">
        <v>83</v>
      </c>
      <c r="H895" s="24" t="s">
        <v>1437</v>
      </c>
      <c r="I895" s="21">
        <v>26</v>
      </c>
      <c r="J895" s="21" t="s">
        <v>89</v>
      </c>
      <c r="K895" s="21">
        <v>8016782</v>
      </c>
      <c r="L895" s="21" t="str">
        <f>RIGHT(КХЛ!$H895,4)</f>
        <v>1991</v>
      </c>
    </row>
    <row r="896" spans="5:12" ht="15.75" customHeight="1" x14ac:dyDescent="0.2">
      <c r="E896" s="21">
        <v>1145</v>
      </c>
      <c r="F896" s="21" t="s">
        <v>1813</v>
      </c>
      <c r="G896" s="21" t="s">
        <v>91</v>
      </c>
      <c r="H896" s="24" t="s">
        <v>1814</v>
      </c>
      <c r="I896" s="21">
        <v>34</v>
      </c>
      <c r="J896" s="21" t="s">
        <v>89</v>
      </c>
      <c r="K896" s="21">
        <v>1075957</v>
      </c>
      <c r="L896" s="21" t="str">
        <f>RIGHT(КХЛ!$H896,4)</f>
        <v>1983</v>
      </c>
    </row>
    <row r="897" spans="5:12" ht="15.75" customHeight="1" x14ac:dyDescent="0.2">
      <c r="E897" s="21">
        <v>825</v>
      </c>
      <c r="F897" s="21" t="s">
        <v>1815</v>
      </c>
      <c r="G897" s="21" t="s">
        <v>87</v>
      </c>
      <c r="H897" s="24" t="s">
        <v>1816</v>
      </c>
      <c r="I897" s="21">
        <v>34</v>
      </c>
      <c r="J897" s="21" t="s">
        <v>106</v>
      </c>
      <c r="K897" s="21">
        <v>24775732</v>
      </c>
      <c r="L897" s="21" t="str">
        <f>RIGHT(КХЛ!$H897,4)</f>
        <v>1983</v>
      </c>
    </row>
    <row r="898" spans="5:12" ht="15.75" customHeight="1" x14ac:dyDescent="0.2">
      <c r="E898" s="21">
        <v>86</v>
      </c>
      <c r="F898" s="21" t="s">
        <v>1817</v>
      </c>
      <c r="G898" s="21" t="s">
        <v>83</v>
      </c>
      <c r="H898" s="24" t="s">
        <v>1818</v>
      </c>
      <c r="I898" s="21">
        <v>23</v>
      </c>
      <c r="J898" s="21" t="s">
        <v>89</v>
      </c>
      <c r="K898" s="21">
        <v>41620034</v>
      </c>
      <c r="L898" s="21" t="str">
        <f>RIGHT(КХЛ!$H898,4)</f>
        <v>1994</v>
      </c>
    </row>
    <row r="899" spans="5:12" ht="15.75" customHeight="1" x14ac:dyDescent="0.2">
      <c r="E899" s="21">
        <v>1528</v>
      </c>
      <c r="F899" s="21" t="s">
        <v>890</v>
      </c>
      <c r="G899" s="21" t="s">
        <v>83</v>
      </c>
      <c r="H899" s="24" t="s">
        <v>1819</v>
      </c>
      <c r="I899" s="21">
        <v>29</v>
      </c>
      <c r="J899" s="21" t="s">
        <v>93</v>
      </c>
      <c r="K899" s="21">
        <v>60302982</v>
      </c>
      <c r="L899" s="21" t="str">
        <f>RIGHT(КХЛ!$H899,4)</f>
        <v>1988</v>
      </c>
    </row>
    <row r="900" spans="5:12" ht="15.75" customHeight="1" x14ac:dyDescent="0.2">
      <c r="E900" s="21">
        <v>849</v>
      </c>
      <c r="F900" s="21" t="s">
        <v>1820</v>
      </c>
      <c r="G900" s="21" t="s">
        <v>83</v>
      </c>
      <c r="H900" s="24" t="s">
        <v>1821</v>
      </c>
      <c r="I900" s="21">
        <v>34</v>
      </c>
      <c r="J900" s="21" t="s">
        <v>89</v>
      </c>
      <c r="K900" s="21">
        <v>26753422</v>
      </c>
      <c r="L900" s="21" t="str">
        <f>RIGHT(КХЛ!$H900,4)</f>
        <v>1983</v>
      </c>
    </row>
    <row r="901" spans="5:12" ht="15.75" customHeight="1" x14ac:dyDescent="0.2">
      <c r="E901" s="21">
        <v>317</v>
      </c>
      <c r="F901" s="21" t="s">
        <v>1822</v>
      </c>
      <c r="G901" s="21" t="s">
        <v>83</v>
      </c>
      <c r="H901" s="24" t="s">
        <v>1823</v>
      </c>
      <c r="I901" s="21">
        <v>31</v>
      </c>
      <c r="J901" s="21" t="s">
        <v>93</v>
      </c>
      <c r="K901" s="21">
        <v>73255772</v>
      </c>
      <c r="L901" s="21" t="str">
        <f>RIGHT(КХЛ!$H901,4)</f>
        <v>1986</v>
      </c>
    </row>
    <row r="902" spans="5:12" ht="15.75" customHeight="1" x14ac:dyDescent="0.2">
      <c r="E902" s="21">
        <v>691</v>
      </c>
      <c r="F902" s="21" t="s">
        <v>1824</v>
      </c>
      <c r="G902" s="21" t="s">
        <v>91</v>
      </c>
      <c r="H902" s="24" t="s">
        <v>1825</v>
      </c>
      <c r="I902" s="21">
        <v>35</v>
      </c>
      <c r="J902" s="21" t="s">
        <v>89</v>
      </c>
      <c r="K902" s="21">
        <v>10948672</v>
      </c>
      <c r="L902" s="21" t="str">
        <f>RIGHT(КХЛ!$H902,4)</f>
        <v>1982</v>
      </c>
    </row>
    <row r="903" spans="5:12" ht="15.75" customHeight="1" x14ac:dyDescent="0.2">
      <c r="E903" s="21">
        <v>1104</v>
      </c>
      <c r="F903" s="21" t="s">
        <v>1826</v>
      </c>
      <c r="G903" s="21" t="s">
        <v>91</v>
      </c>
      <c r="H903" s="24" t="s">
        <v>1827</v>
      </c>
      <c r="I903" s="21">
        <v>29</v>
      </c>
      <c r="J903" s="21" t="s">
        <v>89</v>
      </c>
      <c r="K903" s="21">
        <v>6538203</v>
      </c>
      <c r="L903" s="21" t="str">
        <f>RIGHT(КХЛ!$H903,4)</f>
        <v>1988</v>
      </c>
    </row>
    <row r="904" spans="5:12" ht="15.75" customHeight="1" x14ac:dyDescent="0.2">
      <c r="E904" s="21">
        <v>476</v>
      </c>
      <c r="F904" s="21" t="s">
        <v>1828</v>
      </c>
      <c r="G904" s="21" t="s">
        <v>91</v>
      </c>
      <c r="H904" s="24" t="s">
        <v>1829</v>
      </c>
      <c r="I904" s="21">
        <v>25</v>
      </c>
      <c r="J904" s="21" t="s">
        <v>89</v>
      </c>
      <c r="K904" s="21">
        <v>75931487</v>
      </c>
      <c r="L904" s="21" t="str">
        <f>RIGHT(КХЛ!$H904,4)</f>
        <v>1992</v>
      </c>
    </row>
    <row r="905" spans="5:12" ht="15.75" customHeight="1" x14ac:dyDescent="0.2">
      <c r="E905" s="21">
        <v>1418</v>
      </c>
      <c r="F905" s="21" t="s">
        <v>1830</v>
      </c>
      <c r="G905" s="21" t="s">
        <v>83</v>
      </c>
      <c r="H905" s="24" t="s">
        <v>1831</v>
      </c>
      <c r="I905" s="21">
        <v>34</v>
      </c>
      <c r="J905" s="21" t="s">
        <v>89</v>
      </c>
      <c r="K905" s="21">
        <v>80439561</v>
      </c>
      <c r="L905" s="21" t="str">
        <f>RIGHT(КХЛ!$H905,4)</f>
        <v>1983</v>
      </c>
    </row>
    <row r="906" spans="5:12" ht="15.75" customHeight="1" x14ac:dyDescent="0.2">
      <c r="E906" s="21">
        <v>1398</v>
      </c>
      <c r="F906" s="21" t="s">
        <v>1832</v>
      </c>
      <c r="G906" s="21" t="s">
        <v>83</v>
      </c>
      <c r="H906" s="24" t="s">
        <v>1515</v>
      </c>
      <c r="I906" s="21">
        <v>35</v>
      </c>
      <c r="J906" s="21" t="s">
        <v>152</v>
      </c>
      <c r="K906" s="21">
        <v>71255623</v>
      </c>
      <c r="L906" s="21" t="str">
        <f>RIGHT(КХЛ!$H906,4)</f>
        <v>1982</v>
      </c>
    </row>
    <row r="907" spans="5:12" ht="15.75" customHeight="1" x14ac:dyDescent="0.2">
      <c r="E907" s="21">
        <v>155</v>
      </c>
      <c r="F907" s="21" t="s">
        <v>1833</v>
      </c>
      <c r="G907" s="21" t="s">
        <v>91</v>
      </c>
      <c r="H907" s="24" t="s">
        <v>1834</v>
      </c>
      <c r="I907" s="21">
        <v>27</v>
      </c>
      <c r="J907" s="21" t="s">
        <v>89</v>
      </c>
      <c r="K907" s="21">
        <v>15108561</v>
      </c>
      <c r="L907" s="21" t="str">
        <f>RIGHT(КХЛ!$H907,4)</f>
        <v>1990</v>
      </c>
    </row>
    <row r="908" spans="5:12" ht="15.75" customHeight="1" x14ac:dyDescent="0.2">
      <c r="E908" s="21">
        <v>115</v>
      </c>
      <c r="F908" s="21" t="s">
        <v>1835</v>
      </c>
      <c r="G908" s="21" t="s">
        <v>91</v>
      </c>
      <c r="H908" s="24" t="s">
        <v>1836</v>
      </c>
      <c r="I908" s="21">
        <v>27</v>
      </c>
      <c r="J908" s="21" t="s">
        <v>241</v>
      </c>
      <c r="K908" s="21">
        <v>86206393</v>
      </c>
      <c r="L908" s="21" t="str">
        <f>RIGHT(КХЛ!$H908,4)</f>
        <v>1990</v>
      </c>
    </row>
    <row r="909" spans="5:12" ht="15.75" customHeight="1" x14ac:dyDescent="0.2">
      <c r="E909" s="21">
        <v>1060</v>
      </c>
      <c r="F909" s="21" t="s">
        <v>1837</v>
      </c>
      <c r="G909" s="21" t="s">
        <v>91</v>
      </c>
      <c r="H909" s="24" t="s">
        <v>1838</v>
      </c>
      <c r="I909" s="21">
        <v>23</v>
      </c>
      <c r="J909" s="21" t="s">
        <v>169</v>
      </c>
      <c r="K909" s="21">
        <v>39782107</v>
      </c>
      <c r="L909" s="21" t="str">
        <f>RIGHT(КХЛ!$H909,4)</f>
        <v>1994</v>
      </c>
    </row>
    <row r="910" spans="5:12" ht="15.75" customHeight="1" x14ac:dyDescent="0.2">
      <c r="E910" s="21">
        <v>113</v>
      </c>
      <c r="F910" s="21" t="s">
        <v>1839</v>
      </c>
      <c r="G910" s="21" t="s">
        <v>91</v>
      </c>
      <c r="H910" s="24" t="s">
        <v>1840</v>
      </c>
      <c r="I910" s="21">
        <v>40</v>
      </c>
      <c r="J910" s="21" t="s">
        <v>89</v>
      </c>
      <c r="K910" s="21">
        <v>432288</v>
      </c>
      <c r="L910" s="21" t="str">
        <f>RIGHT(КХЛ!$H910,4)</f>
        <v>1978</v>
      </c>
    </row>
    <row r="911" spans="5:12" ht="15.75" customHeight="1" x14ac:dyDescent="0.2">
      <c r="E911" s="21">
        <v>108</v>
      </c>
      <c r="F911" s="21" t="s">
        <v>1841</v>
      </c>
      <c r="G911" s="21" t="s">
        <v>91</v>
      </c>
      <c r="H911" s="24" t="s">
        <v>1842</v>
      </c>
      <c r="I911" s="21">
        <v>27</v>
      </c>
      <c r="J911" s="21" t="s">
        <v>89</v>
      </c>
      <c r="K911" s="21">
        <v>33619810</v>
      </c>
      <c r="L911" s="21" t="str">
        <f>RIGHT(КХЛ!$H911,4)</f>
        <v>1990</v>
      </c>
    </row>
    <row r="912" spans="5:12" ht="15.75" customHeight="1" x14ac:dyDescent="0.2">
      <c r="E912" s="21">
        <v>468</v>
      </c>
      <c r="F912" s="21" t="s">
        <v>1843</v>
      </c>
      <c r="G912" s="21" t="s">
        <v>91</v>
      </c>
      <c r="H912" s="24" t="s">
        <v>1844</v>
      </c>
      <c r="I912" s="21">
        <v>22</v>
      </c>
      <c r="J912" s="21" t="s">
        <v>93</v>
      </c>
      <c r="K912" s="21">
        <v>9276320</v>
      </c>
      <c r="L912" s="21" t="str">
        <f>RIGHT(КХЛ!$H912,4)</f>
        <v>1996</v>
      </c>
    </row>
    <row r="913" spans="5:12" ht="15.75" customHeight="1" x14ac:dyDescent="0.2">
      <c r="E913" s="21">
        <v>1314</v>
      </c>
      <c r="F913" s="21" t="s">
        <v>1845</v>
      </c>
      <c r="G913" s="21" t="s">
        <v>83</v>
      </c>
      <c r="H913" s="24" t="s">
        <v>1846</v>
      </c>
      <c r="I913" s="21">
        <v>29</v>
      </c>
      <c r="J913" s="21" t="s">
        <v>85</v>
      </c>
      <c r="K913" s="21">
        <v>14315823</v>
      </c>
      <c r="L913" s="21" t="str">
        <f>RIGHT(КХЛ!$H913,4)</f>
        <v>1988</v>
      </c>
    </row>
    <row r="914" spans="5:12" ht="15.75" customHeight="1" x14ac:dyDescent="0.2">
      <c r="E914" s="21">
        <v>553</v>
      </c>
      <c r="F914" s="21" t="s">
        <v>1847</v>
      </c>
      <c r="G914" s="21" t="s">
        <v>91</v>
      </c>
      <c r="H914" s="24" t="s">
        <v>1848</v>
      </c>
      <c r="I914" s="21">
        <v>47</v>
      </c>
      <c r="J914" s="21" t="s">
        <v>89</v>
      </c>
      <c r="K914" s="21">
        <v>38322149</v>
      </c>
      <c r="L914" s="21" t="str">
        <f>RIGHT(КХЛ!$H914,4)</f>
        <v>1970</v>
      </c>
    </row>
    <row r="915" spans="5:12" ht="15.75" customHeight="1" x14ac:dyDescent="0.2">
      <c r="E915" s="21">
        <v>1367</v>
      </c>
      <c r="F915" s="21" t="s">
        <v>1849</v>
      </c>
      <c r="G915" s="21" t="s">
        <v>91</v>
      </c>
      <c r="H915" s="24" t="s">
        <v>1850</v>
      </c>
      <c r="I915" s="21">
        <v>25</v>
      </c>
      <c r="J915" s="21" t="s">
        <v>117</v>
      </c>
      <c r="K915" s="21">
        <v>4804113</v>
      </c>
      <c r="L915" s="21" t="str">
        <f>RIGHT(КХЛ!$H915,4)</f>
        <v>1992</v>
      </c>
    </row>
    <row r="916" spans="5:12" ht="15.75" customHeight="1" x14ac:dyDescent="0.2">
      <c r="E916" s="21">
        <v>862</v>
      </c>
      <c r="F916" s="21" t="s">
        <v>1851</v>
      </c>
      <c r="G916" s="21" t="s">
        <v>91</v>
      </c>
      <c r="H916" s="24" t="s">
        <v>1852</v>
      </c>
      <c r="I916" s="21">
        <v>27</v>
      </c>
      <c r="J916" s="21" t="s">
        <v>89</v>
      </c>
      <c r="K916" s="21">
        <v>4033914</v>
      </c>
      <c r="L916" s="21" t="str">
        <f>RIGHT(КХЛ!$H916,4)</f>
        <v>1990</v>
      </c>
    </row>
    <row r="917" spans="5:12" ht="15.75" customHeight="1" x14ac:dyDescent="0.2">
      <c r="E917" s="21">
        <v>765</v>
      </c>
      <c r="F917" s="21" t="s">
        <v>1853</v>
      </c>
      <c r="G917" s="21" t="s">
        <v>91</v>
      </c>
      <c r="H917" s="24" t="s">
        <v>1854</v>
      </c>
      <c r="I917" s="21">
        <v>29</v>
      </c>
      <c r="J917" s="21" t="s">
        <v>89</v>
      </c>
      <c r="K917" s="21">
        <v>93083518</v>
      </c>
      <c r="L917" s="21" t="str">
        <f>RIGHT(КХЛ!$H917,4)</f>
        <v>1988</v>
      </c>
    </row>
    <row r="918" spans="5:12" ht="15.75" customHeight="1" x14ac:dyDescent="0.2">
      <c r="E918" s="21">
        <v>948</v>
      </c>
      <c r="F918" s="21" t="s">
        <v>1855</v>
      </c>
      <c r="G918" s="21" t="s">
        <v>91</v>
      </c>
      <c r="H918" s="24" t="s">
        <v>1856</v>
      </c>
      <c r="I918" s="21">
        <v>40</v>
      </c>
      <c r="J918" s="21" t="s">
        <v>169</v>
      </c>
      <c r="K918" s="21">
        <v>5540414</v>
      </c>
      <c r="L918" s="21" t="str">
        <f>RIGHT(КХЛ!$H918,4)</f>
        <v>1977</v>
      </c>
    </row>
    <row r="919" spans="5:12" ht="15.75" customHeight="1" x14ac:dyDescent="0.2">
      <c r="E919" s="21">
        <v>1503</v>
      </c>
      <c r="F919" s="21" t="s">
        <v>1857</v>
      </c>
      <c r="G919" s="21" t="s">
        <v>87</v>
      </c>
      <c r="H919" s="24" t="s">
        <v>1858</v>
      </c>
      <c r="I919" s="21">
        <v>31</v>
      </c>
      <c r="J919" s="21" t="s">
        <v>93</v>
      </c>
      <c r="K919" s="21">
        <v>29699590</v>
      </c>
      <c r="L919" s="21" t="str">
        <f>RIGHT(КХЛ!$H919,4)</f>
        <v>1986</v>
      </c>
    </row>
    <row r="920" spans="5:12" ht="15.75" customHeight="1" x14ac:dyDescent="0.2">
      <c r="E920" s="21">
        <v>134</v>
      </c>
      <c r="F920" s="21" t="s">
        <v>1859</v>
      </c>
      <c r="G920" s="21" t="s">
        <v>91</v>
      </c>
      <c r="H920" s="24" t="s">
        <v>1860</v>
      </c>
      <c r="I920" s="21">
        <v>19</v>
      </c>
      <c r="J920" s="21" t="s">
        <v>89</v>
      </c>
      <c r="K920" s="21">
        <v>25606633</v>
      </c>
      <c r="L920" s="21" t="str">
        <f>RIGHT(КХЛ!$H920,4)</f>
        <v>1998</v>
      </c>
    </row>
    <row r="921" spans="5:12" ht="15.75" customHeight="1" x14ac:dyDescent="0.2">
      <c r="E921" s="21">
        <v>874</v>
      </c>
      <c r="F921" s="21" t="s">
        <v>1316</v>
      </c>
      <c r="G921" s="21" t="s">
        <v>91</v>
      </c>
      <c r="H921" s="24" t="s">
        <v>1317</v>
      </c>
      <c r="I921" s="21">
        <v>22</v>
      </c>
      <c r="J921" s="21" t="s">
        <v>89</v>
      </c>
      <c r="K921" s="21">
        <v>8283530</v>
      </c>
      <c r="L921" s="21" t="str">
        <f>RIGHT(КХЛ!$H921,4)</f>
        <v>1995</v>
      </c>
    </row>
    <row r="922" spans="5:12" ht="15.75" customHeight="1" x14ac:dyDescent="0.2">
      <c r="E922" s="21">
        <v>1152</v>
      </c>
      <c r="F922" s="21" t="s">
        <v>1861</v>
      </c>
      <c r="G922" s="21" t="s">
        <v>83</v>
      </c>
      <c r="H922" s="24" t="s">
        <v>1862</v>
      </c>
      <c r="I922" s="21">
        <v>34</v>
      </c>
      <c r="J922" s="21" t="s">
        <v>169</v>
      </c>
      <c r="K922" s="21">
        <v>57854541</v>
      </c>
      <c r="L922" s="21" t="str">
        <f>RIGHT(КХЛ!$H922,4)</f>
        <v>1983</v>
      </c>
    </row>
    <row r="923" spans="5:12" ht="15.75" customHeight="1" x14ac:dyDescent="0.2">
      <c r="E923" s="21">
        <v>970</v>
      </c>
      <c r="F923" s="21" t="s">
        <v>1863</v>
      </c>
      <c r="G923" s="21" t="s">
        <v>91</v>
      </c>
      <c r="H923" s="24" t="s">
        <v>1864</v>
      </c>
      <c r="I923" s="21">
        <v>36</v>
      </c>
      <c r="J923" s="21" t="s">
        <v>89</v>
      </c>
      <c r="K923" s="21">
        <v>84513093</v>
      </c>
      <c r="L923" s="21" t="str">
        <f>RIGHT(КХЛ!$H923,4)</f>
        <v>1981</v>
      </c>
    </row>
    <row r="924" spans="5:12" ht="15.75" customHeight="1" x14ac:dyDescent="0.2">
      <c r="E924" s="21">
        <v>628</v>
      </c>
      <c r="F924" s="21" t="s">
        <v>1865</v>
      </c>
      <c r="G924" s="21" t="s">
        <v>91</v>
      </c>
      <c r="H924" s="24" t="s">
        <v>1866</v>
      </c>
      <c r="I924" s="21">
        <v>30</v>
      </c>
      <c r="J924" s="21" t="s">
        <v>132</v>
      </c>
      <c r="K924" s="21">
        <v>85178263</v>
      </c>
      <c r="L924" s="21" t="str">
        <f>RIGHT(КХЛ!$H924,4)</f>
        <v>1987</v>
      </c>
    </row>
    <row r="925" spans="5:12" ht="15.75" customHeight="1" x14ac:dyDescent="0.2">
      <c r="E925" s="21">
        <v>627</v>
      </c>
      <c r="F925" s="21" t="s">
        <v>1867</v>
      </c>
      <c r="G925" s="21" t="s">
        <v>91</v>
      </c>
      <c r="H925" s="24" t="s">
        <v>1868</v>
      </c>
      <c r="I925" s="21">
        <v>21</v>
      </c>
      <c r="J925" s="21" t="s">
        <v>85</v>
      </c>
      <c r="K925" s="21">
        <v>4530665</v>
      </c>
      <c r="L925" s="21" t="str">
        <f>RIGHT(КХЛ!$H925,4)</f>
        <v>1996</v>
      </c>
    </row>
    <row r="926" spans="5:12" ht="15.75" customHeight="1" x14ac:dyDescent="0.2">
      <c r="E926" s="21">
        <v>220</v>
      </c>
      <c r="F926" s="21" t="s">
        <v>1869</v>
      </c>
      <c r="G926" s="21" t="s">
        <v>91</v>
      </c>
      <c r="H926" s="24" t="s">
        <v>1870</v>
      </c>
      <c r="I926" s="21">
        <v>30</v>
      </c>
      <c r="J926" s="21" t="s">
        <v>89</v>
      </c>
      <c r="K926" s="21">
        <v>3084347</v>
      </c>
      <c r="L926" s="21" t="str">
        <f>RIGHT(КХЛ!$H926,4)</f>
        <v>1987</v>
      </c>
    </row>
    <row r="927" spans="5:12" ht="15.75" customHeight="1" x14ac:dyDescent="0.2">
      <c r="E927" s="21">
        <v>1565</v>
      </c>
      <c r="F927" s="21" t="s">
        <v>1871</v>
      </c>
      <c r="G927" s="21" t="s">
        <v>83</v>
      </c>
      <c r="H927" s="24" t="s">
        <v>1872</v>
      </c>
      <c r="I927" s="21">
        <v>22</v>
      </c>
      <c r="J927" s="21" t="s">
        <v>89</v>
      </c>
      <c r="K927" s="21">
        <v>78122480</v>
      </c>
      <c r="L927" s="21" t="str">
        <f>RIGHT(КХЛ!$H927,4)</f>
        <v>1995</v>
      </c>
    </row>
    <row r="928" spans="5:12" ht="15.75" customHeight="1" x14ac:dyDescent="0.2">
      <c r="E928" s="21">
        <v>1423</v>
      </c>
      <c r="F928" s="21" t="s">
        <v>1873</v>
      </c>
      <c r="G928" s="21" t="s">
        <v>91</v>
      </c>
      <c r="H928" s="24" t="s">
        <v>1874</v>
      </c>
      <c r="I928" s="21">
        <v>26</v>
      </c>
      <c r="J928" s="21" t="s">
        <v>89</v>
      </c>
      <c r="K928" s="21">
        <v>38936116</v>
      </c>
      <c r="L928" s="21" t="str">
        <f>RIGHT(КХЛ!$H928,4)</f>
        <v>1991</v>
      </c>
    </row>
    <row r="929" spans="5:12" ht="15.75" customHeight="1" x14ac:dyDescent="0.2">
      <c r="E929" s="21">
        <v>1745</v>
      </c>
      <c r="F929" s="21" t="s">
        <v>1875</v>
      </c>
      <c r="G929" s="21" t="s">
        <v>91</v>
      </c>
      <c r="H929" s="24" t="s">
        <v>1876</v>
      </c>
      <c r="I929" s="21">
        <v>37</v>
      </c>
      <c r="J929" s="21" t="s">
        <v>89</v>
      </c>
      <c r="K929" s="21">
        <v>19792435</v>
      </c>
      <c r="L929" s="21" t="str">
        <f>RIGHT(КХЛ!$H929,4)</f>
        <v>1980</v>
      </c>
    </row>
    <row r="930" spans="5:12" ht="15.75" customHeight="1" x14ac:dyDescent="0.2">
      <c r="E930" s="21">
        <v>1386</v>
      </c>
      <c r="F930" s="21" t="s">
        <v>1877</v>
      </c>
      <c r="G930" s="21" t="s">
        <v>83</v>
      </c>
      <c r="H930" s="24" t="s">
        <v>1878</v>
      </c>
      <c r="I930" s="21">
        <v>41</v>
      </c>
      <c r="J930" s="21" t="s">
        <v>85</v>
      </c>
      <c r="K930" s="21">
        <v>3059537</v>
      </c>
      <c r="L930" s="21" t="str">
        <f>RIGHT(КХЛ!$H930,4)</f>
        <v>1976</v>
      </c>
    </row>
    <row r="931" spans="5:12" ht="15.75" customHeight="1" x14ac:dyDescent="0.2">
      <c r="E931" s="21">
        <v>1476</v>
      </c>
      <c r="F931" s="21" t="s">
        <v>1879</v>
      </c>
      <c r="G931" s="21" t="s">
        <v>83</v>
      </c>
      <c r="H931" s="24" t="s">
        <v>1880</v>
      </c>
      <c r="I931" s="21">
        <v>37</v>
      </c>
      <c r="J931" s="21" t="s">
        <v>89</v>
      </c>
      <c r="K931" s="21">
        <v>15702652</v>
      </c>
      <c r="L931" s="21" t="str">
        <f>RIGHT(КХЛ!$H931,4)</f>
        <v>1980</v>
      </c>
    </row>
    <row r="932" spans="5:12" ht="15.75" customHeight="1" x14ac:dyDescent="0.2">
      <c r="E932" s="21">
        <v>94</v>
      </c>
      <c r="F932" s="21" t="s">
        <v>1881</v>
      </c>
      <c r="G932" s="21" t="s">
        <v>87</v>
      </c>
      <c r="H932" s="24" t="s">
        <v>1882</v>
      </c>
      <c r="I932" s="21">
        <v>20</v>
      </c>
      <c r="J932" s="21" t="s">
        <v>89</v>
      </c>
      <c r="K932" s="21">
        <v>35504017</v>
      </c>
      <c r="L932" s="21" t="str">
        <f>RIGHT(КХЛ!$H932,4)</f>
        <v>1997</v>
      </c>
    </row>
    <row r="933" spans="5:12" ht="15.75" customHeight="1" x14ac:dyDescent="0.2">
      <c r="E933" s="21">
        <v>1285</v>
      </c>
      <c r="F933" s="21" t="s">
        <v>1883</v>
      </c>
      <c r="G933" s="21" t="s">
        <v>91</v>
      </c>
      <c r="H933" s="24" t="s">
        <v>1884</v>
      </c>
      <c r="I933" s="21">
        <v>40</v>
      </c>
      <c r="J933" s="21" t="s">
        <v>93</v>
      </c>
      <c r="K933" s="21">
        <v>89898587</v>
      </c>
      <c r="L933" s="21" t="str">
        <f>RIGHT(КХЛ!$H933,4)</f>
        <v>1977</v>
      </c>
    </row>
    <row r="934" spans="5:12" ht="15.75" customHeight="1" x14ac:dyDescent="0.2">
      <c r="E934" s="21">
        <v>582</v>
      </c>
      <c r="F934" s="21" t="s">
        <v>1885</v>
      </c>
      <c r="G934" s="21" t="s">
        <v>83</v>
      </c>
      <c r="H934" s="24" t="s">
        <v>1886</v>
      </c>
      <c r="I934" s="21">
        <v>44</v>
      </c>
      <c r="J934" s="21" t="s">
        <v>89</v>
      </c>
      <c r="K934" s="21">
        <v>52238508</v>
      </c>
      <c r="L934" s="21" t="str">
        <f>RIGHT(КХЛ!$H934,4)</f>
        <v>1973</v>
      </c>
    </row>
    <row r="935" spans="5:12" ht="15.75" customHeight="1" x14ac:dyDescent="0.2">
      <c r="E935" s="21">
        <v>1332</v>
      </c>
      <c r="F935" s="21" t="s">
        <v>1887</v>
      </c>
      <c r="G935" s="21" t="s">
        <v>91</v>
      </c>
      <c r="H935" s="24" t="s">
        <v>1888</v>
      </c>
      <c r="I935" s="21">
        <v>30</v>
      </c>
      <c r="J935" s="21" t="s">
        <v>85</v>
      </c>
      <c r="K935" s="21">
        <v>79544480</v>
      </c>
      <c r="L935" s="21" t="str">
        <f>RIGHT(КХЛ!$H935,4)</f>
        <v>1987</v>
      </c>
    </row>
    <row r="936" spans="5:12" ht="15.75" customHeight="1" x14ac:dyDescent="0.2">
      <c r="E936" s="21">
        <v>272</v>
      </c>
      <c r="F936" s="21" t="s">
        <v>1889</v>
      </c>
      <c r="G936" s="21" t="s">
        <v>91</v>
      </c>
      <c r="H936" s="24" t="s">
        <v>1890</v>
      </c>
      <c r="I936" s="21">
        <v>27</v>
      </c>
      <c r="J936" s="21" t="s">
        <v>85</v>
      </c>
      <c r="K936" s="21">
        <v>9349472</v>
      </c>
      <c r="L936" s="21" t="str">
        <f>RIGHT(КХЛ!$H936,4)</f>
        <v>1990</v>
      </c>
    </row>
    <row r="937" spans="5:12" ht="15.75" customHeight="1" x14ac:dyDescent="0.2">
      <c r="E937" s="21">
        <v>273</v>
      </c>
      <c r="F937" s="21" t="s">
        <v>1891</v>
      </c>
      <c r="G937" s="21" t="s">
        <v>91</v>
      </c>
      <c r="H937" s="24" t="s">
        <v>1892</v>
      </c>
      <c r="I937" s="21">
        <v>28</v>
      </c>
      <c r="J937" s="21" t="s">
        <v>85</v>
      </c>
      <c r="K937" s="21">
        <v>270983</v>
      </c>
      <c r="L937" s="21" t="str">
        <f>RIGHT(КХЛ!$H937,4)</f>
        <v>1989</v>
      </c>
    </row>
    <row r="938" spans="5:12" ht="15.75" customHeight="1" x14ac:dyDescent="0.2">
      <c r="E938" s="21">
        <v>1514</v>
      </c>
      <c r="F938" s="21" t="s">
        <v>1893</v>
      </c>
      <c r="G938" s="21" t="s">
        <v>83</v>
      </c>
      <c r="H938" s="24" t="s">
        <v>1894</v>
      </c>
      <c r="I938" s="21">
        <v>39</v>
      </c>
      <c r="J938" s="21" t="s">
        <v>106</v>
      </c>
      <c r="K938" s="21">
        <v>89168755</v>
      </c>
      <c r="L938" s="21" t="str">
        <f>RIGHT(КХЛ!$H938,4)</f>
        <v>1978</v>
      </c>
    </row>
    <row r="939" spans="5:12" ht="15.75" customHeight="1" x14ac:dyDescent="0.2">
      <c r="E939" s="21">
        <v>84</v>
      </c>
      <c r="F939" s="21" t="s">
        <v>1895</v>
      </c>
      <c r="G939" s="21" t="s">
        <v>83</v>
      </c>
      <c r="H939" s="24" t="s">
        <v>1582</v>
      </c>
      <c r="I939" s="21">
        <v>22</v>
      </c>
      <c r="J939" s="21" t="s">
        <v>89</v>
      </c>
      <c r="K939" s="21">
        <v>89607125</v>
      </c>
      <c r="L939" s="21" t="str">
        <f>RIGHT(КХЛ!$H939,4)</f>
        <v>1995</v>
      </c>
    </row>
    <row r="940" spans="5:12" ht="15.75" customHeight="1" x14ac:dyDescent="0.2">
      <c r="E940" s="21">
        <v>295</v>
      </c>
      <c r="F940" s="21" t="s">
        <v>1896</v>
      </c>
      <c r="G940" s="21" t="s">
        <v>87</v>
      </c>
      <c r="H940" s="24" t="s">
        <v>1897</v>
      </c>
      <c r="I940" s="21">
        <v>36</v>
      </c>
      <c r="J940" s="21" t="s">
        <v>1762</v>
      </c>
      <c r="K940" s="21">
        <v>16801686</v>
      </c>
      <c r="L940" s="21" t="str">
        <f>RIGHT(КХЛ!$H940,4)</f>
        <v>1981</v>
      </c>
    </row>
    <row r="941" spans="5:12" ht="15.75" customHeight="1" x14ac:dyDescent="0.2">
      <c r="E941" s="21">
        <v>834</v>
      </c>
      <c r="F941" s="21" t="s">
        <v>1898</v>
      </c>
      <c r="G941" s="21" t="s">
        <v>91</v>
      </c>
      <c r="H941" s="24" t="s">
        <v>1899</v>
      </c>
      <c r="I941" s="21">
        <v>32</v>
      </c>
      <c r="J941" s="21" t="s">
        <v>169</v>
      </c>
      <c r="K941" s="21">
        <v>38897999</v>
      </c>
      <c r="L941" s="21" t="str">
        <f>RIGHT(КХЛ!$H941,4)</f>
        <v>1985</v>
      </c>
    </row>
    <row r="942" spans="5:12" ht="15.75" customHeight="1" x14ac:dyDescent="0.2">
      <c r="E942" s="21">
        <v>78</v>
      </c>
      <c r="F942" s="21" t="s">
        <v>1900</v>
      </c>
      <c r="G942" s="21" t="s">
        <v>83</v>
      </c>
      <c r="H942" s="24" t="s">
        <v>1901</v>
      </c>
      <c r="I942" s="21">
        <v>25</v>
      </c>
      <c r="J942" s="21" t="s">
        <v>89</v>
      </c>
      <c r="K942" s="21">
        <v>82836638</v>
      </c>
      <c r="L942" s="21" t="str">
        <f>RIGHT(КХЛ!$H942,4)</f>
        <v>1992</v>
      </c>
    </row>
    <row r="943" spans="5:12" ht="15.75" customHeight="1" x14ac:dyDescent="0.2">
      <c r="E943" s="21">
        <v>730</v>
      </c>
      <c r="F943" s="21" t="s">
        <v>1902</v>
      </c>
      <c r="G943" s="21" t="s">
        <v>91</v>
      </c>
      <c r="H943" s="24" t="s">
        <v>1903</v>
      </c>
      <c r="I943" s="21">
        <v>40</v>
      </c>
      <c r="J943" s="21" t="s">
        <v>132</v>
      </c>
      <c r="K943" s="21">
        <v>39453945</v>
      </c>
      <c r="L943" s="21" t="str">
        <f>RIGHT(КХЛ!$H943,4)</f>
        <v>1977</v>
      </c>
    </row>
    <row r="944" spans="5:12" ht="15.75" customHeight="1" x14ac:dyDescent="0.2">
      <c r="E944" s="21">
        <v>300</v>
      </c>
      <c r="F944" s="21" t="s">
        <v>1904</v>
      </c>
      <c r="G944" s="21" t="s">
        <v>91</v>
      </c>
      <c r="H944" s="24" t="s">
        <v>1905</v>
      </c>
      <c r="I944" s="21">
        <v>22</v>
      </c>
      <c r="J944" s="21" t="s">
        <v>282</v>
      </c>
      <c r="K944" s="21">
        <v>95055693</v>
      </c>
      <c r="L944" s="21" t="str">
        <f>RIGHT(КХЛ!$H944,4)</f>
        <v>1995</v>
      </c>
    </row>
    <row r="945" spans="5:12" ht="15.75" customHeight="1" x14ac:dyDescent="0.2">
      <c r="E945" s="21">
        <v>1142</v>
      </c>
      <c r="F945" s="21" t="s">
        <v>1906</v>
      </c>
      <c r="G945" s="21" t="s">
        <v>87</v>
      </c>
      <c r="H945" s="24" t="s">
        <v>1907</v>
      </c>
      <c r="I945" s="21">
        <v>24</v>
      </c>
      <c r="J945" s="21" t="s">
        <v>139</v>
      </c>
      <c r="K945" s="21">
        <v>80351818</v>
      </c>
      <c r="L945" s="21" t="str">
        <f>RIGHT(КХЛ!$H945,4)</f>
        <v>1993</v>
      </c>
    </row>
    <row r="946" spans="5:12" ht="15.75" customHeight="1" x14ac:dyDescent="0.2">
      <c r="E946" s="21">
        <v>263</v>
      </c>
      <c r="F946" s="21" t="s">
        <v>1908</v>
      </c>
      <c r="G946" s="21" t="s">
        <v>83</v>
      </c>
      <c r="H946" s="24" t="s">
        <v>1909</v>
      </c>
      <c r="I946" s="21">
        <v>29</v>
      </c>
      <c r="J946" s="21" t="s">
        <v>241</v>
      </c>
      <c r="K946" s="21">
        <v>63964946</v>
      </c>
      <c r="L946" s="21" t="str">
        <f>RIGHT(КХЛ!$H946,4)</f>
        <v>1988</v>
      </c>
    </row>
    <row r="947" spans="5:12" ht="15.75" customHeight="1" x14ac:dyDescent="0.2">
      <c r="E947" s="21">
        <v>988</v>
      </c>
      <c r="F947" s="21" t="s">
        <v>1910</v>
      </c>
      <c r="G947" s="21" t="s">
        <v>91</v>
      </c>
      <c r="H947" s="24" t="s">
        <v>1911</v>
      </c>
      <c r="I947" s="21">
        <v>25</v>
      </c>
      <c r="J947" s="21" t="s">
        <v>89</v>
      </c>
      <c r="K947" s="21">
        <v>40056291</v>
      </c>
      <c r="L947" s="21" t="str">
        <f>RIGHT(КХЛ!$H947,4)</f>
        <v>1992</v>
      </c>
    </row>
    <row r="948" spans="5:12" ht="15.75" customHeight="1" x14ac:dyDescent="0.2">
      <c r="E948" s="21">
        <v>1129</v>
      </c>
      <c r="F948" s="21" t="s">
        <v>1912</v>
      </c>
      <c r="G948" s="21" t="s">
        <v>87</v>
      </c>
      <c r="H948" s="24" t="s">
        <v>1913</v>
      </c>
      <c r="I948" s="21">
        <v>29</v>
      </c>
      <c r="J948" s="21" t="s">
        <v>85</v>
      </c>
      <c r="K948" s="21">
        <v>6150242</v>
      </c>
      <c r="L948" s="21" t="str">
        <f>RIGHT(КХЛ!$H948,4)</f>
        <v>1988</v>
      </c>
    </row>
    <row r="949" spans="5:12" ht="15.75" customHeight="1" x14ac:dyDescent="0.2">
      <c r="E949" s="21">
        <v>1045</v>
      </c>
      <c r="F949" s="21" t="s">
        <v>1914</v>
      </c>
      <c r="G949" s="21" t="s">
        <v>83</v>
      </c>
      <c r="H949" s="24" t="s">
        <v>1915</v>
      </c>
      <c r="I949" s="21">
        <v>37</v>
      </c>
      <c r="J949" s="21" t="s">
        <v>89</v>
      </c>
      <c r="K949" s="21">
        <v>35275837</v>
      </c>
      <c r="L949" s="21" t="str">
        <f>RIGHT(КХЛ!$H949,4)</f>
        <v>1980</v>
      </c>
    </row>
    <row r="950" spans="5:12" ht="15.75" customHeight="1" x14ac:dyDescent="0.2">
      <c r="E950" s="21">
        <v>1635</v>
      </c>
      <c r="F950" s="21" t="s">
        <v>1916</v>
      </c>
      <c r="G950" s="21" t="s">
        <v>91</v>
      </c>
      <c r="H950" s="24" t="s">
        <v>1917</v>
      </c>
      <c r="I950" s="21">
        <v>31</v>
      </c>
      <c r="J950" s="21" t="s">
        <v>89</v>
      </c>
      <c r="K950" s="21">
        <v>58717103</v>
      </c>
      <c r="L950" s="21" t="str">
        <f>RIGHT(КХЛ!$H950,4)</f>
        <v>1986</v>
      </c>
    </row>
    <row r="951" spans="5:12" ht="15.75" customHeight="1" x14ac:dyDescent="0.2">
      <c r="E951" s="21">
        <v>373</v>
      </c>
      <c r="F951" s="21" t="s">
        <v>1918</v>
      </c>
      <c r="G951" s="21" t="s">
        <v>91</v>
      </c>
      <c r="H951" s="24" t="s">
        <v>1919</v>
      </c>
      <c r="I951" s="21">
        <v>33</v>
      </c>
      <c r="J951" s="21" t="s">
        <v>89</v>
      </c>
      <c r="K951" s="21">
        <v>51210142</v>
      </c>
      <c r="L951" s="21" t="str">
        <f>RIGHT(КХЛ!$H951,4)</f>
        <v>1984</v>
      </c>
    </row>
    <row r="952" spans="5:12" ht="15.75" customHeight="1" x14ac:dyDescent="0.2">
      <c r="E952" s="21">
        <v>258</v>
      </c>
      <c r="F952" s="21" t="s">
        <v>1920</v>
      </c>
      <c r="G952" s="21" t="s">
        <v>83</v>
      </c>
      <c r="H952" s="24" t="s">
        <v>1921</v>
      </c>
      <c r="I952" s="21">
        <v>19</v>
      </c>
      <c r="J952" s="21" t="s">
        <v>93</v>
      </c>
      <c r="K952" s="21">
        <v>50399584</v>
      </c>
      <c r="L952" s="21" t="str">
        <f>RIGHT(КХЛ!$H952,4)</f>
        <v>1999</v>
      </c>
    </row>
    <row r="953" spans="5:12" ht="15.75" customHeight="1" x14ac:dyDescent="0.2">
      <c r="E953" s="21">
        <v>320</v>
      </c>
      <c r="F953" s="21" t="s">
        <v>1922</v>
      </c>
      <c r="G953" s="21" t="s">
        <v>83</v>
      </c>
      <c r="H953" s="24" t="s">
        <v>1923</v>
      </c>
      <c r="I953" s="21">
        <v>28</v>
      </c>
      <c r="J953" s="21" t="s">
        <v>89</v>
      </c>
      <c r="K953" s="21">
        <v>46835642</v>
      </c>
      <c r="L953" s="21" t="str">
        <f>RIGHT(КХЛ!$H953,4)</f>
        <v>1989</v>
      </c>
    </row>
    <row r="954" spans="5:12" ht="15.75" customHeight="1" x14ac:dyDescent="0.2">
      <c r="E954" s="21">
        <v>830</v>
      </c>
      <c r="F954" s="21" t="s">
        <v>1924</v>
      </c>
      <c r="G954" s="21" t="s">
        <v>91</v>
      </c>
      <c r="H954" s="24" t="s">
        <v>1925</v>
      </c>
      <c r="I954" s="21">
        <v>18</v>
      </c>
      <c r="J954" s="21" t="s">
        <v>89</v>
      </c>
      <c r="K954" s="21">
        <v>39914351</v>
      </c>
      <c r="L954" s="21" t="str">
        <f>RIGHT(КХЛ!$H954,4)</f>
        <v>1999</v>
      </c>
    </row>
    <row r="955" spans="5:12" ht="15.75" customHeight="1" x14ac:dyDescent="0.2">
      <c r="E955" s="21">
        <v>723</v>
      </c>
      <c r="F955" s="21" t="s">
        <v>1926</v>
      </c>
      <c r="G955" s="21" t="s">
        <v>91</v>
      </c>
      <c r="H955" s="24" t="s">
        <v>1927</v>
      </c>
      <c r="I955" s="21">
        <v>23</v>
      </c>
      <c r="J955" s="21" t="s">
        <v>89</v>
      </c>
      <c r="K955" s="21">
        <v>24040266</v>
      </c>
      <c r="L955" s="21" t="str">
        <f>RIGHT(КХЛ!$H955,4)</f>
        <v>1994</v>
      </c>
    </row>
    <row r="956" spans="5:12" ht="15.75" customHeight="1" x14ac:dyDescent="0.2">
      <c r="E956" s="21">
        <v>50</v>
      </c>
      <c r="F956" s="21" t="s">
        <v>1928</v>
      </c>
      <c r="G956" s="21" t="s">
        <v>91</v>
      </c>
      <c r="H956" s="24" t="s">
        <v>1929</v>
      </c>
      <c r="I956" s="21">
        <v>22</v>
      </c>
      <c r="J956" s="21" t="s">
        <v>169</v>
      </c>
      <c r="K956" s="21">
        <v>99808478</v>
      </c>
      <c r="L956" s="21" t="str">
        <f>RIGHT(КХЛ!$H956,4)</f>
        <v>1995</v>
      </c>
    </row>
    <row r="957" spans="5:12" ht="15.75" customHeight="1" x14ac:dyDescent="0.2">
      <c r="E957" s="21">
        <v>751</v>
      </c>
      <c r="F957" s="21" t="s">
        <v>1930</v>
      </c>
      <c r="G957" s="21" t="s">
        <v>83</v>
      </c>
      <c r="H957" s="24" t="s">
        <v>1931</v>
      </c>
      <c r="I957" s="21">
        <v>26</v>
      </c>
      <c r="J957" s="21" t="s">
        <v>1321</v>
      </c>
      <c r="K957" s="21">
        <v>28358715</v>
      </c>
      <c r="L957" s="21" t="str">
        <f>RIGHT(КХЛ!$H957,4)</f>
        <v>1991</v>
      </c>
    </row>
    <row r="958" spans="5:12" ht="15.75" customHeight="1" x14ac:dyDescent="0.2">
      <c r="E958" s="21">
        <v>812</v>
      </c>
      <c r="F958" s="21" t="s">
        <v>1932</v>
      </c>
      <c r="G958" s="21" t="s">
        <v>87</v>
      </c>
      <c r="H958" s="24" t="s">
        <v>914</v>
      </c>
      <c r="I958" s="21">
        <v>22</v>
      </c>
      <c r="J958" s="21" t="s">
        <v>89</v>
      </c>
      <c r="K958" s="21">
        <v>50210468</v>
      </c>
      <c r="L958" s="21" t="str">
        <f>RIGHT(КХЛ!$H958,4)</f>
        <v>1995</v>
      </c>
    </row>
    <row r="959" spans="5:12" ht="15.75" customHeight="1" x14ac:dyDescent="0.2">
      <c r="E959" s="21">
        <v>979</v>
      </c>
      <c r="F959" s="21" t="s">
        <v>1933</v>
      </c>
      <c r="G959" s="21" t="s">
        <v>91</v>
      </c>
      <c r="H959" s="24" t="s">
        <v>1934</v>
      </c>
      <c r="I959" s="21">
        <v>24</v>
      </c>
      <c r="J959" s="21" t="s">
        <v>89</v>
      </c>
      <c r="K959" s="21">
        <v>24583007</v>
      </c>
      <c r="L959" s="21" t="str">
        <f>RIGHT(КХЛ!$H959,4)</f>
        <v>1993</v>
      </c>
    </row>
    <row r="960" spans="5:12" ht="15.75" customHeight="1" x14ac:dyDescent="0.2">
      <c r="E960" s="21">
        <v>815</v>
      </c>
      <c r="F960" s="21" t="s">
        <v>1935</v>
      </c>
      <c r="G960" s="21" t="s">
        <v>83</v>
      </c>
      <c r="H960" s="24" t="s">
        <v>1936</v>
      </c>
      <c r="I960" s="21">
        <v>41</v>
      </c>
      <c r="J960" s="21" t="s">
        <v>132</v>
      </c>
      <c r="K960" s="21">
        <v>11091485</v>
      </c>
      <c r="L960" s="21" t="str">
        <f>RIGHT(КХЛ!$H960,4)</f>
        <v>1976</v>
      </c>
    </row>
    <row r="961" spans="5:12" ht="15.75" customHeight="1" x14ac:dyDescent="0.2">
      <c r="E961" s="21">
        <v>878</v>
      </c>
      <c r="F961" s="21" t="s">
        <v>1937</v>
      </c>
      <c r="G961" s="21" t="s">
        <v>91</v>
      </c>
      <c r="H961" s="24" t="s">
        <v>1938</v>
      </c>
      <c r="I961" s="21">
        <v>27</v>
      </c>
      <c r="J961" s="21" t="s">
        <v>222</v>
      </c>
      <c r="K961" s="21">
        <v>70890037</v>
      </c>
      <c r="L961" s="21" t="str">
        <f>RIGHT(КХЛ!$H961,4)</f>
        <v>1990</v>
      </c>
    </row>
    <row r="962" spans="5:12" ht="15.75" customHeight="1" x14ac:dyDescent="0.2">
      <c r="E962" s="21">
        <v>1022</v>
      </c>
      <c r="F962" s="21" t="s">
        <v>1939</v>
      </c>
      <c r="G962" s="21" t="s">
        <v>83</v>
      </c>
      <c r="H962" s="24" t="s">
        <v>1940</v>
      </c>
      <c r="I962" s="21">
        <v>32</v>
      </c>
      <c r="J962" s="21" t="s">
        <v>106</v>
      </c>
      <c r="K962" s="21">
        <v>24362156</v>
      </c>
      <c r="L962" s="21" t="str">
        <f>RIGHT(КХЛ!$H962,4)</f>
        <v>1985</v>
      </c>
    </row>
    <row r="963" spans="5:12" ht="15.75" customHeight="1" x14ac:dyDescent="0.2">
      <c r="E963" s="21">
        <v>1199</v>
      </c>
      <c r="F963" s="21" t="s">
        <v>1941</v>
      </c>
      <c r="G963" s="21" t="s">
        <v>91</v>
      </c>
      <c r="H963" s="24" t="s">
        <v>1942</v>
      </c>
      <c r="I963" s="21">
        <v>37</v>
      </c>
      <c r="J963" s="21" t="s">
        <v>222</v>
      </c>
      <c r="K963" s="21">
        <v>16384108</v>
      </c>
      <c r="L963" s="21" t="str">
        <f>RIGHT(КХЛ!$H963,4)</f>
        <v>1980</v>
      </c>
    </row>
    <row r="964" spans="5:12" ht="15.75" customHeight="1" x14ac:dyDescent="0.2">
      <c r="E964" s="21">
        <v>432</v>
      </c>
      <c r="F964" s="21" t="s">
        <v>1943</v>
      </c>
      <c r="G964" s="21" t="s">
        <v>91</v>
      </c>
      <c r="H964" s="24" t="s">
        <v>1944</v>
      </c>
      <c r="I964" s="21">
        <v>45</v>
      </c>
      <c r="J964" s="21" t="s">
        <v>89</v>
      </c>
      <c r="K964" s="21">
        <v>12729124</v>
      </c>
      <c r="L964" s="21" t="str">
        <f>RIGHT(КХЛ!$H964,4)</f>
        <v>1972</v>
      </c>
    </row>
    <row r="965" spans="5:12" ht="15.75" customHeight="1" x14ac:dyDescent="0.2">
      <c r="E965" s="21">
        <v>888</v>
      </c>
      <c r="F965" s="21" t="s">
        <v>262</v>
      </c>
      <c r="G965" s="21" t="s">
        <v>91</v>
      </c>
      <c r="H965" s="24" t="s">
        <v>263</v>
      </c>
      <c r="I965" s="21">
        <v>36</v>
      </c>
      <c r="J965" s="21" t="s">
        <v>139</v>
      </c>
      <c r="K965" s="21">
        <v>85575869</v>
      </c>
      <c r="L965" s="21" t="str">
        <f>RIGHT(КХЛ!$H965,4)</f>
        <v>1981</v>
      </c>
    </row>
    <row r="966" spans="5:12" ht="15.75" customHeight="1" x14ac:dyDescent="0.2">
      <c r="E966" s="21">
        <v>906</v>
      </c>
      <c r="F966" s="21" t="s">
        <v>1945</v>
      </c>
      <c r="G966" s="21" t="s">
        <v>91</v>
      </c>
      <c r="H966" s="24" t="s">
        <v>1946</v>
      </c>
      <c r="I966" s="21">
        <v>29</v>
      </c>
      <c r="J966" s="21" t="s">
        <v>89</v>
      </c>
      <c r="K966" s="21">
        <v>76705221</v>
      </c>
      <c r="L966" s="21" t="str">
        <f>RIGHT(КХЛ!$H966,4)</f>
        <v>1988</v>
      </c>
    </row>
    <row r="967" spans="5:12" ht="15.75" customHeight="1" x14ac:dyDescent="0.2">
      <c r="E967" s="21">
        <v>444</v>
      </c>
      <c r="F967" s="21" t="s">
        <v>1947</v>
      </c>
      <c r="G967" s="21" t="s">
        <v>91</v>
      </c>
      <c r="H967" s="24" t="s">
        <v>1948</v>
      </c>
      <c r="I967" s="21">
        <v>24</v>
      </c>
      <c r="J967" s="21" t="s">
        <v>89</v>
      </c>
      <c r="K967" s="21">
        <v>80841290</v>
      </c>
      <c r="L967" s="21" t="str">
        <f>RIGHT(КХЛ!$H967,4)</f>
        <v>1993</v>
      </c>
    </row>
    <row r="968" spans="5:12" ht="15.75" customHeight="1" x14ac:dyDescent="0.2">
      <c r="E968" s="21">
        <v>930</v>
      </c>
      <c r="F968" s="21" t="s">
        <v>1949</v>
      </c>
      <c r="G968" s="21" t="s">
        <v>91</v>
      </c>
      <c r="H968" s="24" t="s">
        <v>1950</v>
      </c>
      <c r="I968" s="21">
        <v>30</v>
      </c>
      <c r="J968" s="21" t="s">
        <v>132</v>
      </c>
      <c r="K968" s="21">
        <v>34547507</v>
      </c>
      <c r="L968" s="21" t="str">
        <f>RIGHT(КХЛ!$H968,4)</f>
        <v>1987</v>
      </c>
    </row>
    <row r="969" spans="5:12" ht="15.75" customHeight="1" x14ac:dyDescent="0.2">
      <c r="E969" s="21">
        <v>1758</v>
      </c>
      <c r="F969" s="21" t="s">
        <v>1951</v>
      </c>
      <c r="G969" s="21" t="s">
        <v>91</v>
      </c>
      <c r="H969" s="24" t="s">
        <v>1952</v>
      </c>
      <c r="I969" s="21">
        <v>28</v>
      </c>
      <c r="J969" s="21" t="s">
        <v>282</v>
      </c>
      <c r="K969" s="21">
        <v>26062330</v>
      </c>
      <c r="L969" s="21" t="str">
        <f>RIGHT(КХЛ!$H969,4)</f>
        <v>1989</v>
      </c>
    </row>
    <row r="970" spans="5:12" ht="15.75" customHeight="1" x14ac:dyDescent="0.2">
      <c r="E970" s="21">
        <v>662</v>
      </c>
      <c r="F970" s="21" t="s">
        <v>1953</v>
      </c>
      <c r="G970" s="21" t="s">
        <v>83</v>
      </c>
      <c r="H970" s="24" t="s">
        <v>1954</v>
      </c>
      <c r="I970" s="21">
        <v>59</v>
      </c>
      <c r="J970" s="21" t="s">
        <v>89</v>
      </c>
      <c r="K970" s="21">
        <v>64353488</v>
      </c>
      <c r="L970" s="21" t="str">
        <f>RIGHT(КХЛ!$H970,4)</f>
        <v>1958</v>
      </c>
    </row>
    <row r="971" spans="5:12" ht="15.75" customHeight="1" x14ac:dyDescent="0.2">
      <c r="E971" s="21">
        <v>966</v>
      </c>
      <c r="F971" s="21" t="s">
        <v>1955</v>
      </c>
      <c r="G971" s="21" t="s">
        <v>91</v>
      </c>
      <c r="H971" s="24" t="s">
        <v>1956</v>
      </c>
      <c r="I971" s="21">
        <v>31</v>
      </c>
      <c r="J971" s="21" t="s">
        <v>222</v>
      </c>
      <c r="K971" s="21">
        <v>50750488</v>
      </c>
      <c r="L971" s="21" t="str">
        <f>RIGHT(КХЛ!$H971,4)</f>
        <v>1986</v>
      </c>
    </row>
    <row r="972" spans="5:12" ht="15.75" customHeight="1" x14ac:dyDescent="0.2">
      <c r="E972" s="21">
        <v>780</v>
      </c>
      <c r="F972" s="21" t="s">
        <v>1957</v>
      </c>
      <c r="G972" s="21" t="s">
        <v>91</v>
      </c>
      <c r="H972" s="24" t="s">
        <v>1958</v>
      </c>
      <c r="I972" s="21">
        <v>22</v>
      </c>
      <c r="J972" s="21" t="s">
        <v>89</v>
      </c>
      <c r="K972" s="21">
        <v>67510887</v>
      </c>
      <c r="L972" s="21" t="str">
        <f>RIGHT(КХЛ!$H972,4)</f>
        <v>1996</v>
      </c>
    </row>
    <row r="973" spans="5:12" ht="15.75" customHeight="1" x14ac:dyDescent="0.2">
      <c r="E973" s="21">
        <v>1319</v>
      </c>
      <c r="F973" s="21" t="s">
        <v>1959</v>
      </c>
      <c r="G973" s="21" t="s">
        <v>91</v>
      </c>
      <c r="H973" s="24" t="s">
        <v>1960</v>
      </c>
      <c r="I973" s="21">
        <v>20</v>
      </c>
      <c r="J973" s="21" t="s">
        <v>89</v>
      </c>
      <c r="K973" s="21">
        <v>27521160</v>
      </c>
      <c r="L973" s="21" t="str">
        <f>RIGHT(КХЛ!$H973,4)</f>
        <v>1997</v>
      </c>
    </row>
    <row r="974" spans="5:12" ht="15.75" customHeight="1" x14ac:dyDescent="0.2">
      <c r="E974" s="21">
        <v>472</v>
      </c>
      <c r="F974" s="21" t="s">
        <v>1961</v>
      </c>
      <c r="G974" s="21" t="s">
        <v>91</v>
      </c>
      <c r="H974" s="24" t="s">
        <v>1962</v>
      </c>
      <c r="I974" s="21">
        <v>26</v>
      </c>
      <c r="J974" s="21" t="s">
        <v>89</v>
      </c>
      <c r="K974" s="21">
        <v>679476</v>
      </c>
      <c r="L974" s="21" t="str">
        <f>RIGHT(КХЛ!$H974,4)</f>
        <v>1992</v>
      </c>
    </row>
    <row r="975" spans="5:12" ht="15.75" customHeight="1" x14ac:dyDescent="0.2">
      <c r="E975" s="21">
        <v>252</v>
      </c>
      <c r="F975" s="21" t="s">
        <v>1963</v>
      </c>
      <c r="G975" s="21" t="s">
        <v>83</v>
      </c>
      <c r="H975" s="24" t="s">
        <v>1964</v>
      </c>
      <c r="I975" s="21">
        <v>23</v>
      </c>
      <c r="J975" s="21" t="s">
        <v>85</v>
      </c>
      <c r="K975" s="21">
        <v>13281231</v>
      </c>
      <c r="L975" s="21" t="str">
        <f>RIGHT(КХЛ!$H975,4)</f>
        <v>1994</v>
      </c>
    </row>
    <row r="976" spans="5:12" ht="15.75" customHeight="1" x14ac:dyDescent="0.2">
      <c r="E976" s="21">
        <v>704</v>
      </c>
      <c r="F976" s="21" t="s">
        <v>1965</v>
      </c>
      <c r="G976" s="21" t="s">
        <v>91</v>
      </c>
      <c r="H976" s="24" t="s">
        <v>1966</v>
      </c>
      <c r="I976" s="21">
        <v>37</v>
      </c>
      <c r="J976" s="21" t="s">
        <v>85</v>
      </c>
      <c r="K976" s="21">
        <v>69078131</v>
      </c>
      <c r="L976" s="21" t="str">
        <f>RIGHT(КХЛ!$H976,4)</f>
        <v>1980</v>
      </c>
    </row>
    <row r="977" spans="5:12" ht="15.75" customHeight="1" x14ac:dyDescent="0.2">
      <c r="E977" s="21">
        <v>1116</v>
      </c>
      <c r="F977" s="21" t="s">
        <v>1967</v>
      </c>
      <c r="G977" s="21" t="s">
        <v>87</v>
      </c>
      <c r="H977" s="24" t="s">
        <v>1968</v>
      </c>
      <c r="I977" s="21">
        <v>36</v>
      </c>
      <c r="J977" s="21" t="s">
        <v>89</v>
      </c>
      <c r="K977" s="21">
        <v>79022021</v>
      </c>
      <c r="L977" s="21" t="str">
        <f>RIGHT(КХЛ!$H977,4)</f>
        <v>1981</v>
      </c>
    </row>
    <row r="978" spans="5:12" ht="15.75" customHeight="1" x14ac:dyDescent="0.2">
      <c r="E978" s="21">
        <v>893</v>
      </c>
      <c r="F978" s="21" t="s">
        <v>1969</v>
      </c>
      <c r="G978" s="21" t="s">
        <v>91</v>
      </c>
      <c r="H978" s="24" t="s">
        <v>1970</v>
      </c>
      <c r="I978" s="21">
        <v>34</v>
      </c>
      <c r="J978" s="21" t="s">
        <v>106</v>
      </c>
      <c r="K978" s="21">
        <v>80815340</v>
      </c>
      <c r="L978" s="21" t="str">
        <f>RIGHT(КХЛ!$H978,4)</f>
        <v>1984</v>
      </c>
    </row>
    <row r="979" spans="5:12" ht="15.75" customHeight="1" x14ac:dyDescent="0.2">
      <c r="E979" s="21">
        <v>566</v>
      </c>
      <c r="F979" s="21" t="s">
        <v>1971</v>
      </c>
      <c r="G979" s="21" t="s">
        <v>83</v>
      </c>
      <c r="H979" s="24" t="s">
        <v>1972</v>
      </c>
      <c r="I979" s="21">
        <v>28</v>
      </c>
      <c r="J979" s="21" t="s">
        <v>89</v>
      </c>
      <c r="K979" s="21">
        <v>68539574</v>
      </c>
      <c r="L979" s="21" t="str">
        <f>RIGHT(КХЛ!$H979,4)</f>
        <v>1989</v>
      </c>
    </row>
    <row r="980" spans="5:12" ht="15.75" customHeight="1" x14ac:dyDescent="0.2">
      <c r="E980" s="21">
        <v>1075</v>
      </c>
      <c r="F980" s="21" t="s">
        <v>1973</v>
      </c>
      <c r="G980" s="21" t="s">
        <v>91</v>
      </c>
      <c r="H980" s="24" t="s">
        <v>1974</v>
      </c>
      <c r="I980" s="21">
        <v>42</v>
      </c>
      <c r="J980" s="21" t="s">
        <v>89</v>
      </c>
      <c r="K980" s="21">
        <v>97993746</v>
      </c>
      <c r="L980" s="21" t="str">
        <f>RIGHT(КХЛ!$H980,4)</f>
        <v>1975</v>
      </c>
    </row>
    <row r="981" spans="5:12" ht="15.75" customHeight="1" x14ac:dyDescent="0.2">
      <c r="E981" s="21">
        <v>1613</v>
      </c>
      <c r="F981" s="21" t="s">
        <v>1975</v>
      </c>
      <c r="G981" s="21" t="s">
        <v>87</v>
      </c>
      <c r="H981" s="24" t="s">
        <v>1976</v>
      </c>
      <c r="I981" s="21">
        <v>33</v>
      </c>
      <c r="J981" s="21" t="s">
        <v>282</v>
      </c>
      <c r="K981" s="21">
        <v>67005768</v>
      </c>
      <c r="L981" s="21" t="str">
        <f>RIGHT(КХЛ!$H981,4)</f>
        <v>1984</v>
      </c>
    </row>
    <row r="982" spans="5:12" ht="15.75" customHeight="1" x14ac:dyDescent="0.2">
      <c r="E982" s="21">
        <v>334</v>
      </c>
      <c r="F982" s="21" t="s">
        <v>1977</v>
      </c>
      <c r="G982" s="21" t="s">
        <v>83</v>
      </c>
      <c r="H982" s="24" t="s">
        <v>1978</v>
      </c>
      <c r="I982" s="21">
        <v>28</v>
      </c>
      <c r="J982" s="21" t="s">
        <v>169</v>
      </c>
      <c r="K982" s="21">
        <v>349135</v>
      </c>
      <c r="L982" s="21" t="str">
        <f>RIGHT(КХЛ!$H982,4)</f>
        <v>1989</v>
      </c>
    </row>
    <row r="983" spans="5:12" ht="15.75" customHeight="1" x14ac:dyDescent="0.2">
      <c r="E983" s="21">
        <v>892</v>
      </c>
      <c r="F983" s="21" t="s">
        <v>1979</v>
      </c>
      <c r="G983" s="21" t="s">
        <v>91</v>
      </c>
      <c r="H983" s="24" t="s">
        <v>1980</v>
      </c>
      <c r="I983" s="21">
        <v>18</v>
      </c>
      <c r="J983" s="21" t="s">
        <v>89</v>
      </c>
      <c r="K983" s="21">
        <v>91452703</v>
      </c>
      <c r="L983" s="21" t="str">
        <f>RIGHT(КХЛ!$H983,4)</f>
        <v>1999</v>
      </c>
    </row>
    <row r="984" spans="5:12" ht="15.75" customHeight="1" x14ac:dyDescent="0.2">
      <c r="E984" s="21">
        <v>14</v>
      </c>
      <c r="F984" s="21" t="s">
        <v>1981</v>
      </c>
      <c r="G984" s="21" t="s">
        <v>83</v>
      </c>
      <c r="H984" s="24" t="s">
        <v>1982</v>
      </c>
      <c r="I984" s="21">
        <v>31</v>
      </c>
      <c r="J984" s="21" t="s">
        <v>106</v>
      </c>
      <c r="K984" s="21">
        <v>9878226</v>
      </c>
      <c r="L984" s="21" t="str">
        <f>RIGHT(КХЛ!$H984,4)</f>
        <v>1986</v>
      </c>
    </row>
    <row r="985" spans="5:12" ht="15.75" customHeight="1" x14ac:dyDescent="0.2">
      <c r="E985" s="21">
        <v>1125</v>
      </c>
      <c r="F985" s="21" t="s">
        <v>1983</v>
      </c>
      <c r="G985" s="21" t="s">
        <v>91</v>
      </c>
      <c r="H985" s="24" t="s">
        <v>1984</v>
      </c>
      <c r="I985" s="21">
        <v>22</v>
      </c>
      <c r="J985" s="21" t="s">
        <v>321</v>
      </c>
      <c r="K985" s="21">
        <v>19314414</v>
      </c>
      <c r="L985" s="21" t="str">
        <f>RIGHT(КХЛ!$H985,4)</f>
        <v>1995</v>
      </c>
    </row>
    <row r="986" spans="5:12" ht="15.75" customHeight="1" x14ac:dyDescent="0.2">
      <c r="E986" s="21">
        <v>739</v>
      </c>
      <c r="F986" s="21" t="s">
        <v>1985</v>
      </c>
      <c r="G986" s="21" t="s">
        <v>83</v>
      </c>
      <c r="H986" s="24" t="s">
        <v>1986</v>
      </c>
      <c r="I986" s="21">
        <v>32</v>
      </c>
      <c r="J986" s="21" t="s">
        <v>106</v>
      </c>
      <c r="K986" s="21">
        <v>90193921</v>
      </c>
      <c r="L986" s="21" t="str">
        <f>RIGHT(КХЛ!$H986,4)</f>
        <v>1985</v>
      </c>
    </row>
    <row r="987" spans="5:12" ht="15.75" customHeight="1" x14ac:dyDescent="0.2">
      <c r="E987" s="21">
        <v>1447</v>
      </c>
      <c r="F987" s="21" t="s">
        <v>1987</v>
      </c>
      <c r="G987" s="21" t="s">
        <v>91</v>
      </c>
      <c r="H987" s="24" t="s">
        <v>1988</v>
      </c>
      <c r="I987" s="21">
        <v>19</v>
      </c>
      <c r="J987" s="21" t="s">
        <v>89</v>
      </c>
      <c r="K987" s="21">
        <v>19496532</v>
      </c>
      <c r="L987" s="21" t="str">
        <f>RIGHT(КХЛ!$H987,4)</f>
        <v>1998</v>
      </c>
    </row>
    <row r="988" spans="5:12" ht="15.75" customHeight="1" x14ac:dyDescent="0.2">
      <c r="E988" s="21">
        <v>1604</v>
      </c>
      <c r="F988" s="21" t="s">
        <v>1989</v>
      </c>
      <c r="G988" s="21" t="s">
        <v>91</v>
      </c>
      <c r="H988" s="24" t="s">
        <v>1990</v>
      </c>
      <c r="I988" s="21">
        <v>36</v>
      </c>
      <c r="J988" s="21" t="s">
        <v>89</v>
      </c>
      <c r="K988" s="21">
        <v>91756052</v>
      </c>
      <c r="L988" s="21" t="str">
        <f>RIGHT(КХЛ!$H988,4)</f>
        <v>1981</v>
      </c>
    </row>
    <row r="989" spans="5:12" ht="15.75" customHeight="1" x14ac:dyDescent="0.2">
      <c r="E989" s="21">
        <v>1709</v>
      </c>
      <c r="F989" s="21" t="s">
        <v>1991</v>
      </c>
      <c r="G989" s="21" t="s">
        <v>91</v>
      </c>
      <c r="H989" s="24" t="s">
        <v>1992</v>
      </c>
      <c r="I989" s="21">
        <v>32</v>
      </c>
      <c r="J989" s="21" t="s">
        <v>89</v>
      </c>
      <c r="K989" s="21">
        <v>63295425</v>
      </c>
      <c r="L989" s="21" t="str">
        <f>RIGHT(КХЛ!$H989,4)</f>
        <v>1986</v>
      </c>
    </row>
    <row r="990" spans="5:12" ht="15.75" customHeight="1" x14ac:dyDescent="0.2">
      <c r="E990" s="21">
        <v>1277</v>
      </c>
      <c r="F990" s="21" t="s">
        <v>1993</v>
      </c>
      <c r="G990" s="21" t="s">
        <v>83</v>
      </c>
      <c r="H990" s="24" t="s">
        <v>1994</v>
      </c>
      <c r="I990" s="21">
        <v>42</v>
      </c>
      <c r="J990" s="21" t="s">
        <v>89</v>
      </c>
      <c r="K990" s="21">
        <v>58867869</v>
      </c>
      <c r="L990" s="21" t="str">
        <f>RIGHT(КХЛ!$H990,4)</f>
        <v>1975</v>
      </c>
    </row>
    <row r="991" spans="5:12" ht="15.75" customHeight="1" x14ac:dyDescent="0.2">
      <c r="E991" s="21">
        <v>365</v>
      </c>
      <c r="F991" s="21" t="s">
        <v>1995</v>
      </c>
      <c r="G991" s="21" t="s">
        <v>91</v>
      </c>
      <c r="H991" s="24" t="s">
        <v>1996</v>
      </c>
      <c r="I991" s="21">
        <v>20</v>
      </c>
      <c r="J991" s="21" t="s">
        <v>89</v>
      </c>
      <c r="K991" s="21">
        <v>36963815</v>
      </c>
      <c r="L991" s="21" t="str">
        <f>RIGHT(КХЛ!$H991,4)</f>
        <v>1998</v>
      </c>
    </row>
    <row r="992" spans="5:12" ht="15.75" customHeight="1" x14ac:dyDescent="0.2">
      <c r="E992" s="21">
        <v>366</v>
      </c>
      <c r="F992" s="21" t="s">
        <v>1997</v>
      </c>
      <c r="G992" s="21" t="s">
        <v>87</v>
      </c>
      <c r="H992" s="24" t="s">
        <v>1998</v>
      </c>
      <c r="I992" s="21">
        <v>23</v>
      </c>
      <c r="J992" s="21" t="s">
        <v>89</v>
      </c>
      <c r="K992" s="21">
        <v>91706742</v>
      </c>
      <c r="L992" s="21" t="str">
        <f>RIGHT(КХЛ!$H992,4)</f>
        <v>1994</v>
      </c>
    </row>
    <row r="993" spans="5:12" ht="15.75" customHeight="1" x14ac:dyDescent="0.2">
      <c r="E993" s="21">
        <v>1008</v>
      </c>
      <c r="F993" s="21" t="s">
        <v>1999</v>
      </c>
      <c r="G993" s="21" t="s">
        <v>91</v>
      </c>
      <c r="H993" s="24" t="s">
        <v>2000</v>
      </c>
      <c r="I993" s="21">
        <v>33</v>
      </c>
      <c r="J993" s="21" t="s">
        <v>93</v>
      </c>
      <c r="K993" s="21">
        <v>7646343</v>
      </c>
      <c r="L993" s="21" t="str">
        <f>RIGHT(КХЛ!$H993,4)</f>
        <v>1984</v>
      </c>
    </row>
    <row r="994" spans="5:12" ht="15.75" customHeight="1" x14ac:dyDescent="0.2">
      <c r="E994" s="21">
        <v>805</v>
      </c>
      <c r="F994" s="21" t="s">
        <v>2001</v>
      </c>
      <c r="G994" s="21" t="s">
        <v>83</v>
      </c>
      <c r="H994" s="24" t="s">
        <v>774</v>
      </c>
      <c r="I994" s="21">
        <v>22</v>
      </c>
      <c r="J994" s="21" t="s">
        <v>89</v>
      </c>
      <c r="K994" s="21">
        <v>58903862</v>
      </c>
      <c r="L994" s="21" t="str">
        <f>RIGHT(КХЛ!$H994,4)</f>
        <v>1995</v>
      </c>
    </row>
    <row r="995" spans="5:12" ht="15.75" customHeight="1" x14ac:dyDescent="0.2">
      <c r="E995" s="21">
        <v>291</v>
      </c>
      <c r="F995" s="21" t="s">
        <v>2002</v>
      </c>
      <c r="G995" s="21" t="s">
        <v>87</v>
      </c>
      <c r="H995" s="24" t="s">
        <v>2003</v>
      </c>
      <c r="I995" s="21">
        <v>37</v>
      </c>
      <c r="J995" s="21" t="s">
        <v>89</v>
      </c>
      <c r="K995" s="21">
        <v>96900458</v>
      </c>
      <c r="L995" s="21" t="str">
        <f>RIGHT(КХЛ!$H995,4)</f>
        <v>1980</v>
      </c>
    </row>
    <row r="996" spans="5:12" ht="15.75" customHeight="1" x14ac:dyDescent="0.2">
      <c r="E996" s="21">
        <v>998</v>
      </c>
      <c r="F996" s="21" t="s">
        <v>2004</v>
      </c>
      <c r="G996" s="21" t="s">
        <v>87</v>
      </c>
      <c r="H996" s="24" t="s">
        <v>2005</v>
      </c>
      <c r="I996" s="21">
        <v>28</v>
      </c>
      <c r="J996" s="21" t="s">
        <v>85</v>
      </c>
      <c r="K996" s="21">
        <v>77011788</v>
      </c>
      <c r="L996" s="21" t="str">
        <f>RIGHT(КХЛ!$H996,4)</f>
        <v>1989</v>
      </c>
    </row>
    <row r="997" spans="5:12" ht="15.75" customHeight="1" x14ac:dyDescent="0.2">
      <c r="E997" s="21">
        <v>379</v>
      </c>
      <c r="F997" s="21" t="s">
        <v>2006</v>
      </c>
      <c r="G997" s="21" t="s">
        <v>91</v>
      </c>
      <c r="H997" s="24" t="s">
        <v>1595</v>
      </c>
      <c r="I997" s="21">
        <v>19</v>
      </c>
      <c r="J997" s="21" t="s">
        <v>89</v>
      </c>
      <c r="K997" s="21">
        <v>16867670</v>
      </c>
      <c r="L997" s="21" t="str">
        <f>RIGHT(КХЛ!$H997,4)</f>
        <v>1998</v>
      </c>
    </row>
    <row r="998" spans="5:12" ht="15.75" customHeight="1" x14ac:dyDescent="0.2">
      <c r="E998" s="21">
        <v>1657</v>
      </c>
      <c r="F998" s="21" t="s">
        <v>2007</v>
      </c>
      <c r="G998" s="21" t="s">
        <v>91</v>
      </c>
      <c r="H998" s="24" t="s">
        <v>2008</v>
      </c>
      <c r="I998" s="21">
        <v>41</v>
      </c>
      <c r="J998" s="21" t="s">
        <v>282</v>
      </c>
      <c r="K998" s="21">
        <v>81550930</v>
      </c>
      <c r="L998" s="21" t="str">
        <f>RIGHT(КХЛ!$H998,4)</f>
        <v>1976</v>
      </c>
    </row>
    <row r="999" spans="5:12" ht="15.75" customHeight="1" x14ac:dyDescent="0.2">
      <c r="E999" s="21">
        <v>946</v>
      </c>
      <c r="F999" s="21" t="s">
        <v>2009</v>
      </c>
      <c r="G999" s="21" t="s">
        <v>83</v>
      </c>
      <c r="H999" s="24" t="s">
        <v>1187</v>
      </c>
      <c r="I999" s="21">
        <v>21</v>
      </c>
      <c r="J999" s="21" t="s">
        <v>89</v>
      </c>
      <c r="K999" s="21">
        <v>79023627</v>
      </c>
      <c r="L999" s="21" t="str">
        <f>RIGHT(КХЛ!$H999,4)</f>
        <v>1997</v>
      </c>
    </row>
    <row r="1000" spans="5:12" ht="15.75" customHeight="1" x14ac:dyDescent="0.2">
      <c r="E1000" s="21">
        <v>268</v>
      </c>
      <c r="F1000" s="21" t="s">
        <v>2010</v>
      </c>
      <c r="G1000" s="21" t="s">
        <v>83</v>
      </c>
      <c r="H1000" s="24" t="s">
        <v>2011</v>
      </c>
      <c r="I1000" s="21">
        <v>37</v>
      </c>
      <c r="J1000" s="21" t="s">
        <v>89</v>
      </c>
      <c r="K1000" s="21">
        <v>99899006</v>
      </c>
      <c r="L1000" s="21" t="str">
        <f>RIGHT(КХЛ!$H1000,4)</f>
        <v>1980</v>
      </c>
    </row>
    <row r="1001" spans="5:12" ht="15.75" customHeight="1" x14ac:dyDescent="0.2">
      <c r="E1001" s="21">
        <v>380</v>
      </c>
      <c r="F1001" s="21" t="s">
        <v>2012</v>
      </c>
      <c r="G1001" s="21" t="s">
        <v>91</v>
      </c>
      <c r="H1001" s="24" t="s">
        <v>2013</v>
      </c>
      <c r="I1001" s="21">
        <v>35</v>
      </c>
      <c r="J1001" s="21" t="s">
        <v>152</v>
      </c>
      <c r="K1001" s="21">
        <v>83763227</v>
      </c>
      <c r="L1001" s="21" t="str">
        <f>RIGHT(КХЛ!$H1001,4)</f>
        <v>1982</v>
      </c>
    </row>
    <row r="1002" spans="5:12" ht="15.75" customHeight="1" x14ac:dyDescent="0.2">
      <c r="E1002" s="21">
        <v>77</v>
      </c>
      <c r="F1002" s="21" t="s">
        <v>2014</v>
      </c>
      <c r="G1002" s="21" t="s">
        <v>83</v>
      </c>
      <c r="H1002" s="24" t="s">
        <v>2015</v>
      </c>
      <c r="I1002" s="21">
        <v>21</v>
      </c>
      <c r="J1002" s="21" t="s">
        <v>89</v>
      </c>
      <c r="K1002" s="21">
        <v>36681375</v>
      </c>
      <c r="L1002" s="21" t="str">
        <f>RIGHT(КХЛ!$H1002,4)</f>
        <v>1996</v>
      </c>
    </row>
    <row r="1003" spans="5:12" ht="15.75" customHeight="1" x14ac:dyDescent="0.2">
      <c r="E1003" s="21">
        <v>961</v>
      </c>
      <c r="F1003" s="21" t="s">
        <v>2016</v>
      </c>
      <c r="G1003" s="21" t="s">
        <v>91</v>
      </c>
      <c r="H1003" s="24" t="s">
        <v>2017</v>
      </c>
      <c r="I1003" s="21">
        <v>20</v>
      </c>
      <c r="J1003" s="21" t="s">
        <v>89</v>
      </c>
      <c r="K1003" s="21">
        <v>58802511</v>
      </c>
      <c r="L1003" s="21" t="str">
        <f>RIGHT(КХЛ!$H1003,4)</f>
        <v>1997</v>
      </c>
    </row>
    <row r="1004" spans="5:12" ht="15.75" customHeight="1" x14ac:dyDescent="0.2">
      <c r="E1004" s="21">
        <v>1038</v>
      </c>
      <c r="F1004" s="21" t="s">
        <v>2018</v>
      </c>
      <c r="G1004" s="21" t="s">
        <v>83</v>
      </c>
      <c r="H1004" s="24" t="s">
        <v>2019</v>
      </c>
      <c r="I1004" s="21">
        <v>42</v>
      </c>
      <c r="J1004" s="21" t="s">
        <v>89</v>
      </c>
      <c r="K1004" s="21">
        <v>30135339</v>
      </c>
      <c r="L1004" s="21" t="str">
        <f>RIGHT(КХЛ!$H1004,4)</f>
        <v>1975</v>
      </c>
    </row>
    <row r="1005" spans="5:12" ht="15.75" customHeight="1" x14ac:dyDescent="0.2">
      <c r="E1005" s="21">
        <v>1302</v>
      </c>
      <c r="F1005" s="21" t="s">
        <v>2020</v>
      </c>
      <c r="G1005" s="21" t="s">
        <v>91</v>
      </c>
      <c r="H1005" s="24" t="s">
        <v>2021</v>
      </c>
      <c r="I1005" s="21">
        <v>26</v>
      </c>
      <c r="J1005" s="21" t="s">
        <v>89</v>
      </c>
      <c r="K1005" s="21">
        <v>59604158</v>
      </c>
      <c r="L1005" s="21" t="str">
        <f>RIGHT(КХЛ!$H1005,4)</f>
        <v>1991</v>
      </c>
    </row>
    <row r="1006" spans="5:12" ht="15.75" customHeight="1" x14ac:dyDescent="0.2">
      <c r="E1006" s="21">
        <v>1364</v>
      </c>
      <c r="F1006" s="21" t="s">
        <v>2022</v>
      </c>
      <c r="G1006" s="21" t="s">
        <v>87</v>
      </c>
      <c r="H1006" s="24" t="s">
        <v>2023</v>
      </c>
      <c r="I1006" s="21">
        <v>26</v>
      </c>
      <c r="J1006" s="21" t="s">
        <v>89</v>
      </c>
      <c r="K1006" s="21">
        <v>35859782</v>
      </c>
      <c r="L1006" s="21" t="str">
        <f>RIGHT(КХЛ!$H1006,4)</f>
        <v>1991</v>
      </c>
    </row>
    <row r="1007" spans="5:12" ht="15.75" customHeight="1" x14ac:dyDescent="0.2">
      <c r="E1007" s="21">
        <v>707</v>
      </c>
      <c r="F1007" s="21" t="s">
        <v>2024</v>
      </c>
      <c r="G1007" s="21" t="s">
        <v>91</v>
      </c>
      <c r="H1007" s="24" t="s">
        <v>2025</v>
      </c>
      <c r="I1007" s="21">
        <v>28</v>
      </c>
      <c r="J1007" s="21" t="s">
        <v>89</v>
      </c>
      <c r="K1007" s="21">
        <v>95394559</v>
      </c>
      <c r="L1007" s="21" t="str">
        <f>RIGHT(КХЛ!$H1007,4)</f>
        <v>1989</v>
      </c>
    </row>
    <row r="1008" spans="5:12" ht="15.75" customHeight="1" x14ac:dyDescent="0.2">
      <c r="E1008" s="21">
        <v>1128</v>
      </c>
      <c r="F1008" s="21" t="s">
        <v>2026</v>
      </c>
      <c r="G1008" s="21" t="s">
        <v>83</v>
      </c>
      <c r="H1008" s="24" t="s">
        <v>2027</v>
      </c>
      <c r="I1008" s="21">
        <v>29</v>
      </c>
      <c r="J1008" s="21" t="s">
        <v>85</v>
      </c>
      <c r="K1008" s="21">
        <v>94942775</v>
      </c>
      <c r="L1008" s="21" t="str">
        <f>RIGHT(КХЛ!$H1008,4)</f>
        <v>1989</v>
      </c>
    </row>
    <row r="1009" spans="5:12" ht="15.75" customHeight="1" x14ac:dyDescent="0.2">
      <c r="E1009" s="21">
        <v>156</v>
      </c>
      <c r="F1009" s="21" t="s">
        <v>2028</v>
      </c>
      <c r="G1009" s="21" t="s">
        <v>91</v>
      </c>
      <c r="H1009" s="24" t="s">
        <v>2029</v>
      </c>
      <c r="I1009" s="21">
        <v>31</v>
      </c>
      <c r="J1009" s="21" t="s">
        <v>89</v>
      </c>
      <c r="K1009" s="21">
        <v>48551516</v>
      </c>
      <c r="L1009" s="21" t="str">
        <f>RIGHT(КХЛ!$H1009,4)</f>
        <v>1986</v>
      </c>
    </row>
    <row r="1010" spans="5:12" ht="15.75" customHeight="1" x14ac:dyDescent="0.2">
      <c r="E1010" s="21">
        <v>1143</v>
      </c>
      <c r="F1010" s="21" t="s">
        <v>2030</v>
      </c>
      <c r="G1010" s="21" t="s">
        <v>91</v>
      </c>
      <c r="H1010" s="24" t="s">
        <v>2031</v>
      </c>
      <c r="I1010" s="21">
        <v>44</v>
      </c>
      <c r="J1010" s="21" t="s">
        <v>89</v>
      </c>
      <c r="K1010" s="21">
        <v>37682382</v>
      </c>
      <c r="L1010" s="21" t="str">
        <f>RIGHT(КХЛ!$H1010,4)</f>
        <v>1973</v>
      </c>
    </row>
    <row r="1011" spans="5:12" ht="15.75" customHeight="1" x14ac:dyDescent="0.2">
      <c r="E1011" s="21">
        <v>1017</v>
      </c>
      <c r="F1011" s="21" t="s">
        <v>2032</v>
      </c>
      <c r="G1011" s="21" t="s">
        <v>87</v>
      </c>
      <c r="H1011" s="24" t="s">
        <v>1416</v>
      </c>
      <c r="I1011" s="21">
        <v>31</v>
      </c>
      <c r="J1011" s="21" t="s">
        <v>222</v>
      </c>
      <c r="K1011" s="21">
        <v>49597060</v>
      </c>
      <c r="L1011" s="21" t="str">
        <f>RIGHT(КХЛ!$H1011,4)</f>
        <v>1986</v>
      </c>
    </row>
    <row r="1012" spans="5:12" ht="15.75" customHeight="1" x14ac:dyDescent="0.2">
      <c r="E1012" s="21">
        <v>593</v>
      </c>
      <c r="F1012" s="21" t="s">
        <v>2033</v>
      </c>
      <c r="G1012" s="21" t="s">
        <v>91</v>
      </c>
      <c r="H1012" s="24" t="s">
        <v>2034</v>
      </c>
      <c r="I1012" s="21">
        <v>27</v>
      </c>
      <c r="J1012" s="21" t="s">
        <v>89</v>
      </c>
      <c r="K1012" s="21">
        <v>98733956</v>
      </c>
      <c r="L1012" s="21" t="str">
        <f>RIGHT(КХЛ!$H1012,4)</f>
        <v>1990</v>
      </c>
    </row>
    <row r="1013" spans="5:12" ht="15.75" customHeight="1" x14ac:dyDescent="0.2">
      <c r="E1013" s="21">
        <v>1016</v>
      </c>
      <c r="F1013" s="21" t="s">
        <v>2035</v>
      </c>
      <c r="G1013" s="21" t="s">
        <v>91</v>
      </c>
      <c r="H1013" s="24" t="s">
        <v>2036</v>
      </c>
      <c r="I1013" s="21">
        <v>35</v>
      </c>
      <c r="J1013" s="21" t="s">
        <v>282</v>
      </c>
      <c r="K1013" s="21">
        <v>79869333</v>
      </c>
      <c r="L1013" s="21" t="str">
        <f>RIGHT(КХЛ!$H1013,4)</f>
        <v>1982</v>
      </c>
    </row>
    <row r="1014" spans="5:12" ht="15.75" customHeight="1" x14ac:dyDescent="0.2">
      <c r="E1014" s="21">
        <v>422</v>
      </c>
      <c r="F1014" s="21" t="s">
        <v>2037</v>
      </c>
      <c r="G1014" s="21" t="s">
        <v>83</v>
      </c>
      <c r="H1014" s="24" t="s">
        <v>2038</v>
      </c>
      <c r="I1014" s="21">
        <v>35</v>
      </c>
      <c r="J1014" s="21" t="s">
        <v>89</v>
      </c>
      <c r="K1014" s="21">
        <v>84443000</v>
      </c>
      <c r="L1014" s="21" t="str">
        <f>RIGHT(КХЛ!$H1014,4)</f>
        <v>1982</v>
      </c>
    </row>
    <row r="1015" spans="5:12" ht="15.75" customHeight="1" x14ac:dyDescent="0.2">
      <c r="E1015" s="21">
        <v>846</v>
      </c>
      <c r="F1015" s="21" t="s">
        <v>2039</v>
      </c>
      <c r="G1015" s="21" t="s">
        <v>91</v>
      </c>
      <c r="H1015" s="24" t="s">
        <v>306</v>
      </c>
      <c r="I1015" s="21">
        <v>26</v>
      </c>
      <c r="J1015" s="21" t="s">
        <v>89</v>
      </c>
      <c r="K1015" s="21">
        <v>3267899</v>
      </c>
      <c r="L1015" s="21" t="str">
        <f>RIGHT(КХЛ!$H1015,4)</f>
        <v>1991</v>
      </c>
    </row>
    <row r="1016" spans="5:12" ht="15.75" customHeight="1" x14ac:dyDescent="0.2">
      <c r="E1016" s="21">
        <v>1776</v>
      </c>
      <c r="F1016" s="21" t="s">
        <v>2040</v>
      </c>
      <c r="G1016" s="21" t="s">
        <v>91</v>
      </c>
      <c r="H1016" s="24" t="s">
        <v>2041</v>
      </c>
      <c r="I1016" s="21">
        <v>20</v>
      </c>
      <c r="J1016" s="21" t="s">
        <v>241</v>
      </c>
      <c r="K1016" s="21">
        <v>45288850</v>
      </c>
      <c r="L1016" s="21" t="str">
        <f>RIGHT(КХЛ!$H1016,4)</f>
        <v>1997</v>
      </c>
    </row>
    <row r="1017" spans="5:12" ht="15.75" customHeight="1" x14ac:dyDescent="0.2">
      <c r="E1017" s="21">
        <v>665</v>
      </c>
      <c r="F1017" s="21" t="s">
        <v>2042</v>
      </c>
      <c r="G1017" s="21" t="s">
        <v>83</v>
      </c>
      <c r="H1017" s="24" t="s">
        <v>2043</v>
      </c>
      <c r="I1017" s="21">
        <v>26</v>
      </c>
      <c r="J1017" s="21" t="s">
        <v>106</v>
      </c>
      <c r="K1017" s="21">
        <v>64960246</v>
      </c>
      <c r="L1017" s="21" t="str">
        <f>RIGHT(КХЛ!$H1017,4)</f>
        <v>1991</v>
      </c>
    </row>
    <row r="1018" spans="5:12" ht="15.75" customHeight="1" x14ac:dyDescent="0.2">
      <c r="E1018" s="21">
        <v>182</v>
      </c>
      <c r="F1018" s="21" t="s">
        <v>2044</v>
      </c>
      <c r="G1018" s="21" t="s">
        <v>91</v>
      </c>
      <c r="H1018" s="24" t="s">
        <v>2045</v>
      </c>
      <c r="I1018" s="21">
        <v>29</v>
      </c>
      <c r="J1018" s="21" t="s">
        <v>89</v>
      </c>
      <c r="K1018" s="21">
        <v>7346003</v>
      </c>
      <c r="L1018" s="21" t="str">
        <f>RIGHT(КХЛ!$H1018,4)</f>
        <v>1988</v>
      </c>
    </row>
    <row r="1019" spans="5:12" ht="15.75" customHeight="1" x14ac:dyDescent="0.2">
      <c r="E1019" s="21">
        <v>342</v>
      </c>
      <c r="F1019" s="21" t="s">
        <v>2046</v>
      </c>
      <c r="G1019" s="21" t="s">
        <v>83</v>
      </c>
      <c r="H1019" s="24" t="s">
        <v>2047</v>
      </c>
      <c r="I1019" s="21">
        <v>26</v>
      </c>
      <c r="J1019" s="21" t="s">
        <v>89</v>
      </c>
      <c r="K1019" s="21">
        <v>12898849</v>
      </c>
      <c r="L1019" s="21" t="str">
        <f>RIGHT(КХЛ!$H1019,4)</f>
        <v>1991</v>
      </c>
    </row>
    <row r="1020" spans="5:12" ht="15.75" customHeight="1" x14ac:dyDescent="0.2">
      <c r="E1020" s="21">
        <v>377</v>
      </c>
      <c r="F1020" s="21" t="s">
        <v>2048</v>
      </c>
      <c r="G1020" s="21" t="s">
        <v>83</v>
      </c>
      <c r="H1020" s="24" t="s">
        <v>2049</v>
      </c>
      <c r="I1020" s="21">
        <v>23</v>
      </c>
      <c r="J1020" s="21" t="s">
        <v>89</v>
      </c>
      <c r="K1020" s="21">
        <v>7756348</v>
      </c>
      <c r="L1020" s="21" t="str">
        <f>RIGHT(КХЛ!$H1020,4)</f>
        <v>1995</v>
      </c>
    </row>
    <row r="1021" spans="5:12" ht="15.75" customHeight="1" x14ac:dyDescent="0.2">
      <c r="E1021" s="21">
        <v>539</v>
      </c>
      <c r="F1021" s="21" t="s">
        <v>2050</v>
      </c>
      <c r="G1021" s="21" t="s">
        <v>91</v>
      </c>
      <c r="H1021" s="24" t="s">
        <v>2051</v>
      </c>
      <c r="I1021" s="21">
        <v>22</v>
      </c>
      <c r="J1021" s="21" t="s">
        <v>282</v>
      </c>
      <c r="K1021" s="21">
        <v>32541405</v>
      </c>
      <c r="L1021" s="21" t="str">
        <f>RIGHT(КХЛ!$H1021,4)</f>
        <v>1995</v>
      </c>
    </row>
    <row r="1022" spans="5:12" ht="15.75" customHeight="1" x14ac:dyDescent="0.2">
      <c r="E1022" s="21">
        <v>318</v>
      </c>
      <c r="F1022" s="21" t="s">
        <v>2052</v>
      </c>
      <c r="G1022" s="21" t="s">
        <v>83</v>
      </c>
      <c r="H1022" s="24" t="s">
        <v>2053</v>
      </c>
      <c r="I1022" s="21">
        <v>30</v>
      </c>
      <c r="J1022" s="21" t="s">
        <v>89</v>
      </c>
      <c r="K1022" s="21">
        <v>11711452</v>
      </c>
      <c r="L1022" s="21" t="str">
        <f>RIGHT(КХЛ!$H1022,4)</f>
        <v>1987</v>
      </c>
    </row>
    <row r="1023" spans="5:12" ht="15.75" customHeight="1" x14ac:dyDescent="0.2">
      <c r="E1023" s="21">
        <v>103</v>
      </c>
      <c r="F1023" s="21" t="s">
        <v>2054</v>
      </c>
      <c r="G1023" s="21" t="s">
        <v>83</v>
      </c>
      <c r="H1023" s="24" t="s">
        <v>1455</v>
      </c>
      <c r="I1023" s="21">
        <v>38</v>
      </c>
      <c r="J1023" s="21" t="s">
        <v>89</v>
      </c>
      <c r="K1023" s="21">
        <v>19084955</v>
      </c>
      <c r="L1023" s="21" t="str">
        <f>RIGHT(КХЛ!$H1023,4)</f>
        <v>1979</v>
      </c>
    </row>
    <row r="1024" spans="5:12" ht="15.75" customHeight="1" x14ac:dyDescent="0.2">
      <c r="E1024" s="21">
        <v>504</v>
      </c>
      <c r="F1024" s="21" t="s">
        <v>2055</v>
      </c>
      <c r="G1024" s="21" t="s">
        <v>87</v>
      </c>
      <c r="H1024" s="24" t="s">
        <v>2056</v>
      </c>
      <c r="I1024" s="21">
        <v>43</v>
      </c>
      <c r="J1024" s="21" t="s">
        <v>2057</v>
      </c>
      <c r="K1024" s="21">
        <v>69881393</v>
      </c>
      <c r="L1024" s="21" t="str">
        <f>RIGHT(КХЛ!$H1024,4)</f>
        <v>1974</v>
      </c>
    </row>
    <row r="1025" spans="5:12" ht="15.75" customHeight="1" x14ac:dyDescent="0.2">
      <c r="E1025" s="21">
        <v>337</v>
      </c>
      <c r="F1025" s="21" t="s">
        <v>2058</v>
      </c>
      <c r="G1025" s="21" t="s">
        <v>91</v>
      </c>
      <c r="H1025" s="24" t="s">
        <v>2059</v>
      </c>
      <c r="I1025" s="21">
        <v>34</v>
      </c>
      <c r="J1025" s="21" t="s">
        <v>89</v>
      </c>
      <c r="K1025" s="21">
        <v>50751745</v>
      </c>
      <c r="L1025" s="21" t="str">
        <f>RIGHT(КХЛ!$H1025,4)</f>
        <v>1983</v>
      </c>
    </row>
    <row r="1026" spans="5:12" ht="15.75" customHeight="1" x14ac:dyDescent="0.2">
      <c r="E1026" s="21">
        <v>673</v>
      </c>
      <c r="F1026" s="21" t="s">
        <v>2060</v>
      </c>
      <c r="G1026" s="21" t="s">
        <v>91</v>
      </c>
      <c r="H1026" s="24" t="s">
        <v>2061</v>
      </c>
      <c r="I1026" s="21">
        <v>36</v>
      </c>
      <c r="J1026" s="21" t="s">
        <v>85</v>
      </c>
      <c r="K1026" s="21">
        <v>98124698</v>
      </c>
      <c r="L1026" s="21" t="str">
        <f>RIGHT(КХЛ!$H1026,4)</f>
        <v>1981</v>
      </c>
    </row>
    <row r="1027" spans="5:12" ht="15.75" customHeight="1" x14ac:dyDescent="0.2">
      <c r="E1027" s="21">
        <v>1192</v>
      </c>
      <c r="F1027" s="21" t="s">
        <v>2062</v>
      </c>
      <c r="G1027" s="21" t="s">
        <v>83</v>
      </c>
      <c r="H1027" s="24" t="s">
        <v>2063</v>
      </c>
      <c r="I1027" s="21">
        <v>25</v>
      </c>
      <c r="J1027" s="21" t="s">
        <v>89</v>
      </c>
      <c r="K1027" s="21">
        <v>10494494</v>
      </c>
      <c r="L1027" s="21" t="str">
        <f>RIGHT(КХЛ!$H1027,4)</f>
        <v>1992</v>
      </c>
    </row>
    <row r="1028" spans="5:12" ht="15.75" customHeight="1" x14ac:dyDescent="0.2">
      <c r="E1028" s="21">
        <v>1663</v>
      </c>
      <c r="F1028" s="21" t="s">
        <v>2064</v>
      </c>
      <c r="G1028" s="21" t="s">
        <v>87</v>
      </c>
      <c r="H1028" s="24" t="s">
        <v>2065</v>
      </c>
      <c r="I1028" s="21">
        <v>45</v>
      </c>
      <c r="J1028" s="21" t="s">
        <v>89</v>
      </c>
      <c r="K1028" s="21">
        <v>9098075</v>
      </c>
      <c r="L1028" s="21" t="str">
        <f>RIGHT(КХЛ!$H1028,4)</f>
        <v>1972</v>
      </c>
    </row>
    <row r="1029" spans="5:12" ht="15.75" customHeight="1" x14ac:dyDescent="0.2">
      <c r="E1029" s="21">
        <v>1083</v>
      </c>
      <c r="F1029" s="21" t="s">
        <v>2066</v>
      </c>
      <c r="G1029" s="21" t="s">
        <v>91</v>
      </c>
      <c r="H1029" s="24" t="s">
        <v>2067</v>
      </c>
      <c r="I1029" s="21">
        <v>36</v>
      </c>
      <c r="J1029" s="21" t="s">
        <v>222</v>
      </c>
      <c r="K1029" s="21">
        <v>42008609</v>
      </c>
      <c r="L1029" s="21" t="str">
        <f>RIGHT(КХЛ!$H1029,4)</f>
        <v>1981</v>
      </c>
    </row>
    <row r="1030" spans="5:12" ht="15.75" customHeight="1" x14ac:dyDescent="0.2">
      <c r="E1030" s="21">
        <v>1425</v>
      </c>
      <c r="F1030" s="21" t="s">
        <v>2068</v>
      </c>
      <c r="G1030" s="21" t="s">
        <v>87</v>
      </c>
      <c r="H1030" s="24" t="s">
        <v>2069</v>
      </c>
      <c r="I1030" s="21">
        <v>34</v>
      </c>
      <c r="J1030" s="21" t="s">
        <v>106</v>
      </c>
      <c r="K1030" s="21">
        <v>8413312</v>
      </c>
      <c r="L1030" s="21" t="str">
        <f>RIGHT(КХЛ!$H1030,4)</f>
        <v>1983</v>
      </c>
    </row>
    <row r="1031" spans="5:12" ht="15.75" customHeight="1" x14ac:dyDescent="0.2">
      <c r="E1031" s="21">
        <v>477</v>
      </c>
      <c r="F1031" s="21" t="s">
        <v>2070</v>
      </c>
      <c r="G1031" s="21" t="s">
        <v>83</v>
      </c>
      <c r="H1031" s="24" t="s">
        <v>2071</v>
      </c>
      <c r="I1031" s="21">
        <v>38</v>
      </c>
      <c r="J1031" s="21" t="s">
        <v>89</v>
      </c>
      <c r="K1031" s="21">
        <v>43610987</v>
      </c>
      <c r="L1031" s="21" t="str">
        <f>RIGHT(КХЛ!$H1031,4)</f>
        <v>1979</v>
      </c>
    </row>
    <row r="1032" spans="5:12" ht="15.75" customHeight="1" x14ac:dyDescent="0.2">
      <c r="E1032" s="21">
        <v>636</v>
      </c>
      <c r="F1032" s="21" t="s">
        <v>2072</v>
      </c>
      <c r="G1032" s="21" t="s">
        <v>83</v>
      </c>
      <c r="H1032" s="24" t="s">
        <v>234</v>
      </c>
      <c r="I1032" s="21">
        <v>36</v>
      </c>
      <c r="J1032" s="21" t="s">
        <v>241</v>
      </c>
      <c r="K1032" s="21">
        <v>80937610</v>
      </c>
      <c r="L1032" s="21" t="str">
        <f>RIGHT(КХЛ!$H1032,4)</f>
        <v>1981</v>
      </c>
    </row>
    <row r="1033" spans="5:12" ht="15.75" customHeight="1" x14ac:dyDescent="0.2">
      <c r="E1033" s="21">
        <v>855</v>
      </c>
      <c r="F1033" s="21" t="s">
        <v>2073</v>
      </c>
      <c r="G1033" s="21" t="s">
        <v>83</v>
      </c>
      <c r="H1033" s="24" t="s">
        <v>2074</v>
      </c>
      <c r="I1033" s="21">
        <v>42</v>
      </c>
      <c r="J1033" s="21" t="s">
        <v>89</v>
      </c>
      <c r="K1033" s="21">
        <v>56332071</v>
      </c>
      <c r="L1033" s="21" t="str">
        <f>RIGHT(КХЛ!$H1033,4)</f>
        <v>1975</v>
      </c>
    </row>
    <row r="1034" spans="5:12" ht="15.75" customHeight="1" x14ac:dyDescent="0.2">
      <c r="E1034" s="21">
        <v>125</v>
      </c>
      <c r="F1034" s="21" t="s">
        <v>2075</v>
      </c>
      <c r="G1034" s="21" t="s">
        <v>91</v>
      </c>
      <c r="H1034" s="24" t="s">
        <v>1410</v>
      </c>
      <c r="I1034" s="21">
        <v>26</v>
      </c>
      <c r="J1034" s="21" t="s">
        <v>93</v>
      </c>
      <c r="K1034" s="21">
        <v>64308870</v>
      </c>
      <c r="L1034" s="21" t="str">
        <f>RIGHT(КХЛ!$H1034,4)</f>
        <v>1991</v>
      </c>
    </row>
    <row r="1035" spans="5:12" ht="15.75" customHeight="1" x14ac:dyDescent="0.2">
      <c r="E1035" s="21">
        <v>455</v>
      </c>
      <c r="F1035" s="21" t="s">
        <v>2076</v>
      </c>
      <c r="G1035" s="21" t="s">
        <v>83</v>
      </c>
      <c r="H1035" s="24" t="s">
        <v>2077</v>
      </c>
      <c r="I1035" s="21">
        <v>41</v>
      </c>
      <c r="J1035" s="21" t="s">
        <v>85</v>
      </c>
      <c r="K1035" s="21">
        <v>61865823</v>
      </c>
      <c r="L1035" s="21" t="str">
        <f>RIGHT(КХЛ!$H1035,4)</f>
        <v>1976</v>
      </c>
    </row>
    <row r="1036" spans="5:12" ht="15.75" customHeight="1" x14ac:dyDescent="0.2">
      <c r="E1036" s="21">
        <v>1673</v>
      </c>
      <c r="F1036" s="21" t="s">
        <v>2078</v>
      </c>
      <c r="G1036" s="21" t="s">
        <v>91</v>
      </c>
      <c r="H1036" s="24" t="s">
        <v>625</v>
      </c>
      <c r="I1036" s="21">
        <v>33</v>
      </c>
      <c r="J1036" s="21" t="s">
        <v>132</v>
      </c>
      <c r="K1036" s="21">
        <v>76354830</v>
      </c>
      <c r="L1036" s="21" t="str">
        <f>RIGHT(КХЛ!$H1036,4)</f>
        <v>1985</v>
      </c>
    </row>
    <row r="1037" spans="5:12" ht="15.75" customHeight="1" x14ac:dyDescent="0.2">
      <c r="E1037" s="21">
        <v>450</v>
      </c>
      <c r="F1037" s="21" t="s">
        <v>2079</v>
      </c>
      <c r="G1037" s="21" t="s">
        <v>91</v>
      </c>
      <c r="H1037" s="24" t="s">
        <v>2080</v>
      </c>
      <c r="I1037" s="21">
        <v>28</v>
      </c>
      <c r="J1037" s="21" t="s">
        <v>89</v>
      </c>
      <c r="K1037" s="21">
        <v>49182411</v>
      </c>
      <c r="L1037" s="21" t="str">
        <f>RIGHT(КХЛ!$H1037,4)</f>
        <v>1989</v>
      </c>
    </row>
    <row r="1038" spans="5:12" ht="15.75" customHeight="1" x14ac:dyDescent="0.2">
      <c r="E1038" s="21">
        <v>729</v>
      </c>
      <c r="F1038" s="21" t="s">
        <v>2081</v>
      </c>
      <c r="G1038" s="21" t="s">
        <v>83</v>
      </c>
      <c r="H1038" s="24" t="s">
        <v>2082</v>
      </c>
      <c r="I1038" s="21">
        <v>27</v>
      </c>
      <c r="J1038" s="21" t="s">
        <v>132</v>
      </c>
      <c r="K1038" s="21">
        <v>39429644</v>
      </c>
      <c r="L1038" s="21" t="str">
        <f>RIGHT(КХЛ!$H1038,4)</f>
        <v>1990</v>
      </c>
    </row>
    <row r="1039" spans="5:12" ht="15.75" customHeight="1" x14ac:dyDescent="0.2">
      <c r="E1039" s="21">
        <v>413</v>
      </c>
      <c r="F1039" s="21" t="s">
        <v>2083</v>
      </c>
      <c r="G1039" s="21" t="s">
        <v>91</v>
      </c>
      <c r="H1039" s="24" t="s">
        <v>2084</v>
      </c>
      <c r="I1039" s="21">
        <v>32</v>
      </c>
      <c r="J1039" s="21" t="s">
        <v>169</v>
      </c>
      <c r="K1039" s="21">
        <v>81635521</v>
      </c>
      <c r="L1039" s="21" t="str">
        <f>RIGHT(КХЛ!$H1039,4)</f>
        <v>1985</v>
      </c>
    </row>
    <row r="1040" spans="5:12" ht="15.75" customHeight="1" x14ac:dyDescent="0.2">
      <c r="E1040" s="21">
        <v>794</v>
      </c>
      <c r="F1040" s="21" t="s">
        <v>2085</v>
      </c>
      <c r="G1040" s="21" t="s">
        <v>83</v>
      </c>
      <c r="H1040" s="24" t="s">
        <v>2086</v>
      </c>
      <c r="I1040" s="21">
        <v>26</v>
      </c>
      <c r="J1040" s="21" t="s">
        <v>89</v>
      </c>
      <c r="K1040" s="21">
        <v>53492126</v>
      </c>
      <c r="L1040" s="21" t="str">
        <f>RIGHT(КХЛ!$H1040,4)</f>
        <v>1991</v>
      </c>
    </row>
    <row r="1041" spans="5:12" ht="15.75" customHeight="1" x14ac:dyDescent="0.2">
      <c r="E1041" s="21">
        <v>692</v>
      </c>
      <c r="F1041" s="21" t="s">
        <v>2087</v>
      </c>
      <c r="G1041" s="21" t="s">
        <v>83</v>
      </c>
      <c r="H1041" s="24" t="s">
        <v>2088</v>
      </c>
      <c r="I1041" s="21">
        <v>29</v>
      </c>
      <c r="J1041" s="21" t="s">
        <v>89</v>
      </c>
      <c r="K1041" s="21">
        <v>64819156</v>
      </c>
      <c r="L1041" s="21" t="str">
        <f>RIGHT(КХЛ!$H1041,4)</f>
        <v>1988</v>
      </c>
    </row>
    <row r="1042" spans="5:12" ht="15.75" customHeight="1" x14ac:dyDescent="0.2">
      <c r="E1042" s="21">
        <v>490</v>
      </c>
      <c r="F1042" s="21" t="s">
        <v>2089</v>
      </c>
      <c r="G1042" s="21" t="s">
        <v>87</v>
      </c>
      <c r="H1042" s="24" t="s">
        <v>2090</v>
      </c>
      <c r="I1042" s="21">
        <v>35</v>
      </c>
      <c r="J1042" s="21" t="s">
        <v>106</v>
      </c>
      <c r="K1042" s="21">
        <v>92329472</v>
      </c>
      <c r="L1042" s="21" t="str">
        <f>RIGHT(КХЛ!$H1042,4)</f>
        <v>1982</v>
      </c>
    </row>
    <row r="1043" spans="5:12" ht="15.75" customHeight="1" x14ac:dyDescent="0.2">
      <c r="E1043" s="21">
        <v>123</v>
      </c>
      <c r="F1043" s="21" t="s">
        <v>2091</v>
      </c>
      <c r="G1043" s="21" t="s">
        <v>91</v>
      </c>
      <c r="H1043" s="24" t="s">
        <v>2092</v>
      </c>
      <c r="I1043" s="21">
        <v>37</v>
      </c>
      <c r="J1043" s="21" t="s">
        <v>89</v>
      </c>
      <c r="K1043" s="21">
        <v>36548206</v>
      </c>
      <c r="L1043" s="21" t="str">
        <f>RIGHT(КХЛ!$H1043,4)</f>
        <v>1980</v>
      </c>
    </row>
    <row r="1044" spans="5:12" ht="15.75" customHeight="1" x14ac:dyDescent="0.2">
      <c r="E1044" s="21">
        <v>358</v>
      </c>
      <c r="F1044" s="21" t="s">
        <v>2093</v>
      </c>
      <c r="G1044" s="21" t="s">
        <v>91</v>
      </c>
      <c r="H1044" s="24" t="s">
        <v>2094</v>
      </c>
      <c r="I1044" s="21">
        <v>29</v>
      </c>
      <c r="J1044" s="21" t="s">
        <v>85</v>
      </c>
      <c r="K1044" s="21">
        <v>27443114</v>
      </c>
      <c r="L1044" s="21" t="str">
        <f>RIGHT(КХЛ!$H1044,4)</f>
        <v>1988</v>
      </c>
    </row>
    <row r="1045" spans="5:12" ht="15.75" customHeight="1" x14ac:dyDescent="0.2">
      <c r="E1045" s="21">
        <v>824</v>
      </c>
      <c r="F1045" s="21" t="s">
        <v>2095</v>
      </c>
      <c r="G1045" s="21" t="s">
        <v>87</v>
      </c>
      <c r="H1045" s="24" t="s">
        <v>2096</v>
      </c>
      <c r="I1045" s="21">
        <v>27</v>
      </c>
      <c r="J1045" s="21" t="s">
        <v>89</v>
      </c>
      <c r="K1045" s="21">
        <v>35994109</v>
      </c>
      <c r="L1045" s="21" t="str">
        <f>RIGHT(КХЛ!$H1045,4)</f>
        <v>1990</v>
      </c>
    </row>
    <row r="1046" spans="5:12" ht="15.75" customHeight="1" x14ac:dyDescent="0.2">
      <c r="E1046" s="21">
        <v>904</v>
      </c>
      <c r="F1046" s="21" t="s">
        <v>2097</v>
      </c>
      <c r="G1046" s="21" t="s">
        <v>83</v>
      </c>
      <c r="H1046" s="24" t="s">
        <v>2098</v>
      </c>
      <c r="I1046" s="21">
        <v>30</v>
      </c>
      <c r="J1046" s="21" t="s">
        <v>169</v>
      </c>
      <c r="K1046" s="21">
        <v>79201860</v>
      </c>
      <c r="L1046" s="21" t="str">
        <f>RIGHT(КХЛ!$H1046,4)</f>
        <v>1987</v>
      </c>
    </row>
    <row r="1047" spans="5:12" ht="15.75" customHeight="1" x14ac:dyDescent="0.2">
      <c r="E1047" s="21">
        <v>1658</v>
      </c>
      <c r="F1047" s="21" t="s">
        <v>2099</v>
      </c>
      <c r="G1047" s="21" t="s">
        <v>91</v>
      </c>
      <c r="H1047" s="24" t="s">
        <v>2100</v>
      </c>
      <c r="I1047" s="21">
        <v>34</v>
      </c>
      <c r="J1047" s="21" t="s">
        <v>85</v>
      </c>
      <c r="K1047" s="21">
        <v>52013686</v>
      </c>
      <c r="L1047" s="21" t="str">
        <f>RIGHT(КХЛ!$H1047,4)</f>
        <v>1983</v>
      </c>
    </row>
    <row r="1048" spans="5:12" ht="15.75" customHeight="1" x14ac:dyDescent="0.2">
      <c r="E1048" s="21">
        <v>926</v>
      </c>
      <c r="F1048" s="21" t="s">
        <v>2101</v>
      </c>
      <c r="G1048" s="21" t="s">
        <v>87</v>
      </c>
      <c r="H1048" s="24" t="s">
        <v>2102</v>
      </c>
      <c r="I1048" s="21">
        <v>23</v>
      </c>
      <c r="J1048" s="21" t="s">
        <v>139</v>
      </c>
      <c r="K1048" s="21">
        <v>41075467</v>
      </c>
      <c r="L1048" s="21" t="str">
        <f>RIGHT(КХЛ!$H1048,4)</f>
        <v>1994</v>
      </c>
    </row>
    <row r="1049" spans="5:12" ht="15.75" customHeight="1" x14ac:dyDescent="0.2">
      <c r="E1049" s="21">
        <v>343</v>
      </c>
      <c r="F1049" s="21" t="s">
        <v>2103</v>
      </c>
      <c r="G1049" s="21" t="s">
        <v>91</v>
      </c>
      <c r="H1049" s="24" t="s">
        <v>2104</v>
      </c>
      <c r="I1049" s="21">
        <v>22</v>
      </c>
      <c r="J1049" s="21" t="s">
        <v>89</v>
      </c>
      <c r="K1049" s="21">
        <v>68478140</v>
      </c>
      <c r="L1049" s="21" t="str">
        <f>RIGHT(КХЛ!$H1049,4)</f>
        <v>1995</v>
      </c>
    </row>
    <row r="1050" spans="5:12" ht="15.75" customHeight="1" x14ac:dyDescent="0.2">
      <c r="E1050" s="21">
        <v>878</v>
      </c>
      <c r="F1050" s="21" t="s">
        <v>2105</v>
      </c>
      <c r="G1050" s="21" t="s">
        <v>87</v>
      </c>
      <c r="H1050" s="24" t="s">
        <v>2106</v>
      </c>
      <c r="I1050" s="21">
        <v>26</v>
      </c>
      <c r="J1050" s="21" t="s">
        <v>89</v>
      </c>
      <c r="K1050" s="21">
        <v>81675303</v>
      </c>
      <c r="L1050" s="21" t="str">
        <f>RIGHT(КХЛ!$H1050,4)</f>
        <v>1991</v>
      </c>
    </row>
    <row r="1051" spans="5:12" ht="15.75" customHeight="1" x14ac:dyDescent="0.2">
      <c r="E1051" s="21">
        <v>186</v>
      </c>
      <c r="F1051" s="21" t="s">
        <v>2107</v>
      </c>
      <c r="G1051" s="21" t="s">
        <v>91</v>
      </c>
      <c r="H1051" s="24" t="s">
        <v>2108</v>
      </c>
      <c r="I1051" s="21">
        <v>34</v>
      </c>
      <c r="J1051" s="21" t="s">
        <v>89</v>
      </c>
      <c r="K1051" s="21">
        <v>75256513</v>
      </c>
      <c r="L1051" s="21" t="str">
        <f>RIGHT(КХЛ!$H1051,4)</f>
        <v>1983</v>
      </c>
    </row>
    <row r="1052" spans="5:12" ht="15.75" customHeight="1" x14ac:dyDescent="0.2">
      <c r="E1052" s="21">
        <v>1603</v>
      </c>
      <c r="F1052" s="21" t="s">
        <v>2109</v>
      </c>
      <c r="G1052" s="21" t="s">
        <v>91</v>
      </c>
      <c r="H1052" s="24" t="s">
        <v>2110</v>
      </c>
      <c r="I1052" s="21">
        <v>19</v>
      </c>
      <c r="J1052" s="21" t="s">
        <v>89</v>
      </c>
      <c r="K1052" s="21">
        <v>5916029</v>
      </c>
      <c r="L1052" s="21" t="str">
        <f>RIGHT(КХЛ!$H1052,4)</f>
        <v>1998</v>
      </c>
    </row>
    <row r="1053" spans="5:12" ht="15.75" customHeight="1" x14ac:dyDescent="0.2">
      <c r="E1053" s="21">
        <v>763</v>
      </c>
      <c r="F1053" s="21" t="s">
        <v>2111</v>
      </c>
      <c r="G1053" s="21" t="s">
        <v>83</v>
      </c>
      <c r="H1053" s="24" t="s">
        <v>2112</v>
      </c>
      <c r="I1053" s="21">
        <v>23</v>
      </c>
      <c r="J1053" s="21" t="s">
        <v>89</v>
      </c>
      <c r="K1053" s="21">
        <v>12411946</v>
      </c>
      <c r="L1053" s="21" t="str">
        <f>RIGHT(КХЛ!$H1053,4)</f>
        <v>1994</v>
      </c>
    </row>
    <row r="1054" spans="5:12" ht="15.75" customHeight="1" x14ac:dyDescent="0.2">
      <c r="E1054" s="21">
        <v>943</v>
      </c>
      <c r="F1054" s="21" t="s">
        <v>2113</v>
      </c>
      <c r="G1054" s="21" t="s">
        <v>91</v>
      </c>
      <c r="H1054" s="24" t="s">
        <v>2114</v>
      </c>
      <c r="I1054" s="21">
        <v>26</v>
      </c>
      <c r="J1054" s="21" t="s">
        <v>89</v>
      </c>
      <c r="K1054" s="21">
        <v>93023891</v>
      </c>
      <c r="L1054" s="21" t="str">
        <f>RIGHT(КХЛ!$H1054,4)</f>
        <v>1991</v>
      </c>
    </row>
    <row r="1055" spans="5:12" ht="15.75" customHeight="1" x14ac:dyDescent="0.2">
      <c r="E1055" s="21">
        <v>318</v>
      </c>
      <c r="F1055" s="21" t="s">
        <v>2115</v>
      </c>
      <c r="G1055" s="21" t="s">
        <v>87</v>
      </c>
      <c r="H1055" s="24" t="s">
        <v>2116</v>
      </c>
      <c r="I1055" s="21">
        <v>28</v>
      </c>
      <c r="J1055" s="21" t="s">
        <v>106</v>
      </c>
      <c r="K1055" s="21">
        <v>80432396</v>
      </c>
      <c r="L1055" s="21" t="str">
        <f>RIGHT(КХЛ!$H1055,4)</f>
        <v>1989</v>
      </c>
    </row>
    <row r="1056" spans="5:12" ht="15.75" customHeight="1" x14ac:dyDescent="0.2">
      <c r="E1056" s="21">
        <v>800</v>
      </c>
      <c r="F1056" s="21" t="s">
        <v>2117</v>
      </c>
      <c r="G1056" s="21" t="s">
        <v>83</v>
      </c>
      <c r="H1056" s="24" t="s">
        <v>2118</v>
      </c>
      <c r="I1056" s="21">
        <v>21</v>
      </c>
      <c r="J1056" s="21" t="s">
        <v>89</v>
      </c>
      <c r="K1056" s="21">
        <v>78845090</v>
      </c>
      <c r="L1056" s="21" t="str">
        <f>RIGHT(КХЛ!$H1056,4)</f>
        <v>1996</v>
      </c>
    </row>
    <row r="1057" spans="5:12" ht="15.75" customHeight="1" x14ac:dyDescent="0.2">
      <c r="E1057" s="21">
        <v>981</v>
      </c>
      <c r="F1057" s="21" t="s">
        <v>2119</v>
      </c>
      <c r="G1057" s="21" t="s">
        <v>91</v>
      </c>
      <c r="H1057" s="24" t="s">
        <v>2120</v>
      </c>
      <c r="I1057" s="21">
        <v>36</v>
      </c>
      <c r="J1057" s="21" t="s">
        <v>282</v>
      </c>
      <c r="K1057" s="21">
        <v>22333287</v>
      </c>
      <c r="L1057" s="21" t="str">
        <f>RIGHT(КХЛ!$H1057,4)</f>
        <v>1981</v>
      </c>
    </row>
    <row r="1058" spans="5:12" ht="15.75" customHeight="1" x14ac:dyDescent="0.2">
      <c r="E1058" s="21">
        <v>1484</v>
      </c>
      <c r="F1058" s="21" t="s">
        <v>2121</v>
      </c>
      <c r="G1058" s="21" t="s">
        <v>91</v>
      </c>
      <c r="H1058" s="24" t="s">
        <v>2122</v>
      </c>
      <c r="I1058" s="21">
        <v>25</v>
      </c>
      <c r="J1058" s="21" t="s">
        <v>89</v>
      </c>
      <c r="K1058" s="21">
        <v>6863855</v>
      </c>
      <c r="L1058" s="21" t="str">
        <f>RIGHT(КХЛ!$H1058,4)</f>
        <v>1992</v>
      </c>
    </row>
    <row r="1059" spans="5:12" ht="15.75" customHeight="1" x14ac:dyDescent="0.2">
      <c r="E1059" s="21">
        <v>278</v>
      </c>
      <c r="F1059" s="21" t="s">
        <v>2123</v>
      </c>
      <c r="G1059" s="21" t="s">
        <v>83</v>
      </c>
      <c r="H1059" s="24" t="s">
        <v>2124</v>
      </c>
      <c r="I1059" s="21">
        <v>33</v>
      </c>
      <c r="J1059" s="21" t="s">
        <v>89</v>
      </c>
      <c r="K1059" s="21">
        <v>89289812</v>
      </c>
      <c r="L1059" s="21" t="str">
        <f>RIGHT(КХЛ!$H1059,4)</f>
        <v>1984</v>
      </c>
    </row>
    <row r="1060" spans="5:12" ht="15.75" customHeight="1" x14ac:dyDescent="0.2">
      <c r="E1060" s="21">
        <v>34</v>
      </c>
      <c r="F1060" s="21" t="s">
        <v>2125</v>
      </c>
      <c r="G1060" s="21" t="s">
        <v>83</v>
      </c>
      <c r="H1060" s="24" t="s">
        <v>1098</v>
      </c>
      <c r="I1060" s="21">
        <v>21</v>
      </c>
      <c r="J1060" s="21" t="s">
        <v>89</v>
      </c>
      <c r="K1060" s="21">
        <v>51648524</v>
      </c>
      <c r="L1060" s="21" t="str">
        <f>RIGHT(КХЛ!$H1060,4)</f>
        <v>1997</v>
      </c>
    </row>
    <row r="1061" spans="5:12" ht="15.75" customHeight="1" x14ac:dyDescent="0.2">
      <c r="E1061" s="21">
        <v>139</v>
      </c>
      <c r="F1061" s="21" t="s">
        <v>2126</v>
      </c>
      <c r="G1061" s="21" t="s">
        <v>91</v>
      </c>
      <c r="H1061" s="24" t="s">
        <v>2127</v>
      </c>
      <c r="I1061" s="21">
        <v>41</v>
      </c>
      <c r="J1061" s="21" t="s">
        <v>89</v>
      </c>
      <c r="K1061" s="21">
        <v>34939872</v>
      </c>
      <c r="L1061" s="21" t="str">
        <f>RIGHT(КХЛ!$H1061,4)</f>
        <v>1976</v>
      </c>
    </row>
    <row r="1062" spans="5:12" ht="15.75" customHeight="1" x14ac:dyDescent="0.2">
      <c r="E1062" s="21">
        <v>1030</v>
      </c>
      <c r="F1062" s="21" t="s">
        <v>2128</v>
      </c>
      <c r="G1062" s="21" t="s">
        <v>91</v>
      </c>
      <c r="H1062" s="24" t="s">
        <v>2129</v>
      </c>
      <c r="I1062" s="21">
        <v>30</v>
      </c>
      <c r="J1062" s="21" t="s">
        <v>169</v>
      </c>
      <c r="K1062" s="21">
        <v>14135165</v>
      </c>
      <c r="L1062" s="21" t="str">
        <f>RIGHT(КХЛ!$H1062,4)</f>
        <v>1987</v>
      </c>
    </row>
    <row r="1063" spans="5:12" ht="15.75" customHeight="1" x14ac:dyDescent="0.2">
      <c r="E1063" s="21">
        <v>277</v>
      </c>
      <c r="F1063" s="21" t="s">
        <v>2130</v>
      </c>
      <c r="G1063" s="21" t="s">
        <v>91</v>
      </c>
      <c r="H1063" s="24" t="s">
        <v>2131</v>
      </c>
      <c r="I1063" s="21">
        <v>20</v>
      </c>
      <c r="J1063" s="21" t="s">
        <v>89</v>
      </c>
      <c r="K1063" s="21">
        <v>23883162</v>
      </c>
      <c r="L1063" s="21" t="str">
        <f>RIGHT(КХЛ!$H1063,4)</f>
        <v>1997</v>
      </c>
    </row>
    <row r="1064" spans="5:12" ht="15.75" customHeight="1" x14ac:dyDescent="0.2">
      <c r="E1064" s="21">
        <v>1541</v>
      </c>
      <c r="F1064" s="21" t="s">
        <v>2132</v>
      </c>
      <c r="G1064" s="21" t="s">
        <v>83</v>
      </c>
      <c r="H1064" s="24" t="s">
        <v>2133</v>
      </c>
      <c r="I1064" s="21">
        <v>23</v>
      </c>
      <c r="J1064" s="21" t="s">
        <v>89</v>
      </c>
      <c r="K1064" s="21">
        <v>22209932</v>
      </c>
      <c r="L1064" s="21" t="str">
        <f>RIGHT(КХЛ!$H1064,4)</f>
        <v>1994</v>
      </c>
    </row>
    <row r="1065" spans="5:12" ht="15.75" customHeight="1" x14ac:dyDescent="0.2">
      <c r="E1065" s="21">
        <v>439</v>
      </c>
      <c r="F1065" s="21" t="s">
        <v>2134</v>
      </c>
      <c r="G1065" s="21" t="s">
        <v>91</v>
      </c>
      <c r="H1065" s="24" t="s">
        <v>2135</v>
      </c>
      <c r="I1065" s="21">
        <v>35</v>
      </c>
      <c r="J1065" s="21" t="s">
        <v>89</v>
      </c>
      <c r="K1065" s="21">
        <v>91932934</v>
      </c>
      <c r="L1065" s="21" t="str">
        <f>RIGHT(КХЛ!$H1065,4)</f>
        <v>1982</v>
      </c>
    </row>
    <row r="1066" spans="5:12" ht="15.75" customHeight="1" x14ac:dyDescent="0.2">
      <c r="E1066" s="21">
        <v>1329</v>
      </c>
      <c r="F1066" s="21" t="s">
        <v>2136</v>
      </c>
      <c r="G1066" s="21" t="s">
        <v>91</v>
      </c>
      <c r="H1066" s="24" t="s">
        <v>2137</v>
      </c>
      <c r="I1066" s="21">
        <v>24</v>
      </c>
      <c r="J1066" s="21" t="s">
        <v>106</v>
      </c>
      <c r="K1066" s="21">
        <v>17088967</v>
      </c>
      <c r="L1066" s="21" t="str">
        <f>RIGHT(КХЛ!$H1066,4)</f>
        <v>1993</v>
      </c>
    </row>
    <row r="1067" spans="5:12" ht="15.75" customHeight="1" x14ac:dyDescent="0.2">
      <c r="E1067" s="21">
        <v>848</v>
      </c>
      <c r="F1067" s="21" t="s">
        <v>1682</v>
      </c>
      <c r="G1067" s="21" t="s">
        <v>91</v>
      </c>
      <c r="H1067" s="24" t="s">
        <v>1683</v>
      </c>
      <c r="I1067" s="21">
        <v>26</v>
      </c>
      <c r="J1067" s="21" t="s">
        <v>106</v>
      </c>
      <c r="K1067" s="21">
        <v>94603053</v>
      </c>
      <c r="L1067" s="21" t="str">
        <f>RIGHT(КХЛ!$H1067,4)</f>
        <v>1991</v>
      </c>
    </row>
    <row r="1068" spans="5:12" ht="15.75" customHeight="1" x14ac:dyDescent="0.2">
      <c r="E1068" s="21">
        <v>561</v>
      </c>
      <c r="F1068" s="21" t="s">
        <v>2138</v>
      </c>
      <c r="G1068" s="21" t="s">
        <v>91</v>
      </c>
      <c r="H1068" s="24" t="s">
        <v>2139</v>
      </c>
      <c r="I1068" s="21">
        <v>29</v>
      </c>
      <c r="J1068" s="21" t="s">
        <v>89</v>
      </c>
      <c r="K1068" s="21">
        <v>2910900</v>
      </c>
      <c r="L1068" s="21" t="str">
        <f>RIGHT(КХЛ!$H1068,4)</f>
        <v>1989</v>
      </c>
    </row>
    <row r="1069" spans="5:12" ht="15.75" customHeight="1" x14ac:dyDescent="0.2">
      <c r="E1069" s="21">
        <v>965</v>
      </c>
      <c r="F1069" s="21" t="s">
        <v>2140</v>
      </c>
      <c r="G1069" s="21" t="s">
        <v>91</v>
      </c>
      <c r="H1069" s="24" t="s">
        <v>2141</v>
      </c>
      <c r="I1069" s="21">
        <v>21</v>
      </c>
      <c r="J1069" s="21" t="s">
        <v>169</v>
      </c>
      <c r="K1069" s="21">
        <v>30268462</v>
      </c>
      <c r="L1069" s="21" t="str">
        <f>RIGHT(КХЛ!$H1069,4)</f>
        <v>1996</v>
      </c>
    </row>
    <row r="1070" spans="5:12" ht="15.75" customHeight="1" x14ac:dyDescent="0.2">
      <c r="E1070" s="21">
        <v>656</v>
      </c>
      <c r="F1070" s="21" t="s">
        <v>2142</v>
      </c>
      <c r="G1070" s="21" t="s">
        <v>91</v>
      </c>
      <c r="H1070" s="24" t="s">
        <v>2143</v>
      </c>
      <c r="I1070" s="21">
        <v>39</v>
      </c>
      <c r="J1070" s="21" t="s">
        <v>139</v>
      </c>
      <c r="K1070" s="21">
        <v>78940957</v>
      </c>
      <c r="L1070" s="21" t="str">
        <f>RIGHT(КХЛ!$H1070,4)</f>
        <v>1979</v>
      </c>
    </row>
    <row r="1071" spans="5:12" ht="15.75" customHeight="1" x14ac:dyDescent="0.2">
      <c r="E1071" s="21">
        <v>962</v>
      </c>
      <c r="F1071" s="21" t="s">
        <v>2144</v>
      </c>
      <c r="G1071" s="21" t="s">
        <v>91</v>
      </c>
      <c r="H1071" s="24" t="s">
        <v>2145</v>
      </c>
      <c r="I1071" s="21">
        <v>32</v>
      </c>
      <c r="J1071" s="21" t="s">
        <v>241</v>
      </c>
      <c r="K1071" s="21">
        <v>95857283</v>
      </c>
      <c r="L1071" s="21" t="str">
        <f>RIGHT(КХЛ!$H1071,4)</f>
        <v>1985</v>
      </c>
    </row>
    <row r="1072" spans="5:12" ht="15.75" customHeight="1" x14ac:dyDescent="0.2">
      <c r="E1072" s="21">
        <v>204</v>
      </c>
      <c r="F1072" s="21" t="s">
        <v>2146</v>
      </c>
      <c r="G1072" s="21" t="s">
        <v>87</v>
      </c>
      <c r="H1072" s="24" t="s">
        <v>2147</v>
      </c>
      <c r="I1072" s="21">
        <v>25</v>
      </c>
      <c r="J1072" s="21" t="s">
        <v>139</v>
      </c>
      <c r="K1072" s="21">
        <v>2961562</v>
      </c>
      <c r="L1072" s="21" t="str">
        <f>RIGHT(КХЛ!$H1072,4)</f>
        <v>1992</v>
      </c>
    </row>
    <row r="1073" spans="5:12" ht="15.75" customHeight="1" x14ac:dyDescent="0.2">
      <c r="E1073" s="21">
        <v>1325</v>
      </c>
      <c r="F1073" s="21" t="s">
        <v>2148</v>
      </c>
      <c r="G1073" s="21" t="s">
        <v>91</v>
      </c>
      <c r="H1073" s="24" t="s">
        <v>2149</v>
      </c>
      <c r="I1073" s="21">
        <v>32</v>
      </c>
      <c r="J1073" s="21" t="s">
        <v>89</v>
      </c>
      <c r="K1073" s="21">
        <v>49511118</v>
      </c>
      <c r="L1073" s="21" t="str">
        <f>RIGHT(КХЛ!$H1073,4)</f>
        <v>1986</v>
      </c>
    </row>
    <row r="1074" spans="5:12" ht="15.75" customHeight="1" x14ac:dyDescent="0.2">
      <c r="E1074" s="21">
        <v>607</v>
      </c>
      <c r="F1074" s="21" t="s">
        <v>2150</v>
      </c>
      <c r="G1074" s="21" t="s">
        <v>87</v>
      </c>
      <c r="H1074" s="24" t="s">
        <v>2151</v>
      </c>
      <c r="I1074" s="21">
        <v>25</v>
      </c>
      <c r="J1074" s="21" t="s">
        <v>282</v>
      </c>
      <c r="K1074" s="21">
        <v>97676441</v>
      </c>
      <c r="L1074" s="21" t="str">
        <f>RIGHT(КХЛ!$H1074,4)</f>
        <v>1992</v>
      </c>
    </row>
    <row r="1075" spans="5:12" ht="15.75" customHeight="1" x14ac:dyDescent="0.2">
      <c r="E1075" s="21">
        <v>1134</v>
      </c>
      <c r="F1075" s="21" t="s">
        <v>2152</v>
      </c>
      <c r="G1075" s="21" t="s">
        <v>83</v>
      </c>
      <c r="H1075" s="24" t="s">
        <v>2153</v>
      </c>
      <c r="I1075" s="21">
        <v>33</v>
      </c>
      <c r="J1075" s="21" t="s">
        <v>89</v>
      </c>
      <c r="K1075" s="21">
        <v>81336102</v>
      </c>
      <c r="L1075" s="21" t="str">
        <f>RIGHT(КХЛ!$H1075,4)</f>
        <v>1984</v>
      </c>
    </row>
    <row r="1076" spans="5:12" ht="15.75" customHeight="1" x14ac:dyDescent="0.2">
      <c r="E1076" s="21">
        <v>1289</v>
      </c>
      <c r="F1076" s="21" t="s">
        <v>2154</v>
      </c>
      <c r="G1076" s="21" t="s">
        <v>91</v>
      </c>
      <c r="H1076" s="24" t="s">
        <v>2155</v>
      </c>
      <c r="I1076" s="21">
        <v>35</v>
      </c>
      <c r="J1076" s="21" t="s">
        <v>85</v>
      </c>
      <c r="K1076" s="21">
        <v>37048220</v>
      </c>
      <c r="L1076" s="21" t="str">
        <f>RIGHT(КХЛ!$H1076,4)</f>
        <v>1982</v>
      </c>
    </row>
    <row r="1077" spans="5:12" ht="15.75" customHeight="1" x14ac:dyDescent="0.2">
      <c r="E1077" s="21">
        <v>870</v>
      </c>
      <c r="F1077" s="21" t="s">
        <v>2156</v>
      </c>
      <c r="G1077" s="21" t="s">
        <v>91</v>
      </c>
      <c r="H1077" s="24" t="s">
        <v>2157</v>
      </c>
      <c r="I1077" s="21">
        <v>25</v>
      </c>
      <c r="J1077" s="21" t="s">
        <v>89</v>
      </c>
      <c r="K1077" s="21">
        <v>42915112</v>
      </c>
      <c r="L1077" s="21" t="str">
        <f>RIGHT(КХЛ!$H1077,4)</f>
        <v>1992</v>
      </c>
    </row>
    <row r="1078" spans="5:12" ht="15.75" customHeight="1" x14ac:dyDescent="0.2">
      <c r="E1078" s="21">
        <v>817</v>
      </c>
      <c r="F1078" s="21" t="s">
        <v>2158</v>
      </c>
      <c r="G1078" s="21" t="s">
        <v>83</v>
      </c>
      <c r="H1078" s="24" t="s">
        <v>2159</v>
      </c>
      <c r="I1078" s="21">
        <v>39</v>
      </c>
      <c r="J1078" s="21" t="s">
        <v>89</v>
      </c>
      <c r="K1078" s="21">
        <v>7054235</v>
      </c>
      <c r="L1078" s="21" t="str">
        <f>RIGHT(КХЛ!$H1078,4)</f>
        <v>1978</v>
      </c>
    </row>
    <row r="1079" spans="5:12" ht="15.75" customHeight="1" x14ac:dyDescent="0.2">
      <c r="E1079" s="21">
        <v>1007</v>
      </c>
      <c r="F1079" s="21" t="s">
        <v>1999</v>
      </c>
      <c r="G1079" s="21" t="s">
        <v>91</v>
      </c>
      <c r="H1079" s="24" t="s">
        <v>2000</v>
      </c>
      <c r="I1079" s="21">
        <v>33</v>
      </c>
      <c r="J1079" s="21" t="s">
        <v>93</v>
      </c>
      <c r="K1079" s="21">
        <v>21473370</v>
      </c>
      <c r="L1079" s="21" t="str">
        <f>RIGHT(КХЛ!$H1079,4)</f>
        <v>1984</v>
      </c>
    </row>
    <row r="1080" spans="5:12" ht="15.75" customHeight="1" x14ac:dyDescent="0.2">
      <c r="E1080" s="21">
        <v>1194</v>
      </c>
      <c r="F1080" s="21" t="s">
        <v>2160</v>
      </c>
      <c r="G1080" s="21" t="s">
        <v>91</v>
      </c>
      <c r="H1080" s="24" t="s">
        <v>2161</v>
      </c>
      <c r="I1080" s="21">
        <v>33</v>
      </c>
      <c r="J1080" s="21" t="s">
        <v>89</v>
      </c>
      <c r="K1080" s="21">
        <v>44032057</v>
      </c>
      <c r="L1080" s="21" t="str">
        <f>RIGHT(КХЛ!$H1080,4)</f>
        <v>1984</v>
      </c>
    </row>
    <row r="1081" spans="5:12" ht="15.75" customHeight="1" x14ac:dyDescent="0.2">
      <c r="E1081" s="21">
        <v>597</v>
      </c>
      <c r="F1081" s="21" t="s">
        <v>2162</v>
      </c>
      <c r="G1081" s="21" t="s">
        <v>83</v>
      </c>
      <c r="H1081" s="24" t="s">
        <v>2163</v>
      </c>
      <c r="I1081" s="21">
        <v>36</v>
      </c>
      <c r="J1081" s="21" t="s">
        <v>106</v>
      </c>
      <c r="K1081" s="21">
        <v>43544416</v>
      </c>
      <c r="L1081" s="21" t="str">
        <f>RIGHT(КХЛ!$H1081,4)</f>
        <v>1981</v>
      </c>
    </row>
    <row r="1082" spans="5:12" ht="15.75" customHeight="1" x14ac:dyDescent="0.2">
      <c r="E1082" s="21">
        <v>321</v>
      </c>
      <c r="F1082" s="21" t="s">
        <v>2164</v>
      </c>
      <c r="G1082" s="21" t="s">
        <v>83</v>
      </c>
      <c r="H1082" s="24" t="s">
        <v>2165</v>
      </c>
      <c r="I1082" s="21">
        <v>35</v>
      </c>
      <c r="J1082" s="21" t="s">
        <v>89</v>
      </c>
      <c r="K1082" s="21">
        <v>80412123</v>
      </c>
      <c r="L1082" s="21" t="str">
        <f>RIGHT(КХЛ!$H1082,4)</f>
        <v>1982</v>
      </c>
    </row>
    <row r="1083" spans="5:12" ht="15.75" customHeight="1" x14ac:dyDescent="0.2">
      <c r="E1083" s="21">
        <v>629</v>
      </c>
      <c r="F1083" s="21" t="s">
        <v>2166</v>
      </c>
      <c r="G1083" s="21" t="s">
        <v>87</v>
      </c>
      <c r="H1083" s="24" t="s">
        <v>2167</v>
      </c>
      <c r="I1083" s="21">
        <v>23</v>
      </c>
      <c r="J1083" s="21" t="s">
        <v>89</v>
      </c>
      <c r="K1083" s="21">
        <v>21756631</v>
      </c>
      <c r="L1083" s="21" t="str">
        <f>RIGHT(КХЛ!$H1083,4)</f>
        <v>1994</v>
      </c>
    </row>
    <row r="1084" spans="5:12" ht="15.75" customHeight="1" x14ac:dyDescent="0.2">
      <c r="E1084" s="21">
        <v>236</v>
      </c>
      <c r="F1084" s="21" t="s">
        <v>2168</v>
      </c>
      <c r="G1084" s="21" t="s">
        <v>83</v>
      </c>
      <c r="H1084" s="24" t="s">
        <v>2169</v>
      </c>
      <c r="I1084" s="21">
        <v>28</v>
      </c>
      <c r="J1084" s="21" t="s">
        <v>89</v>
      </c>
      <c r="K1084" s="21">
        <v>74212165</v>
      </c>
      <c r="L1084" s="21" t="str">
        <f>RIGHT(КХЛ!$H1084,4)</f>
        <v>1989</v>
      </c>
    </row>
    <row r="1085" spans="5:12" ht="15.75" customHeight="1" x14ac:dyDescent="0.2">
      <c r="E1085" s="21">
        <v>189</v>
      </c>
      <c r="F1085" s="21" t="s">
        <v>2170</v>
      </c>
      <c r="G1085" s="21" t="s">
        <v>91</v>
      </c>
      <c r="H1085" s="24" t="s">
        <v>2171</v>
      </c>
      <c r="I1085" s="21">
        <v>38</v>
      </c>
      <c r="J1085" s="21" t="s">
        <v>89</v>
      </c>
      <c r="K1085" s="21">
        <v>93300534</v>
      </c>
      <c r="L1085" s="21" t="str">
        <f>RIGHT(КХЛ!$H1085,4)</f>
        <v>1979</v>
      </c>
    </row>
    <row r="1086" spans="5:12" ht="15.75" customHeight="1" x14ac:dyDescent="0.2">
      <c r="E1086" s="21">
        <v>1127</v>
      </c>
      <c r="F1086" s="21" t="s">
        <v>2172</v>
      </c>
      <c r="G1086" s="21" t="s">
        <v>83</v>
      </c>
      <c r="H1086" s="24" t="s">
        <v>2173</v>
      </c>
      <c r="I1086" s="21">
        <v>30</v>
      </c>
      <c r="J1086" s="21" t="s">
        <v>89</v>
      </c>
      <c r="K1086" s="21">
        <v>26423527</v>
      </c>
      <c r="L1086" s="21" t="str">
        <f>RIGHT(КХЛ!$H1086,4)</f>
        <v>1987</v>
      </c>
    </row>
    <row r="1087" spans="5:12" ht="15.75" customHeight="1" x14ac:dyDescent="0.2">
      <c r="E1087" s="21">
        <v>299</v>
      </c>
      <c r="F1087" s="21" t="s">
        <v>2174</v>
      </c>
      <c r="G1087" s="21" t="s">
        <v>83</v>
      </c>
      <c r="H1087" s="24" t="s">
        <v>2175</v>
      </c>
      <c r="I1087" s="21">
        <v>20</v>
      </c>
      <c r="J1087" s="21" t="s">
        <v>89</v>
      </c>
      <c r="K1087" s="21">
        <v>76241856</v>
      </c>
      <c r="L1087" s="21" t="str">
        <f>RIGHT(КХЛ!$H1087,4)</f>
        <v>1997</v>
      </c>
    </row>
    <row r="1088" spans="5:12" ht="15.75" customHeight="1" x14ac:dyDescent="0.2">
      <c r="E1088" s="21">
        <v>1076</v>
      </c>
      <c r="F1088" s="21" t="s">
        <v>2176</v>
      </c>
      <c r="G1088" s="21" t="s">
        <v>87</v>
      </c>
      <c r="H1088" s="24" t="s">
        <v>2177</v>
      </c>
      <c r="I1088" s="21">
        <v>28</v>
      </c>
      <c r="J1088" s="21" t="s">
        <v>282</v>
      </c>
      <c r="K1088" s="21">
        <v>57270562</v>
      </c>
      <c r="L1088" s="21" t="str">
        <f>RIGHT(КХЛ!$H1088,4)</f>
        <v>1989</v>
      </c>
    </row>
    <row r="1089" spans="5:12" ht="15.75" customHeight="1" x14ac:dyDescent="0.2">
      <c r="E1089" s="21">
        <v>894</v>
      </c>
      <c r="F1089" s="21" t="s">
        <v>2178</v>
      </c>
      <c r="G1089" s="21" t="s">
        <v>91</v>
      </c>
      <c r="H1089" s="24" t="s">
        <v>2179</v>
      </c>
      <c r="I1089" s="21">
        <v>43</v>
      </c>
      <c r="J1089" s="21" t="s">
        <v>89</v>
      </c>
      <c r="K1089" s="21">
        <v>99380946</v>
      </c>
      <c r="L1089" s="21" t="str">
        <f>RIGHT(КХЛ!$H1089,4)</f>
        <v>1974</v>
      </c>
    </row>
    <row r="1090" spans="5:12" ht="15.75" customHeight="1" x14ac:dyDescent="0.2">
      <c r="E1090" s="21">
        <v>96</v>
      </c>
      <c r="F1090" s="21" t="s">
        <v>2180</v>
      </c>
      <c r="G1090" s="21" t="s">
        <v>83</v>
      </c>
      <c r="H1090" s="24" t="s">
        <v>2181</v>
      </c>
      <c r="I1090" s="21">
        <v>19</v>
      </c>
      <c r="J1090" s="21" t="s">
        <v>241</v>
      </c>
      <c r="K1090" s="21">
        <v>37881472</v>
      </c>
      <c r="L1090" s="21" t="str">
        <f>RIGHT(КХЛ!$H1090,4)</f>
        <v>1998</v>
      </c>
    </row>
    <row r="1091" spans="5:12" ht="15.75" customHeight="1" x14ac:dyDescent="0.2">
      <c r="E1091" s="21">
        <v>1143</v>
      </c>
      <c r="F1091" s="21" t="s">
        <v>2182</v>
      </c>
      <c r="G1091" s="21" t="s">
        <v>91</v>
      </c>
      <c r="H1091" s="24" t="s">
        <v>2183</v>
      </c>
      <c r="I1091" s="21">
        <v>44</v>
      </c>
      <c r="J1091" s="21" t="s">
        <v>89</v>
      </c>
      <c r="K1091" s="21">
        <v>95911676</v>
      </c>
      <c r="L1091" s="21" t="str">
        <f>RIGHT(КХЛ!$H1091,4)</f>
        <v>1973</v>
      </c>
    </row>
    <row r="1092" spans="5:12" ht="15.75" customHeight="1" x14ac:dyDescent="0.2">
      <c r="E1092" s="21">
        <v>165</v>
      </c>
      <c r="F1092" s="21" t="s">
        <v>2184</v>
      </c>
      <c r="G1092" s="21" t="s">
        <v>83</v>
      </c>
      <c r="H1092" s="24" t="s">
        <v>2185</v>
      </c>
      <c r="I1092" s="21">
        <v>37</v>
      </c>
      <c r="J1092" s="21" t="s">
        <v>321</v>
      </c>
      <c r="K1092" s="21">
        <v>13044640</v>
      </c>
      <c r="L1092" s="21" t="str">
        <f>RIGHT(КХЛ!$H1092,4)</f>
        <v>1980</v>
      </c>
    </row>
    <row r="1093" spans="5:12" ht="15.75" customHeight="1" x14ac:dyDescent="0.2">
      <c r="E1093" s="21">
        <v>148</v>
      </c>
      <c r="F1093" s="21" t="s">
        <v>2186</v>
      </c>
      <c r="G1093" s="21" t="s">
        <v>83</v>
      </c>
      <c r="H1093" s="24" t="s">
        <v>2187</v>
      </c>
      <c r="I1093" s="21">
        <v>36</v>
      </c>
      <c r="J1093" s="21" t="s">
        <v>282</v>
      </c>
      <c r="K1093" s="21">
        <v>95314792</v>
      </c>
      <c r="L1093" s="21" t="str">
        <f>RIGHT(КХЛ!$H1093,4)</f>
        <v>1981</v>
      </c>
    </row>
    <row r="1094" spans="5:12" ht="15.75" customHeight="1" x14ac:dyDescent="0.2">
      <c r="E1094" s="21">
        <v>708</v>
      </c>
      <c r="F1094" s="21" t="s">
        <v>2188</v>
      </c>
      <c r="G1094" s="21" t="s">
        <v>87</v>
      </c>
      <c r="H1094" s="24" t="s">
        <v>2189</v>
      </c>
      <c r="I1094" s="21">
        <v>24</v>
      </c>
      <c r="J1094" s="21" t="s">
        <v>89</v>
      </c>
      <c r="K1094" s="21">
        <v>41961489</v>
      </c>
      <c r="L1094" s="21" t="str">
        <f>RIGHT(КХЛ!$H1094,4)</f>
        <v>1993</v>
      </c>
    </row>
    <row r="1095" spans="5:12" ht="15.75" customHeight="1" x14ac:dyDescent="0.2">
      <c r="E1095" s="21">
        <v>225</v>
      </c>
      <c r="F1095" s="21" t="s">
        <v>2190</v>
      </c>
      <c r="G1095" s="21" t="s">
        <v>91</v>
      </c>
      <c r="H1095" s="24" t="s">
        <v>2191</v>
      </c>
      <c r="I1095" s="21">
        <v>19</v>
      </c>
      <c r="J1095" s="21" t="s">
        <v>89</v>
      </c>
      <c r="K1095" s="21">
        <v>67983087</v>
      </c>
      <c r="L1095" s="21" t="str">
        <f>RIGHT(КХЛ!$H1095,4)</f>
        <v>1998</v>
      </c>
    </row>
    <row r="1096" spans="5:12" ht="15.75" customHeight="1" x14ac:dyDescent="0.2">
      <c r="E1096" s="21">
        <v>848</v>
      </c>
      <c r="F1096" s="21" t="s">
        <v>2192</v>
      </c>
      <c r="G1096" s="21" t="s">
        <v>83</v>
      </c>
      <c r="H1096" s="24" t="s">
        <v>2193</v>
      </c>
      <c r="I1096" s="21">
        <v>20</v>
      </c>
      <c r="J1096" s="21" t="s">
        <v>282</v>
      </c>
      <c r="K1096" s="21">
        <v>77669805</v>
      </c>
      <c r="L1096" s="21" t="str">
        <f>RIGHT(КХЛ!$H1096,4)</f>
        <v>1997</v>
      </c>
    </row>
    <row r="1097" spans="5:12" ht="15.75" customHeight="1" x14ac:dyDescent="0.2">
      <c r="E1097" s="21">
        <v>466</v>
      </c>
      <c r="F1097" s="21" t="s">
        <v>2194</v>
      </c>
      <c r="G1097" s="21" t="s">
        <v>83</v>
      </c>
      <c r="H1097" s="24" t="s">
        <v>2195</v>
      </c>
      <c r="I1097" s="21">
        <v>30</v>
      </c>
      <c r="J1097" s="21" t="s">
        <v>106</v>
      </c>
      <c r="K1097" s="21">
        <v>18095307</v>
      </c>
      <c r="L1097" s="21" t="str">
        <f>RIGHT(КХЛ!$H1097,4)</f>
        <v>1987</v>
      </c>
    </row>
    <row r="1098" spans="5:12" ht="15.75" customHeight="1" x14ac:dyDescent="0.2">
      <c r="E1098" s="21">
        <v>556</v>
      </c>
      <c r="F1098" s="21" t="s">
        <v>2196</v>
      </c>
      <c r="G1098" s="21" t="s">
        <v>83</v>
      </c>
      <c r="H1098" s="24" t="s">
        <v>2197</v>
      </c>
      <c r="I1098" s="21">
        <v>31</v>
      </c>
      <c r="J1098" s="21" t="s">
        <v>106</v>
      </c>
      <c r="K1098" s="21">
        <v>68726789</v>
      </c>
      <c r="L1098" s="21" t="str">
        <f>RIGHT(КХЛ!$H1098,4)</f>
        <v>1987</v>
      </c>
    </row>
    <row r="1099" spans="5:12" ht="15.75" customHeight="1" x14ac:dyDescent="0.2">
      <c r="E1099" s="21">
        <v>284</v>
      </c>
      <c r="F1099" s="21" t="s">
        <v>2198</v>
      </c>
      <c r="G1099" s="21" t="s">
        <v>91</v>
      </c>
      <c r="H1099" s="24" t="s">
        <v>2199</v>
      </c>
      <c r="I1099" s="21">
        <v>27</v>
      </c>
      <c r="J1099" s="21" t="s">
        <v>89</v>
      </c>
      <c r="K1099" s="21">
        <v>30934387</v>
      </c>
      <c r="L1099" s="21" t="str">
        <f>RIGHT(КХЛ!$H1099,4)</f>
        <v>1990</v>
      </c>
    </row>
    <row r="1100" spans="5:12" ht="15.75" customHeight="1" x14ac:dyDescent="0.2">
      <c r="E1100" s="21">
        <v>1058</v>
      </c>
      <c r="F1100" s="21" t="s">
        <v>2200</v>
      </c>
      <c r="G1100" s="21" t="s">
        <v>91</v>
      </c>
      <c r="H1100" s="24" t="s">
        <v>1852</v>
      </c>
      <c r="I1100" s="21">
        <v>27</v>
      </c>
      <c r="J1100" s="21" t="s">
        <v>222</v>
      </c>
      <c r="K1100" s="21">
        <v>43902995</v>
      </c>
      <c r="L1100" s="21" t="str">
        <f>RIGHT(КХЛ!$H1100,4)</f>
        <v>1990</v>
      </c>
    </row>
    <row r="1101" spans="5:12" ht="15.75" customHeight="1" x14ac:dyDescent="0.2">
      <c r="E1101" s="21">
        <v>971</v>
      </c>
      <c r="F1101" s="21" t="s">
        <v>2201</v>
      </c>
      <c r="G1101" s="21" t="s">
        <v>83</v>
      </c>
      <c r="H1101" s="24" t="s">
        <v>1742</v>
      </c>
      <c r="I1101" s="21">
        <v>28</v>
      </c>
      <c r="J1101" s="21" t="s">
        <v>169</v>
      </c>
      <c r="K1101" s="21">
        <v>29201629</v>
      </c>
      <c r="L1101" s="21" t="str">
        <f>RIGHT(КХЛ!$H1101,4)</f>
        <v>1989</v>
      </c>
    </row>
    <row r="1102" spans="5:12" ht="15.75" customHeight="1" x14ac:dyDescent="0.2">
      <c r="E1102" s="21">
        <v>1032</v>
      </c>
      <c r="F1102" s="21" t="s">
        <v>384</v>
      </c>
      <c r="G1102" s="21" t="s">
        <v>83</v>
      </c>
      <c r="H1102" s="24" t="s">
        <v>127</v>
      </c>
      <c r="I1102" s="21">
        <v>34</v>
      </c>
      <c r="J1102" s="21" t="s">
        <v>89</v>
      </c>
      <c r="K1102" s="21">
        <v>83375769</v>
      </c>
      <c r="L1102" s="21" t="str">
        <f>RIGHT(КХЛ!$H1102,4)</f>
        <v>1983</v>
      </c>
    </row>
    <row r="1103" spans="5:12" ht="15.75" customHeight="1" x14ac:dyDescent="0.2">
      <c r="E1103" s="21">
        <v>1664</v>
      </c>
      <c r="F1103" s="21" t="s">
        <v>2202</v>
      </c>
      <c r="G1103" s="21" t="s">
        <v>91</v>
      </c>
      <c r="H1103" s="24" t="s">
        <v>2203</v>
      </c>
      <c r="I1103" s="21">
        <v>44</v>
      </c>
      <c r="J1103" s="21" t="s">
        <v>89</v>
      </c>
      <c r="K1103" s="21">
        <v>71103406</v>
      </c>
      <c r="L1103" s="21" t="str">
        <f>RIGHT(КХЛ!$H1103,4)</f>
        <v>1973</v>
      </c>
    </row>
    <row r="1104" spans="5:12" ht="15.75" customHeight="1" x14ac:dyDescent="0.2">
      <c r="E1104" s="21">
        <v>174</v>
      </c>
      <c r="F1104" s="21" t="s">
        <v>2204</v>
      </c>
      <c r="G1104" s="21" t="s">
        <v>83</v>
      </c>
      <c r="H1104" s="24" t="s">
        <v>2205</v>
      </c>
      <c r="I1104" s="21">
        <v>34</v>
      </c>
      <c r="J1104" s="21" t="s">
        <v>106</v>
      </c>
      <c r="K1104" s="21">
        <v>81910066</v>
      </c>
      <c r="L1104" s="21" t="str">
        <f>RIGHT(КХЛ!$H1104,4)</f>
        <v>1983</v>
      </c>
    </row>
    <row r="1105" spans="5:12" ht="15.75" customHeight="1" x14ac:dyDescent="0.2">
      <c r="E1105" s="21">
        <v>1292</v>
      </c>
      <c r="F1105" s="21" t="s">
        <v>2206</v>
      </c>
      <c r="G1105" s="21" t="s">
        <v>91</v>
      </c>
      <c r="H1105" s="24" t="s">
        <v>2207</v>
      </c>
      <c r="I1105" s="21">
        <v>40</v>
      </c>
      <c r="J1105" s="21" t="s">
        <v>152</v>
      </c>
      <c r="K1105" s="21">
        <v>50486350</v>
      </c>
      <c r="L1105" s="21" t="str">
        <f>RIGHT(КХЛ!$H1105,4)</f>
        <v>1977</v>
      </c>
    </row>
    <row r="1106" spans="5:12" ht="15.75" customHeight="1" x14ac:dyDescent="0.2">
      <c r="E1106" s="21">
        <v>1086</v>
      </c>
      <c r="F1106" s="21" t="s">
        <v>2208</v>
      </c>
      <c r="G1106" s="21" t="s">
        <v>83</v>
      </c>
      <c r="H1106" s="24" t="s">
        <v>2209</v>
      </c>
      <c r="I1106" s="21">
        <v>22</v>
      </c>
      <c r="J1106" s="21" t="s">
        <v>89</v>
      </c>
      <c r="K1106" s="21">
        <v>42765863</v>
      </c>
      <c r="L1106" s="21" t="str">
        <f>RIGHT(КХЛ!$H1106,4)</f>
        <v>1995</v>
      </c>
    </row>
    <row r="1107" spans="5:12" ht="15.75" customHeight="1" x14ac:dyDescent="0.2">
      <c r="E1107" s="21">
        <v>577</v>
      </c>
      <c r="F1107" s="21" t="s">
        <v>2210</v>
      </c>
      <c r="G1107" s="21" t="s">
        <v>83</v>
      </c>
      <c r="H1107" s="24" t="s">
        <v>2211</v>
      </c>
      <c r="I1107" s="21">
        <v>27</v>
      </c>
      <c r="J1107" s="21" t="s">
        <v>89</v>
      </c>
      <c r="K1107" s="21">
        <v>15661341</v>
      </c>
      <c r="L1107" s="21" t="str">
        <f>RIGHT(КХЛ!$H1107,4)</f>
        <v>1990</v>
      </c>
    </row>
    <row r="1108" spans="5:12" ht="15.75" customHeight="1" x14ac:dyDescent="0.2">
      <c r="E1108" s="21">
        <v>1029</v>
      </c>
      <c r="F1108" s="21" t="s">
        <v>2212</v>
      </c>
      <c r="G1108" s="21" t="s">
        <v>91</v>
      </c>
      <c r="H1108" s="24" t="s">
        <v>2213</v>
      </c>
      <c r="I1108" s="21">
        <v>37</v>
      </c>
      <c r="J1108" s="21" t="s">
        <v>106</v>
      </c>
      <c r="K1108" s="21">
        <v>12530945</v>
      </c>
      <c r="L1108" s="21" t="str">
        <f>RIGHT(КХЛ!$H1108,4)</f>
        <v>1980</v>
      </c>
    </row>
    <row r="1109" spans="5:12" ht="15.75" customHeight="1" x14ac:dyDescent="0.2">
      <c r="E1109" s="21">
        <v>1066</v>
      </c>
      <c r="F1109" s="21" t="s">
        <v>2214</v>
      </c>
      <c r="G1109" s="21" t="s">
        <v>83</v>
      </c>
      <c r="H1109" s="24" t="s">
        <v>2215</v>
      </c>
      <c r="I1109" s="21">
        <v>23</v>
      </c>
      <c r="J1109" s="21" t="s">
        <v>89</v>
      </c>
      <c r="K1109" s="21">
        <v>47651744</v>
      </c>
      <c r="L1109" s="21" t="str">
        <f>RIGHT(КХЛ!$H1109,4)</f>
        <v>1994</v>
      </c>
    </row>
    <row r="1110" spans="5:12" ht="15.75" customHeight="1" x14ac:dyDescent="0.2">
      <c r="E1110" s="21">
        <v>436</v>
      </c>
      <c r="F1110" s="21" t="s">
        <v>2216</v>
      </c>
      <c r="G1110" s="21" t="s">
        <v>91</v>
      </c>
      <c r="H1110" s="24" t="s">
        <v>1141</v>
      </c>
      <c r="I1110" s="21">
        <v>34</v>
      </c>
      <c r="J1110" s="21" t="s">
        <v>106</v>
      </c>
      <c r="K1110" s="21">
        <v>56865743</v>
      </c>
      <c r="L1110" s="21" t="str">
        <f>RIGHT(КХЛ!$H1110,4)</f>
        <v>1983</v>
      </c>
    </row>
    <row r="1111" spans="5:12" ht="15.75" customHeight="1" x14ac:dyDescent="0.2">
      <c r="E1111" s="21">
        <v>1711</v>
      </c>
      <c r="F1111" s="21" t="s">
        <v>2217</v>
      </c>
      <c r="G1111" s="21" t="s">
        <v>83</v>
      </c>
      <c r="H1111" s="24" t="s">
        <v>2218</v>
      </c>
      <c r="I1111" s="21">
        <v>23</v>
      </c>
      <c r="J1111" s="21" t="s">
        <v>89</v>
      </c>
      <c r="K1111" s="21">
        <v>49788686</v>
      </c>
      <c r="L1111" s="21" t="str">
        <f>RIGHT(КХЛ!$H1111,4)</f>
        <v>1994</v>
      </c>
    </row>
    <row r="1112" spans="5:12" ht="15.75" customHeight="1" x14ac:dyDescent="0.2">
      <c r="E1112" s="21">
        <v>864</v>
      </c>
      <c r="F1112" s="21" t="s">
        <v>972</v>
      </c>
      <c r="G1112" s="21" t="s">
        <v>87</v>
      </c>
      <c r="H1112" s="24" t="s">
        <v>973</v>
      </c>
      <c r="I1112" s="21">
        <v>30</v>
      </c>
      <c r="J1112" s="21" t="s">
        <v>89</v>
      </c>
      <c r="K1112" s="21">
        <v>8331990</v>
      </c>
      <c r="L1112" s="21" t="str">
        <f>RIGHT(КХЛ!$H1112,4)</f>
        <v>1987</v>
      </c>
    </row>
    <row r="1113" spans="5:12" ht="15.75" customHeight="1" x14ac:dyDescent="0.2">
      <c r="E1113" s="21">
        <v>191</v>
      </c>
      <c r="F1113" s="21" t="s">
        <v>2219</v>
      </c>
      <c r="G1113" s="21" t="s">
        <v>83</v>
      </c>
      <c r="H1113" s="24" t="s">
        <v>2220</v>
      </c>
      <c r="I1113" s="21">
        <v>28</v>
      </c>
      <c r="J1113" s="21" t="s">
        <v>89</v>
      </c>
      <c r="K1113" s="21">
        <v>88756378</v>
      </c>
      <c r="L1113" s="21" t="str">
        <f>RIGHT(КХЛ!$H1113,4)</f>
        <v>1989</v>
      </c>
    </row>
    <row r="1114" spans="5:12" ht="15.75" customHeight="1" x14ac:dyDescent="0.2">
      <c r="E1114" s="21">
        <v>699</v>
      </c>
      <c r="F1114" s="21" t="s">
        <v>2221</v>
      </c>
      <c r="G1114" s="21" t="s">
        <v>91</v>
      </c>
      <c r="H1114" s="24" t="s">
        <v>2222</v>
      </c>
      <c r="I1114" s="21">
        <v>38</v>
      </c>
      <c r="J1114" s="21" t="s">
        <v>85</v>
      </c>
      <c r="K1114" s="21">
        <v>75309702</v>
      </c>
      <c r="L1114" s="21" t="str">
        <f>RIGHT(КХЛ!$H1114,4)</f>
        <v>1979</v>
      </c>
    </row>
    <row r="1115" spans="5:12" ht="15.75" customHeight="1" x14ac:dyDescent="0.2">
      <c r="E1115" s="21">
        <v>617</v>
      </c>
      <c r="F1115" s="21" t="s">
        <v>2223</v>
      </c>
      <c r="G1115" s="21" t="s">
        <v>91</v>
      </c>
      <c r="H1115" s="24" t="s">
        <v>2224</v>
      </c>
      <c r="I1115" s="21">
        <v>27</v>
      </c>
      <c r="J1115" s="21" t="s">
        <v>89</v>
      </c>
      <c r="K1115" s="21">
        <v>31451063</v>
      </c>
      <c r="L1115" s="21" t="str">
        <f>RIGHT(КХЛ!$H1115,4)</f>
        <v>1990</v>
      </c>
    </row>
    <row r="1116" spans="5:12" ht="15.75" customHeight="1" x14ac:dyDescent="0.2">
      <c r="E1116" s="21">
        <v>675</v>
      </c>
      <c r="F1116" s="21" t="s">
        <v>2225</v>
      </c>
      <c r="G1116" s="21" t="s">
        <v>91</v>
      </c>
      <c r="H1116" s="24" t="s">
        <v>2226</v>
      </c>
      <c r="I1116" s="21">
        <v>30</v>
      </c>
      <c r="J1116" s="21" t="s">
        <v>2227</v>
      </c>
      <c r="K1116" s="21">
        <v>37385295</v>
      </c>
      <c r="L1116" s="21" t="str">
        <f>RIGHT(КХЛ!$H1116,4)</f>
        <v>1987</v>
      </c>
    </row>
    <row r="1117" spans="5:12" ht="15.75" customHeight="1" x14ac:dyDescent="0.2">
      <c r="E1117" s="21">
        <v>639</v>
      </c>
      <c r="F1117" s="21" t="s">
        <v>2228</v>
      </c>
      <c r="G1117" s="21" t="s">
        <v>91</v>
      </c>
      <c r="H1117" s="24" t="s">
        <v>2229</v>
      </c>
      <c r="I1117" s="21">
        <v>24</v>
      </c>
      <c r="J1117" s="21" t="s">
        <v>89</v>
      </c>
      <c r="K1117" s="21">
        <v>28017695</v>
      </c>
      <c r="L1117" s="21" t="str">
        <f>RIGHT(КХЛ!$H1117,4)</f>
        <v>1993</v>
      </c>
    </row>
    <row r="1118" spans="5:12" ht="15.75" customHeight="1" x14ac:dyDescent="0.2">
      <c r="E1118" s="21">
        <v>20</v>
      </c>
      <c r="F1118" s="21" t="s">
        <v>2230</v>
      </c>
      <c r="G1118" s="21" t="s">
        <v>91</v>
      </c>
      <c r="H1118" s="24" t="s">
        <v>2231</v>
      </c>
      <c r="I1118" s="21">
        <v>41</v>
      </c>
      <c r="J1118" s="21" t="s">
        <v>89</v>
      </c>
      <c r="K1118" s="21">
        <v>19530684</v>
      </c>
      <c r="L1118" s="21" t="str">
        <f>RIGHT(КХЛ!$H1118,4)</f>
        <v>1976</v>
      </c>
    </row>
    <row r="1119" spans="5:12" ht="15.75" customHeight="1" x14ac:dyDescent="0.2">
      <c r="E1119" s="21">
        <v>410</v>
      </c>
      <c r="F1119" s="21" t="s">
        <v>2232</v>
      </c>
      <c r="G1119" s="21" t="s">
        <v>91</v>
      </c>
      <c r="H1119" s="24" t="s">
        <v>2233</v>
      </c>
      <c r="I1119" s="21">
        <v>24</v>
      </c>
      <c r="J1119" s="21" t="s">
        <v>89</v>
      </c>
      <c r="K1119" s="21">
        <v>60350037</v>
      </c>
      <c r="L1119" s="21" t="str">
        <f>RIGHT(КХЛ!$H1119,4)</f>
        <v>1993</v>
      </c>
    </row>
    <row r="1120" spans="5:12" ht="15.75" customHeight="1" x14ac:dyDescent="0.2">
      <c r="E1120" s="21">
        <v>1041</v>
      </c>
      <c r="F1120" s="21" t="s">
        <v>2234</v>
      </c>
      <c r="G1120" s="21" t="s">
        <v>91</v>
      </c>
      <c r="H1120" s="24" t="s">
        <v>2235</v>
      </c>
      <c r="I1120" s="21">
        <v>18</v>
      </c>
      <c r="J1120" s="21" t="s">
        <v>89</v>
      </c>
      <c r="K1120" s="21">
        <v>24364019</v>
      </c>
      <c r="L1120" s="21" t="str">
        <f>RIGHT(КХЛ!$H1120,4)</f>
        <v>1999</v>
      </c>
    </row>
    <row r="1121" spans="5:12" ht="15.75" customHeight="1" x14ac:dyDescent="0.2">
      <c r="E1121" s="21">
        <v>1548</v>
      </c>
      <c r="F1121" s="21" t="s">
        <v>2236</v>
      </c>
      <c r="G1121" s="21" t="s">
        <v>91</v>
      </c>
      <c r="H1121" s="24" t="s">
        <v>2193</v>
      </c>
      <c r="I1121" s="21">
        <v>20</v>
      </c>
      <c r="J1121" s="21" t="s">
        <v>89</v>
      </c>
      <c r="K1121" s="21">
        <v>73946166</v>
      </c>
      <c r="L1121" s="21" t="str">
        <f>RIGHT(КХЛ!$H1121,4)</f>
        <v>1997</v>
      </c>
    </row>
    <row r="1122" spans="5:12" ht="15.75" customHeight="1" x14ac:dyDescent="0.2">
      <c r="E1122" s="21">
        <v>164</v>
      </c>
      <c r="F1122" s="21" t="s">
        <v>2237</v>
      </c>
      <c r="G1122" s="21" t="s">
        <v>91</v>
      </c>
      <c r="H1122" s="24" t="s">
        <v>2238</v>
      </c>
      <c r="I1122" s="21">
        <v>41</v>
      </c>
      <c r="J1122" s="21" t="s">
        <v>222</v>
      </c>
      <c r="K1122" s="21">
        <v>68192629</v>
      </c>
      <c r="L1122" s="21" t="str">
        <f>RIGHT(КХЛ!$H1122,4)</f>
        <v>1976</v>
      </c>
    </row>
    <row r="1123" spans="5:12" ht="15.75" customHeight="1" x14ac:dyDescent="0.2">
      <c r="E1123" s="21">
        <v>231</v>
      </c>
      <c r="F1123" s="21" t="s">
        <v>2239</v>
      </c>
      <c r="G1123" s="21" t="s">
        <v>83</v>
      </c>
      <c r="H1123" s="24" t="s">
        <v>2240</v>
      </c>
      <c r="I1123" s="21">
        <v>27</v>
      </c>
      <c r="J1123" s="21" t="s">
        <v>132</v>
      </c>
      <c r="K1123" s="21">
        <v>79157491</v>
      </c>
      <c r="L1123" s="21" t="str">
        <f>RIGHT(КХЛ!$H1123,4)</f>
        <v>1990</v>
      </c>
    </row>
    <row r="1124" spans="5:12" ht="15.75" customHeight="1" x14ac:dyDescent="0.2">
      <c r="E1124" s="21">
        <v>557</v>
      </c>
      <c r="F1124" s="21" t="s">
        <v>2241</v>
      </c>
      <c r="G1124" s="21" t="s">
        <v>87</v>
      </c>
      <c r="H1124" s="24" t="s">
        <v>2242</v>
      </c>
      <c r="I1124" s="21">
        <v>25</v>
      </c>
      <c r="J1124" s="21" t="s">
        <v>89</v>
      </c>
      <c r="K1124" s="21">
        <v>90938888</v>
      </c>
      <c r="L1124" s="21" t="str">
        <f>RIGHT(КХЛ!$H1124,4)</f>
        <v>1992</v>
      </c>
    </row>
    <row r="1125" spans="5:12" ht="15.75" customHeight="1" x14ac:dyDescent="0.2">
      <c r="E1125" s="21">
        <v>872</v>
      </c>
      <c r="F1125" s="21" t="s">
        <v>2243</v>
      </c>
      <c r="G1125" s="21" t="s">
        <v>91</v>
      </c>
      <c r="H1125" s="24" t="s">
        <v>2244</v>
      </c>
      <c r="I1125" s="21">
        <v>30</v>
      </c>
      <c r="J1125" s="21" t="s">
        <v>89</v>
      </c>
      <c r="K1125" s="21">
        <v>84031483</v>
      </c>
      <c r="L1125" s="21" t="str">
        <f>RIGHT(КХЛ!$H1125,4)</f>
        <v>1987</v>
      </c>
    </row>
    <row r="1126" spans="5:12" ht="15.75" customHeight="1" x14ac:dyDescent="0.2">
      <c r="E1126" s="21">
        <v>345</v>
      </c>
      <c r="F1126" s="21" t="s">
        <v>2245</v>
      </c>
      <c r="G1126" s="21" t="s">
        <v>91</v>
      </c>
      <c r="H1126" s="24" t="s">
        <v>706</v>
      </c>
      <c r="I1126" s="21">
        <v>22</v>
      </c>
      <c r="J1126" s="21" t="s">
        <v>89</v>
      </c>
      <c r="K1126" s="21">
        <v>7996448</v>
      </c>
      <c r="L1126" s="21" t="str">
        <f>RIGHT(КХЛ!$H1126,4)</f>
        <v>1995</v>
      </c>
    </row>
    <row r="1127" spans="5:12" ht="15.75" customHeight="1" x14ac:dyDescent="0.2">
      <c r="E1127" s="21">
        <v>914</v>
      </c>
      <c r="F1127" s="21" t="s">
        <v>2246</v>
      </c>
      <c r="G1127" s="21" t="s">
        <v>91</v>
      </c>
      <c r="H1127" s="24" t="s">
        <v>2247</v>
      </c>
      <c r="I1127" s="21">
        <v>19</v>
      </c>
      <c r="J1127" s="21" t="s">
        <v>89</v>
      </c>
      <c r="K1127" s="21">
        <v>7199948</v>
      </c>
      <c r="L1127" s="21" t="str">
        <f>RIGHT(КХЛ!$H1127,4)</f>
        <v>1998</v>
      </c>
    </row>
    <row r="1128" spans="5:12" ht="15.75" customHeight="1" x14ac:dyDescent="0.2">
      <c r="E1128" s="21">
        <v>1024</v>
      </c>
      <c r="F1128" s="21" t="s">
        <v>2248</v>
      </c>
      <c r="G1128" s="21" t="s">
        <v>91</v>
      </c>
      <c r="H1128" s="24" t="s">
        <v>2249</v>
      </c>
      <c r="I1128" s="21">
        <v>27</v>
      </c>
      <c r="J1128" s="21" t="s">
        <v>89</v>
      </c>
      <c r="K1128" s="21">
        <v>19652946</v>
      </c>
      <c r="L1128" s="21" t="str">
        <f>RIGHT(КХЛ!$H1128,4)</f>
        <v>1990</v>
      </c>
    </row>
    <row r="1129" spans="5:12" ht="15.75" customHeight="1" x14ac:dyDescent="0.2">
      <c r="E1129" s="21">
        <v>564</v>
      </c>
      <c r="F1129" s="21" t="s">
        <v>2250</v>
      </c>
      <c r="G1129" s="21" t="s">
        <v>83</v>
      </c>
      <c r="H1129" s="24" t="s">
        <v>714</v>
      </c>
      <c r="I1129" s="21">
        <v>25</v>
      </c>
      <c r="J1129" s="21" t="s">
        <v>89</v>
      </c>
      <c r="K1129" s="21">
        <v>48413762</v>
      </c>
      <c r="L1129" s="21" t="str">
        <f>RIGHT(КХЛ!$H1129,4)</f>
        <v>1992</v>
      </c>
    </row>
    <row r="1130" spans="5:12" ht="15.75" customHeight="1" x14ac:dyDescent="0.2">
      <c r="E1130" s="21">
        <v>931</v>
      </c>
      <c r="F1130" s="21" t="s">
        <v>2251</v>
      </c>
      <c r="G1130" s="21" t="s">
        <v>83</v>
      </c>
      <c r="H1130" s="24" t="s">
        <v>2252</v>
      </c>
      <c r="I1130" s="21">
        <v>27</v>
      </c>
      <c r="J1130" s="21" t="s">
        <v>169</v>
      </c>
      <c r="K1130" s="21">
        <v>68948264</v>
      </c>
      <c r="L1130" s="21" t="str">
        <f>RIGHT(КХЛ!$H1130,4)</f>
        <v>1990</v>
      </c>
    </row>
    <row r="1131" spans="5:12" ht="15.75" customHeight="1" x14ac:dyDescent="0.2">
      <c r="E1131" s="21">
        <v>512</v>
      </c>
      <c r="F1131" s="21" t="s">
        <v>2253</v>
      </c>
      <c r="G1131" s="21" t="s">
        <v>87</v>
      </c>
      <c r="H1131" s="24" t="s">
        <v>2254</v>
      </c>
      <c r="I1131" s="21">
        <v>41</v>
      </c>
      <c r="J1131" s="21" t="s">
        <v>89</v>
      </c>
      <c r="K1131" s="21">
        <v>34845347</v>
      </c>
      <c r="L1131" s="21" t="str">
        <f>RIGHT(КХЛ!$H1131,4)</f>
        <v>1976</v>
      </c>
    </row>
    <row r="1132" spans="5:12" ht="15.75" customHeight="1" x14ac:dyDescent="0.2">
      <c r="E1132" s="21">
        <v>613</v>
      </c>
      <c r="F1132" s="21" t="s">
        <v>2255</v>
      </c>
      <c r="G1132" s="21" t="s">
        <v>83</v>
      </c>
      <c r="H1132" s="24" t="s">
        <v>2256</v>
      </c>
      <c r="I1132" s="21">
        <v>32</v>
      </c>
      <c r="J1132" s="21" t="s">
        <v>152</v>
      </c>
      <c r="K1132" s="21">
        <v>7431088</v>
      </c>
      <c r="L1132" s="21" t="str">
        <f>RIGHT(КХЛ!$H1132,4)</f>
        <v>1985</v>
      </c>
    </row>
    <row r="1133" spans="5:12" ht="15.75" customHeight="1" x14ac:dyDescent="0.2">
      <c r="E1133" s="21">
        <v>1106</v>
      </c>
      <c r="F1133" s="21" t="s">
        <v>2257</v>
      </c>
      <c r="G1133" s="21" t="s">
        <v>91</v>
      </c>
      <c r="H1133" s="24" t="s">
        <v>2258</v>
      </c>
      <c r="I1133" s="21">
        <v>42</v>
      </c>
      <c r="J1133" s="21" t="s">
        <v>222</v>
      </c>
      <c r="K1133" s="21">
        <v>35909649</v>
      </c>
      <c r="L1133" s="21" t="str">
        <f>RIGHT(КХЛ!$H1133,4)</f>
        <v>1975</v>
      </c>
    </row>
    <row r="1134" spans="5:12" ht="15.75" customHeight="1" x14ac:dyDescent="0.2">
      <c r="E1134" s="21">
        <v>882</v>
      </c>
      <c r="F1134" s="21" t="s">
        <v>1680</v>
      </c>
      <c r="G1134" s="21" t="s">
        <v>91</v>
      </c>
      <c r="H1134" s="24" t="s">
        <v>1681</v>
      </c>
      <c r="I1134" s="21">
        <v>35</v>
      </c>
      <c r="J1134" s="21" t="s">
        <v>89</v>
      </c>
      <c r="K1134" s="21">
        <v>50692068</v>
      </c>
      <c r="L1134" s="21" t="str">
        <f>RIGHT(КХЛ!$H1134,4)</f>
        <v>1982</v>
      </c>
    </row>
    <row r="1135" spans="5:12" ht="15.75" customHeight="1" x14ac:dyDescent="0.2">
      <c r="E1135" s="21">
        <v>8</v>
      </c>
      <c r="F1135" s="21" t="s">
        <v>2259</v>
      </c>
      <c r="G1135" s="21" t="s">
        <v>91</v>
      </c>
      <c r="H1135" s="24" t="s">
        <v>1435</v>
      </c>
      <c r="I1135" s="21">
        <v>22</v>
      </c>
      <c r="J1135" s="21" t="s">
        <v>282</v>
      </c>
      <c r="K1135" s="21">
        <v>33597742</v>
      </c>
      <c r="L1135" s="21" t="str">
        <f>RIGHT(КХЛ!$H1135,4)</f>
        <v>1996</v>
      </c>
    </row>
    <row r="1136" spans="5:12" ht="15.75" customHeight="1" x14ac:dyDescent="0.2">
      <c r="E1136" s="21">
        <v>1555</v>
      </c>
      <c r="F1136" s="21" t="s">
        <v>2260</v>
      </c>
      <c r="G1136" s="21" t="s">
        <v>91</v>
      </c>
      <c r="H1136" s="24" t="s">
        <v>2261</v>
      </c>
      <c r="I1136" s="21">
        <v>39</v>
      </c>
      <c r="J1136" s="21" t="s">
        <v>169</v>
      </c>
      <c r="K1136" s="21">
        <v>2435934</v>
      </c>
      <c r="L1136" s="21" t="str">
        <f>RIGHT(КХЛ!$H1136,4)</f>
        <v>1978</v>
      </c>
    </row>
    <row r="1137" spans="5:12" ht="15.75" customHeight="1" x14ac:dyDescent="0.2">
      <c r="E1137" s="21">
        <v>809</v>
      </c>
      <c r="F1137" s="21" t="s">
        <v>2262</v>
      </c>
      <c r="G1137" s="21" t="s">
        <v>87</v>
      </c>
      <c r="H1137" s="24" t="s">
        <v>2263</v>
      </c>
      <c r="I1137" s="21">
        <v>30</v>
      </c>
      <c r="J1137" s="21" t="s">
        <v>89</v>
      </c>
      <c r="K1137" s="21">
        <v>33885495</v>
      </c>
      <c r="L1137" s="21" t="str">
        <f>RIGHT(КХЛ!$H1137,4)</f>
        <v>1987</v>
      </c>
    </row>
    <row r="1138" spans="5:12" ht="15.75" customHeight="1" x14ac:dyDescent="0.2">
      <c r="E1138" s="21">
        <v>30</v>
      </c>
      <c r="F1138" s="21" t="s">
        <v>313</v>
      </c>
      <c r="G1138" s="21" t="s">
        <v>91</v>
      </c>
      <c r="H1138" s="24" t="s">
        <v>2264</v>
      </c>
      <c r="I1138" s="21">
        <v>22</v>
      </c>
      <c r="J1138" s="21" t="s">
        <v>89</v>
      </c>
      <c r="K1138" s="21">
        <v>27272412</v>
      </c>
      <c r="L1138" s="21" t="str">
        <f>RIGHT(КХЛ!$H1138,4)</f>
        <v>1995</v>
      </c>
    </row>
    <row r="1139" spans="5:12" ht="15.75" customHeight="1" x14ac:dyDescent="0.2">
      <c r="E1139" s="21">
        <v>1610</v>
      </c>
      <c r="F1139" s="21" t="s">
        <v>2265</v>
      </c>
      <c r="G1139" s="21" t="s">
        <v>87</v>
      </c>
      <c r="H1139" s="24" t="s">
        <v>792</v>
      </c>
      <c r="I1139" s="21">
        <v>19</v>
      </c>
      <c r="J1139" s="21" t="s">
        <v>89</v>
      </c>
      <c r="K1139" s="21">
        <v>60361368</v>
      </c>
      <c r="L1139" s="21" t="str">
        <f>RIGHT(КХЛ!$H1139,4)</f>
        <v>1998</v>
      </c>
    </row>
    <row r="1140" spans="5:12" ht="15.75" customHeight="1" x14ac:dyDescent="0.2">
      <c r="E1140" s="21">
        <v>531</v>
      </c>
      <c r="F1140" s="21" t="s">
        <v>2266</v>
      </c>
      <c r="G1140" s="21" t="s">
        <v>87</v>
      </c>
      <c r="H1140" s="24" t="s">
        <v>343</v>
      </c>
      <c r="I1140" s="21">
        <v>23</v>
      </c>
      <c r="J1140" s="21" t="s">
        <v>89</v>
      </c>
      <c r="K1140" s="21">
        <v>98534949</v>
      </c>
      <c r="L1140" s="21" t="str">
        <f>RIGHT(КХЛ!$H1140,4)</f>
        <v>1995</v>
      </c>
    </row>
    <row r="1141" spans="5:12" ht="15.75" customHeight="1" x14ac:dyDescent="0.2">
      <c r="E1141" s="21">
        <v>188</v>
      </c>
      <c r="F1141" s="21" t="s">
        <v>2267</v>
      </c>
      <c r="G1141" s="21" t="s">
        <v>91</v>
      </c>
      <c r="H1141" s="24" t="s">
        <v>2268</v>
      </c>
      <c r="I1141" s="21">
        <v>20</v>
      </c>
      <c r="J1141" s="21" t="s">
        <v>89</v>
      </c>
      <c r="K1141" s="21">
        <v>89236914</v>
      </c>
      <c r="L1141" s="21" t="str">
        <f>RIGHT(КХЛ!$H1141,4)</f>
        <v>1997</v>
      </c>
    </row>
    <row r="1142" spans="5:12" ht="15.75" customHeight="1" x14ac:dyDescent="0.2">
      <c r="E1142" s="21">
        <v>684</v>
      </c>
      <c r="F1142" s="21" t="s">
        <v>2269</v>
      </c>
      <c r="G1142" s="21" t="s">
        <v>91</v>
      </c>
      <c r="H1142" s="24" t="s">
        <v>2270</v>
      </c>
      <c r="I1142" s="21">
        <v>38</v>
      </c>
      <c r="J1142" s="21" t="s">
        <v>89</v>
      </c>
      <c r="K1142" s="21">
        <v>73194716</v>
      </c>
      <c r="L1142" s="21" t="str">
        <f>RIGHT(КХЛ!$H1142,4)</f>
        <v>1979</v>
      </c>
    </row>
    <row r="1143" spans="5:12" ht="15.75" customHeight="1" x14ac:dyDescent="0.2">
      <c r="E1143" s="21">
        <v>435</v>
      </c>
      <c r="F1143" s="21" t="s">
        <v>1495</v>
      </c>
      <c r="G1143" s="21" t="s">
        <v>83</v>
      </c>
      <c r="H1143" s="24" t="s">
        <v>671</v>
      </c>
      <c r="I1143" s="21">
        <v>32</v>
      </c>
      <c r="J1143" s="21" t="s">
        <v>89</v>
      </c>
      <c r="K1143" s="21">
        <v>85523434</v>
      </c>
      <c r="L1143" s="21" t="str">
        <f>RIGHT(КХЛ!$H1143,4)</f>
        <v>1985</v>
      </c>
    </row>
    <row r="1144" spans="5:12" ht="15.75" customHeight="1" x14ac:dyDescent="0.2">
      <c r="E1144" s="21">
        <v>249</v>
      </c>
      <c r="F1144" s="21" t="s">
        <v>2271</v>
      </c>
      <c r="G1144" s="21" t="s">
        <v>91</v>
      </c>
      <c r="H1144" s="24" t="s">
        <v>2272</v>
      </c>
      <c r="I1144" s="21">
        <v>31</v>
      </c>
      <c r="J1144" s="21" t="s">
        <v>169</v>
      </c>
      <c r="K1144" s="21">
        <v>26238281</v>
      </c>
      <c r="L1144" s="21" t="str">
        <f>RIGHT(КХЛ!$H1144,4)</f>
        <v>1986</v>
      </c>
    </row>
    <row r="1145" spans="5:12" ht="15.75" customHeight="1" x14ac:dyDescent="0.2">
      <c r="E1145" s="21">
        <v>621</v>
      </c>
      <c r="F1145" s="21" t="s">
        <v>2273</v>
      </c>
      <c r="G1145" s="21" t="s">
        <v>91</v>
      </c>
      <c r="H1145" s="24" t="s">
        <v>2274</v>
      </c>
      <c r="I1145" s="21">
        <v>25</v>
      </c>
      <c r="J1145" s="21" t="s">
        <v>89</v>
      </c>
      <c r="K1145" s="21">
        <v>66350806</v>
      </c>
      <c r="L1145" s="21" t="str">
        <f>RIGHT(КХЛ!$H1145,4)</f>
        <v>1992</v>
      </c>
    </row>
    <row r="1146" spans="5:12" ht="15.75" customHeight="1" x14ac:dyDescent="0.2">
      <c r="E1146" s="21">
        <v>1559</v>
      </c>
      <c r="F1146" s="21" t="s">
        <v>2275</v>
      </c>
      <c r="G1146" s="21" t="s">
        <v>91</v>
      </c>
      <c r="H1146" s="24" t="s">
        <v>2276</v>
      </c>
      <c r="I1146" s="21">
        <v>34</v>
      </c>
      <c r="J1146" s="21" t="s">
        <v>89</v>
      </c>
      <c r="K1146" s="21">
        <v>9244000</v>
      </c>
      <c r="L1146" s="21" t="str">
        <f>RIGHT(КХЛ!$H1146,4)</f>
        <v>1983</v>
      </c>
    </row>
    <row r="1147" spans="5:12" ht="15.75" customHeight="1" x14ac:dyDescent="0.2">
      <c r="E1147" s="21">
        <v>261</v>
      </c>
      <c r="F1147" s="21" t="s">
        <v>2277</v>
      </c>
      <c r="G1147" s="21" t="s">
        <v>91</v>
      </c>
      <c r="H1147" s="24" t="s">
        <v>2278</v>
      </c>
      <c r="I1147" s="21">
        <v>21</v>
      </c>
      <c r="J1147" s="21" t="s">
        <v>89</v>
      </c>
      <c r="K1147" s="21">
        <v>51115447</v>
      </c>
      <c r="L1147" s="21" t="str">
        <f>RIGHT(КХЛ!$H1147,4)</f>
        <v>1996</v>
      </c>
    </row>
    <row r="1148" spans="5:12" ht="15.75" customHeight="1" x14ac:dyDescent="0.2">
      <c r="E1148" s="21">
        <v>249</v>
      </c>
      <c r="F1148" s="21" t="s">
        <v>2279</v>
      </c>
      <c r="G1148" s="21" t="s">
        <v>91</v>
      </c>
      <c r="H1148" s="24" t="s">
        <v>2280</v>
      </c>
      <c r="I1148" s="21">
        <v>30</v>
      </c>
      <c r="J1148" s="21" t="s">
        <v>89</v>
      </c>
      <c r="K1148" s="21">
        <v>26127250</v>
      </c>
      <c r="L1148" s="21" t="str">
        <f>RIGHT(КХЛ!$H1148,4)</f>
        <v>1988</v>
      </c>
    </row>
    <row r="1149" spans="5:12" ht="15.75" customHeight="1" x14ac:dyDescent="0.2">
      <c r="E1149" s="21">
        <v>619</v>
      </c>
      <c r="F1149" s="21" t="s">
        <v>2281</v>
      </c>
      <c r="G1149" s="21" t="s">
        <v>91</v>
      </c>
      <c r="H1149" s="24" t="s">
        <v>2282</v>
      </c>
      <c r="I1149" s="21">
        <v>27</v>
      </c>
      <c r="J1149" s="21" t="s">
        <v>152</v>
      </c>
      <c r="K1149" s="21">
        <v>99223962</v>
      </c>
      <c r="L1149" s="21" t="str">
        <f>RIGHT(КХЛ!$H1149,4)</f>
        <v>1990</v>
      </c>
    </row>
    <row r="1150" spans="5:12" ht="15.75" customHeight="1" x14ac:dyDescent="0.2">
      <c r="E1150" s="21">
        <v>777</v>
      </c>
      <c r="F1150" s="21" t="s">
        <v>2283</v>
      </c>
      <c r="G1150" s="21" t="s">
        <v>91</v>
      </c>
      <c r="H1150" s="24" t="s">
        <v>2284</v>
      </c>
      <c r="I1150" s="21">
        <v>23</v>
      </c>
      <c r="J1150" s="21" t="s">
        <v>89</v>
      </c>
      <c r="K1150" s="21">
        <v>13978722</v>
      </c>
      <c r="L1150" s="21" t="str">
        <f>RIGHT(КХЛ!$H1150,4)</f>
        <v>1994</v>
      </c>
    </row>
    <row r="1151" spans="5:12" ht="15.75" customHeight="1" x14ac:dyDescent="0.2">
      <c r="E1151" s="21">
        <v>523</v>
      </c>
      <c r="F1151" s="21" t="s">
        <v>2285</v>
      </c>
      <c r="G1151" s="21" t="s">
        <v>91</v>
      </c>
      <c r="H1151" s="24" t="s">
        <v>2286</v>
      </c>
      <c r="I1151" s="21">
        <v>34</v>
      </c>
      <c r="J1151" s="21" t="s">
        <v>222</v>
      </c>
      <c r="K1151" s="21">
        <v>50773445</v>
      </c>
      <c r="L1151" s="21" t="str">
        <f>RIGHT(КХЛ!$H1151,4)</f>
        <v>1983</v>
      </c>
    </row>
    <row r="1152" spans="5:12" ht="15.75" customHeight="1" x14ac:dyDescent="0.2">
      <c r="E1152" s="21">
        <v>1166</v>
      </c>
      <c r="F1152" s="21" t="s">
        <v>2287</v>
      </c>
      <c r="G1152" s="21" t="s">
        <v>83</v>
      </c>
      <c r="H1152" s="24" t="s">
        <v>2288</v>
      </c>
      <c r="I1152" s="21">
        <v>28</v>
      </c>
      <c r="J1152" s="21" t="s">
        <v>89</v>
      </c>
      <c r="K1152" s="21">
        <v>73590685</v>
      </c>
      <c r="L1152" s="21" t="str">
        <f>RIGHT(КХЛ!$H1152,4)</f>
        <v>1990</v>
      </c>
    </row>
    <row r="1153" spans="5:12" ht="15.75" customHeight="1" x14ac:dyDescent="0.2">
      <c r="E1153" s="21">
        <v>647</v>
      </c>
      <c r="F1153" s="21" t="s">
        <v>2289</v>
      </c>
      <c r="G1153" s="21" t="s">
        <v>91</v>
      </c>
      <c r="H1153" s="24" t="s">
        <v>1931</v>
      </c>
      <c r="I1153" s="21">
        <v>26</v>
      </c>
      <c r="J1153" s="21" t="s">
        <v>89</v>
      </c>
      <c r="K1153" s="21">
        <v>1318043</v>
      </c>
      <c r="L1153" s="21" t="str">
        <f>RIGHT(КХЛ!$H1153,4)</f>
        <v>1991</v>
      </c>
    </row>
    <row r="1154" spans="5:12" ht="15.75" customHeight="1" x14ac:dyDescent="0.2">
      <c r="E1154" s="21">
        <v>695</v>
      </c>
      <c r="F1154" s="21" t="s">
        <v>2290</v>
      </c>
      <c r="G1154" s="21" t="s">
        <v>83</v>
      </c>
      <c r="H1154" s="24" t="s">
        <v>2291</v>
      </c>
      <c r="I1154" s="21">
        <v>31</v>
      </c>
      <c r="J1154" s="21" t="s">
        <v>89</v>
      </c>
      <c r="K1154" s="21">
        <v>24419414</v>
      </c>
      <c r="L1154" s="21" t="str">
        <f>RIGHT(КХЛ!$H1154,4)</f>
        <v>1986</v>
      </c>
    </row>
    <row r="1155" spans="5:12" ht="15.75" customHeight="1" x14ac:dyDescent="0.2">
      <c r="E1155" s="21">
        <v>1375</v>
      </c>
      <c r="F1155" s="21" t="s">
        <v>2292</v>
      </c>
      <c r="G1155" s="21" t="s">
        <v>83</v>
      </c>
      <c r="H1155" s="24" t="s">
        <v>2293</v>
      </c>
      <c r="I1155" s="21">
        <v>23</v>
      </c>
      <c r="J1155" s="21" t="s">
        <v>93</v>
      </c>
      <c r="K1155" s="21">
        <v>45758626</v>
      </c>
      <c r="L1155" s="21" t="str">
        <f>RIGHT(КХЛ!$H1155,4)</f>
        <v>1994</v>
      </c>
    </row>
    <row r="1156" spans="5:12" ht="15.75" customHeight="1" x14ac:dyDescent="0.2">
      <c r="E1156" s="21">
        <v>166</v>
      </c>
      <c r="F1156" s="21" t="s">
        <v>2294</v>
      </c>
      <c r="G1156" s="21" t="s">
        <v>91</v>
      </c>
      <c r="H1156" s="24" t="s">
        <v>1235</v>
      </c>
      <c r="I1156" s="21">
        <v>24</v>
      </c>
      <c r="J1156" s="21" t="s">
        <v>85</v>
      </c>
      <c r="K1156" s="21">
        <v>70898277</v>
      </c>
      <c r="L1156" s="21" t="str">
        <f>RIGHT(КХЛ!$H1156,4)</f>
        <v>1993</v>
      </c>
    </row>
    <row r="1157" spans="5:12" ht="15.75" customHeight="1" x14ac:dyDescent="0.2">
      <c r="E1157" s="21">
        <v>1069</v>
      </c>
      <c r="F1157" s="21" t="s">
        <v>2295</v>
      </c>
      <c r="G1157" s="21" t="s">
        <v>91</v>
      </c>
      <c r="H1157" s="24" t="s">
        <v>2296</v>
      </c>
      <c r="I1157" s="21">
        <v>42</v>
      </c>
      <c r="J1157" s="21" t="s">
        <v>89</v>
      </c>
      <c r="K1157" s="21">
        <v>50751698</v>
      </c>
      <c r="L1157" s="21" t="str">
        <f>RIGHT(КХЛ!$H1157,4)</f>
        <v>1975</v>
      </c>
    </row>
    <row r="1158" spans="5:12" ht="15.75" customHeight="1" x14ac:dyDescent="0.2">
      <c r="E1158" s="21">
        <v>853</v>
      </c>
      <c r="F1158" s="21" t="s">
        <v>2297</v>
      </c>
      <c r="G1158" s="21" t="s">
        <v>83</v>
      </c>
      <c r="H1158" s="24" t="s">
        <v>2298</v>
      </c>
      <c r="I1158" s="21">
        <v>22</v>
      </c>
      <c r="J1158" s="21" t="s">
        <v>241</v>
      </c>
      <c r="K1158" s="21">
        <v>30603249</v>
      </c>
      <c r="L1158" s="21" t="str">
        <f>RIGHT(КХЛ!$H1158,4)</f>
        <v>1995</v>
      </c>
    </row>
    <row r="1159" spans="5:12" ht="15.75" customHeight="1" x14ac:dyDescent="0.2">
      <c r="E1159" s="21">
        <v>1318</v>
      </c>
      <c r="F1159" s="21" t="s">
        <v>2299</v>
      </c>
      <c r="G1159" s="21" t="s">
        <v>91</v>
      </c>
      <c r="H1159" s="24" t="s">
        <v>1718</v>
      </c>
      <c r="I1159" s="21">
        <v>37</v>
      </c>
      <c r="J1159" s="21" t="s">
        <v>89</v>
      </c>
      <c r="K1159" s="21">
        <v>67216644</v>
      </c>
      <c r="L1159" s="21" t="str">
        <f>RIGHT(КХЛ!$H1159,4)</f>
        <v>1980</v>
      </c>
    </row>
    <row r="1160" spans="5:12" ht="15.75" customHeight="1" x14ac:dyDescent="0.2">
      <c r="E1160" s="21">
        <v>300</v>
      </c>
      <c r="F1160" s="21" t="s">
        <v>2300</v>
      </c>
      <c r="G1160" s="21" t="s">
        <v>87</v>
      </c>
      <c r="H1160" s="24" t="s">
        <v>2301</v>
      </c>
      <c r="I1160" s="21">
        <v>33</v>
      </c>
      <c r="J1160" s="21" t="s">
        <v>132</v>
      </c>
      <c r="K1160" s="21">
        <v>48954967</v>
      </c>
      <c r="L1160" s="21" t="str">
        <f>RIGHT(КХЛ!$H1160,4)</f>
        <v>1984</v>
      </c>
    </row>
    <row r="1161" spans="5:12" ht="15.75" customHeight="1" x14ac:dyDescent="0.2">
      <c r="E1161" s="21">
        <v>714</v>
      </c>
      <c r="F1161" s="21" t="s">
        <v>2302</v>
      </c>
      <c r="G1161" s="21" t="s">
        <v>91</v>
      </c>
      <c r="H1161" s="24" t="s">
        <v>2303</v>
      </c>
      <c r="I1161" s="21">
        <v>30</v>
      </c>
      <c r="J1161" s="21" t="s">
        <v>282</v>
      </c>
      <c r="K1161" s="21">
        <v>98693010</v>
      </c>
      <c r="L1161" s="21" t="str">
        <f>RIGHT(КХЛ!$H1161,4)</f>
        <v>1987</v>
      </c>
    </row>
    <row r="1162" spans="5:12" ht="15.75" customHeight="1" x14ac:dyDescent="0.2">
      <c r="E1162" s="21">
        <v>752</v>
      </c>
      <c r="F1162" s="21" t="s">
        <v>2304</v>
      </c>
      <c r="G1162" s="21" t="s">
        <v>91</v>
      </c>
      <c r="H1162" s="24" t="s">
        <v>2305</v>
      </c>
      <c r="I1162" s="21">
        <v>29</v>
      </c>
      <c r="J1162" s="21" t="s">
        <v>106</v>
      </c>
      <c r="K1162" s="21">
        <v>64994328</v>
      </c>
      <c r="L1162" s="21" t="str">
        <f>RIGHT(КХЛ!$H1162,4)</f>
        <v>1988</v>
      </c>
    </row>
    <row r="1163" spans="5:12" ht="15.75" customHeight="1" x14ac:dyDescent="0.2">
      <c r="E1163" s="21">
        <v>570</v>
      </c>
      <c r="F1163" s="21" t="s">
        <v>2306</v>
      </c>
      <c r="G1163" s="21" t="s">
        <v>91</v>
      </c>
      <c r="H1163" s="24" t="s">
        <v>2307</v>
      </c>
      <c r="I1163" s="21">
        <v>26</v>
      </c>
      <c r="J1163" s="21" t="s">
        <v>89</v>
      </c>
      <c r="K1163" s="21">
        <v>14051667</v>
      </c>
      <c r="L1163" s="21" t="str">
        <f>RIGHT(КХЛ!$H1163,4)</f>
        <v>1991</v>
      </c>
    </row>
    <row r="1164" spans="5:12" ht="15.75" customHeight="1" x14ac:dyDescent="0.2">
      <c r="E1164" s="21">
        <v>1358</v>
      </c>
      <c r="F1164" s="21" t="s">
        <v>2308</v>
      </c>
      <c r="G1164" s="21" t="s">
        <v>91</v>
      </c>
      <c r="H1164" s="24" t="s">
        <v>2309</v>
      </c>
      <c r="I1164" s="21">
        <v>23</v>
      </c>
      <c r="J1164" s="21" t="s">
        <v>241</v>
      </c>
      <c r="K1164" s="21">
        <v>47902163</v>
      </c>
      <c r="L1164" s="21" t="str">
        <f>RIGHT(КХЛ!$H1164,4)</f>
        <v>1994</v>
      </c>
    </row>
    <row r="1165" spans="5:12" ht="15.75" customHeight="1" x14ac:dyDescent="0.2">
      <c r="E1165" s="21">
        <v>149</v>
      </c>
      <c r="F1165" s="21" t="s">
        <v>2310</v>
      </c>
      <c r="G1165" s="21" t="s">
        <v>91</v>
      </c>
      <c r="H1165" s="24" t="s">
        <v>2311</v>
      </c>
      <c r="I1165" s="21">
        <v>26</v>
      </c>
      <c r="J1165" s="21" t="s">
        <v>89</v>
      </c>
      <c r="K1165" s="21">
        <v>65561021</v>
      </c>
      <c r="L1165" s="21" t="str">
        <f>RIGHT(КХЛ!$H1165,4)</f>
        <v>1991</v>
      </c>
    </row>
    <row r="1166" spans="5:12" ht="15.75" customHeight="1" x14ac:dyDescent="0.2">
      <c r="E1166" s="21">
        <v>254</v>
      </c>
      <c r="F1166" s="21" t="s">
        <v>1230</v>
      </c>
      <c r="G1166" s="21" t="s">
        <v>83</v>
      </c>
      <c r="H1166" s="24" t="s">
        <v>2312</v>
      </c>
      <c r="I1166" s="21">
        <v>42</v>
      </c>
      <c r="J1166" s="21" t="s">
        <v>89</v>
      </c>
      <c r="K1166" s="21">
        <v>59172930</v>
      </c>
      <c r="L1166" s="21" t="str">
        <f>RIGHT(КХЛ!$H1166,4)</f>
        <v>1975</v>
      </c>
    </row>
    <row r="1167" spans="5:12" ht="15.75" customHeight="1" x14ac:dyDescent="0.2">
      <c r="E1167" s="21">
        <v>1015</v>
      </c>
      <c r="F1167" s="21" t="s">
        <v>2035</v>
      </c>
      <c r="G1167" s="21" t="s">
        <v>91</v>
      </c>
      <c r="H1167" s="24" t="s">
        <v>2036</v>
      </c>
      <c r="I1167" s="21">
        <v>35</v>
      </c>
      <c r="J1167" s="21" t="s">
        <v>282</v>
      </c>
      <c r="K1167" s="21">
        <v>52247443</v>
      </c>
      <c r="L1167" s="21" t="str">
        <f>RIGHT(КХЛ!$H1167,4)</f>
        <v>1982</v>
      </c>
    </row>
    <row r="1168" spans="5:12" ht="15.75" customHeight="1" x14ac:dyDescent="0.2">
      <c r="E1168" s="21">
        <v>392</v>
      </c>
      <c r="F1168" s="21" t="s">
        <v>2313</v>
      </c>
      <c r="G1168" s="21" t="s">
        <v>83</v>
      </c>
      <c r="H1168" s="24" t="s">
        <v>2314</v>
      </c>
      <c r="I1168" s="21">
        <v>33</v>
      </c>
      <c r="J1168" s="21" t="s">
        <v>152</v>
      </c>
      <c r="K1168" s="21">
        <v>6548726</v>
      </c>
      <c r="L1168" s="21" t="str">
        <f>RIGHT(КХЛ!$H1168,4)</f>
        <v>1984</v>
      </c>
    </row>
    <row r="1169" spans="5:12" ht="15.75" customHeight="1" x14ac:dyDescent="0.2">
      <c r="E1169" s="21">
        <v>1377</v>
      </c>
      <c r="F1169" s="21" t="s">
        <v>2315</v>
      </c>
      <c r="G1169" s="21" t="s">
        <v>83</v>
      </c>
      <c r="H1169" s="24" t="s">
        <v>2316</v>
      </c>
      <c r="I1169" s="21">
        <v>25</v>
      </c>
      <c r="J1169" s="21" t="s">
        <v>89</v>
      </c>
      <c r="K1169" s="21">
        <v>29340145</v>
      </c>
      <c r="L1169" s="21" t="str">
        <f>RIGHT(КХЛ!$H1169,4)</f>
        <v>1992</v>
      </c>
    </row>
    <row r="1170" spans="5:12" ht="15.75" customHeight="1" x14ac:dyDescent="0.2">
      <c r="E1170" s="21">
        <v>24</v>
      </c>
      <c r="F1170" s="21" t="s">
        <v>2317</v>
      </c>
      <c r="G1170" s="21" t="s">
        <v>91</v>
      </c>
      <c r="H1170" s="24" t="s">
        <v>2318</v>
      </c>
      <c r="I1170" s="21">
        <v>20</v>
      </c>
      <c r="J1170" s="21" t="s">
        <v>93</v>
      </c>
      <c r="K1170" s="21">
        <v>36636648</v>
      </c>
      <c r="L1170" s="21" t="str">
        <f>RIGHT(КХЛ!$H1170,4)</f>
        <v>1997</v>
      </c>
    </row>
    <row r="1171" spans="5:12" ht="15.75" customHeight="1" x14ac:dyDescent="0.2">
      <c r="E1171" s="21">
        <v>955</v>
      </c>
      <c r="F1171" s="21" t="s">
        <v>2319</v>
      </c>
      <c r="G1171" s="21" t="s">
        <v>83</v>
      </c>
      <c r="H1171" s="24" t="s">
        <v>2320</v>
      </c>
      <c r="I1171" s="21">
        <v>41</v>
      </c>
      <c r="J1171" s="21" t="s">
        <v>89</v>
      </c>
      <c r="K1171" s="21">
        <v>6840894</v>
      </c>
      <c r="L1171" s="21" t="str">
        <f>RIGHT(КХЛ!$H1171,4)</f>
        <v>1976</v>
      </c>
    </row>
    <row r="1172" spans="5:12" ht="15.75" customHeight="1" x14ac:dyDescent="0.2">
      <c r="E1172" s="21">
        <v>934</v>
      </c>
      <c r="F1172" s="21" t="s">
        <v>486</v>
      </c>
      <c r="G1172" s="21" t="s">
        <v>87</v>
      </c>
      <c r="H1172" s="24" t="s">
        <v>487</v>
      </c>
      <c r="I1172" s="21">
        <v>24</v>
      </c>
      <c r="J1172" s="21" t="s">
        <v>169</v>
      </c>
      <c r="K1172" s="21">
        <v>91204980</v>
      </c>
      <c r="L1172" s="21" t="str">
        <f>RIGHT(КХЛ!$H1172,4)</f>
        <v>1993</v>
      </c>
    </row>
    <row r="1173" spans="5:12" ht="15.75" customHeight="1" x14ac:dyDescent="0.2">
      <c r="E1173" s="21">
        <v>1061</v>
      </c>
      <c r="F1173" s="21" t="s">
        <v>2321</v>
      </c>
      <c r="G1173" s="21" t="s">
        <v>83</v>
      </c>
      <c r="H1173" s="24" t="s">
        <v>2309</v>
      </c>
      <c r="I1173" s="21">
        <v>23</v>
      </c>
      <c r="J1173" s="21" t="s">
        <v>152</v>
      </c>
      <c r="K1173" s="21">
        <v>39392275</v>
      </c>
      <c r="L1173" s="21" t="str">
        <f>RIGHT(КХЛ!$H1173,4)</f>
        <v>1994</v>
      </c>
    </row>
    <row r="1174" spans="5:12" ht="15.75" customHeight="1" x14ac:dyDescent="0.2">
      <c r="E1174" s="21">
        <v>263</v>
      </c>
      <c r="F1174" s="21" t="s">
        <v>2322</v>
      </c>
      <c r="G1174" s="21" t="s">
        <v>87</v>
      </c>
      <c r="H1174" s="24" t="s">
        <v>2323</v>
      </c>
      <c r="I1174" s="21">
        <v>21</v>
      </c>
      <c r="J1174" s="21" t="s">
        <v>89</v>
      </c>
      <c r="K1174" s="21">
        <v>79037856</v>
      </c>
      <c r="L1174" s="21" t="str">
        <f>RIGHT(КХЛ!$H1174,4)</f>
        <v>1996</v>
      </c>
    </row>
    <row r="1175" spans="5:12" ht="15.75" customHeight="1" x14ac:dyDescent="0.2">
      <c r="E1175" s="21">
        <v>1493</v>
      </c>
      <c r="F1175" s="21" t="s">
        <v>2324</v>
      </c>
      <c r="G1175" s="21" t="s">
        <v>83</v>
      </c>
      <c r="H1175" s="24" t="s">
        <v>2325</v>
      </c>
      <c r="I1175" s="21">
        <v>35</v>
      </c>
      <c r="J1175" s="21" t="s">
        <v>89</v>
      </c>
      <c r="K1175" s="21">
        <v>24467329</v>
      </c>
      <c r="L1175" s="21" t="str">
        <f>RIGHT(КХЛ!$H1175,4)</f>
        <v>1982</v>
      </c>
    </row>
    <row r="1176" spans="5:12" ht="15.75" customHeight="1" x14ac:dyDescent="0.2">
      <c r="E1176" s="21">
        <v>790</v>
      </c>
      <c r="F1176" s="21" t="s">
        <v>2326</v>
      </c>
      <c r="G1176" s="21" t="s">
        <v>91</v>
      </c>
      <c r="H1176" s="24" t="s">
        <v>2327</v>
      </c>
      <c r="I1176" s="21">
        <v>30</v>
      </c>
      <c r="J1176" s="21" t="s">
        <v>1419</v>
      </c>
      <c r="K1176" s="21">
        <v>30088281</v>
      </c>
      <c r="L1176" s="21" t="str">
        <f>RIGHT(КХЛ!$H1176,4)</f>
        <v>1987</v>
      </c>
    </row>
    <row r="1177" spans="5:12" ht="15.75" customHeight="1" x14ac:dyDescent="0.2">
      <c r="E1177" s="21">
        <v>1129</v>
      </c>
      <c r="F1177" s="21" t="s">
        <v>2328</v>
      </c>
      <c r="G1177" s="21" t="s">
        <v>91</v>
      </c>
      <c r="H1177" s="24" t="s">
        <v>1447</v>
      </c>
      <c r="I1177" s="21">
        <v>22</v>
      </c>
      <c r="J1177" s="21" t="s">
        <v>89</v>
      </c>
      <c r="K1177" s="21">
        <v>28452296</v>
      </c>
      <c r="L1177" s="21" t="str">
        <f>RIGHT(КХЛ!$H1177,4)</f>
        <v>1995</v>
      </c>
    </row>
    <row r="1178" spans="5:12" ht="15.75" customHeight="1" x14ac:dyDescent="0.2">
      <c r="E1178" s="21">
        <v>1110</v>
      </c>
      <c r="F1178" s="21" t="s">
        <v>2329</v>
      </c>
      <c r="G1178" s="21" t="s">
        <v>91</v>
      </c>
      <c r="H1178" s="24" t="s">
        <v>2330</v>
      </c>
      <c r="I1178" s="21">
        <v>22</v>
      </c>
      <c r="J1178" s="21" t="s">
        <v>89</v>
      </c>
      <c r="K1178" s="21">
        <v>26304090</v>
      </c>
      <c r="L1178" s="21" t="str">
        <f>RIGHT(КХЛ!$H1178,4)</f>
        <v>1995</v>
      </c>
    </row>
    <row r="1179" spans="5:12" ht="15.75" customHeight="1" x14ac:dyDescent="0.2">
      <c r="E1179" s="21">
        <v>1244</v>
      </c>
      <c r="F1179" s="21" t="s">
        <v>2331</v>
      </c>
      <c r="G1179" s="21" t="s">
        <v>83</v>
      </c>
      <c r="H1179" s="24" t="s">
        <v>2332</v>
      </c>
      <c r="I1179" s="21">
        <v>28</v>
      </c>
      <c r="J1179" s="21" t="s">
        <v>89</v>
      </c>
      <c r="K1179" s="21">
        <v>94784854</v>
      </c>
      <c r="L1179" s="21" t="str">
        <f>RIGHT(КХЛ!$H1179,4)</f>
        <v>1989</v>
      </c>
    </row>
    <row r="1180" spans="5:12" ht="15.75" customHeight="1" x14ac:dyDescent="0.2">
      <c r="E1180" s="21">
        <v>951</v>
      </c>
      <c r="F1180" s="21" t="s">
        <v>2333</v>
      </c>
      <c r="G1180" s="21" t="s">
        <v>91</v>
      </c>
      <c r="H1180" s="24" t="s">
        <v>2334</v>
      </c>
      <c r="I1180" s="21">
        <v>38</v>
      </c>
      <c r="J1180" s="21" t="s">
        <v>89</v>
      </c>
      <c r="K1180" s="21">
        <v>34485452</v>
      </c>
      <c r="L1180" s="21" t="str">
        <f>RIGHT(КХЛ!$H1180,4)</f>
        <v>1979</v>
      </c>
    </row>
    <row r="1181" spans="5:12" ht="15.75" customHeight="1" x14ac:dyDescent="0.2">
      <c r="E1181" s="21">
        <v>1184</v>
      </c>
      <c r="F1181" s="21" t="s">
        <v>2335</v>
      </c>
      <c r="G1181" s="21" t="s">
        <v>87</v>
      </c>
      <c r="H1181" s="24" t="s">
        <v>2336</v>
      </c>
      <c r="I1181" s="21">
        <v>22</v>
      </c>
      <c r="J1181" s="21" t="s">
        <v>89</v>
      </c>
      <c r="K1181" s="21">
        <v>78470611</v>
      </c>
      <c r="L1181" s="21" t="str">
        <f>RIGHT(КХЛ!$H1181,4)</f>
        <v>1995</v>
      </c>
    </row>
    <row r="1182" spans="5:12" ht="15.75" customHeight="1" x14ac:dyDescent="0.2">
      <c r="E1182" s="21">
        <v>1054</v>
      </c>
      <c r="F1182" s="21" t="s">
        <v>614</v>
      </c>
      <c r="G1182" s="21" t="s">
        <v>91</v>
      </c>
      <c r="H1182" s="24" t="s">
        <v>615</v>
      </c>
      <c r="I1182" s="21">
        <v>29</v>
      </c>
      <c r="J1182" s="21" t="s">
        <v>89</v>
      </c>
      <c r="K1182" s="21">
        <v>93936145</v>
      </c>
      <c r="L1182" s="21" t="str">
        <f>RIGHT(КХЛ!$H1182,4)</f>
        <v>1988</v>
      </c>
    </row>
    <row r="1183" spans="5:12" ht="15.75" customHeight="1" x14ac:dyDescent="0.2">
      <c r="E1183" s="21">
        <v>1173</v>
      </c>
      <c r="F1183" s="21" t="s">
        <v>2337</v>
      </c>
      <c r="G1183" s="21" t="s">
        <v>87</v>
      </c>
      <c r="H1183" s="24" t="s">
        <v>2338</v>
      </c>
      <c r="I1183" s="21">
        <v>26</v>
      </c>
      <c r="J1183" s="21" t="s">
        <v>222</v>
      </c>
      <c r="K1183" s="21">
        <v>58465571</v>
      </c>
      <c r="L1183" s="21" t="str">
        <f>RIGHT(КХЛ!$H1183,4)</f>
        <v>1991</v>
      </c>
    </row>
    <row r="1184" spans="5:12" ht="15.75" customHeight="1" x14ac:dyDescent="0.2">
      <c r="E1184" s="21">
        <v>866</v>
      </c>
      <c r="F1184" s="21" t="s">
        <v>2339</v>
      </c>
      <c r="G1184" s="21" t="s">
        <v>83</v>
      </c>
      <c r="H1184" s="24" t="s">
        <v>2340</v>
      </c>
      <c r="I1184" s="21">
        <v>47</v>
      </c>
      <c r="J1184" s="21" t="s">
        <v>89</v>
      </c>
      <c r="K1184" s="21">
        <v>3725806</v>
      </c>
      <c r="L1184" s="21" t="str">
        <f>RIGHT(КХЛ!$H1184,4)</f>
        <v>1970</v>
      </c>
    </row>
    <row r="1185" spans="5:12" ht="15.75" customHeight="1" x14ac:dyDescent="0.2">
      <c r="E1185" s="21">
        <v>581</v>
      </c>
      <c r="F1185" s="21" t="s">
        <v>2341</v>
      </c>
      <c r="G1185" s="21" t="s">
        <v>87</v>
      </c>
      <c r="H1185" s="24" t="s">
        <v>2342</v>
      </c>
      <c r="I1185" s="21">
        <v>19</v>
      </c>
      <c r="J1185" s="21" t="s">
        <v>282</v>
      </c>
      <c r="K1185" s="21">
        <v>4605229</v>
      </c>
      <c r="L1185" s="21" t="str">
        <f>RIGHT(КХЛ!$H1185,4)</f>
        <v>1998</v>
      </c>
    </row>
    <row r="1186" spans="5:12" ht="15.75" customHeight="1" x14ac:dyDescent="0.2">
      <c r="E1186" s="21">
        <v>1434</v>
      </c>
      <c r="F1186" s="21" t="s">
        <v>2343</v>
      </c>
      <c r="G1186" s="21" t="s">
        <v>83</v>
      </c>
      <c r="H1186" s="24" t="s">
        <v>782</v>
      </c>
      <c r="I1186" s="21">
        <v>29</v>
      </c>
      <c r="J1186" s="21" t="s">
        <v>89</v>
      </c>
      <c r="K1186" s="21">
        <v>99825784</v>
      </c>
      <c r="L1186" s="21" t="str">
        <f>RIGHT(КХЛ!$H1186,4)</f>
        <v>1988</v>
      </c>
    </row>
    <row r="1187" spans="5:12" ht="15.75" customHeight="1" x14ac:dyDescent="0.2">
      <c r="E1187" s="21">
        <v>41</v>
      </c>
      <c r="F1187" s="21" t="s">
        <v>2344</v>
      </c>
      <c r="G1187" s="21" t="s">
        <v>83</v>
      </c>
      <c r="H1187" s="24" t="s">
        <v>2345</v>
      </c>
      <c r="I1187" s="21">
        <v>28</v>
      </c>
      <c r="J1187" s="21" t="s">
        <v>139</v>
      </c>
      <c r="K1187" s="21">
        <v>4023602</v>
      </c>
      <c r="L1187" s="21" t="str">
        <f>RIGHT(КХЛ!$H1187,4)</f>
        <v>1989</v>
      </c>
    </row>
    <row r="1188" spans="5:12" ht="15.75" customHeight="1" x14ac:dyDescent="0.2">
      <c r="E1188" s="21">
        <v>796</v>
      </c>
      <c r="F1188" s="21" t="s">
        <v>2346</v>
      </c>
      <c r="G1188" s="21" t="s">
        <v>83</v>
      </c>
      <c r="H1188" s="24" t="s">
        <v>2347</v>
      </c>
      <c r="I1188" s="21">
        <v>29</v>
      </c>
      <c r="J1188" s="21" t="s">
        <v>89</v>
      </c>
      <c r="K1188" s="21">
        <v>7106553</v>
      </c>
      <c r="L1188" s="21" t="str">
        <f>RIGHT(КХЛ!$H1188,4)</f>
        <v>1988</v>
      </c>
    </row>
    <row r="1189" spans="5:12" ht="15.75" customHeight="1" x14ac:dyDescent="0.2">
      <c r="E1189" s="21">
        <v>789</v>
      </c>
      <c r="F1189" s="21" t="s">
        <v>2348</v>
      </c>
      <c r="G1189" s="21" t="s">
        <v>87</v>
      </c>
      <c r="H1189" s="24" t="s">
        <v>2349</v>
      </c>
      <c r="I1189" s="21">
        <v>33</v>
      </c>
      <c r="J1189" s="21" t="s">
        <v>241</v>
      </c>
      <c r="K1189" s="21">
        <v>22396587</v>
      </c>
      <c r="L1189" s="21" t="str">
        <f>RIGHT(КХЛ!$H1189,4)</f>
        <v>1984</v>
      </c>
    </row>
    <row r="1190" spans="5:12" ht="15.75" customHeight="1" x14ac:dyDescent="0.2">
      <c r="E1190" s="21">
        <v>1569</v>
      </c>
      <c r="F1190" s="21" t="s">
        <v>2350</v>
      </c>
      <c r="G1190" s="21" t="s">
        <v>91</v>
      </c>
      <c r="H1190" s="24" t="s">
        <v>2351</v>
      </c>
      <c r="I1190" s="21">
        <v>28</v>
      </c>
      <c r="J1190" s="21" t="s">
        <v>152</v>
      </c>
      <c r="K1190" s="21">
        <v>44444484</v>
      </c>
      <c r="L1190" s="21" t="str">
        <f>RIGHT(КХЛ!$H1190,4)</f>
        <v>1989</v>
      </c>
    </row>
    <row r="1191" spans="5:12" ht="15.75" customHeight="1" x14ac:dyDescent="0.2">
      <c r="E1191" s="21">
        <v>824</v>
      </c>
      <c r="F1191" s="21" t="s">
        <v>2352</v>
      </c>
      <c r="G1191" s="21" t="s">
        <v>91</v>
      </c>
      <c r="H1191" s="24" t="s">
        <v>2353</v>
      </c>
      <c r="I1191" s="21">
        <v>27</v>
      </c>
      <c r="J1191" s="21" t="s">
        <v>89</v>
      </c>
      <c r="K1191" s="21">
        <v>45251111</v>
      </c>
      <c r="L1191" s="21" t="str">
        <f>RIGHT(КХЛ!$H1191,4)</f>
        <v>1990</v>
      </c>
    </row>
    <row r="1192" spans="5:12" ht="15.75" customHeight="1" x14ac:dyDescent="0.2">
      <c r="E1192" s="21">
        <v>79</v>
      </c>
      <c r="F1192" s="21" t="s">
        <v>2354</v>
      </c>
      <c r="G1192" s="21" t="s">
        <v>91</v>
      </c>
      <c r="H1192" s="24" t="s">
        <v>2355</v>
      </c>
      <c r="I1192" s="21">
        <v>20</v>
      </c>
      <c r="J1192" s="21" t="s">
        <v>89</v>
      </c>
      <c r="K1192" s="21">
        <v>1080928</v>
      </c>
      <c r="L1192" s="21" t="str">
        <f>RIGHT(КХЛ!$H1192,4)</f>
        <v>1997</v>
      </c>
    </row>
    <row r="1193" spans="5:12" ht="15.75" customHeight="1" x14ac:dyDescent="0.2">
      <c r="E1193" s="21">
        <v>820</v>
      </c>
      <c r="F1193" s="21" t="s">
        <v>2356</v>
      </c>
      <c r="G1193" s="21" t="s">
        <v>83</v>
      </c>
      <c r="H1193" s="24" t="s">
        <v>2357</v>
      </c>
      <c r="I1193" s="21">
        <v>20</v>
      </c>
      <c r="J1193" s="21" t="s">
        <v>222</v>
      </c>
      <c r="K1193" s="21">
        <v>86825560</v>
      </c>
      <c r="L1193" s="21" t="str">
        <f>RIGHT(КХЛ!$H1193,4)</f>
        <v>1997</v>
      </c>
    </row>
    <row r="1194" spans="5:12" ht="15.75" customHeight="1" x14ac:dyDescent="0.2">
      <c r="E1194" s="21">
        <v>66</v>
      </c>
      <c r="F1194" s="21" t="s">
        <v>2358</v>
      </c>
      <c r="G1194" s="21" t="s">
        <v>91</v>
      </c>
      <c r="H1194" s="24" t="s">
        <v>2359</v>
      </c>
      <c r="I1194" s="21">
        <v>29</v>
      </c>
      <c r="J1194" s="21" t="s">
        <v>89</v>
      </c>
      <c r="K1194" s="21">
        <v>32269139</v>
      </c>
      <c r="L1194" s="21" t="str">
        <f>RIGHT(КХЛ!$H1194,4)</f>
        <v>1988</v>
      </c>
    </row>
    <row r="1195" spans="5:12" ht="15.75" customHeight="1" x14ac:dyDescent="0.2">
      <c r="E1195" s="21">
        <v>10</v>
      </c>
      <c r="F1195" s="21" t="s">
        <v>2360</v>
      </c>
      <c r="G1195" s="21" t="s">
        <v>87</v>
      </c>
      <c r="H1195" s="24" t="s">
        <v>2361</v>
      </c>
      <c r="I1195" s="21">
        <v>26</v>
      </c>
      <c r="J1195" s="21" t="s">
        <v>89</v>
      </c>
      <c r="K1195" s="21">
        <v>86947947</v>
      </c>
      <c r="L1195" s="21" t="str">
        <f>RIGHT(КХЛ!$H1195,4)</f>
        <v>1991</v>
      </c>
    </row>
    <row r="1196" spans="5:12" ht="15.75" customHeight="1" x14ac:dyDescent="0.2">
      <c r="E1196" s="21">
        <v>1103</v>
      </c>
      <c r="F1196" s="21" t="s">
        <v>2362</v>
      </c>
      <c r="G1196" s="21" t="s">
        <v>91</v>
      </c>
      <c r="H1196" s="24" t="s">
        <v>2363</v>
      </c>
      <c r="I1196" s="21">
        <v>32</v>
      </c>
      <c r="J1196" s="21" t="s">
        <v>89</v>
      </c>
      <c r="K1196" s="21">
        <v>63234464</v>
      </c>
      <c r="L1196" s="21" t="str">
        <f>RIGHT(КХЛ!$H1196,4)</f>
        <v>1985</v>
      </c>
    </row>
    <row r="1197" spans="5:12" ht="15.75" customHeight="1" x14ac:dyDescent="0.2">
      <c r="E1197" s="21">
        <v>182</v>
      </c>
      <c r="F1197" s="21" t="s">
        <v>2364</v>
      </c>
      <c r="G1197" s="21" t="s">
        <v>91</v>
      </c>
      <c r="H1197" s="24" t="s">
        <v>2365</v>
      </c>
      <c r="I1197" s="21">
        <v>31</v>
      </c>
      <c r="J1197" s="21" t="s">
        <v>1321</v>
      </c>
      <c r="K1197" s="21">
        <v>16898139</v>
      </c>
      <c r="L1197" s="21" t="str">
        <f>RIGHT(КХЛ!$H1197,4)</f>
        <v>1986</v>
      </c>
    </row>
    <row r="1198" spans="5:12" ht="15.75" customHeight="1" x14ac:dyDescent="0.2">
      <c r="E1198" s="21">
        <v>913</v>
      </c>
      <c r="F1198" s="21" t="s">
        <v>2246</v>
      </c>
      <c r="G1198" s="21" t="s">
        <v>91</v>
      </c>
      <c r="H1198" s="24" t="s">
        <v>2247</v>
      </c>
      <c r="I1198" s="21">
        <v>19</v>
      </c>
      <c r="J1198" s="21" t="s">
        <v>89</v>
      </c>
      <c r="K1198" s="21">
        <v>97216996</v>
      </c>
      <c r="L1198" s="21" t="str">
        <f>RIGHT(КХЛ!$H1198,4)</f>
        <v>1998</v>
      </c>
    </row>
    <row r="1199" spans="5:12" ht="15.75" customHeight="1" x14ac:dyDescent="0.2">
      <c r="E1199" s="21">
        <v>327</v>
      </c>
      <c r="F1199" s="21" t="s">
        <v>2366</v>
      </c>
      <c r="G1199" s="21" t="s">
        <v>91</v>
      </c>
      <c r="H1199" s="24" t="s">
        <v>2367</v>
      </c>
      <c r="I1199" s="21">
        <v>23</v>
      </c>
      <c r="J1199" s="21" t="s">
        <v>89</v>
      </c>
      <c r="K1199" s="21">
        <v>81880653</v>
      </c>
      <c r="L1199" s="21" t="str">
        <f>RIGHT(КХЛ!$H1199,4)</f>
        <v>1994</v>
      </c>
    </row>
    <row r="1200" spans="5:12" ht="15.75" customHeight="1" x14ac:dyDescent="0.2">
      <c r="E1200" s="21">
        <v>850</v>
      </c>
      <c r="F1200" s="21" t="s">
        <v>2368</v>
      </c>
      <c r="G1200" s="21" t="s">
        <v>91</v>
      </c>
      <c r="H1200" s="24" t="s">
        <v>2369</v>
      </c>
      <c r="I1200" s="21">
        <v>21</v>
      </c>
      <c r="J1200" s="21" t="s">
        <v>89</v>
      </c>
      <c r="K1200" s="21">
        <v>47907480</v>
      </c>
      <c r="L1200" s="21" t="str">
        <f>RIGHT(КХЛ!$H1200,4)</f>
        <v>1996</v>
      </c>
    </row>
    <row r="1201" spans="5:12" ht="15.75" customHeight="1" x14ac:dyDescent="0.2">
      <c r="E1201" s="21">
        <v>1599</v>
      </c>
      <c r="F1201" s="21" t="s">
        <v>2370</v>
      </c>
      <c r="G1201" s="21" t="s">
        <v>91</v>
      </c>
      <c r="H1201" s="24" t="s">
        <v>2371</v>
      </c>
      <c r="I1201" s="21">
        <v>24</v>
      </c>
      <c r="J1201" s="21" t="s">
        <v>93</v>
      </c>
      <c r="K1201" s="21">
        <v>19898728</v>
      </c>
      <c r="L1201" s="21" t="str">
        <f>RIGHT(КХЛ!$H1201,4)</f>
        <v>1993</v>
      </c>
    </row>
    <row r="1202" spans="5:12" ht="15.75" customHeight="1" x14ac:dyDescent="0.2">
      <c r="E1202" s="21">
        <v>614</v>
      </c>
      <c r="F1202" s="21" t="s">
        <v>2372</v>
      </c>
      <c r="G1202" s="21" t="s">
        <v>83</v>
      </c>
      <c r="H1202" s="24" t="s">
        <v>2373</v>
      </c>
      <c r="I1202" s="21">
        <v>33</v>
      </c>
      <c r="J1202" s="21" t="s">
        <v>222</v>
      </c>
      <c r="K1202" s="21">
        <v>76269186</v>
      </c>
      <c r="L1202" s="21" t="str">
        <f>RIGHT(КХЛ!$H1202,4)</f>
        <v>1984</v>
      </c>
    </row>
    <row r="1203" spans="5:12" ht="15.75" customHeight="1" x14ac:dyDescent="0.2">
      <c r="E1203" s="21">
        <v>365</v>
      </c>
      <c r="F1203" s="21" t="s">
        <v>2374</v>
      </c>
      <c r="G1203" s="21" t="s">
        <v>83</v>
      </c>
      <c r="H1203" s="24" t="s">
        <v>2375</v>
      </c>
      <c r="I1203" s="21">
        <v>23</v>
      </c>
      <c r="J1203" s="21" t="s">
        <v>89</v>
      </c>
      <c r="K1203" s="21">
        <v>67227850</v>
      </c>
      <c r="L1203" s="21" t="str">
        <f>RIGHT(КХЛ!$H1203,4)</f>
        <v>1994</v>
      </c>
    </row>
    <row r="1204" spans="5:12" ht="15.75" customHeight="1" x14ac:dyDescent="0.2">
      <c r="E1204" s="21">
        <v>283</v>
      </c>
      <c r="F1204" s="21" t="s">
        <v>2376</v>
      </c>
      <c r="G1204" s="21" t="s">
        <v>83</v>
      </c>
      <c r="H1204" s="24" t="s">
        <v>2377</v>
      </c>
      <c r="I1204" s="21">
        <v>28</v>
      </c>
      <c r="J1204" s="21" t="s">
        <v>93</v>
      </c>
      <c r="K1204" s="21">
        <v>35312085</v>
      </c>
      <c r="L1204" s="21" t="str">
        <f>RIGHT(КХЛ!$H1204,4)</f>
        <v>1989</v>
      </c>
    </row>
    <row r="1205" spans="5:12" ht="15.75" customHeight="1" x14ac:dyDescent="0.2">
      <c r="E1205" s="21">
        <v>611</v>
      </c>
      <c r="F1205" s="21" t="s">
        <v>2378</v>
      </c>
      <c r="G1205" s="21" t="s">
        <v>91</v>
      </c>
      <c r="H1205" s="24" t="s">
        <v>2379</v>
      </c>
      <c r="I1205" s="21">
        <v>33</v>
      </c>
      <c r="J1205" s="21" t="s">
        <v>106</v>
      </c>
      <c r="K1205" s="21">
        <v>4660755</v>
      </c>
      <c r="L1205" s="21" t="str">
        <f>RIGHT(КХЛ!$H1205,4)</f>
        <v>1984</v>
      </c>
    </row>
    <row r="1206" spans="5:12" ht="15.75" customHeight="1" x14ac:dyDescent="0.2">
      <c r="E1206" s="21">
        <v>1538</v>
      </c>
      <c r="F1206" s="21" t="s">
        <v>2380</v>
      </c>
      <c r="G1206" s="21" t="s">
        <v>91</v>
      </c>
      <c r="H1206" s="24" t="s">
        <v>2381</v>
      </c>
      <c r="I1206" s="21">
        <v>35</v>
      </c>
      <c r="J1206" s="21" t="s">
        <v>106</v>
      </c>
      <c r="K1206" s="21">
        <v>53660507</v>
      </c>
      <c r="L1206" s="21" t="str">
        <f>RIGHT(КХЛ!$H1206,4)</f>
        <v>1982</v>
      </c>
    </row>
    <row r="1207" spans="5:12" ht="15.75" customHeight="1" x14ac:dyDescent="0.2">
      <c r="E1207" s="21">
        <v>1327</v>
      </c>
      <c r="F1207" s="21" t="s">
        <v>2382</v>
      </c>
      <c r="G1207" s="21" t="s">
        <v>83</v>
      </c>
      <c r="H1207" s="24" t="s">
        <v>2383</v>
      </c>
      <c r="I1207" s="21">
        <v>33</v>
      </c>
      <c r="J1207" s="21" t="s">
        <v>85</v>
      </c>
      <c r="K1207" s="21">
        <v>39306394</v>
      </c>
      <c r="L1207" s="21" t="str">
        <f>RIGHT(КХЛ!$H1207,4)</f>
        <v>1984</v>
      </c>
    </row>
    <row r="1208" spans="5:12" ht="15.75" customHeight="1" x14ac:dyDescent="0.2">
      <c r="E1208" s="21">
        <v>157</v>
      </c>
      <c r="F1208" s="21" t="s">
        <v>2384</v>
      </c>
      <c r="G1208" s="21" t="s">
        <v>91</v>
      </c>
      <c r="H1208" s="24" t="s">
        <v>2385</v>
      </c>
      <c r="I1208" s="21">
        <v>28</v>
      </c>
      <c r="J1208" s="21" t="s">
        <v>169</v>
      </c>
      <c r="K1208" s="21">
        <v>7026702</v>
      </c>
      <c r="L1208" s="21" t="str">
        <f>RIGHT(КХЛ!$H1208,4)</f>
        <v>1989</v>
      </c>
    </row>
    <row r="1209" spans="5:12" ht="15.75" customHeight="1" x14ac:dyDescent="0.2">
      <c r="E1209" s="21">
        <v>596</v>
      </c>
      <c r="F1209" s="21" t="s">
        <v>2386</v>
      </c>
      <c r="G1209" s="21" t="s">
        <v>83</v>
      </c>
      <c r="H1209" s="24" t="s">
        <v>2387</v>
      </c>
      <c r="I1209" s="21">
        <v>27</v>
      </c>
      <c r="J1209" s="21" t="s">
        <v>89</v>
      </c>
      <c r="K1209" s="21">
        <v>58598724</v>
      </c>
      <c r="L1209" s="21" t="str">
        <f>RIGHT(КХЛ!$H1209,4)</f>
        <v>1990</v>
      </c>
    </row>
    <row r="1210" spans="5:12" ht="15.75" customHeight="1" x14ac:dyDescent="0.2">
      <c r="E1210" s="21">
        <v>491</v>
      </c>
      <c r="F1210" s="21" t="s">
        <v>2388</v>
      </c>
      <c r="G1210" s="21" t="s">
        <v>87</v>
      </c>
      <c r="H1210" s="24" t="s">
        <v>2389</v>
      </c>
      <c r="I1210" s="21">
        <v>40</v>
      </c>
      <c r="J1210" s="21" t="s">
        <v>106</v>
      </c>
      <c r="K1210" s="21">
        <v>79811840</v>
      </c>
      <c r="L1210" s="21" t="str">
        <f>RIGHT(КХЛ!$H1210,4)</f>
        <v>1978</v>
      </c>
    </row>
    <row r="1211" spans="5:12" ht="15.75" customHeight="1" x14ac:dyDescent="0.2">
      <c r="E1211" s="21">
        <v>465</v>
      </c>
      <c r="F1211" s="21" t="s">
        <v>2390</v>
      </c>
      <c r="G1211" s="21" t="s">
        <v>87</v>
      </c>
      <c r="H1211" s="24" t="s">
        <v>2391</v>
      </c>
      <c r="I1211" s="21">
        <v>28</v>
      </c>
      <c r="J1211" s="21" t="s">
        <v>89</v>
      </c>
      <c r="K1211" s="21">
        <v>47245226</v>
      </c>
      <c r="L1211" s="21" t="str">
        <f>RIGHT(КХЛ!$H1211,4)</f>
        <v>1989</v>
      </c>
    </row>
    <row r="1212" spans="5:12" ht="15.75" customHeight="1" x14ac:dyDescent="0.2">
      <c r="E1212" s="21">
        <v>991</v>
      </c>
      <c r="F1212" s="21" t="s">
        <v>2392</v>
      </c>
      <c r="G1212" s="21" t="s">
        <v>91</v>
      </c>
      <c r="H1212" s="24" t="s">
        <v>2393</v>
      </c>
      <c r="I1212" s="21">
        <v>34</v>
      </c>
      <c r="J1212" s="21" t="s">
        <v>89</v>
      </c>
      <c r="K1212" s="21">
        <v>27660460</v>
      </c>
      <c r="L1212" s="21" t="str">
        <f>RIGHT(КХЛ!$H1212,4)</f>
        <v>1983</v>
      </c>
    </row>
    <row r="1213" spans="5:12" ht="15.75" customHeight="1" x14ac:dyDescent="0.2">
      <c r="E1213" s="21">
        <v>450</v>
      </c>
      <c r="F1213" s="21" t="s">
        <v>2394</v>
      </c>
      <c r="G1213" s="21" t="s">
        <v>91</v>
      </c>
      <c r="H1213" s="24" t="s">
        <v>2395</v>
      </c>
      <c r="I1213" s="21">
        <v>32</v>
      </c>
      <c r="J1213" s="21" t="s">
        <v>89</v>
      </c>
      <c r="K1213" s="21">
        <v>59545586</v>
      </c>
      <c r="L1213" s="21" t="str">
        <f>RIGHT(КХЛ!$H1213,4)</f>
        <v>1985</v>
      </c>
    </row>
    <row r="1214" spans="5:12" ht="15.75" customHeight="1" x14ac:dyDescent="0.2">
      <c r="E1214" s="21">
        <v>1752</v>
      </c>
      <c r="F1214" s="21" t="s">
        <v>2396</v>
      </c>
      <c r="G1214" s="21" t="s">
        <v>83</v>
      </c>
      <c r="H1214" s="24" t="s">
        <v>2397</v>
      </c>
      <c r="I1214" s="21">
        <v>30</v>
      </c>
      <c r="J1214" s="21" t="s">
        <v>85</v>
      </c>
      <c r="K1214" s="21">
        <v>77273401</v>
      </c>
      <c r="L1214" s="21" t="str">
        <f>RIGHT(КХЛ!$H1214,4)</f>
        <v>1987</v>
      </c>
    </row>
    <row r="1215" spans="5:12" ht="15.75" customHeight="1" x14ac:dyDescent="0.2">
      <c r="E1215" s="21">
        <v>390</v>
      </c>
      <c r="F1215" s="21" t="s">
        <v>2398</v>
      </c>
      <c r="G1215" s="21" t="s">
        <v>91</v>
      </c>
      <c r="H1215" s="24" t="s">
        <v>2399</v>
      </c>
      <c r="I1215" s="21">
        <v>42</v>
      </c>
      <c r="J1215" s="21" t="s">
        <v>89</v>
      </c>
      <c r="K1215" s="21">
        <v>40869896</v>
      </c>
      <c r="L1215" s="21" t="str">
        <f>RIGHT(КХЛ!$H1215,4)</f>
        <v>1975</v>
      </c>
    </row>
    <row r="1216" spans="5:12" ht="15.75" customHeight="1" x14ac:dyDescent="0.2">
      <c r="E1216" s="21">
        <v>357</v>
      </c>
      <c r="F1216" s="21" t="s">
        <v>2400</v>
      </c>
      <c r="G1216" s="21" t="s">
        <v>91</v>
      </c>
      <c r="H1216" s="24" t="s">
        <v>2401</v>
      </c>
      <c r="I1216" s="21">
        <v>22</v>
      </c>
      <c r="J1216" s="21" t="s">
        <v>89</v>
      </c>
      <c r="K1216" s="21">
        <v>27935334</v>
      </c>
      <c r="L1216" s="21" t="str">
        <f>RIGHT(КХЛ!$H1216,4)</f>
        <v>1995</v>
      </c>
    </row>
    <row r="1217" spans="5:12" ht="15.75" customHeight="1" x14ac:dyDescent="0.2">
      <c r="E1217" s="21">
        <v>213</v>
      </c>
      <c r="F1217" s="21" t="s">
        <v>2402</v>
      </c>
      <c r="G1217" s="21" t="s">
        <v>83</v>
      </c>
      <c r="H1217" s="24" t="s">
        <v>2403</v>
      </c>
      <c r="I1217" s="21">
        <v>22</v>
      </c>
      <c r="J1217" s="21" t="s">
        <v>89</v>
      </c>
      <c r="K1217" s="21">
        <v>47326566</v>
      </c>
      <c r="L1217" s="21" t="str">
        <f>RIGHT(КХЛ!$H1217,4)</f>
        <v>1995</v>
      </c>
    </row>
    <row r="1218" spans="5:12" ht="15.75" customHeight="1" x14ac:dyDescent="0.2">
      <c r="E1218" s="21">
        <v>1313</v>
      </c>
      <c r="F1218" s="21" t="s">
        <v>2404</v>
      </c>
      <c r="G1218" s="21" t="s">
        <v>83</v>
      </c>
      <c r="H1218" s="24" t="s">
        <v>2405</v>
      </c>
      <c r="I1218" s="21">
        <v>31</v>
      </c>
      <c r="J1218" s="21" t="s">
        <v>152</v>
      </c>
      <c r="K1218" s="21">
        <v>24913872</v>
      </c>
      <c r="L1218" s="21" t="str">
        <f>RIGHT(КХЛ!$H1218,4)</f>
        <v>1986</v>
      </c>
    </row>
    <row r="1219" spans="5:12" ht="15.75" customHeight="1" x14ac:dyDescent="0.2">
      <c r="E1219" s="21">
        <v>1770</v>
      </c>
      <c r="F1219" s="21" t="s">
        <v>2406</v>
      </c>
      <c r="G1219" s="21" t="s">
        <v>91</v>
      </c>
      <c r="H1219" s="24" t="s">
        <v>2407</v>
      </c>
      <c r="I1219" s="21">
        <v>28</v>
      </c>
      <c r="J1219" s="21" t="s">
        <v>152</v>
      </c>
      <c r="K1219" s="21">
        <v>97701831</v>
      </c>
      <c r="L1219" s="21" t="str">
        <f>RIGHT(КХЛ!$H1219,4)</f>
        <v>1989</v>
      </c>
    </row>
    <row r="1220" spans="5:12" ht="15.75" customHeight="1" x14ac:dyDescent="0.2">
      <c r="E1220" s="21">
        <v>1451</v>
      </c>
      <c r="F1220" s="21" t="s">
        <v>2408</v>
      </c>
      <c r="G1220" s="21" t="s">
        <v>83</v>
      </c>
      <c r="H1220" s="24" t="s">
        <v>2205</v>
      </c>
      <c r="I1220" s="21">
        <v>34</v>
      </c>
      <c r="J1220" s="21" t="s">
        <v>89</v>
      </c>
      <c r="K1220" s="21">
        <v>15594748</v>
      </c>
      <c r="L1220" s="21" t="str">
        <f>RIGHT(КХЛ!$H1220,4)</f>
        <v>1983</v>
      </c>
    </row>
    <row r="1221" spans="5:12" ht="15.75" customHeight="1" x14ac:dyDescent="0.2">
      <c r="E1221" s="21">
        <v>993</v>
      </c>
      <c r="F1221" s="21" t="s">
        <v>2409</v>
      </c>
      <c r="G1221" s="21" t="s">
        <v>87</v>
      </c>
      <c r="H1221" s="24" t="s">
        <v>2410</v>
      </c>
      <c r="I1221" s="21">
        <v>31</v>
      </c>
      <c r="J1221" s="21" t="s">
        <v>89</v>
      </c>
      <c r="K1221" s="21">
        <v>12792753</v>
      </c>
      <c r="L1221" s="21" t="str">
        <f>RIGHT(КХЛ!$H1221,4)</f>
        <v>1986</v>
      </c>
    </row>
    <row r="1222" spans="5:12" ht="15.75" customHeight="1" x14ac:dyDescent="0.2">
      <c r="E1222" s="21">
        <v>360</v>
      </c>
      <c r="F1222" s="21" t="s">
        <v>2411</v>
      </c>
      <c r="G1222" s="21" t="s">
        <v>83</v>
      </c>
      <c r="H1222" s="24" t="s">
        <v>2412</v>
      </c>
      <c r="I1222" s="21">
        <v>25</v>
      </c>
      <c r="J1222" s="21" t="s">
        <v>89</v>
      </c>
      <c r="K1222" s="21">
        <v>63055994</v>
      </c>
      <c r="L1222" s="21" t="str">
        <f>RIGHT(КХЛ!$H1222,4)</f>
        <v>1993</v>
      </c>
    </row>
    <row r="1223" spans="5:12" ht="15.75" customHeight="1" x14ac:dyDescent="0.2">
      <c r="E1223" s="21">
        <v>361</v>
      </c>
      <c r="F1223" s="21" t="s">
        <v>2413</v>
      </c>
      <c r="G1223" s="21" t="s">
        <v>87</v>
      </c>
      <c r="H1223" s="24" t="s">
        <v>2414</v>
      </c>
      <c r="I1223" s="21">
        <v>23</v>
      </c>
      <c r="J1223" s="21" t="s">
        <v>89</v>
      </c>
      <c r="K1223" s="21">
        <v>95957416</v>
      </c>
      <c r="L1223" s="21" t="str">
        <f>RIGHT(КХЛ!$H1223,4)</f>
        <v>1994</v>
      </c>
    </row>
    <row r="1224" spans="5:12" ht="15.75" customHeight="1" x14ac:dyDescent="0.2">
      <c r="E1224" s="21">
        <v>733</v>
      </c>
      <c r="F1224" s="21" t="s">
        <v>2415</v>
      </c>
      <c r="G1224" s="21" t="s">
        <v>87</v>
      </c>
      <c r="H1224" s="24" t="s">
        <v>2416</v>
      </c>
      <c r="I1224" s="21">
        <v>26</v>
      </c>
      <c r="J1224" s="21" t="s">
        <v>132</v>
      </c>
      <c r="K1224" s="21">
        <v>49240134</v>
      </c>
      <c r="L1224" s="21" t="str">
        <f>RIGHT(КХЛ!$H1224,4)</f>
        <v>1991</v>
      </c>
    </row>
  </sheetData>
  <pageMargins left="0.75" right="0.75" top="1" bottom="1"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D1000"/>
  <sheetViews>
    <sheetView workbookViewId="0">
      <selection activeCell="B16" sqref="B16"/>
    </sheetView>
  </sheetViews>
  <sheetFormatPr baseColWidth="10" defaultColWidth="12.6640625" defaultRowHeight="15" customHeight="1" x14ac:dyDescent="0.15"/>
  <cols>
    <col min="1" max="26" width="7.6640625" customWidth="1"/>
  </cols>
  <sheetData>
    <row r="4" spans="1:4" x14ac:dyDescent="0.2">
      <c r="A4" s="1" t="s">
        <v>2417</v>
      </c>
    </row>
    <row r="10" spans="1:4" x14ac:dyDescent="0.2">
      <c r="B10">
        <f>LEN(A4)</f>
        <v>1358</v>
      </c>
      <c r="C10" s="1">
        <f>LEN(A4)</f>
        <v>1358</v>
      </c>
      <c r="D10" s="17" t="s">
        <v>23</v>
      </c>
    </row>
    <row r="11" spans="1:4" x14ac:dyDescent="0.2">
      <c r="B11" t="str">
        <f>MID(A4,1076,7)</f>
        <v>ased bi</v>
      </c>
      <c r="C11" s="1" t="str">
        <f>MID(A4,1076,7)</f>
        <v>ased bi</v>
      </c>
      <c r="D11" s="17" t="s">
        <v>24</v>
      </c>
    </row>
    <row r="12" spans="1:4" x14ac:dyDescent="0.2">
      <c r="B12">
        <f>FIND("k",A4)</f>
        <v>43</v>
      </c>
      <c r="C12" s="1">
        <f>FIND("k",A4)</f>
        <v>43</v>
      </c>
      <c r="D12" s="17" t="s">
        <v>25</v>
      </c>
    </row>
    <row r="13" spans="1:4" x14ac:dyDescent="0.2">
      <c r="B13">
        <f>LEN(SUBSTITUTE(A4," ",""))</f>
        <v>1159</v>
      </c>
      <c r="C13" s="1">
        <f>LEN(SUBSTITUTE(A4," ",""))</f>
        <v>1159</v>
      </c>
      <c r="D13" s="17" t="s">
        <v>26</v>
      </c>
    </row>
    <row r="14" spans="1:4" x14ac:dyDescent="0.2">
      <c r="B14">
        <f>LEN(A4)-LEN(SUBSTITUTE(A4,"b",""))</f>
        <v>16</v>
      </c>
      <c r="C14" s="1">
        <f>LEN(A4)-LEN(SUBSTITUTE(A4,"b",""))</f>
        <v>16</v>
      </c>
      <c r="D14" s="17" t="s">
        <v>27</v>
      </c>
    </row>
    <row r="15" spans="1:4" x14ac:dyDescent="0.2">
      <c r="B15">
        <f>FIND("x",LOWER(A4))</f>
        <v>825</v>
      </c>
      <c r="C15" s="1">
        <f>FIND("x",LOWER(A4))</f>
        <v>825</v>
      </c>
      <c r="D15" s="17" t="s">
        <v>28</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W1000"/>
  <sheetViews>
    <sheetView topLeftCell="I1" workbookViewId="0">
      <selection activeCell="V9" sqref="V9"/>
    </sheetView>
  </sheetViews>
  <sheetFormatPr baseColWidth="10" defaultColWidth="12.6640625" defaultRowHeight="15" customHeight="1" x14ac:dyDescent="0.15"/>
  <cols>
    <col min="1" max="2" width="7.6640625" customWidth="1"/>
    <col min="3" max="3" width="9.6640625" customWidth="1"/>
    <col min="4" max="4" width="8.6640625" customWidth="1"/>
    <col min="5" max="5" width="10" customWidth="1"/>
    <col min="6" max="6" width="13.5" customWidth="1"/>
    <col min="7" max="7" width="10.6640625" customWidth="1"/>
    <col min="8" max="8" width="13.83203125" customWidth="1"/>
    <col min="9" max="9" width="21.1640625" customWidth="1"/>
    <col min="10" max="10" width="7.6640625" customWidth="1"/>
    <col min="11" max="11" width="7.83203125" customWidth="1"/>
    <col min="12" max="12" width="14.83203125" customWidth="1"/>
    <col min="13" max="13" width="10.6640625" customWidth="1"/>
    <col min="14" max="17" width="7.6640625" customWidth="1"/>
    <col min="18" max="18" width="15.5" customWidth="1"/>
    <col min="19" max="21" width="7.6640625" customWidth="1"/>
    <col min="22" max="22" width="9.5" customWidth="1"/>
    <col min="23" max="26" width="7.6640625" customWidth="1"/>
  </cols>
  <sheetData>
    <row r="1" spans="3:23" x14ac:dyDescent="0.2">
      <c r="Q1" s="1" t="s">
        <v>2418</v>
      </c>
      <c r="R1" s="25">
        <v>42705</v>
      </c>
    </row>
    <row r="2" spans="3:23" x14ac:dyDescent="0.2">
      <c r="Q2" s="1" t="s">
        <v>2419</v>
      </c>
      <c r="R2" s="25">
        <v>43973</v>
      </c>
    </row>
    <row r="3" spans="3:23" x14ac:dyDescent="0.2">
      <c r="C3" s="21" t="s">
        <v>2420</v>
      </c>
      <c r="D3" s="26" t="s">
        <v>2421</v>
      </c>
      <c r="E3" s="26" t="s">
        <v>2422</v>
      </c>
      <c r="F3" s="26" t="s">
        <v>2423</v>
      </c>
      <c r="G3" s="26" t="s">
        <v>2424</v>
      </c>
      <c r="H3" s="26" t="s">
        <v>2425</v>
      </c>
      <c r="I3" s="26" t="s">
        <v>2426</v>
      </c>
      <c r="J3" s="26" t="s">
        <v>2427</v>
      </c>
      <c r="K3" s="26" t="s">
        <v>2428</v>
      </c>
      <c r="L3" s="26" t="s">
        <v>2429</v>
      </c>
      <c r="M3" s="26" t="s">
        <v>2430</v>
      </c>
      <c r="N3" s="27" t="s">
        <v>2431</v>
      </c>
      <c r="O3" s="27" t="s">
        <v>2432</v>
      </c>
      <c r="P3" s="27" t="s">
        <v>2433</v>
      </c>
      <c r="Q3" s="27" t="s">
        <v>2434</v>
      </c>
      <c r="R3" s="27" t="s">
        <v>2435</v>
      </c>
      <c r="S3" s="27" t="s">
        <v>2436</v>
      </c>
      <c r="V3" s="1">
        <f>COUNTIF(Продажи!$N$4:$N$414,"5")</f>
        <v>29</v>
      </c>
      <c r="W3" s="17" t="s">
        <v>30</v>
      </c>
    </row>
    <row r="4" spans="3:23" x14ac:dyDescent="0.2">
      <c r="C4" s="26">
        <v>53</v>
      </c>
      <c r="D4" s="21" t="s">
        <v>2437</v>
      </c>
      <c r="E4" s="21" t="s">
        <v>2438</v>
      </c>
      <c r="F4" s="21" t="s">
        <v>2439</v>
      </c>
      <c r="G4" s="21">
        <v>1923</v>
      </c>
      <c r="H4" s="21" t="s">
        <v>2440</v>
      </c>
      <c r="I4" s="21">
        <v>35</v>
      </c>
      <c r="J4" s="21">
        <v>67305</v>
      </c>
      <c r="K4" s="21">
        <v>0.06</v>
      </c>
      <c r="L4" s="21">
        <v>63266.7</v>
      </c>
      <c r="M4" s="24">
        <v>43417</v>
      </c>
      <c r="N4" s="21">
        <f>MONTH(Продажи!$M4)</f>
        <v>11</v>
      </c>
      <c r="O4" s="21">
        <f>WEEKDAY(Продажи!$M4,2)</f>
        <v>2</v>
      </c>
      <c r="P4" s="21">
        <f>YEAR(Продажи!$M4)</f>
        <v>2018</v>
      </c>
      <c r="Q4" s="28">
        <f>WEEKNUM(Продажи!$M4,2)</f>
        <v>46</v>
      </c>
      <c r="R4" s="28">
        <f>IF((Продажи!$E4="Зеленый чай")*(Продажи!$Q4&gt;=7)*(Продажи!$Q4&lt;=42),Продажи!$K4,0)</f>
        <v>0</v>
      </c>
      <c r="S4" s="28" t="b">
        <f>IF(MATCH(DAY(M4),{0,11,21})=3,L4)</f>
        <v>0</v>
      </c>
      <c r="V4" s="1">
        <f>COUNTIF(Продажи!$O$4:$O$414,"6")/SUM(Продажи!$O$4:$O$414)</f>
        <v>3.125E-2</v>
      </c>
      <c r="W4" s="17" t="s">
        <v>31</v>
      </c>
    </row>
    <row r="5" spans="3:23" x14ac:dyDescent="0.2">
      <c r="C5" s="26">
        <v>49</v>
      </c>
      <c r="D5" s="21" t="s">
        <v>2441</v>
      </c>
      <c r="E5" s="21" t="s">
        <v>2442</v>
      </c>
      <c r="F5" s="21" t="s">
        <v>2443</v>
      </c>
      <c r="G5" s="21">
        <v>617</v>
      </c>
      <c r="H5" s="21" t="s">
        <v>2444</v>
      </c>
      <c r="I5" s="21">
        <v>25</v>
      </c>
      <c r="J5" s="21">
        <v>15425</v>
      </c>
      <c r="K5" s="21">
        <v>0</v>
      </c>
      <c r="L5" s="21">
        <v>15425</v>
      </c>
      <c r="M5" s="24">
        <v>43724</v>
      </c>
      <c r="N5" s="21">
        <f>MONTH(Продажи!$M5)</f>
        <v>9</v>
      </c>
      <c r="O5" s="21">
        <f>WEEKDAY(Продажи!$M5,2)</f>
        <v>1</v>
      </c>
      <c r="P5" s="21">
        <f>YEAR(Продажи!$M5)</f>
        <v>2019</v>
      </c>
      <c r="Q5" s="28">
        <f>WEEKNUM(Продажи!$M5,2)</f>
        <v>38</v>
      </c>
      <c r="R5" s="28">
        <f>IF((Продажи!$E5="Зеленый чай")*(Продажи!$Q5&gt;=7)*(Продажи!$Q5&lt;=42),Продажи!$K5,0)</f>
        <v>0</v>
      </c>
      <c r="S5" s="28" t="b">
        <f t="shared" ref="S4:S414" si="0">IF(MATCH(DAY(M5),{0,11,21})=3,L5)</f>
        <v>0</v>
      </c>
      <c r="V5" s="1">
        <f>SUMIFS(Продажи!$J$4:$J$414,Продажи!$M$4:$M$414,"&lt;="&amp;R2,Продажи!$M$4:$M$414,"&gt;="&amp;R1)</f>
        <v>7296066</v>
      </c>
      <c r="W5" s="17" t="s">
        <v>32</v>
      </c>
    </row>
    <row r="6" spans="3:23" x14ac:dyDescent="0.2">
      <c r="C6" s="26">
        <v>3</v>
      </c>
      <c r="D6" s="21" t="s">
        <v>2445</v>
      </c>
      <c r="E6" s="21" t="s">
        <v>2446</v>
      </c>
      <c r="F6" s="21" t="s">
        <v>2446</v>
      </c>
      <c r="G6" s="21">
        <v>807</v>
      </c>
      <c r="H6" s="21" t="s">
        <v>2440</v>
      </c>
      <c r="I6" s="21">
        <v>18</v>
      </c>
      <c r="J6" s="21">
        <v>14526</v>
      </c>
      <c r="K6" s="21">
        <v>0</v>
      </c>
      <c r="L6" s="21">
        <v>14526</v>
      </c>
      <c r="M6" s="24">
        <v>42413</v>
      </c>
      <c r="N6" s="21">
        <f>MONTH(Продажи!$M6)</f>
        <v>2</v>
      </c>
      <c r="O6" s="21">
        <f>WEEKDAY(Продажи!$M6,2)</f>
        <v>6</v>
      </c>
      <c r="P6" s="21">
        <f>YEAR(Продажи!$M6)</f>
        <v>2016</v>
      </c>
      <c r="Q6" s="28">
        <f>WEEKNUM(Продажи!$M6,2)</f>
        <v>7</v>
      </c>
      <c r="R6" s="28">
        <f>IF((Продажи!$E6="Зеленый чай")*(Продажи!$Q6&gt;=7)*(Продажи!$Q6&lt;=42),Продажи!$K6,0)</f>
        <v>0</v>
      </c>
      <c r="S6" s="28" t="b">
        <f t="shared" si="0"/>
        <v>0</v>
      </c>
      <c r="V6" s="1">
        <f>AVERAGE(Продажи!$S$4:$S$414)</f>
        <v>25877.877259259261</v>
      </c>
      <c r="W6" s="17" t="s">
        <v>33</v>
      </c>
    </row>
    <row r="7" spans="3:23" x14ac:dyDescent="0.2">
      <c r="C7" s="26">
        <v>9</v>
      </c>
      <c r="D7" s="21" t="s">
        <v>2447</v>
      </c>
      <c r="E7" s="21" t="s">
        <v>2448</v>
      </c>
      <c r="F7" s="21" t="s">
        <v>2448</v>
      </c>
      <c r="G7" s="21">
        <v>699</v>
      </c>
      <c r="H7" s="21" t="s">
        <v>2444</v>
      </c>
      <c r="I7" s="21">
        <v>10</v>
      </c>
      <c r="J7" s="21">
        <v>6990</v>
      </c>
      <c r="K7" s="21">
        <v>0</v>
      </c>
      <c r="L7" s="21">
        <v>6990</v>
      </c>
      <c r="M7" s="24">
        <v>42673</v>
      </c>
      <c r="N7" s="21">
        <f>MONTH(Продажи!$M7)</f>
        <v>10</v>
      </c>
      <c r="O7" s="21">
        <f>WEEKDAY(Продажи!$M7,2)</f>
        <v>7</v>
      </c>
      <c r="P7" s="21">
        <f>YEAR(Продажи!$M7)</f>
        <v>2016</v>
      </c>
      <c r="Q7" s="28">
        <f>WEEKNUM(Продажи!$M7,2)</f>
        <v>44</v>
      </c>
      <c r="R7" s="28">
        <f>IF((Продажи!$E7="Зеленый чай")*(Продажи!$Q7&gt;=7)*(Продажи!$Q7&lt;=42),Продажи!$K7,0)</f>
        <v>0</v>
      </c>
      <c r="S7" s="28">
        <f t="shared" si="0"/>
        <v>6990</v>
      </c>
      <c r="V7" s="1">
        <f>SUMIFS(Продажи!$I$4:$I$414,Продажи!$F$4:$F$414,"Белый чай",Продажи!$P$4:$P$414,"2020")</f>
        <v>20</v>
      </c>
      <c r="W7" s="17" t="s">
        <v>34</v>
      </c>
    </row>
    <row r="8" spans="3:23" x14ac:dyDescent="0.2">
      <c r="C8" s="26">
        <v>37</v>
      </c>
      <c r="D8" s="21" t="s">
        <v>2449</v>
      </c>
      <c r="E8" s="21" t="s">
        <v>2448</v>
      </c>
      <c r="F8" s="21" t="s">
        <v>2450</v>
      </c>
      <c r="G8" s="21">
        <v>2211</v>
      </c>
      <c r="H8" s="21" t="s">
        <v>2444</v>
      </c>
      <c r="I8" s="21">
        <v>25</v>
      </c>
      <c r="J8" s="21">
        <v>55275</v>
      </c>
      <c r="K8" s="21">
        <v>0.09</v>
      </c>
      <c r="L8" s="21">
        <v>50300.25</v>
      </c>
      <c r="M8" s="24">
        <v>42683</v>
      </c>
      <c r="N8" s="21">
        <f>MONTH(Продажи!$M8)</f>
        <v>11</v>
      </c>
      <c r="O8" s="21">
        <f>WEEKDAY(Продажи!$M8,2)</f>
        <v>3</v>
      </c>
      <c r="P8" s="21">
        <f>YEAR(Продажи!$M8)</f>
        <v>2016</v>
      </c>
      <c r="Q8" s="28">
        <f>WEEKNUM(Продажи!$M8,2)</f>
        <v>46</v>
      </c>
      <c r="R8" s="28">
        <f>IF((Продажи!$E8="Зеленый чай")*(Продажи!$Q8&gt;=7)*(Продажи!$Q8&lt;=42),Продажи!$K8,0)</f>
        <v>0</v>
      </c>
      <c r="S8" s="28" t="b">
        <f t="shared" si="0"/>
        <v>0</v>
      </c>
      <c r="V8" s="1">
        <f>AVERAGE(Продажи!$R$4:$R$414)</f>
        <v>4.8175182481751842E-3</v>
      </c>
      <c r="W8" s="17" t="s">
        <v>35</v>
      </c>
    </row>
    <row r="9" spans="3:23" x14ac:dyDescent="0.2">
      <c r="C9" s="26">
        <v>56</v>
      </c>
      <c r="D9" s="21" t="s">
        <v>2451</v>
      </c>
      <c r="E9" s="21" t="s">
        <v>2438</v>
      </c>
      <c r="F9" s="21" t="s">
        <v>2452</v>
      </c>
      <c r="G9" s="21">
        <v>800</v>
      </c>
      <c r="H9" s="21" t="s">
        <v>2440</v>
      </c>
      <c r="I9" s="21">
        <v>40</v>
      </c>
      <c r="J9" s="21">
        <v>32000</v>
      </c>
      <c r="K9" s="21">
        <v>0.03</v>
      </c>
      <c r="L9" s="21">
        <v>31040</v>
      </c>
      <c r="M9" s="24">
        <v>42608</v>
      </c>
      <c r="N9" s="21">
        <f>MONTH(Продажи!$M9)</f>
        <v>8</v>
      </c>
      <c r="O9" s="21">
        <f>WEEKDAY(Продажи!$M9,2)</f>
        <v>5</v>
      </c>
      <c r="P9" s="21">
        <f>YEAR(Продажи!$M9)</f>
        <v>2016</v>
      </c>
      <c r="Q9" s="28">
        <f>WEEKNUM(Продажи!$M9,2)</f>
        <v>35</v>
      </c>
      <c r="R9" s="28">
        <f>IF((Продажи!$E9="Зеленый чай")*(Продажи!$Q9&gt;=7)*(Продажи!$Q9&lt;=42),Продажи!$K9,0)</f>
        <v>0.03</v>
      </c>
      <c r="S9" s="28">
        <f t="shared" si="0"/>
        <v>31040</v>
      </c>
    </row>
    <row r="10" spans="3:23" x14ac:dyDescent="0.2">
      <c r="C10" s="26">
        <v>44</v>
      </c>
      <c r="D10" s="21" t="s">
        <v>2453</v>
      </c>
      <c r="E10" s="21" t="s">
        <v>2454</v>
      </c>
      <c r="F10" s="21" t="s">
        <v>2455</v>
      </c>
      <c r="G10" s="21">
        <v>1386</v>
      </c>
      <c r="H10" s="21" t="s">
        <v>2440</v>
      </c>
      <c r="I10" s="21">
        <v>20</v>
      </c>
      <c r="J10" s="21">
        <v>27720</v>
      </c>
      <c r="K10" s="21">
        <v>0.03</v>
      </c>
      <c r="L10" s="21">
        <v>26888.400000000001</v>
      </c>
      <c r="M10" s="24">
        <v>42719</v>
      </c>
      <c r="N10" s="21">
        <f>MONTH(Продажи!$M10)</f>
        <v>12</v>
      </c>
      <c r="O10" s="21">
        <f>WEEKDAY(Продажи!$M10,2)</f>
        <v>4</v>
      </c>
      <c r="P10" s="21">
        <f>YEAR(Продажи!$M10)</f>
        <v>2016</v>
      </c>
      <c r="Q10" s="28">
        <f>WEEKNUM(Продажи!$M10,2)</f>
        <v>51</v>
      </c>
      <c r="R10" s="28">
        <f>IF((Продажи!$E10="Зеленый чай")*(Продажи!$Q10&gt;=7)*(Продажи!$Q10&lt;=42),Продажи!$K10,0)</f>
        <v>0</v>
      </c>
      <c r="S10" s="28" t="b">
        <f t="shared" si="0"/>
        <v>0</v>
      </c>
    </row>
    <row r="11" spans="3:23" x14ac:dyDescent="0.2">
      <c r="C11" s="26">
        <v>24</v>
      </c>
      <c r="D11" s="21" t="s">
        <v>2456</v>
      </c>
      <c r="E11" s="21" t="s">
        <v>2457</v>
      </c>
      <c r="F11" s="21" t="s">
        <v>2458</v>
      </c>
      <c r="G11" s="21">
        <v>957</v>
      </c>
      <c r="H11" s="21" t="s">
        <v>2440</v>
      </c>
      <c r="I11" s="21">
        <v>25</v>
      </c>
      <c r="J11" s="21">
        <v>23925</v>
      </c>
      <c r="K11" s="21">
        <v>0.03</v>
      </c>
      <c r="L11" s="21">
        <v>23207.25</v>
      </c>
      <c r="M11" s="24">
        <v>42605</v>
      </c>
      <c r="N11" s="21">
        <f>MONTH(Продажи!$M11)</f>
        <v>8</v>
      </c>
      <c r="O11" s="21">
        <f>WEEKDAY(Продажи!$M11,2)</f>
        <v>2</v>
      </c>
      <c r="P11" s="21">
        <f>YEAR(Продажи!$M11)</f>
        <v>2016</v>
      </c>
      <c r="Q11" s="28">
        <f>WEEKNUM(Продажи!$M11,2)</f>
        <v>35</v>
      </c>
      <c r="R11" s="28">
        <f>IF((Продажи!$E11="Зеленый чай")*(Продажи!$Q11&gt;=7)*(Продажи!$Q11&lt;=42),Продажи!$K11,0)</f>
        <v>0</v>
      </c>
      <c r="S11" s="37">
        <f t="shared" si="0"/>
        <v>23207.25</v>
      </c>
    </row>
    <row r="12" spans="3:23" x14ac:dyDescent="0.2">
      <c r="C12" s="26">
        <v>1</v>
      </c>
      <c r="D12" s="21" t="s">
        <v>2459</v>
      </c>
      <c r="E12" s="21" t="s">
        <v>2438</v>
      </c>
      <c r="F12" s="21" t="s">
        <v>2460</v>
      </c>
      <c r="G12" s="21">
        <v>876</v>
      </c>
      <c r="H12" s="21" t="s">
        <v>2444</v>
      </c>
      <c r="I12" s="21">
        <v>20</v>
      </c>
      <c r="J12" s="21">
        <v>17520</v>
      </c>
      <c r="K12" s="21">
        <v>0.03</v>
      </c>
      <c r="L12" s="21">
        <v>16994.400000000001</v>
      </c>
      <c r="M12" s="24">
        <v>43125</v>
      </c>
      <c r="N12" s="21">
        <f>MONTH(Продажи!$M12)</f>
        <v>1</v>
      </c>
      <c r="O12" s="21">
        <f>WEEKDAY(Продажи!$M12,2)</f>
        <v>4</v>
      </c>
      <c r="P12" s="21">
        <f>YEAR(Продажи!$M12)</f>
        <v>2018</v>
      </c>
      <c r="Q12" s="28">
        <f>WEEKNUM(Продажи!$M12,2)</f>
        <v>4</v>
      </c>
      <c r="R12" s="28">
        <f>IF((Продажи!$E12="Зеленый чай")*(Продажи!$Q12&gt;=7)*(Продажи!$Q12&lt;=42),Продажи!$K12,0)</f>
        <v>0</v>
      </c>
      <c r="S12" s="28">
        <f t="shared" si="0"/>
        <v>16994.400000000001</v>
      </c>
    </row>
    <row r="13" spans="3:23" x14ac:dyDescent="0.2">
      <c r="C13" s="26">
        <v>33</v>
      </c>
      <c r="D13" s="21" t="s">
        <v>2461</v>
      </c>
      <c r="E13" s="21" t="s">
        <v>2462</v>
      </c>
      <c r="F13" s="21" t="s">
        <v>2463</v>
      </c>
      <c r="G13" s="21">
        <v>1994</v>
      </c>
      <c r="H13" s="21" t="s">
        <v>2444</v>
      </c>
      <c r="I13" s="21">
        <v>12</v>
      </c>
      <c r="J13" s="21">
        <v>23928</v>
      </c>
      <c r="K13" s="21">
        <v>0.03</v>
      </c>
      <c r="L13" s="21">
        <v>23210.16</v>
      </c>
      <c r="M13" s="24">
        <v>42682</v>
      </c>
      <c r="N13" s="21">
        <f>MONTH(Продажи!$M13)</f>
        <v>11</v>
      </c>
      <c r="O13" s="21">
        <f>WEEKDAY(Продажи!$M13,2)</f>
        <v>2</v>
      </c>
      <c r="P13" s="21">
        <f>YEAR(Продажи!$M13)</f>
        <v>2016</v>
      </c>
      <c r="Q13" s="28">
        <f>WEEKNUM(Продажи!$M13,2)</f>
        <v>46</v>
      </c>
      <c r="R13" s="28">
        <f>IF((Продажи!$E13="Зеленый чай")*(Продажи!$Q13&gt;=7)*(Продажи!$Q13&lt;=42),Продажи!$K13,0)</f>
        <v>0</v>
      </c>
      <c r="S13" s="28" t="b">
        <f t="shared" si="0"/>
        <v>0</v>
      </c>
    </row>
    <row r="14" spans="3:23" x14ac:dyDescent="0.2">
      <c r="C14" s="26">
        <v>7</v>
      </c>
      <c r="D14" s="21" t="s">
        <v>2437</v>
      </c>
      <c r="E14" s="21" t="s">
        <v>2438</v>
      </c>
      <c r="F14" s="21" t="s">
        <v>2439</v>
      </c>
      <c r="G14" s="21">
        <v>1923</v>
      </c>
      <c r="H14" s="21" t="s">
        <v>2440</v>
      </c>
      <c r="I14" s="21">
        <v>25</v>
      </c>
      <c r="J14" s="21">
        <v>48075</v>
      </c>
      <c r="K14" s="21">
        <v>0.06</v>
      </c>
      <c r="L14" s="21">
        <v>45190.5</v>
      </c>
      <c r="M14" s="24">
        <v>42432</v>
      </c>
      <c r="N14" s="21">
        <f>MONTH(Продажи!$M14)</f>
        <v>3</v>
      </c>
      <c r="O14" s="21">
        <f>WEEKDAY(Продажи!$M14,2)</f>
        <v>4</v>
      </c>
      <c r="P14" s="21">
        <f>YEAR(Продажи!$M14)</f>
        <v>2016</v>
      </c>
      <c r="Q14" s="28">
        <f>WEEKNUM(Продажи!$M14,2)</f>
        <v>10</v>
      </c>
      <c r="R14" s="28">
        <f>IF((Продажи!$E14="Зеленый чай")*(Продажи!$Q14&gt;=7)*(Продажи!$Q14&lt;=42),Продажи!$K14,0)</f>
        <v>0.06</v>
      </c>
      <c r="S14" s="28" t="b">
        <f t="shared" si="0"/>
        <v>0</v>
      </c>
    </row>
    <row r="15" spans="3:23" x14ac:dyDescent="0.2">
      <c r="C15" s="26">
        <v>26</v>
      </c>
      <c r="D15" s="21" t="s">
        <v>2464</v>
      </c>
      <c r="E15" s="21" t="s">
        <v>2442</v>
      </c>
      <c r="F15" s="21" t="s">
        <v>2443</v>
      </c>
      <c r="G15" s="21">
        <v>2197</v>
      </c>
      <c r="H15" s="21" t="s">
        <v>2440</v>
      </c>
      <c r="I15" s="21">
        <v>40</v>
      </c>
      <c r="J15" s="21">
        <v>87880</v>
      </c>
      <c r="K15" s="21">
        <v>0.12</v>
      </c>
      <c r="L15" s="21">
        <v>77334.399999999994</v>
      </c>
      <c r="M15" s="24">
        <v>42542</v>
      </c>
      <c r="N15" s="21">
        <f>MONTH(Продажи!$M15)</f>
        <v>6</v>
      </c>
      <c r="O15" s="21">
        <f>WEEKDAY(Продажи!$M15,2)</f>
        <v>2</v>
      </c>
      <c r="P15" s="21">
        <f>YEAR(Продажи!$M15)</f>
        <v>2016</v>
      </c>
      <c r="Q15" s="28">
        <f>WEEKNUM(Продажи!$M15,2)</f>
        <v>26</v>
      </c>
      <c r="R15" s="28">
        <f>IF((Продажи!$E15="Зеленый чай")*(Продажи!$Q15&gt;=7)*(Продажи!$Q15&lt;=42),Продажи!$K15,0)</f>
        <v>0</v>
      </c>
      <c r="S15" s="28">
        <f t="shared" si="0"/>
        <v>77334.399999999994</v>
      </c>
    </row>
    <row r="16" spans="3:23" x14ac:dyDescent="0.2">
      <c r="C16" s="26">
        <v>17</v>
      </c>
      <c r="D16" s="21" t="s">
        <v>2465</v>
      </c>
      <c r="E16" s="21" t="s">
        <v>2446</v>
      </c>
      <c r="F16" s="21" t="s">
        <v>2466</v>
      </c>
      <c r="G16" s="21">
        <v>967</v>
      </c>
      <c r="H16" s="21" t="s">
        <v>2444</v>
      </c>
      <c r="I16" s="21">
        <v>12</v>
      </c>
      <c r="J16" s="21">
        <v>11604</v>
      </c>
      <c r="K16" s="21">
        <v>0</v>
      </c>
      <c r="L16" s="21">
        <v>11604</v>
      </c>
      <c r="M16" s="24">
        <v>43123</v>
      </c>
      <c r="N16" s="21">
        <f>MONTH(Продажи!$M16)</f>
        <v>1</v>
      </c>
      <c r="O16" s="21">
        <f>WEEKDAY(Продажи!$M16,2)</f>
        <v>2</v>
      </c>
      <c r="P16" s="21">
        <f>YEAR(Продажи!$M16)</f>
        <v>2018</v>
      </c>
      <c r="Q16" s="28">
        <f>WEEKNUM(Продажи!$M16,2)</f>
        <v>4</v>
      </c>
      <c r="R16" s="28">
        <f>IF((Продажи!$E16="Зеленый чай")*(Продажи!$Q16&gt;=7)*(Продажи!$Q16&lt;=42),Продажи!$K16,0)</f>
        <v>0</v>
      </c>
      <c r="S16" s="28">
        <f t="shared" si="0"/>
        <v>11604</v>
      </c>
    </row>
    <row r="17" spans="3:19" x14ac:dyDescent="0.2">
      <c r="C17" s="26">
        <v>20</v>
      </c>
      <c r="D17" s="21" t="s">
        <v>2467</v>
      </c>
      <c r="E17" s="21" t="s">
        <v>2457</v>
      </c>
      <c r="F17" s="21" t="s">
        <v>2468</v>
      </c>
      <c r="G17" s="21">
        <v>2198</v>
      </c>
      <c r="H17" s="21" t="s">
        <v>2444</v>
      </c>
      <c r="I17" s="21">
        <v>35</v>
      </c>
      <c r="J17" s="21">
        <v>76930</v>
      </c>
      <c r="K17" s="21">
        <v>0.12</v>
      </c>
      <c r="L17" s="21">
        <v>67698.399999999994</v>
      </c>
      <c r="M17" s="24">
        <v>43964</v>
      </c>
      <c r="N17" s="21">
        <f>MONTH(Продажи!$M17)</f>
        <v>5</v>
      </c>
      <c r="O17" s="21">
        <f>WEEKDAY(Продажи!$M17,2)</f>
        <v>3</v>
      </c>
      <c r="P17" s="21">
        <f>YEAR(Продажи!$M17)</f>
        <v>2020</v>
      </c>
      <c r="Q17" s="28">
        <f>WEEKNUM(Продажи!$M17,2)</f>
        <v>20</v>
      </c>
      <c r="R17" s="28">
        <f>IF((Продажи!$E17="Зеленый чай")*(Продажи!$Q17&gt;=7)*(Продажи!$Q17&lt;=42),Продажи!$K17,0)</f>
        <v>0</v>
      </c>
      <c r="S17" s="28" t="b">
        <f t="shared" si="0"/>
        <v>0</v>
      </c>
    </row>
    <row r="18" spans="3:19" x14ac:dyDescent="0.2">
      <c r="C18" s="26">
        <v>0</v>
      </c>
      <c r="D18" s="21" t="s">
        <v>2469</v>
      </c>
      <c r="E18" s="21" t="s">
        <v>2442</v>
      </c>
      <c r="F18" s="21" t="s">
        <v>2470</v>
      </c>
      <c r="G18" s="21">
        <v>620</v>
      </c>
      <c r="H18" s="21" t="s">
        <v>2444</v>
      </c>
      <c r="I18" s="21">
        <v>30</v>
      </c>
      <c r="J18" s="21">
        <v>18600</v>
      </c>
      <c r="K18" s="21">
        <v>0.03</v>
      </c>
      <c r="L18" s="21">
        <v>18042</v>
      </c>
      <c r="M18" s="24">
        <v>43531</v>
      </c>
      <c r="N18" s="21">
        <f>MONTH(Продажи!$M18)</f>
        <v>3</v>
      </c>
      <c r="O18" s="21">
        <f>WEEKDAY(Продажи!$M18,2)</f>
        <v>4</v>
      </c>
      <c r="P18" s="21">
        <f>YEAR(Продажи!$M18)</f>
        <v>2019</v>
      </c>
      <c r="Q18" s="28">
        <f>WEEKNUM(Продажи!$M18,2)</f>
        <v>10</v>
      </c>
      <c r="R18" s="28">
        <f>IF((Продажи!$E18="Зеленый чай")*(Продажи!$Q18&gt;=7)*(Продажи!$Q18&lt;=42),Продажи!$K18,0)</f>
        <v>0</v>
      </c>
      <c r="S18" s="28" t="b">
        <f t="shared" si="0"/>
        <v>0</v>
      </c>
    </row>
    <row r="19" spans="3:19" x14ac:dyDescent="0.2">
      <c r="C19" s="26">
        <v>48</v>
      </c>
      <c r="D19" s="21" t="s">
        <v>2471</v>
      </c>
      <c r="E19" s="21" t="s">
        <v>2438</v>
      </c>
      <c r="F19" s="21" t="s">
        <v>2472</v>
      </c>
      <c r="G19" s="21">
        <v>2199</v>
      </c>
      <c r="H19" s="21" t="s">
        <v>2440</v>
      </c>
      <c r="I19" s="21">
        <v>55</v>
      </c>
      <c r="J19" s="21">
        <v>120945</v>
      </c>
      <c r="K19" s="21">
        <v>0.15</v>
      </c>
      <c r="L19" s="21">
        <v>102803.25</v>
      </c>
      <c r="M19" s="24">
        <v>43376</v>
      </c>
      <c r="N19" s="21">
        <f>MONTH(Продажи!$M19)</f>
        <v>10</v>
      </c>
      <c r="O19" s="21">
        <f>WEEKDAY(Продажи!$M19,2)</f>
        <v>3</v>
      </c>
      <c r="P19" s="21">
        <f>YEAR(Продажи!$M19)</f>
        <v>2018</v>
      </c>
      <c r="Q19" s="28">
        <f>WEEKNUM(Продажи!$M19,2)</f>
        <v>40</v>
      </c>
      <c r="R19" s="28">
        <f>IF((Продажи!$E19="Зеленый чай")*(Продажи!$Q19&gt;=7)*(Продажи!$Q19&lt;=42),Продажи!$K19,0)</f>
        <v>0.15</v>
      </c>
      <c r="S19" s="28" t="b">
        <f t="shared" si="0"/>
        <v>0</v>
      </c>
    </row>
    <row r="20" spans="3:19" x14ac:dyDescent="0.2">
      <c r="C20" s="26">
        <v>23</v>
      </c>
      <c r="D20" s="21" t="s">
        <v>2473</v>
      </c>
      <c r="E20" s="21" t="s">
        <v>2448</v>
      </c>
      <c r="F20" s="21" t="s">
        <v>2474</v>
      </c>
      <c r="G20" s="21">
        <v>2645</v>
      </c>
      <c r="H20" s="21" t="s">
        <v>2444</v>
      </c>
      <c r="I20" s="21">
        <v>50</v>
      </c>
      <c r="J20" s="21">
        <v>132250</v>
      </c>
      <c r="K20" s="21">
        <v>0.15</v>
      </c>
      <c r="L20" s="21">
        <v>112412.5</v>
      </c>
      <c r="M20" s="24">
        <v>43293</v>
      </c>
      <c r="N20" s="21">
        <f>MONTH(Продажи!$M20)</f>
        <v>7</v>
      </c>
      <c r="O20" s="21">
        <f>WEEKDAY(Продажи!$M20,2)</f>
        <v>4</v>
      </c>
      <c r="P20" s="21">
        <f>YEAR(Продажи!$M20)</f>
        <v>2018</v>
      </c>
      <c r="Q20" s="28">
        <f>WEEKNUM(Продажи!$M20,2)</f>
        <v>28</v>
      </c>
      <c r="R20" s="28">
        <f>IF((Продажи!$E20="Зеленый чай")*(Продажи!$Q20&gt;=7)*(Продажи!$Q20&lt;=42),Продажи!$K20,0)</f>
        <v>0</v>
      </c>
      <c r="S20" s="28" t="b">
        <f t="shared" si="0"/>
        <v>0</v>
      </c>
    </row>
    <row r="21" spans="3:19" ht="15.75" customHeight="1" x14ac:dyDescent="0.2">
      <c r="C21" s="26">
        <v>46</v>
      </c>
      <c r="D21" s="21" t="s">
        <v>2475</v>
      </c>
      <c r="E21" s="21" t="s">
        <v>2476</v>
      </c>
      <c r="F21" s="21" t="s">
        <v>2476</v>
      </c>
      <c r="G21" s="21">
        <v>770</v>
      </c>
      <c r="H21" s="21" t="s">
        <v>2440</v>
      </c>
      <c r="I21" s="21">
        <v>20</v>
      </c>
      <c r="J21" s="21">
        <v>15400</v>
      </c>
      <c r="K21" s="21">
        <v>0.03</v>
      </c>
      <c r="L21" s="21">
        <v>14938</v>
      </c>
      <c r="M21" s="24">
        <v>42470</v>
      </c>
      <c r="N21" s="21">
        <f>MONTH(Продажи!$M21)</f>
        <v>4</v>
      </c>
      <c r="O21" s="21">
        <f>WEEKDAY(Продажи!$M21,2)</f>
        <v>7</v>
      </c>
      <c r="P21" s="21">
        <f>YEAR(Продажи!$M21)</f>
        <v>2016</v>
      </c>
      <c r="Q21" s="28">
        <f>WEEKNUM(Продажи!$M21,2)</f>
        <v>15</v>
      </c>
      <c r="R21" s="28">
        <f>IF((Продажи!$E21="Зеленый чай")*(Продажи!$Q21&gt;=7)*(Продажи!$Q21&lt;=42),Продажи!$K21,0)</f>
        <v>0</v>
      </c>
      <c r="S21" s="28" t="b">
        <f t="shared" si="0"/>
        <v>0</v>
      </c>
    </row>
    <row r="22" spans="3:19" ht="15.75" customHeight="1" x14ac:dyDescent="0.2">
      <c r="C22" s="26">
        <v>8</v>
      </c>
      <c r="D22" s="21" t="s">
        <v>2477</v>
      </c>
      <c r="E22" s="21" t="s">
        <v>2454</v>
      </c>
      <c r="F22" s="21" t="s">
        <v>2478</v>
      </c>
      <c r="G22" s="21">
        <v>847</v>
      </c>
      <c r="H22" s="21" t="s">
        <v>2440</v>
      </c>
      <c r="I22" s="21">
        <v>15</v>
      </c>
      <c r="J22" s="21">
        <v>12705</v>
      </c>
      <c r="K22" s="21">
        <v>0</v>
      </c>
      <c r="L22" s="21">
        <v>12705</v>
      </c>
      <c r="M22" s="24">
        <v>43436</v>
      </c>
      <c r="N22" s="21">
        <f>MONTH(Продажи!$M22)</f>
        <v>12</v>
      </c>
      <c r="O22" s="21">
        <f>WEEKDAY(Продажи!$M22,2)</f>
        <v>7</v>
      </c>
      <c r="P22" s="21">
        <f>YEAR(Продажи!$M22)</f>
        <v>2018</v>
      </c>
      <c r="Q22" s="28">
        <f>WEEKNUM(Продажи!$M22,2)</f>
        <v>48</v>
      </c>
      <c r="R22" s="28">
        <f>IF((Продажи!$E22="Зеленый чай")*(Продажи!$Q22&gt;=7)*(Продажи!$Q22&lt;=42),Продажи!$K22,0)</f>
        <v>0</v>
      </c>
      <c r="S22" s="28" t="b">
        <f t="shared" si="0"/>
        <v>0</v>
      </c>
    </row>
    <row r="23" spans="3:19" ht="15.75" customHeight="1" x14ac:dyDescent="0.2">
      <c r="C23" s="26">
        <v>24</v>
      </c>
      <c r="D23" s="21" t="s">
        <v>2456</v>
      </c>
      <c r="E23" s="21" t="s">
        <v>2457</v>
      </c>
      <c r="F23" s="21" t="s">
        <v>2458</v>
      </c>
      <c r="G23" s="21">
        <v>957</v>
      </c>
      <c r="H23" s="21" t="s">
        <v>2440</v>
      </c>
      <c r="I23" s="21">
        <v>25</v>
      </c>
      <c r="J23" s="21">
        <v>23925</v>
      </c>
      <c r="K23" s="21">
        <v>0.03</v>
      </c>
      <c r="L23" s="21">
        <v>23207.25</v>
      </c>
      <c r="M23" s="24">
        <v>44156</v>
      </c>
      <c r="N23" s="21">
        <f>MONTH(Продажи!$M23)</f>
        <v>11</v>
      </c>
      <c r="O23" s="21">
        <f>WEEKDAY(Продажи!$M23,2)</f>
        <v>6</v>
      </c>
      <c r="P23" s="21">
        <f>YEAR(Продажи!$M23)</f>
        <v>2020</v>
      </c>
      <c r="Q23" s="28">
        <f>WEEKNUM(Продажи!$M23,2)</f>
        <v>47</v>
      </c>
      <c r="R23" s="28">
        <f>IF((Продажи!$E23="Зеленый чай")*(Продажи!$Q23&gt;=7)*(Продажи!$Q23&lt;=42),Продажи!$K23,0)</f>
        <v>0</v>
      </c>
      <c r="S23" s="28">
        <f t="shared" si="0"/>
        <v>23207.25</v>
      </c>
    </row>
    <row r="24" spans="3:19" ht="15.75" customHeight="1" x14ac:dyDescent="0.2">
      <c r="C24" s="26">
        <v>31</v>
      </c>
      <c r="D24" s="21" t="s">
        <v>2479</v>
      </c>
      <c r="E24" s="21" t="s">
        <v>2442</v>
      </c>
      <c r="F24" s="21" t="s">
        <v>2480</v>
      </c>
      <c r="G24" s="21">
        <v>1228</v>
      </c>
      <c r="H24" s="21" t="s">
        <v>2440</v>
      </c>
      <c r="I24" s="21">
        <v>45</v>
      </c>
      <c r="J24" s="21">
        <v>55260</v>
      </c>
      <c r="K24" s="21">
        <v>0.09</v>
      </c>
      <c r="L24" s="21">
        <v>50286.6</v>
      </c>
      <c r="M24" s="24">
        <v>42337</v>
      </c>
      <c r="N24" s="21">
        <f>MONTH(Продажи!$M24)</f>
        <v>11</v>
      </c>
      <c r="O24" s="21">
        <f>WEEKDAY(Продажи!$M24,2)</f>
        <v>7</v>
      </c>
      <c r="P24" s="21">
        <f>YEAR(Продажи!$M24)</f>
        <v>2015</v>
      </c>
      <c r="Q24" s="28">
        <f>WEEKNUM(Продажи!$M24,2)</f>
        <v>48</v>
      </c>
      <c r="R24" s="28">
        <f>IF((Продажи!$E24="Зеленый чай")*(Продажи!$Q24&gt;=7)*(Продажи!$Q24&lt;=42),Продажи!$K24,0)</f>
        <v>0</v>
      </c>
      <c r="S24" s="28">
        <f t="shared" si="0"/>
        <v>50286.6</v>
      </c>
    </row>
    <row r="25" spans="3:19" ht="15.75" customHeight="1" x14ac:dyDescent="0.2">
      <c r="C25" s="26">
        <v>36</v>
      </c>
      <c r="D25" s="21" t="s">
        <v>2481</v>
      </c>
      <c r="E25" s="21" t="s">
        <v>2454</v>
      </c>
      <c r="F25" s="21" t="s">
        <v>2482</v>
      </c>
      <c r="G25" s="21">
        <v>912</v>
      </c>
      <c r="H25" s="21" t="s">
        <v>2440</v>
      </c>
      <c r="I25" s="21">
        <v>15</v>
      </c>
      <c r="J25" s="21">
        <v>13680</v>
      </c>
      <c r="K25" s="21">
        <v>0</v>
      </c>
      <c r="L25" s="21">
        <v>13680</v>
      </c>
      <c r="M25" s="24">
        <v>43357</v>
      </c>
      <c r="N25" s="21">
        <f>MONTH(Продажи!$M25)</f>
        <v>9</v>
      </c>
      <c r="O25" s="21">
        <f>WEEKDAY(Продажи!$M25,2)</f>
        <v>5</v>
      </c>
      <c r="P25" s="21">
        <f>YEAR(Продажи!$M25)</f>
        <v>2018</v>
      </c>
      <c r="Q25" s="28">
        <f>WEEKNUM(Продажи!$M25,2)</f>
        <v>37</v>
      </c>
      <c r="R25" s="28">
        <f>IF((Продажи!$E25="Зеленый чай")*(Продажи!$Q25&gt;=7)*(Продажи!$Q25&lt;=42),Продажи!$K25,0)</f>
        <v>0</v>
      </c>
      <c r="S25" s="28" t="b">
        <f t="shared" si="0"/>
        <v>0</v>
      </c>
    </row>
    <row r="26" spans="3:19" ht="15.75" customHeight="1" x14ac:dyDescent="0.2">
      <c r="C26" s="26">
        <v>38</v>
      </c>
      <c r="D26" s="21" t="s">
        <v>2483</v>
      </c>
      <c r="E26" s="21" t="s">
        <v>2446</v>
      </c>
      <c r="F26" s="21" t="s">
        <v>2484</v>
      </c>
      <c r="G26" s="21">
        <v>1182</v>
      </c>
      <c r="H26" s="21" t="s">
        <v>2440</v>
      </c>
      <c r="I26" s="21">
        <v>17</v>
      </c>
      <c r="J26" s="21">
        <v>20094</v>
      </c>
      <c r="K26" s="21">
        <v>0.03</v>
      </c>
      <c r="L26" s="21">
        <v>19491.18</v>
      </c>
      <c r="M26" s="24">
        <v>42108</v>
      </c>
      <c r="N26" s="21">
        <f>MONTH(Продажи!$M26)</f>
        <v>4</v>
      </c>
      <c r="O26" s="21">
        <f>WEEKDAY(Продажи!$M26,2)</f>
        <v>2</v>
      </c>
      <c r="P26" s="21">
        <f>YEAR(Продажи!$M26)</f>
        <v>2015</v>
      </c>
      <c r="Q26" s="28">
        <f>WEEKNUM(Продажи!$M26,2)</f>
        <v>16</v>
      </c>
      <c r="R26" s="28">
        <f>IF((Продажи!$E26="Зеленый чай")*(Продажи!$Q26&gt;=7)*(Продажи!$Q26&lt;=42),Продажи!$K26,0)</f>
        <v>0</v>
      </c>
      <c r="S26" s="28" t="b">
        <f t="shared" si="0"/>
        <v>0</v>
      </c>
    </row>
    <row r="27" spans="3:19" ht="15.75" customHeight="1" x14ac:dyDescent="0.2">
      <c r="C27" s="26">
        <v>4</v>
      </c>
      <c r="D27" s="21" t="s">
        <v>2449</v>
      </c>
      <c r="E27" s="21" t="s">
        <v>2448</v>
      </c>
      <c r="F27" s="21" t="s">
        <v>2485</v>
      </c>
      <c r="G27" s="21">
        <v>2211</v>
      </c>
      <c r="H27" s="21" t="s">
        <v>2444</v>
      </c>
      <c r="I27" s="21">
        <v>25</v>
      </c>
      <c r="J27" s="21">
        <v>55275</v>
      </c>
      <c r="K27" s="21">
        <v>0.09</v>
      </c>
      <c r="L27" s="21">
        <v>50300.25</v>
      </c>
      <c r="M27" s="24">
        <v>43516</v>
      </c>
      <c r="N27" s="21">
        <f>MONTH(Продажи!$M27)</f>
        <v>2</v>
      </c>
      <c r="O27" s="21">
        <f>WEEKDAY(Продажи!$M27,2)</f>
        <v>3</v>
      </c>
      <c r="P27" s="21">
        <f>YEAR(Продажи!$M27)</f>
        <v>2019</v>
      </c>
      <c r="Q27" s="28">
        <f>WEEKNUM(Продажи!$M27,2)</f>
        <v>8</v>
      </c>
      <c r="R27" s="28">
        <f>IF((Продажи!$E27="Зеленый чай")*(Продажи!$Q27&gt;=7)*(Продажи!$Q27&lt;=42),Продажи!$K27,0)</f>
        <v>0</v>
      </c>
      <c r="S27" s="28" t="b">
        <f t="shared" si="0"/>
        <v>0</v>
      </c>
    </row>
    <row r="28" spans="3:19" ht="15.75" customHeight="1" x14ac:dyDescent="0.2">
      <c r="C28" s="26">
        <v>38</v>
      </c>
      <c r="D28" s="21" t="s">
        <v>2483</v>
      </c>
      <c r="E28" s="21" t="s">
        <v>2446</v>
      </c>
      <c r="F28" s="21" t="s">
        <v>2484</v>
      </c>
      <c r="G28" s="21">
        <v>1182</v>
      </c>
      <c r="H28" s="21" t="s">
        <v>2440</v>
      </c>
      <c r="I28" s="21">
        <v>17</v>
      </c>
      <c r="J28" s="21">
        <v>20094</v>
      </c>
      <c r="K28" s="21">
        <v>0.03</v>
      </c>
      <c r="L28" s="21">
        <v>19491.18</v>
      </c>
      <c r="M28" s="24">
        <v>42044</v>
      </c>
      <c r="N28" s="21">
        <f>MONTH(Продажи!$M28)</f>
        <v>2</v>
      </c>
      <c r="O28" s="21">
        <f>WEEKDAY(Продажи!$M28,2)</f>
        <v>1</v>
      </c>
      <c r="P28" s="21">
        <f>YEAR(Продажи!$M28)</f>
        <v>2015</v>
      </c>
      <c r="Q28" s="28">
        <f>WEEKNUM(Продажи!$M28,2)</f>
        <v>7</v>
      </c>
      <c r="R28" s="28">
        <f>IF((Продажи!$E28="Зеленый чай")*(Продажи!$Q28&gt;=7)*(Продажи!$Q28&lt;=42),Продажи!$K28,0)</f>
        <v>0</v>
      </c>
      <c r="S28" s="28" t="b">
        <f t="shared" si="0"/>
        <v>0</v>
      </c>
    </row>
    <row r="29" spans="3:19" ht="15.75" customHeight="1" x14ac:dyDescent="0.2">
      <c r="C29" s="26">
        <v>36</v>
      </c>
      <c r="D29" s="21" t="s">
        <v>2481</v>
      </c>
      <c r="E29" s="21" t="s">
        <v>2454</v>
      </c>
      <c r="F29" s="21" t="s">
        <v>2482</v>
      </c>
      <c r="G29" s="21">
        <v>912</v>
      </c>
      <c r="H29" s="21" t="s">
        <v>2440</v>
      </c>
      <c r="I29" s="21">
        <v>15</v>
      </c>
      <c r="J29" s="21">
        <v>13680</v>
      </c>
      <c r="K29" s="21">
        <v>0</v>
      </c>
      <c r="L29" s="21">
        <v>13680</v>
      </c>
      <c r="M29" s="24">
        <v>43410</v>
      </c>
      <c r="N29" s="21">
        <f>MONTH(Продажи!$M29)</f>
        <v>11</v>
      </c>
      <c r="O29" s="21">
        <f>WEEKDAY(Продажи!$M29,2)</f>
        <v>2</v>
      </c>
      <c r="P29" s="21">
        <f>YEAR(Продажи!$M29)</f>
        <v>2018</v>
      </c>
      <c r="Q29" s="28">
        <f>WEEKNUM(Продажи!$M29,2)</f>
        <v>45</v>
      </c>
      <c r="R29" s="28">
        <f>IF((Продажи!$E29="Зеленый чай")*(Продажи!$Q29&gt;=7)*(Продажи!$Q29&lt;=42),Продажи!$K29,0)</f>
        <v>0</v>
      </c>
      <c r="S29" s="28" t="b">
        <f t="shared" si="0"/>
        <v>0</v>
      </c>
    </row>
    <row r="30" spans="3:19" ht="15.75" customHeight="1" x14ac:dyDescent="0.2">
      <c r="C30" s="26">
        <v>30</v>
      </c>
      <c r="D30" s="21" t="s">
        <v>2486</v>
      </c>
      <c r="E30" s="21" t="s">
        <v>2476</v>
      </c>
      <c r="F30" s="21" t="s">
        <v>2487</v>
      </c>
      <c r="G30" s="21">
        <v>1730</v>
      </c>
      <c r="H30" s="21" t="s">
        <v>2440</v>
      </c>
      <c r="I30" s="21">
        <v>5</v>
      </c>
      <c r="J30" s="21">
        <v>8650</v>
      </c>
      <c r="K30" s="21">
        <v>0</v>
      </c>
      <c r="L30" s="21">
        <v>8650</v>
      </c>
      <c r="M30" s="24">
        <v>43416</v>
      </c>
      <c r="N30" s="21">
        <f>MONTH(Продажи!$M30)</f>
        <v>11</v>
      </c>
      <c r="O30" s="21">
        <f>WEEKDAY(Продажи!$M30,2)</f>
        <v>1</v>
      </c>
      <c r="P30" s="21">
        <f>YEAR(Продажи!$M30)</f>
        <v>2018</v>
      </c>
      <c r="Q30" s="28">
        <f>WEEKNUM(Продажи!$M30,2)</f>
        <v>46</v>
      </c>
      <c r="R30" s="28">
        <f>IF((Продажи!$E30="Зеленый чай")*(Продажи!$Q30&gt;=7)*(Продажи!$Q30&lt;=42),Продажи!$K30,0)</f>
        <v>0</v>
      </c>
      <c r="S30" s="28" t="b">
        <f t="shared" si="0"/>
        <v>0</v>
      </c>
    </row>
    <row r="31" spans="3:19" ht="15.75" customHeight="1" x14ac:dyDescent="0.2">
      <c r="C31" s="26">
        <v>4</v>
      </c>
      <c r="D31" s="21" t="s">
        <v>2449</v>
      </c>
      <c r="E31" s="21" t="s">
        <v>2448</v>
      </c>
      <c r="F31" s="21" t="s">
        <v>2485</v>
      </c>
      <c r="G31" s="21">
        <v>2211</v>
      </c>
      <c r="H31" s="21" t="s">
        <v>2444</v>
      </c>
      <c r="I31" s="21">
        <v>25</v>
      </c>
      <c r="J31" s="21">
        <v>55275</v>
      </c>
      <c r="K31" s="21">
        <v>0.09</v>
      </c>
      <c r="L31" s="21">
        <v>50300.25</v>
      </c>
      <c r="M31" s="24">
        <v>42417</v>
      </c>
      <c r="N31" s="21">
        <f>MONTH(Продажи!$M31)</f>
        <v>2</v>
      </c>
      <c r="O31" s="21">
        <f>WEEKDAY(Продажи!$M31,2)</f>
        <v>3</v>
      </c>
      <c r="P31" s="21">
        <f>YEAR(Продажи!$M31)</f>
        <v>2016</v>
      </c>
      <c r="Q31" s="28">
        <f>WEEKNUM(Продажи!$M31,2)</f>
        <v>8</v>
      </c>
      <c r="R31" s="28">
        <f>IF((Продажи!$E31="Зеленый чай")*(Продажи!$Q31&gt;=7)*(Продажи!$Q31&lt;=42),Продажи!$K31,0)</f>
        <v>0</v>
      </c>
      <c r="S31" s="28" t="b">
        <f t="shared" si="0"/>
        <v>0</v>
      </c>
    </row>
    <row r="32" spans="3:19" ht="15.75" customHeight="1" x14ac:dyDescent="0.2">
      <c r="C32" s="26">
        <v>19</v>
      </c>
      <c r="D32" s="21" t="s">
        <v>2488</v>
      </c>
      <c r="E32" s="21" t="s">
        <v>2454</v>
      </c>
      <c r="F32" s="21" t="s">
        <v>2489</v>
      </c>
      <c r="G32" s="21">
        <v>1879</v>
      </c>
      <c r="H32" s="21" t="s">
        <v>2440</v>
      </c>
      <c r="I32" s="21">
        <v>15</v>
      </c>
      <c r="J32" s="21">
        <v>28185</v>
      </c>
      <c r="K32" s="21">
        <v>0.03</v>
      </c>
      <c r="L32" s="21">
        <v>27339.45</v>
      </c>
      <c r="M32" s="24">
        <v>42572</v>
      </c>
      <c r="N32" s="21">
        <f>MONTH(Продажи!$M32)</f>
        <v>7</v>
      </c>
      <c r="O32" s="21">
        <f>WEEKDAY(Продажи!$M32,2)</f>
        <v>4</v>
      </c>
      <c r="P32" s="21">
        <f>YEAR(Продажи!$M32)</f>
        <v>2016</v>
      </c>
      <c r="Q32" s="28">
        <f>WEEKNUM(Продажи!$M32,2)</f>
        <v>30</v>
      </c>
      <c r="R32" s="28">
        <f>IF((Продажи!$E32="Зеленый чай")*(Продажи!$Q32&gt;=7)*(Продажи!$Q32&lt;=42),Продажи!$K32,0)</f>
        <v>0</v>
      </c>
      <c r="S32" s="28">
        <f t="shared" si="0"/>
        <v>27339.45</v>
      </c>
    </row>
    <row r="33" spans="3:19" ht="15.75" customHeight="1" x14ac:dyDescent="0.2">
      <c r="C33" s="26">
        <v>25</v>
      </c>
      <c r="D33" s="21" t="s">
        <v>2490</v>
      </c>
      <c r="E33" s="21" t="s">
        <v>2462</v>
      </c>
      <c r="F33" s="21" t="s">
        <v>2491</v>
      </c>
      <c r="G33" s="21">
        <v>1994</v>
      </c>
      <c r="H33" s="21" t="s">
        <v>2444</v>
      </c>
      <c r="I33" s="21">
        <v>10</v>
      </c>
      <c r="J33" s="21">
        <v>19940</v>
      </c>
      <c r="K33" s="21">
        <v>0.03</v>
      </c>
      <c r="L33" s="21">
        <v>19341.8</v>
      </c>
      <c r="M33" s="24">
        <v>43482</v>
      </c>
      <c r="N33" s="21">
        <f>MONTH(Продажи!$M33)</f>
        <v>1</v>
      </c>
      <c r="O33" s="21">
        <f>WEEKDAY(Продажи!$M33,2)</f>
        <v>4</v>
      </c>
      <c r="P33" s="21">
        <f>YEAR(Продажи!$M33)</f>
        <v>2019</v>
      </c>
      <c r="Q33" s="28">
        <f>WEEKNUM(Продажи!$M33,2)</f>
        <v>3</v>
      </c>
      <c r="R33" s="28">
        <f>IF((Продажи!$E33="Зеленый чай")*(Продажи!$Q33&gt;=7)*(Продажи!$Q33&lt;=42),Продажи!$K33,0)</f>
        <v>0</v>
      </c>
      <c r="S33" s="28" t="b">
        <f t="shared" si="0"/>
        <v>0</v>
      </c>
    </row>
    <row r="34" spans="3:19" ht="15.75" customHeight="1" x14ac:dyDescent="0.2">
      <c r="C34" s="26">
        <v>43</v>
      </c>
      <c r="D34" s="21" t="s">
        <v>2492</v>
      </c>
      <c r="E34" s="21" t="s">
        <v>2446</v>
      </c>
      <c r="F34" s="21" t="s">
        <v>2493</v>
      </c>
      <c r="G34" s="21">
        <v>759</v>
      </c>
      <c r="H34" s="21" t="s">
        <v>2444</v>
      </c>
      <c r="I34" s="21">
        <v>10</v>
      </c>
      <c r="J34" s="21">
        <v>7590</v>
      </c>
      <c r="K34" s="21">
        <v>0</v>
      </c>
      <c r="L34" s="21">
        <v>7590</v>
      </c>
      <c r="M34" s="24">
        <v>43724</v>
      </c>
      <c r="N34" s="21">
        <f>MONTH(Продажи!$M34)</f>
        <v>9</v>
      </c>
      <c r="O34" s="21">
        <f>WEEKDAY(Продажи!$M34,2)</f>
        <v>1</v>
      </c>
      <c r="P34" s="21">
        <f>YEAR(Продажи!$M34)</f>
        <v>2019</v>
      </c>
      <c r="Q34" s="28">
        <f>WEEKNUM(Продажи!$M34,2)</f>
        <v>38</v>
      </c>
      <c r="R34" s="28">
        <f>IF((Продажи!$E34="Зеленый чай")*(Продажи!$Q34&gt;=7)*(Продажи!$Q34&lt;=42),Продажи!$K34,0)</f>
        <v>0</v>
      </c>
      <c r="S34" s="28" t="b">
        <f t="shared" si="0"/>
        <v>0</v>
      </c>
    </row>
    <row r="35" spans="3:19" ht="15.75" customHeight="1" x14ac:dyDescent="0.2">
      <c r="C35" s="26">
        <v>14</v>
      </c>
      <c r="D35" s="21" t="s">
        <v>2475</v>
      </c>
      <c r="E35" s="21" t="s">
        <v>2476</v>
      </c>
      <c r="F35" s="21" t="s">
        <v>2476</v>
      </c>
      <c r="G35" s="21">
        <v>770</v>
      </c>
      <c r="H35" s="21" t="s">
        <v>2440</v>
      </c>
      <c r="I35" s="21">
        <v>20</v>
      </c>
      <c r="J35" s="21">
        <v>15400</v>
      </c>
      <c r="K35" s="21">
        <v>0.03</v>
      </c>
      <c r="L35" s="21">
        <v>14938</v>
      </c>
      <c r="M35" s="24">
        <v>43274</v>
      </c>
      <c r="N35" s="21">
        <f>MONTH(Продажи!$M35)</f>
        <v>6</v>
      </c>
      <c r="O35" s="21">
        <f>WEEKDAY(Продажи!$M35,2)</f>
        <v>6</v>
      </c>
      <c r="P35" s="21">
        <f>YEAR(Продажи!$M35)</f>
        <v>2018</v>
      </c>
      <c r="Q35" s="28">
        <f>WEEKNUM(Продажи!$M35,2)</f>
        <v>25</v>
      </c>
      <c r="R35" s="28">
        <f>IF((Продажи!$E35="Зеленый чай")*(Продажи!$Q35&gt;=7)*(Продажи!$Q35&lt;=42),Продажи!$K35,0)</f>
        <v>0</v>
      </c>
      <c r="S35" s="28">
        <f t="shared" si="0"/>
        <v>14938</v>
      </c>
    </row>
    <row r="36" spans="3:19" ht="15.75" customHeight="1" x14ac:dyDescent="0.2">
      <c r="C36" s="26">
        <v>42</v>
      </c>
      <c r="D36" s="21" t="s">
        <v>2451</v>
      </c>
      <c r="E36" s="21" t="s">
        <v>2438</v>
      </c>
      <c r="F36" s="21" t="s">
        <v>2452</v>
      </c>
      <c r="G36" s="21">
        <v>800</v>
      </c>
      <c r="H36" s="21" t="s">
        <v>2440</v>
      </c>
      <c r="I36" s="21">
        <v>25</v>
      </c>
      <c r="J36" s="21">
        <v>20000</v>
      </c>
      <c r="K36" s="21">
        <v>0.03</v>
      </c>
      <c r="L36" s="21">
        <v>19400</v>
      </c>
      <c r="M36" s="24">
        <v>42139</v>
      </c>
      <c r="N36" s="21">
        <f>MONTH(Продажи!$M36)</f>
        <v>5</v>
      </c>
      <c r="O36" s="21">
        <f>WEEKDAY(Продажи!$M36,2)</f>
        <v>5</v>
      </c>
      <c r="P36" s="21">
        <f>YEAR(Продажи!$M36)</f>
        <v>2015</v>
      </c>
      <c r="Q36" s="28">
        <f>WEEKNUM(Продажи!$M36,2)</f>
        <v>20</v>
      </c>
      <c r="R36" s="28">
        <f>IF((Продажи!$E36="Зеленый чай")*(Продажи!$Q36&gt;=7)*(Продажи!$Q36&lt;=42),Продажи!$K36,0)</f>
        <v>0.03</v>
      </c>
      <c r="S36" s="28" t="b">
        <f t="shared" si="0"/>
        <v>0</v>
      </c>
    </row>
    <row r="37" spans="3:19" ht="15.75" customHeight="1" x14ac:dyDescent="0.2">
      <c r="C37" s="26">
        <v>28</v>
      </c>
      <c r="D37" s="21" t="s">
        <v>2494</v>
      </c>
      <c r="E37" s="21" t="s">
        <v>2462</v>
      </c>
      <c r="F37" s="21" t="s">
        <v>2491</v>
      </c>
      <c r="G37" s="21">
        <v>1994</v>
      </c>
      <c r="H37" s="21" t="s">
        <v>2444</v>
      </c>
      <c r="I37" s="21">
        <v>40</v>
      </c>
      <c r="J37" s="21">
        <v>79760</v>
      </c>
      <c r="K37" s="21">
        <v>0.12</v>
      </c>
      <c r="L37" s="21">
        <v>70188.800000000003</v>
      </c>
      <c r="M37" s="24">
        <v>42989</v>
      </c>
      <c r="N37" s="21">
        <f>MONTH(Продажи!$M37)</f>
        <v>9</v>
      </c>
      <c r="O37" s="21">
        <f>WEEKDAY(Продажи!$M37,2)</f>
        <v>1</v>
      </c>
      <c r="P37" s="21">
        <f>YEAR(Продажи!$M37)</f>
        <v>2017</v>
      </c>
      <c r="Q37" s="28">
        <f>WEEKNUM(Продажи!$M37,2)</f>
        <v>38</v>
      </c>
      <c r="R37" s="28">
        <f>IF((Продажи!$E37="Зеленый чай")*(Продажи!$Q37&gt;=7)*(Продажи!$Q37&lt;=42),Продажи!$K37,0)</f>
        <v>0</v>
      </c>
      <c r="S37" s="28" t="b">
        <f t="shared" si="0"/>
        <v>0</v>
      </c>
    </row>
    <row r="38" spans="3:19" ht="15.75" customHeight="1" x14ac:dyDescent="0.2">
      <c r="C38" s="26">
        <v>11</v>
      </c>
      <c r="D38" s="21" t="s">
        <v>2492</v>
      </c>
      <c r="E38" s="21" t="s">
        <v>2446</v>
      </c>
      <c r="F38" s="21" t="s">
        <v>2495</v>
      </c>
      <c r="G38" s="21">
        <v>3197</v>
      </c>
      <c r="H38" s="21" t="s">
        <v>2444</v>
      </c>
      <c r="I38" s="21">
        <v>10</v>
      </c>
      <c r="J38" s="21">
        <v>31970</v>
      </c>
      <c r="K38" s="21">
        <v>0</v>
      </c>
      <c r="L38" s="21">
        <v>31970</v>
      </c>
      <c r="M38" s="24">
        <v>42766</v>
      </c>
      <c r="N38" s="21">
        <f>MONTH(Продажи!$M38)</f>
        <v>1</v>
      </c>
      <c r="O38" s="21">
        <f>WEEKDAY(Продажи!$M38,2)</f>
        <v>2</v>
      </c>
      <c r="P38" s="21">
        <f>YEAR(Продажи!$M38)</f>
        <v>2017</v>
      </c>
      <c r="Q38" s="28">
        <f>WEEKNUM(Продажи!$M38,2)</f>
        <v>6</v>
      </c>
      <c r="R38" s="28">
        <f>IF((Продажи!$E38="Зеленый чай")*(Продажи!$Q38&gt;=7)*(Продажи!$Q38&lt;=42),Продажи!$K38,0)</f>
        <v>0</v>
      </c>
      <c r="S38" s="28">
        <f t="shared" si="0"/>
        <v>31970</v>
      </c>
    </row>
    <row r="39" spans="3:19" ht="15.75" customHeight="1" x14ac:dyDescent="0.2">
      <c r="C39" s="26">
        <v>19</v>
      </c>
      <c r="D39" s="21" t="s">
        <v>2488</v>
      </c>
      <c r="E39" s="21" t="s">
        <v>2454</v>
      </c>
      <c r="F39" s="21" t="s">
        <v>2489</v>
      </c>
      <c r="G39" s="21">
        <v>1879</v>
      </c>
      <c r="H39" s="21" t="s">
        <v>2440</v>
      </c>
      <c r="I39" s="21">
        <v>15</v>
      </c>
      <c r="J39" s="21">
        <v>28185</v>
      </c>
      <c r="K39" s="21">
        <v>0.03</v>
      </c>
      <c r="L39" s="21">
        <v>27339.45</v>
      </c>
      <c r="M39" s="24">
        <v>43726</v>
      </c>
      <c r="N39" s="21">
        <f>MONTH(Продажи!$M39)</f>
        <v>9</v>
      </c>
      <c r="O39" s="21">
        <f>WEEKDAY(Продажи!$M39,2)</f>
        <v>3</v>
      </c>
      <c r="P39" s="21">
        <f>YEAR(Продажи!$M39)</f>
        <v>2019</v>
      </c>
      <c r="Q39" s="28">
        <f>WEEKNUM(Продажи!$M39,2)</f>
        <v>38</v>
      </c>
      <c r="R39" s="28">
        <f>IF((Продажи!$E39="Зеленый чай")*(Продажи!$Q39&gt;=7)*(Продажи!$Q39&lt;=42),Продажи!$K39,0)</f>
        <v>0</v>
      </c>
      <c r="S39" s="28" t="b">
        <f t="shared" si="0"/>
        <v>0</v>
      </c>
    </row>
    <row r="40" spans="3:19" ht="15.75" customHeight="1" x14ac:dyDescent="0.2">
      <c r="C40" s="26">
        <v>51</v>
      </c>
      <c r="D40" s="21" t="s">
        <v>2449</v>
      </c>
      <c r="E40" s="21" t="s">
        <v>2448</v>
      </c>
      <c r="F40" s="21" t="s">
        <v>2450</v>
      </c>
      <c r="G40" s="21">
        <v>2211</v>
      </c>
      <c r="H40" s="21" t="s">
        <v>2444</v>
      </c>
      <c r="I40" s="21">
        <v>25</v>
      </c>
      <c r="J40" s="21">
        <v>55275</v>
      </c>
      <c r="K40" s="21">
        <v>0.09</v>
      </c>
      <c r="L40" s="21">
        <v>50300.25</v>
      </c>
      <c r="M40" s="24">
        <v>42708</v>
      </c>
      <c r="N40" s="21">
        <f>MONTH(Продажи!$M40)</f>
        <v>12</v>
      </c>
      <c r="O40" s="21">
        <f>WEEKDAY(Продажи!$M40,2)</f>
        <v>7</v>
      </c>
      <c r="P40" s="21">
        <f>YEAR(Продажи!$M40)</f>
        <v>2016</v>
      </c>
      <c r="Q40" s="28">
        <f>WEEKNUM(Продажи!$M40,2)</f>
        <v>49</v>
      </c>
      <c r="R40" s="28">
        <f>IF((Продажи!$E40="Зеленый чай")*(Продажи!$Q40&gt;=7)*(Продажи!$Q40&lt;=42),Продажи!$K40,0)</f>
        <v>0</v>
      </c>
      <c r="S40" s="28" t="b">
        <f t="shared" si="0"/>
        <v>0</v>
      </c>
    </row>
    <row r="41" spans="3:19" ht="15.75" customHeight="1" x14ac:dyDescent="0.2">
      <c r="C41" s="26">
        <v>26</v>
      </c>
      <c r="D41" s="21" t="s">
        <v>2464</v>
      </c>
      <c r="E41" s="21" t="s">
        <v>2442</v>
      </c>
      <c r="F41" s="21" t="s">
        <v>2443</v>
      </c>
      <c r="G41" s="21">
        <v>2197</v>
      </c>
      <c r="H41" s="21" t="s">
        <v>2440</v>
      </c>
      <c r="I41" s="21">
        <v>40</v>
      </c>
      <c r="J41" s="21">
        <v>87880</v>
      </c>
      <c r="K41" s="21">
        <v>0.12</v>
      </c>
      <c r="L41" s="21">
        <v>77334.399999999994</v>
      </c>
      <c r="M41" s="24">
        <v>43417</v>
      </c>
      <c r="N41" s="21">
        <f>MONTH(Продажи!$M41)</f>
        <v>11</v>
      </c>
      <c r="O41" s="21">
        <f>WEEKDAY(Продажи!$M41,2)</f>
        <v>2</v>
      </c>
      <c r="P41" s="21">
        <f>YEAR(Продажи!$M41)</f>
        <v>2018</v>
      </c>
      <c r="Q41" s="28">
        <f>WEEKNUM(Продажи!$M41,2)</f>
        <v>46</v>
      </c>
      <c r="R41" s="28">
        <f>IF((Продажи!$E41="Зеленый чай")*(Продажи!$Q41&gt;=7)*(Продажи!$Q41&lt;=42),Продажи!$K41,0)</f>
        <v>0</v>
      </c>
      <c r="S41" s="28" t="b">
        <f t="shared" si="0"/>
        <v>0</v>
      </c>
    </row>
    <row r="42" spans="3:19" ht="15.75" customHeight="1" x14ac:dyDescent="0.2">
      <c r="C42" s="26">
        <v>26</v>
      </c>
      <c r="D42" s="21" t="s">
        <v>2464</v>
      </c>
      <c r="E42" s="21" t="s">
        <v>2442</v>
      </c>
      <c r="F42" s="21" t="s">
        <v>2443</v>
      </c>
      <c r="G42" s="21">
        <v>2197</v>
      </c>
      <c r="H42" s="21" t="s">
        <v>2440</v>
      </c>
      <c r="I42" s="21">
        <v>40</v>
      </c>
      <c r="J42" s="21">
        <v>87880</v>
      </c>
      <c r="K42" s="21">
        <v>0.12</v>
      </c>
      <c r="L42" s="21">
        <v>77334.399999999994</v>
      </c>
      <c r="M42" s="24">
        <v>43743</v>
      </c>
      <c r="N42" s="21">
        <f>MONTH(Продажи!$M42)</f>
        <v>10</v>
      </c>
      <c r="O42" s="21">
        <f>WEEKDAY(Продажи!$M42,2)</f>
        <v>6</v>
      </c>
      <c r="P42" s="21">
        <f>YEAR(Продажи!$M42)</f>
        <v>2019</v>
      </c>
      <c r="Q42" s="28">
        <f>WEEKNUM(Продажи!$M42,2)</f>
        <v>40</v>
      </c>
      <c r="R42" s="28">
        <f>IF((Продажи!$E42="Зеленый чай")*(Продажи!$Q42&gt;=7)*(Продажи!$Q42&lt;=42),Продажи!$K42,0)</f>
        <v>0</v>
      </c>
      <c r="S42" s="28" t="b">
        <f t="shared" si="0"/>
        <v>0</v>
      </c>
    </row>
    <row r="43" spans="3:19" ht="15.75" customHeight="1" x14ac:dyDescent="0.2">
      <c r="C43" s="26">
        <v>32</v>
      </c>
      <c r="D43" s="21" t="s">
        <v>2496</v>
      </c>
      <c r="E43" s="21" t="s">
        <v>2446</v>
      </c>
      <c r="F43" s="21" t="s">
        <v>2466</v>
      </c>
      <c r="G43" s="21">
        <v>967</v>
      </c>
      <c r="H43" s="21" t="s">
        <v>2444</v>
      </c>
      <c r="I43" s="21">
        <v>8</v>
      </c>
      <c r="J43" s="21">
        <v>7736</v>
      </c>
      <c r="K43" s="21">
        <v>0</v>
      </c>
      <c r="L43" s="21">
        <v>7736</v>
      </c>
      <c r="M43" s="24">
        <v>43800</v>
      </c>
      <c r="N43" s="21">
        <f>MONTH(Продажи!$M43)</f>
        <v>12</v>
      </c>
      <c r="O43" s="21">
        <f>WEEKDAY(Продажи!$M43,2)</f>
        <v>7</v>
      </c>
      <c r="P43" s="21">
        <f>YEAR(Продажи!$M43)</f>
        <v>2019</v>
      </c>
      <c r="Q43" s="28">
        <f>WEEKNUM(Продажи!$M43,2)</f>
        <v>48</v>
      </c>
      <c r="R43" s="28">
        <f>IF((Продажи!$E43="Зеленый чай")*(Продажи!$Q43&gt;=7)*(Продажи!$Q43&lt;=42),Продажи!$K43,0)</f>
        <v>0</v>
      </c>
      <c r="S43" s="28" t="b">
        <f t="shared" si="0"/>
        <v>0</v>
      </c>
    </row>
    <row r="44" spans="3:19" ht="15.75" customHeight="1" x14ac:dyDescent="0.2">
      <c r="C44" s="26">
        <v>12</v>
      </c>
      <c r="D44" s="21" t="s">
        <v>2453</v>
      </c>
      <c r="E44" s="21" t="s">
        <v>2454</v>
      </c>
      <c r="F44" s="21" t="s">
        <v>2455</v>
      </c>
      <c r="G44" s="21">
        <v>1386</v>
      </c>
      <c r="H44" s="21" t="s">
        <v>2440</v>
      </c>
      <c r="I44" s="21">
        <v>20</v>
      </c>
      <c r="J44" s="21">
        <v>27720</v>
      </c>
      <c r="K44" s="21">
        <v>0.03</v>
      </c>
      <c r="L44" s="21">
        <v>26888.400000000001</v>
      </c>
      <c r="M44" s="24">
        <v>43710</v>
      </c>
      <c r="N44" s="21">
        <f>MONTH(Продажи!$M44)</f>
        <v>9</v>
      </c>
      <c r="O44" s="21">
        <f>WEEKDAY(Продажи!$M44,2)</f>
        <v>1</v>
      </c>
      <c r="P44" s="21">
        <f>YEAR(Продажи!$M44)</f>
        <v>2019</v>
      </c>
      <c r="Q44" s="28">
        <f>WEEKNUM(Продажи!$M44,2)</f>
        <v>36</v>
      </c>
      <c r="R44" s="28">
        <f>IF((Продажи!$E44="Зеленый чай")*(Продажи!$Q44&gt;=7)*(Продажи!$Q44&lt;=42),Продажи!$K44,0)</f>
        <v>0</v>
      </c>
      <c r="S44" s="28" t="b">
        <f t="shared" si="0"/>
        <v>0</v>
      </c>
    </row>
    <row r="45" spans="3:19" ht="15.75" customHeight="1" x14ac:dyDescent="0.2">
      <c r="C45" s="26">
        <v>55</v>
      </c>
      <c r="D45" s="21" t="s">
        <v>2447</v>
      </c>
      <c r="E45" s="21" t="s">
        <v>2448</v>
      </c>
      <c r="F45" s="21" t="s">
        <v>2448</v>
      </c>
      <c r="G45" s="21">
        <v>699</v>
      </c>
      <c r="H45" s="21" t="s">
        <v>2444</v>
      </c>
      <c r="I45" s="21">
        <v>10</v>
      </c>
      <c r="J45" s="21">
        <v>6990</v>
      </c>
      <c r="K45" s="21">
        <v>0</v>
      </c>
      <c r="L45" s="21">
        <v>6990</v>
      </c>
      <c r="M45" s="24">
        <v>42401</v>
      </c>
      <c r="N45" s="21">
        <f>MONTH(Продажи!$M45)</f>
        <v>2</v>
      </c>
      <c r="O45" s="21">
        <f>WEEKDAY(Продажи!$M45,2)</f>
        <v>1</v>
      </c>
      <c r="P45" s="21">
        <f>YEAR(Продажи!$M45)</f>
        <v>2016</v>
      </c>
      <c r="Q45" s="28">
        <f>WEEKNUM(Продажи!$M45,2)</f>
        <v>6</v>
      </c>
      <c r="R45" s="28">
        <f>IF((Продажи!$E45="Зеленый чай")*(Продажи!$Q45&gt;=7)*(Продажи!$Q45&lt;=42),Продажи!$K45,0)</f>
        <v>0</v>
      </c>
      <c r="S45" s="28" t="b">
        <f t="shared" si="0"/>
        <v>0</v>
      </c>
    </row>
    <row r="46" spans="3:19" ht="15.75" customHeight="1" x14ac:dyDescent="0.2">
      <c r="C46" s="26">
        <v>12</v>
      </c>
      <c r="D46" s="21" t="s">
        <v>2453</v>
      </c>
      <c r="E46" s="21" t="s">
        <v>2454</v>
      </c>
      <c r="F46" s="21" t="s">
        <v>2455</v>
      </c>
      <c r="G46" s="21">
        <v>1386</v>
      </c>
      <c r="H46" s="21" t="s">
        <v>2440</v>
      </c>
      <c r="I46" s="21">
        <v>20</v>
      </c>
      <c r="J46" s="21">
        <v>27720</v>
      </c>
      <c r="K46" s="21">
        <v>0.03</v>
      </c>
      <c r="L46" s="21">
        <v>26888.400000000001</v>
      </c>
      <c r="M46" s="24">
        <v>42663</v>
      </c>
      <c r="N46" s="21">
        <f>MONTH(Продажи!$M46)</f>
        <v>10</v>
      </c>
      <c r="O46" s="21">
        <f>WEEKDAY(Продажи!$M46,2)</f>
        <v>4</v>
      </c>
      <c r="P46" s="21">
        <f>YEAR(Продажи!$M46)</f>
        <v>2016</v>
      </c>
      <c r="Q46" s="28">
        <f>WEEKNUM(Продажи!$M46,2)</f>
        <v>43</v>
      </c>
      <c r="R46" s="28">
        <f>IF((Продажи!$E46="Зеленый чай")*(Продажи!$Q46&gt;=7)*(Продажи!$Q46&lt;=42),Продажи!$K46,0)</f>
        <v>0</v>
      </c>
      <c r="S46" s="28" t="b">
        <f t="shared" si="0"/>
        <v>0</v>
      </c>
    </row>
    <row r="47" spans="3:19" ht="15.75" customHeight="1" x14ac:dyDescent="0.2">
      <c r="C47" s="26">
        <v>3</v>
      </c>
      <c r="D47" s="21" t="s">
        <v>2445</v>
      </c>
      <c r="E47" s="21" t="s">
        <v>2446</v>
      </c>
      <c r="F47" s="21" t="s">
        <v>2446</v>
      </c>
      <c r="G47" s="21">
        <v>807</v>
      </c>
      <c r="H47" s="21" t="s">
        <v>2440</v>
      </c>
      <c r="I47" s="21">
        <v>18</v>
      </c>
      <c r="J47" s="21">
        <v>14526</v>
      </c>
      <c r="K47" s="21">
        <v>0</v>
      </c>
      <c r="L47" s="21">
        <v>14526</v>
      </c>
      <c r="M47" s="24">
        <v>42425</v>
      </c>
      <c r="N47" s="21">
        <f>MONTH(Продажи!$M47)</f>
        <v>2</v>
      </c>
      <c r="O47" s="21">
        <f>WEEKDAY(Продажи!$M47,2)</f>
        <v>4</v>
      </c>
      <c r="P47" s="21">
        <f>YEAR(Продажи!$M47)</f>
        <v>2016</v>
      </c>
      <c r="Q47" s="28">
        <f>WEEKNUM(Продажи!$M47,2)</f>
        <v>9</v>
      </c>
      <c r="R47" s="28">
        <f>IF((Продажи!$E47="Зеленый чай")*(Продажи!$Q47&gt;=7)*(Продажи!$Q47&lt;=42),Продажи!$K47,0)</f>
        <v>0</v>
      </c>
      <c r="S47" s="28">
        <f t="shared" si="0"/>
        <v>14526</v>
      </c>
    </row>
    <row r="48" spans="3:19" ht="15.75" customHeight="1" x14ac:dyDescent="0.2">
      <c r="C48" s="26">
        <v>17</v>
      </c>
      <c r="D48" s="21" t="s">
        <v>2465</v>
      </c>
      <c r="E48" s="21" t="s">
        <v>2446</v>
      </c>
      <c r="F48" s="21" t="s">
        <v>2466</v>
      </c>
      <c r="G48" s="21">
        <v>967</v>
      </c>
      <c r="H48" s="21" t="s">
        <v>2444</v>
      </c>
      <c r="I48" s="21">
        <v>12</v>
      </c>
      <c r="J48" s="21">
        <v>11604</v>
      </c>
      <c r="K48" s="21">
        <v>0</v>
      </c>
      <c r="L48" s="21">
        <v>11604</v>
      </c>
      <c r="M48" s="24">
        <v>43059</v>
      </c>
      <c r="N48" s="21">
        <f>MONTH(Продажи!$M48)</f>
        <v>11</v>
      </c>
      <c r="O48" s="21">
        <f>WEEKDAY(Продажи!$M48,2)</f>
        <v>1</v>
      </c>
      <c r="P48" s="21">
        <f>YEAR(Продажи!$M48)</f>
        <v>2017</v>
      </c>
      <c r="Q48" s="28">
        <f>WEEKNUM(Продажи!$M48,2)</f>
        <v>48</v>
      </c>
      <c r="R48" s="28">
        <f>IF((Продажи!$E48="Зеленый чай")*(Продажи!$Q48&gt;=7)*(Продажи!$Q48&lt;=42),Продажи!$K48,0)</f>
        <v>0</v>
      </c>
      <c r="S48" s="28" t="b">
        <f t="shared" si="0"/>
        <v>0</v>
      </c>
    </row>
    <row r="49" spans="3:19" ht="15.75" customHeight="1" x14ac:dyDescent="0.2">
      <c r="C49" s="26">
        <v>21</v>
      </c>
      <c r="D49" s="21" t="s">
        <v>2497</v>
      </c>
      <c r="E49" s="21" t="s">
        <v>2442</v>
      </c>
      <c r="F49" s="21" t="s">
        <v>2498</v>
      </c>
      <c r="G49" s="21">
        <v>887</v>
      </c>
      <c r="H49" s="21" t="s">
        <v>2444</v>
      </c>
      <c r="I49" s="21">
        <v>15</v>
      </c>
      <c r="J49" s="21">
        <v>13305</v>
      </c>
      <c r="K49" s="21">
        <v>0</v>
      </c>
      <c r="L49" s="21">
        <v>13305</v>
      </c>
      <c r="M49" s="24">
        <v>43828</v>
      </c>
      <c r="N49" s="21">
        <f>MONTH(Продажи!$M49)</f>
        <v>12</v>
      </c>
      <c r="O49" s="21">
        <f>WEEKDAY(Продажи!$M49,2)</f>
        <v>7</v>
      </c>
      <c r="P49" s="21">
        <f>YEAR(Продажи!$M49)</f>
        <v>2019</v>
      </c>
      <c r="Q49" s="28">
        <f>WEEKNUM(Продажи!$M49,2)</f>
        <v>52</v>
      </c>
      <c r="R49" s="28">
        <f>IF((Продажи!$E49="Зеленый чай")*(Продажи!$Q49&gt;=7)*(Продажи!$Q49&lt;=42),Продажи!$K49,0)</f>
        <v>0</v>
      </c>
      <c r="S49" s="28">
        <f t="shared" si="0"/>
        <v>13305</v>
      </c>
    </row>
    <row r="50" spans="3:19" ht="15.75" customHeight="1" x14ac:dyDescent="0.2">
      <c r="C50" s="26">
        <v>21</v>
      </c>
      <c r="D50" s="21" t="s">
        <v>2497</v>
      </c>
      <c r="E50" s="21" t="s">
        <v>2442</v>
      </c>
      <c r="F50" s="21" t="s">
        <v>2498</v>
      </c>
      <c r="G50" s="21">
        <v>887</v>
      </c>
      <c r="H50" s="21" t="s">
        <v>2444</v>
      </c>
      <c r="I50" s="21">
        <v>15</v>
      </c>
      <c r="J50" s="21">
        <v>13305</v>
      </c>
      <c r="K50" s="21">
        <v>0</v>
      </c>
      <c r="L50" s="21">
        <v>13305</v>
      </c>
      <c r="M50" s="24">
        <v>43869</v>
      </c>
      <c r="N50" s="21">
        <f>MONTH(Продажи!$M50)</f>
        <v>2</v>
      </c>
      <c r="O50" s="21">
        <f>WEEKDAY(Продажи!$M50,2)</f>
        <v>6</v>
      </c>
      <c r="P50" s="21">
        <f>YEAR(Продажи!$M50)</f>
        <v>2020</v>
      </c>
      <c r="Q50" s="28">
        <f>WEEKNUM(Продажи!$M50,2)</f>
        <v>6</v>
      </c>
      <c r="R50" s="28">
        <f>IF((Продажи!$E50="Зеленый чай")*(Продажи!$Q50&gt;=7)*(Продажи!$Q50&lt;=42),Продажи!$K50,0)</f>
        <v>0</v>
      </c>
      <c r="S50" s="28" t="b">
        <f t="shared" si="0"/>
        <v>0</v>
      </c>
    </row>
    <row r="51" spans="3:19" ht="15.75" customHeight="1" x14ac:dyDescent="0.2">
      <c r="C51" s="26">
        <v>27</v>
      </c>
      <c r="D51" s="21" t="s">
        <v>2499</v>
      </c>
      <c r="E51" s="21" t="s">
        <v>2462</v>
      </c>
      <c r="F51" s="21" t="s">
        <v>2463</v>
      </c>
      <c r="G51" s="21">
        <v>1994</v>
      </c>
      <c r="H51" s="21" t="s">
        <v>2444</v>
      </c>
      <c r="I51" s="21">
        <v>25</v>
      </c>
      <c r="J51" s="21">
        <v>49850</v>
      </c>
      <c r="K51" s="21">
        <v>0.06</v>
      </c>
      <c r="L51" s="21">
        <v>46859</v>
      </c>
      <c r="M51" s="24">
        <v>42961</v>
      </c>
      <c r="N51" s="21">
        <f>MONTH(Продажи!$M51)</f>
        <v>8</v>
      </c>
      <c r="O51" s="21">
        <f>WEEKDAY(Продажи!$M51,2)</f>
        <v>1</v>
      </c>
      <c r="P51" s="21">
        <f>YEAR(Продажи!$M51)</f>
        <v>2017</v>
      </c>
      <c r="Q51" s="28">
        <f>WEEKNUM(Продажи!$M51,2)</f>
        <v>34</v>
      </c>
      <c r="R51" s="28">
        <f>IF((Продажи!$E51="Зеленый чай")*(Продажи!$Q51&gt;=7)*(Продажи!$Q51&lt;=42),Продажи!$K51,0)</f>
        <v>0</v>
      </c>
      <c r="S51" s="28" t="b">
        <f t="shared" si="0"/>
        <v>0</v>
      </c>
    </row>
    <row r="52" spans="3:19" ht="15.75" customHeight="1" x14ac:dyDescent="0.2">
      <c r="C52" s="26">
        <v>54</v>
      </c>
      <c r="D52" s="21" t="s">
        <v>2477</v>
      </c>
      <c r="E52" s="21" t="s">
        <v>2454</v>
      </c>
      <c r="F52" s="21" t="s">
        <v>2478</v>
      </c>
      <c r="G52" s="21">
        <v>847</v>
      </c>
      <c r="H52" s="21" t="s">
        <v>2440</v>
      </c>
      <c r="I52" s="21">
        <v>15</v>
      </c>
      <c r="J52" s="21">
        <v>12705</v>
      </c>
      <c r="K52" s="21">
        <v>0</v>
      </c>
      <c r="L52" s="21">
        <v>12705</v>
      </c>
      <c r="M52" s="24">
        <v>43415</v>
      </c>
      <c r="N52" s="21">
        <f>MONTH(Продажи!$M52)</f>
        <v>11</v>
      </c>
      <c r="O52" s="21">
        <f>WEEKDAY(Продажи!$M52,2)</f>
        <v>7</v>
      </c>
      <c r="P52" s="21">
        <f>YEAR(Продажи!$M52)</f>
        <v>2018</v>
      </c>
      <c r="Q52" s="28">
        <f>WEEKNUM(Продажи!$M52,2)</f>
        <v>45</v>
      </c>
      <c r="R52" s="28">
        <f>IF((Продажи!$E52="Зеленый чай")*(Продажи!$Q52&gt;=7)*(Продажи!$Q52&lt;=42),Продажи!$K52,0)</f>
        <v>0</v>
      </c>
      <c r="S52" s="28" t="b">
        <f t="shared" si="0"/>
        <v>0</v>
      </c>
    </row>
    <row r="53" spans="3:19" ht="15.75" customHeight="1" x14ac:dyDescent="0.2">
      <c r="C53" s="26">
        <v>2</v>
      </c>
      <c r="D53" s="21" t="s">
        <v>2500</v>
      </c>
      <c r="E53" s="21" t="s">
        <v>2446</v>
      </c>
      <c r="F53" s="21" t="s">
        <v>2501</v>
      </c>
      <c r="G53" s="21">
        <v>1178</v>
      </c>
      <c r="H53" s="21" t="s">
        <v>2444</v>
      </c>
      <c r="I53" s="21">
        <v>10</v>
      </c>
      <c r="J53" s="21">
        <v>11780</v>
      </c>
      <c r="K53" s="21">
        <v>0</v>
      </c>
      <c r="L53" s="21">
        <v>11780</v>
      </c>
      <c r="M53" s="24">
        <v>43028</v>
      </c>
      <c r="N53" s="21">
        <f>MONTH(Продажи!$M53)</f>
        <v>10</v>
      </c>
      <c r="O53" s="21">
        <f>WEEKDAY(Продажи!$M53,2)</f>
        <v>5</v>
      </c>
      <c r="P53" s="21">
        <f>YEAR(Продажи!$M53)</f>
        <v>2017</v>
      </c>
      <c r="Q53" s="28">
        <f>WEEKNUM(Продажи!$M53,2)</f>
        <v>43</v>
      </c>
      <c r="R53" s="28">
        <f>IF((Продажи!$E53="Зеленый чай")*(Продажи!$Q53&gt;=7)*(Продажи!$Q53&lt;=42),Продажи!$K53,0)</f>
        <v>0</v>
      </c>
      <c r="S53" s="28" t="b">
        <f t="shared" si="0"/>
        <v>0</v>
      </c>
    </row>
    <row r="54" spans="3:19" ht="15.75" customHeight="1" x14ac:dyDescent="0.2">
      <c r="C54" s="26">
        <v>33</v>
      </c>
      <c r="D54" s="21" t="s">
        <v>2461</v>
      </c>
      <c r="E54" s="21" t="s">
        <v>2462</v>
      </c>
      <c r="F54" s="21" t="s">
        <v>2463</v>
      </c>
      <c r="G54" s="21">
        <v>1994</v>
      </c>
      <c r="H54" s="21" t="s">
        <v>2444</v>
      </c>
      <c r="I54" s="21">
        <v>12</v>
      </c>
      <c r="J54" s="21">
        <v>23928</v>
      </c>
      <c r="K54" s="21">
        <v>0.03</v>
      </c>
      <c r="L54" s="21">
        <v>23210.16</v>
      </c>
      <c r="M54" s="24">
        <v>43817</v>
      </c>
      <c r="N54" s="21">
        <f>MONTH(Продажи!$M54)</f>
        <v>12</v>
      </c>
      <c r="O54" s="21">
        <f>WEEKDAY(Продажи!$M54,2)</f>
        <v>3</v>
      </c>
      <c r="P54" s="21">
        <f>YEAR(Продажи!$M54)</f>
        <v>2019</v>
      </c>
      <c r="Q54" s="28">
        <f>WEEKNUM(Продажи!$M54,2)</f>
        <v>51</v>
      </c>
      <c r="R54" s="28">
        <f>IF((Продажи!$E54="Зеленый чай")*(Продажи!$Q54&gt;=7)*(Продажи!$Q54&lt;=42),Продажи!$K54,0)</f>
        <v>0</v>
      </c>
      <c r="S54" s="28" t="b">
        <f t="shared" si="0"/>
        <v>0</v>
      </c>
    </row>
    <row r="55" spans="3:19" ht="15.75" customHeight="1" x14ac:dyDescent="0.2">
      <c r="C55" s="26">
        <v>6</v>
      </c>
      <c r="D55" s="21" t="s">
        <v>2502</v>
      </c>
      <c r="E55" s="21" t="s">
        <v>2446</v>
      </c>
      <c r="F55" s="21" t="s">
        <v>2503</v>
      </c>
      <c r="G55" s="21">
        <v>3197</v>
      </c>
      <c r="H55" s="21" t="s">
        <v>2444</v>
      </c>
      <c r="I55" s="21">
        <v>6</v>
      </c>
      <c r="J55" s="21">
        <v>19182</v>
      </c>
      <c r="K55" s="21">
        <v>0.03</v>
      </c>
      <c r="L55" s="21">
        <v>18606.54</v>
      </c>
      <c r="M55" s="24">
        <v>42014</v>
      </c>
      <c r="N55" s="21">
        <f>MONTH(Продажи!$M55)</f>
        <v>1</v>
      </c>
      <c r="O55" s="21">
        <f>WEEKDAY(Продажи!$M55,2)</f>
        <v>6</v>
      </c>
      <c r="P55" s="21">
        <f>YEAR(Продажи!$M55)</f>
        <v>2015</v>
      </c>
      <c r="Q55" s="28">
        <f>WEEKNUM(Продажи!$M55,2)</f>
        <v>2</v>
      </c>
      <c r="R55" s="28">
        <f>IF((Продажи!$E55="Зеленый чай")*(Продажи!$Q55&gt;=7)*(Продажи!$Q55&lt;=42),Продажи!$K55,0)</f>
        <v>0</v>
      </c>
      <c r="S55" s="28" t="b">
        <f t="shared" si="0"/>
        <v>0</v>
      </c>
    </row>
    <row r="56" spans="3:19" ht="15.75" customHeight="1" x14ac:dyDescent="0.2">
      <c r="C56" s="26">
        <v>16</v>
      </c>
      <c r="D56" s="21" t="s">
        <v>2504</v>
      </c>
      <c r="E56" s="21" t="s">
        <v>2505</v>
      </c>
      <c r="F56" s="21" t="s">
        <v>2506</v>
      </c>
      <c r="G56" s="21">
        <v>843</v>
      </c>
      <c r="H56" s="21" t="s">
        <v>2444</v>
      </c>
      <c r="I56" s="21">
        <v>5</v>
      </c>
      <c r="J56" s="21">
        <v>4215</v>
      </c>
      <c r="K56" s="21">
        <v>0</v>
      </c>
      <c r="L56" s="21">
        <v>4215</v>
      </c>
      <c r="M56" s="24">
        <v>42791</v>
      </c>
      <c r="N56" s="21">
        <f>MONTH(Продажи!$M56)</f>
        <v>2</v>
      </c>
      <c r="O56" s="21">
        <f>WEEKDAY(Продажи!$M56,2)</f>
        <v>6</v>
      </c>
      <c r="P56" s="21">
        <f>YEAR(Продажи!$M56)</f>
        <v>2017</v>
      </c>
      <c r="Q56" s="28">
        <f>WEEKNUM(Продажи!$M56,2)</f>
        <v>9</v>
      </c>
      <c r="R56" s="28">
        <f>IF((Продажи!$E56="Зеленый чай")*(Продажи!$Q56&gt;=7)*(Продажи!$Q56&lt;=42),Продажи!$K56,0)</f>
        <v>0</v>
      </c>
      <c r="S56" s="28">
        <f t="shared" si="0"/>
        <v>4215</v>
      </c>
    </row>
    <row r="57" spans="3:19" ht="15.75" customHeight="1" x14ac:dyDescent="0.2">
      <c r="C57" s="26">
        <v>3</v>
      </c>
      <c r="D57" s="21" t="s">
        <v>2445</v>
      </c>
      <c r="E57" s="21" t="s">
        <v>2446</v>
      </c>
      <c r="F57" s="21" t="s">
        <v>2446</v>
      </c>
      <c r="G57" s="21">
        <v>807</v>
      </c>
      <c r="H57" s="21" t="s">
        <v>2440</v>
      </c>
      <c r="I57" s="21">
        <v>18</v>
      </c>
      <c r="J57" s="21">
        <v>14526</v>
      </c>
      <c r="K57" s="21">
        <v>0</v>
      </c>
      <c r="L57" s="21">
        <v>14526</v>
      </c>
      <c r="M57" s="24">
        <v>42865</v>
      </c>
      <c r="N57" s="21">
        <f>MONTH(Продажи!$M57)</f>
        <v>5</v>
      </c>
      <c r="O57" s="21">
        <f>WEEKDAY(Продажи!$M57,2)</f>
        <v>3</v>
      </c>
      <c r="P57" s="21">
        <f>YEAR(Продажи!$M57)</f>
        <v>2017</v>
      </c>
      <c r="Q57" s="28">
        <f>WEEKNUM(Продажи!$M57,2)</f>
        <v>20</v>
      </c>
      <c r="R57" s="28">
        <f>IF((Продажи!$E57="Зеленый чай")*(Продажи!$Q57&gt;=7)*(Продажи!$Q57&lt;=42),Продажи!$K57,0)</f>
        <v>0</v>
      </c>
      <c r="S57" s="28" t="b">
        <f t="shared" si="0"/>
        <v>0</v>
      </c>
    </row>
    <row r="58" spans="3:19" ht="15.75" customHeight="1" x14ac:dyDescent="0.2">
      <c r="C58" s="26">
        <v>28</v>
      </c>
      <c r="D58" s="21" t="s">
        <v>2494</v>
      </c>
      <c r="E58" s="21" t="s">
        <v>2462</v>
      </c>
      <c r="F58" s="21" t="s">
        <v>2491</v>
      </c>
      <c r="G58" s="21">
        <v>1994</v>
      </c>
      <c r="H58" s="21" t="s">
        <v>2444</v>
      </c>
      <c r="I58" s="21">
        <v>40</v>
      </c>
      <c r="J58" s="21">
        <v>79760</v>
      </c>
      <c r="K58" s="21">
        <v>0.12</v>
      </c>
      <c r="L58" s="21">
        <v>70188.800000000003</v>
      </c>
      <c r="M58" s="24">
        <v>43337</v>
      </c>
      <c r="N58" s="21">
        <f>MONTH(Продажи!$M58)</f>
        <v>8</v>
      </c>
      <c r="O58" s="21">
        <f>WEEKDAY(Продажи!$M58,2)</f>
        <v>6</v>
      </c>
      <c r="P58" s="21">
        <f>YEAR(Продажи!$M58)</f>
        <v>2018</v>
      </c>
      <c r="Q58" s="28">
        <f>WEEKNUM(Продажи!$M58,2)</f>
        <v>34</v>
      </c>
      <c r="R58" s="28">
        <f>IF((Продажи!$E58="Зеленый чай")*(Продажи!$Q58&gt;=7)*(Продажи!$Q58&lt;=42),Продажи!$K58,0)</f>
        <v>0</v>
      </c>
      <c r="S58" s="28">
        <f t="shared" si="0"/>
        <v>70188.800000000003</v>
      </c>
    </row>
    <row r="59" spans="3:19" ht="15.75" customHeight="1" x14ac:dyDescent="0.2">
      <c r="C59" s="26">
        <v>2</v>
      </c>
      <c r="D59" s="21" t="s">
        <v>2500</v>
      </c>
      <c r="E59" s="21" t="s">
        <v>2446</v>
      </c>
      <c r="F59" s="21" t="s">
        <v>2501</v>
      </c>
      <c r="G59" s="21">
        <v>1178</v>
      </c>
      <c r="H59" s="21" t="s">
        <v>2444</v>
      </c>
      <c r="I59" s="21">
        <v>10</v>
      </c>
      <c r="J59" s="21">
        <v>11780</v>
      </c>
      <c r="K59" s="21">
        <v>0</v>
      </c>
      <c r="L59" s="21">
        <v>11780</v>
      </c>
      <c r="M59" s="24">
        <v>43646</v>
      </c>
      <c r="N59" s="21">
        <f>MONTH(Продажи!$M59)</f>
        <v>6</v>
      </c>
      <c r="O59" s="21">
        <f>WEEKDAY(Продажи!$M59,2)</f>
        <v>7</v>
      </c>
      <c r="P59" s="21">
        <f>YEAR(Продажи!$M59)</f>
        <v>2019</v>
      </c>
      <c r="Q59" s="28">
        <f>WEEKNUM(Продажи!$M59,2)</f>
        <v>26</v>
      </c>
      <c r="R59" s="28">
        <f>IF((Продажи!$E59="Зеленый чай")*(Продажи!$Q59&gt;=7)*(Продажи!$Q59&lt;=42),Продажи!$K59,0)</f>
        <v>0</v>
      </c>
      <c r="S59" s="28">
        <f t="shared" si="0"/>
        <v>11780</v>
      </c>
    </row>
    <row r="60" spans="3:19" ht="15.75" customHeight="1" x14ac:dyDescent="0.2">
      <c r="C60" s="26">
        <v>26</v>
      </c>
      <c r="D60" s="21" t="s">
        <v>2464</v>
      </c>
      <c r="E60" s="21" t="s">
        <v>2442</v>
      </c>
      <c r="F60" s="21" t="s">
        <v>2443</v>
      </c>
      <c r="G60" s="21">
        <v>2197</v>
      </c>
      <c r="H60" s="21" t="s">
        <v>2440</v>
      </c>
      <c r="I60" s="21">
        <v>40</v>
      </c>
      <c r="J60" s="21">
        <v>87880</v>
      </c>
      <c r="K60" s="21">
        <v>0.12</v>
      </c>
      <c r="L60" s="21">
        <v>77334.399999999994</v>
      </c>
      <c r="M60" s="24">
        <v>43937</v>
      </c>
      <c r="N60" s="21">
        <f>MONTH(Продажи!$M60)</f>
        <v>4</v>
      </c>
      <c r="O60" s="21">
        <f>WEEKDAY(Продажи!$M60,2)</f>
        <v>4</v>
      </c>
      <c r="P60" s="21">
        <f>YEAR(Продажи!$M60)</f>
        <v>2020</v>
      </c>
      <c r="Q60" s="28">
        <f>WEEKNUM(Продажи!$M60,2)</f>
        <v>16</v>
      </c>
      <c r="R60" s="28">
        <f>IF((Продажи!$E60="Зеленый чай")*(Продажи!$Q60&gt;=7)*(Продажи!$Q60&lt;=42),Продажи!$K60,0)</f>
        <v>0</v>
      </c>
      <c r="S60" s="28" t="b">
        <f t="shared" si="0"/>
        <v>0</v>
      </c>
    </row>
    <row r="61" spans="3:19" ht="15.75" customHeight="1" x14ac:dyDescent="0.2">
      <c r="C61" s="26">
        <v>19</v>
      </c>
      <c r="D61" s="21" t="s">
        <v>2488</v>
      </c>
      <c r="E61" s="21" t="s">
        <v>2454</v>
      </c>
      <c r="F61" s="21" t="s">
        <v>2489</v>
      </c>
      <c r="G61" s="21">
        <v>1879</v>
      </c>
      <c r="H61" s="21" t="s">
        <v>2440</v>
      </c>
      <c r="I61" s="21">
        <v>15</v>
      </c>
      <c r="J61" s="21">
        <v>28185</v>
      </c>
      <c r="K61" s="21">
        <v>0.03</v>
      </c>
      <c r="L61" s="21">
        <v>27339.45</v>
      </c>
      <c r="M61" s="24">
        <v>43416</v>
      </c>
      <c r="N61" s="21">
        <f>MONTH(Продажи!$M61)</f>
        <v>11</v>
      </c>
      <c r="O61" s="21">
        <f>WEEKDAY(Продажи!$M61,2)</f>
        <v>1</v>
      </c>
      <c r="P61" s="21">
        <f>YEAR(Продажи!$M61)</f>
        <v>2018</v>
      </c>
      <c r="Q61" s="28">
        <f>WEEKNUM(Продажи!$M61,2)</f>
        <v>46</v>
      </c>
      <c r="R61" s="28">
        <f>IF((Продажи!$E61="Зеленый чай")*(Продажи!$Q61&gt;=7)*(Продажи!$Q61&lt;=42),Продажи!$K61,0)</f>
        <v>0</v>
      </c>
      <c r="S61" s="28" t="b">
        <f t="shared" si="0"/>
        <v>0</v>
      </c>
    </row>
    <row r="62" spans="3:19" ht="15.75" customHeight="1" x14ac:dyDescent="0.2">
      <c r="C62" s="26">
        <v>40</v>
      </c>
      <c r="D62" s="21" t="s">
        <v>2477</v>
      </c>
      <c r="E62" s="21" t="s">
        <v>2454</v>
      </c>
      <c r="F62" s="21" t="s">
        <v>2478</v>
      </c>
      <c r="G62" s="21">
        <v>847</v>
      </c>
      <c r="H62" s="21" t="s">
        <v>2440</v>
      </c>
      <c r="I62" s="21">
        <v>15</v>
      </c>
      <c r="J62" s="21">
        <v>12705</v>
      </c>
      <c r="K62" s="21">
        <v>0</v>
      </c>
      <c r="L62" s="21">
        <v>12705</v>
      </c>
      <c r="M62" s="24">
        <v>43298</v>
      </c>
      <c r="N62" s="21">
        <f>MONTH(Продажи!$M62)</f>
        <v>7</v>
      </c>
      <c r="O62" s="21">
        <f>WEEKDAY(Продажи!$M62,2)</f>
        <v>2</v>
      </c>
      <c r="P62" s="21">
        <f>YEAR(Продажи!$M62)</f>
        <v>2018</v>
      </c>
      <c r="Q62" s="28">
        <f>WEEKNUM(Продажи!$M62,2)</f>
        <v>29</v>
      </c>
      <c r="R62" s="28">
        <f>IF((Продажи!$E62="Зеленый чай")*(Продажи!$Q62&gt;=7)*(Продажи!$Q62&lt;=42),Продажи!$K62,0)</f>
        <v>0</v>
      </c>
      <c r="S62" s="28" t="b">
        <f t="shared" si="0"/>
        <v>0</v>
      </c>
    </row>
    <row r="63" spans="3:19" ht="15.75" customHeight="1" x14ac:dyDescent="0.2">
      <c r="C63" s="26">
        <v>12</v>
      </c>
      <c r="D63" s="21" t="s">
        <v>2453</v>
      </c>
      <c r="E63" s="21" t="s">
        <v>2454</v>
      </c>
      <c r="F63" s="21" t="s">
        <v>2455</v>
      </c>
      <c r="G63" s="21">
        <v>1386</v>
      </c>
      <c r="H63" s="21" t="s">
        <v>2440</v>
      </c>
      <c r="I63" s="21">
        <v>20</v>
      </c>
      <c r="J63" s="21">
        <v>27720</v>
      </c>
      <c r="K63" s="21">
        <v>0.03</v>
      </c>
      <c r="L63" s="21">
        <v>26888.400000000001</v>
      </c>
      <c r="M63" s="24">
        <v>42366</v>
      </c>
      <c r="N63" s="21">
        <f>MONTH(Продажи!$M63)</f>
        <v>12</v>
      </c>
      <c r="O63" s="21">
        <f>WEEKDAY(Продажи!$M63,2)</f>
        <v>1</v>
      </c>
      <c r="P63" s="21">
        <f>YEAR(Продажи!$M63)</f>
        <v>2015</v>
      </c>
      <c r="Q63" s="28">
        <f>WEEKNUM(Продажи!$M63,2)</f>
        <v>53</v>
      </c>
      <c r="R63" s="28">
        <f>IF((Продажи!$E63="Зеленый чай")*(Продажи!$Q63&gt;=7)*(Продажи!$Q63&lt;=42),Продажи!$K63,0)</f>
        <v>0</v>
      </c>
      <c r="S63" s="28">
        <f t="shared" si="0"/>
        <v>26888.400000000001</v>
      </c>
    </row>
    <row r="64" spans="3:19" ht="15.75" customHeight="1" x14ac:dyDescent="0.2">
      <c r="C64" s="26">
        <v>49</v>
      </c>
      <c r="D64" s="21" t="s">
        <v>2441</v>
      </c>
      <c r="E64" s="21" t="s">
        <v>2442</v>
      </c>
      <c r="F64" s="21" t="s">
        <v>2443</v>
      </c>
      <c r="G64" s="21">
        <v>617</v>
      </c>
      <c r="H64" s="21" t="s">
        <v>2444</v>
      </c>
      <c r="I64" s="21">
        <v>25</v>
      </c>
      <c r="J64" s="21">
        <v>15425</v>
      </c>
      <c r="K64" s="21">
        <v>0</v>
      </c>
      <c r="L64" s="21">
        <v>15425</v>
      </c>
      <c r="M64" s="24">
        <v>43517</v>
      </c>
      <c r="N64" s="21">
        <f>MONTH(Продажи!$M64)</f>
        <v>2</v>
      </c>
      <c r="O64" s="21">
        <f>WEEKDAY(Продажи!$M64,2)</f>
        <v>4</v>
      </c>
      <c r="P64" s="21">
        <f>YEAR(Продажи!$M64)</f>
        <v>2019</v>
      </c>
      <c r="Q64" s="28">
        <f>WEEKNUM(Продажи!$M64,2)</f>
        <v>8</v>
      </c>
      <c r="R64" s="28">
        <f>IF((Продажи!$E64="Зеленый чай")*(Продажи!$Q64&gt;=7)*(Продажи!$Q64&lt;=42),Продажи!$K64,0)</f>
        <v>0</v>
      </c>
      <c r="S64" s="28">
        <f t="shared" si="0"/>
        <v>15425</v>
      </c>
    </row>
    <row r="65" spans="3:19" ht="15.75" customHeight="1" x14ac:dyDescent="0.2">
      <c r="C65" s="26">
        <v>1</v>
      </c>
      <c r="D65" s="21" t="s">
        <v>2459</v>
      </c>
      <c r="E65" s="21" t="s">
        <v>2438</v>
      </c>
      <c r="F65" s="21" t="s">
        <v>2460</v>
      </c>
      <c r="G65" s="21">
        <v>876</v>
      </c>
      <c r="H65" s="21" t="s">
        <v>2444</v>
      </c>
      <c r="I65" s="21">
        <v>20</v>
      </c>
      <c r="J65" s="21">
        <v>17520</v>
      </c>
      <c r="K65" s="21">
        <v>0.03</v>
      </c>
      <c r="L65" s="21">
        <v>16994.400000000001</v>
      </c>
      <c r="M65" s="24">
        <v>42142</v>
      </c>
      <c r="N65" s="21">
        <f>MONTH(Продажи!$M65)</f>
        <v>5</v>
      </c>
      <c r="O65" s="21">
        <f>WEEKDAY(Продажи!$M65,2)</f>
        <v>1</v>
      </c>
      <c r="P65" s="21">
        <f>YEAR(Продажи!$M65)</f>
        <v>2015</v>
      </c>
      <c r="Q65" s="28">
        <f>WEEKNUM(Продажи!$M65,2)</f>
        <v>21</v>
      </c>
      <c r="R65" s="28">
        <f>IF((Продажи!$E65="Зеленый чай")*(Продажи!$Q65&gt;=7)*(Продажи!$Q65&lt;=42),Продажи!$K65,0)</f>
        <v>0.03</v>
      </c>
      <c r="S65" s="28" t="b">
        <f t="shared" si="0"/>
        <v>0</v>
      </c>
    </row>
    <row r="66" spans="3:19" ht="15.75" customHeight="1" x14ac:dyDescent="0.2">
      <c r="C66" s="26">
        <v>32</v>
      </c>
      <c r="D66" s="21" t="s">
        <v>2496</v>
      </c>
      <c r="E66" s="21" t="s">
        <v>2446</v>
      </c>
      <c r="F66" s="21" t="s">
        <v>2466</v>
      </c>
      <c r="G66" s="21">
        <v>967</v>
      </c>
      <c r="H66" s="21" t="s">
        <v>2444</v>
      </c>
      <c r="I66" s="21">
        <v>8</v>
      </c>
      <c r="J66" s="21">
        <v>7736</v>
      </c>
      <c r="K66" s="21">
        <v>0</v>
      </c>
      <c r="L66" s="21">
        <v>7736</v>
      </c>
      <c r="M66" s="24">
        <v>43496</v>
      </c>
      <c r="N66" s="21">
        <f>MONTH(Продажи!$M66)</f>
        <v>1</v>
      </c>
      <c r="O66" s="21">
        <f>WEEKDAY(Продажи!$M66,2)</f>
        <v>4</v>
      </c>
      <c r="P66" s="21">
        <f>YEAR(Продажи!$M66)</f>
        <v>2019</v>
      </c>
      <c r="Q66" s="28">
        <f>WEEKNUM(Продажи!$M66,2)</f>
        <v>5</v>
      </c>
      <c r="R66" s="28">
        <f>IF((Продажи!$E66="Зеленый чай")*(Продажи!$Q66&gt;=7)*(Продажи!$Q66&lt;=42),Продажи!$K66,0)</f>
        <v>0</v>
      </c>
      <c r="S66" s="28">
        <f t="shared" si="0"/>
        <v>7736</v>
      </c>
    </row>
    <row r="67" spans="3:19" ht="15.75" customHeight="1" x14ac:dyDescent="0.2">
      <c r="C67" s="26">
        <v>26</v>
      </c>
      <c r="D67" s="21" t="s">
        <v>2464</v>
      </c>
      <c r="E67" s="21" t="s">
        <v>2442</v>
      </c>
      <c r="F67" s="21" t="s">
        <v>2443</v>
      </c>
      <c r="G67" s="21">
        <v>2197</v>
      </c>
      <c r="H67" s="21" t="s">
        <v>2440</v>
      </c>
      <c r="I67" s="21">
        <v>40</v>
      </c>
      <c r="J67" s="21">
        <v>87880</v>
      </c>
      <c r="K67" s="21">
        <v>0.12</v>
      </c>
      <c r="L67" s="21">
        <v>77334.399999999994</v>
      </c>
      <c r="M67" s="24">
        <v>43990</v>
      </c>
      <c r="N67" s="21">
        <f>MONTH(Продажи!$M67)</f>
        <v>6</v>
      </c>
      <c r="O67" s="21">
        <f>WEEKDAY(Продажи!$M67,2)</f>
        <v>1</v>
      </c>
      <c r="P67" s="21">
        <f>YEAR(Продажи!$M67)</f>
        <v>2020</v>
      </c>
      <c r="Q67" s="28">
        <f>WEEKNUM(Продажи!$M67,2)</f>
        <v>24</v>
      </c>
      <c r="R67" s="28">
        <f>IF((Продажи!$E67="Зеленый чай")*(Продажи!$Q67&gt;=7)*(Продажи!$Q67&lt;=42),Продажи!$K67,0)</f>
        <v>0</v>
      </c>
      <c r="S67" s="28" t="b">
        <f t="shared" si="0"/>
        <v>0</v>
      </c>
    </row>
    <row r="68" spans="3:19" ht="15.75" customHeight="1" x14ac:dyDescent="0.2">
      <c r="C68" s="26">
        <v>38</v>
      </c>
      <c r="D68" s="21" t="s">
        <v>2483</v>
      </c>
      <c r="E68" s="21" t="s">
        <v>2446</v>
      </c>
      <c r="F68" s="21" t="s">
        <v>2484</v>
      </c>
      <c r="G68" s="21">
        <v>1182</v>
      </c>
      <c r="H68" s="21" t="s">
        <v>2440</v>
      </c>
      <c r="I68" s="21">
        <v>17</v>
      </c>
      <c r="J68" s="21">
        <v>20094</v>
      </c>
      <c r="K68" s="21">
        <v>0.03</v>
      </c>
      <c r="L68" s="21">
        <v>19491.18</v>
      </c>
      <c r="M68" s="24">
        <v>42339</v>
      </c>
      <c r="N68" s="21">
        <f>MONTH(Продажи!$M68)</f>
        <v>12</v>
      </c>
      <c r="O68" s="21">
        <f>WEEKDAY(Продажи!$M68,2)</f>
        <v>2</v>
      </c>
      <c r="P68" s="21">
        <f>YEAR(Продажи!$M68)</f>
        <v>2015</v>
      </c>
      <c r="Q68" s="28">
        <f>WEEKNUM(Продажи!$M68,2)</f>
        <v>49</v>
      </c>
      <c r="R68" s="28">
        <f>IF((Продажи!$E68="Зеленый чай")*(Продажи!$Q68&gt;=7)*(Продажи!$Q68&lt;=42),Продажи!$K68,0)</f>
        <v>0</v>
      </c>
      <c r="S68" s="28" t="b">
        <f t="shared" si="0"/>
        <v>0</v>
      </c>
    </row>
    <row r="69" spans="3:19" ht="15.75" customHeight="1" x14ac:dyDescent="0.2">
      <c r="C69" s="26">
        <v>4</v>
      </c>
      <c r="D69" s="21" t="s">
        <v>2449</v>
      </c>
      <c r="E69" s="21" t="s">
        <v>2448</v>
      </c>
      <c r="F69" s="21" t="s">
        <v>2485</v>
      </c>
      <c r="G69" s="21">
        <v>2211</v>
      </c>
      <c r="H69" s="21" t="s">
        <v>2444</v>
      </c>
      <c r="I69" s="21">
        <v>25</v>
      </c>
      <c r="J69" s="21">
        <v>55275</v>
      </c>
      <c r="K69" s="21">
        <v>0.09</v>
      </c>
      <c r="L69" s="21">
        <v>50300.25</v>
      </c>
      <c r="M69" s="24">
        <v>43843</v>
      </c>
      <c r="N69" s="21">
        <f>MONTH(Продажи!$M69)</f>
        <v>1</v>
      </c>
      <c r="O69" s="21">
        <f>WEEKDAY(Продажи!$M69,2)</f>
        <v>1</v>
      </c>
      <c r="P69" s="21">
        <f>YEAR(Продажи!$M69)</f>
        <v>2020</v>
      </c>
      <c r="Q69" s="28">
        <f>WEEKNUM(Продажи!$M69,2)</f>
        <v>3</v>
      </c>
      <c r="R69" s="28">
        <f>IF((Продажи!$E69="Зеленый чай")*(Продажи!$Q69&gt;=7)*(Продажи!$Q69&lt;=42),Продажи!$K69,0)</f>
        <v>0</v>
      </c>
      <c r="S69" s="28" t="b">
        <f t="shared" si="0"/>
        <v>0</v>
      </c>
    </row>
    <row r="70" spans="3:19" ht="15.75" customHeight="1" x14ac:dyDescent="0.2">
      <c r="C70" s="26">
        <v>10</v>
      </c>
      <c r="D70" s="21" t="s">
        <v>2451</v>
      </c>
      <c r="E70" s="21" t="s">
        <v>2438</v>
      </c>
      <c r="F70" s="21" t="s">
        <v>2452</v>
      </c>
      <c r="G70" s="21">
        <v>800</v>
      </c>
      <c r="H70" s="21" t="s">
        <v>2440</v>
      </c>
      <c r="I70" s="21">
        <v>25</v>
      </c>
      <c r="J70" s="21">
        <v>20000</v>
      </c>
      <c r="K70" s="21">
        <v>0.03</v>
      </c>
      <c r="L70" s="21">
        <v>19400</v>
      </c>
      <c r="M70" s="24">
        <v>43788</v>
      </c>
      <c r="N70" s="21">
        <f>MONTH(Продажи!$M70)</f>
        <v>11</v>
      </c>
      <c r="O70" s="21">
        <f>WEEKDAY(Продажи!$M70,2)</f>
        <v>2</v>
      </c>
      <c r="P70" s="21">
        <f>YEAR(Продажи!$M70)</f>
        <v>2019</v>
      </c>
      <c r="Q70" s="28">
        <f>WEEKNUM(Продажи!$M70,2)</f>
        <v>47</v>
      </c>
      <c r="R70" s="28">
        <f>IF((Продажи!$E70="Зеленый чай")*(Продажи!$Q70&gt;=7)*(Продажи!$Q70&lt;=42),Продажи!$K70,0)</f>
        <v>0</v>
      </c>
      <c r="S70" s="28" t="b">
        <f t="shared" si="0"/>
        <v>0</v>
      </c>
    </row>
    <row r="71" spans="3:19" ht="15.75" customHeight="1" x14ac:dyDescent="0.2">
      <c r="C71" s="26">
        <v>42</v>
      </c>
      <c r="D71" s="21" t="s">
        <v>2451</v>
      </c>
      <c r="E71" s="21" t="s">
        <v>2438</v>
      </c>
      <c r="F71" s="21" t="s">
        <v>2452</v>
      </c>
      <c r="G71" s="21">
        <v>800</v>
      </c>
      <c r="H71" s="21" t="s">
        <v>2440</v>
      </c>
      <c r="I71" s="21">
        <v>25</v>
      </c>
      <c r="J71" s="21">
        <v>20000</v>
      </c>
      <c r="K71" s="21">
        <v>0.03</v>
      </c>
      <c r="L71" s="21">
        <v>19400</v>
      </c>
      <c r="M71" s="24">
        <v>42032</v>
      </c>
      <c r="N71" s="21">
        <f>MONTH(Продажи!$M71)</f>
        <v>1</v>
      </c>
      <c r="O71" s="21">
        <f>WEEKDAY(Продажи!$M71,2)</f>
        <v>3</v>
      </c>
      <c r="P71" s="21">
        <f>YEAR(Продажи!$M71)</f>
        <v>2015</v>
      </c>
      <c r="Q71" s="28">
        <f>WEEKNUM(Продажи!$M71,2)</f>
        <v>5</v>
      </c>
      <c r="R71" s="28">
        <f>IF((Продажи!$E71="Зеленый чай")*(Продажи!$Q71&gt;=7)*(Продажи!$Q71&lt;=42),Продажи!$K71,0)</f>
        <v>0</v>
      </c>
      <c r="S71" s="28">
        <f t="shared" si="0"/>
        <v>19400</v>
      </c>
    </row>
    <row r="72" spans="3:19" ht="15.75" customHeight="1" x14ac:dyDescent="0.2">
      <c r="C72" s="26">
        <v>31</v>
      </c>
      <c r="D72" s="21" t="s">
        <v>2479</v>
      </c>
      <c r="E72" s="21" t="s">
        <v>2442</v>
      </c>
      <c r="F72" s="21" t="s">
        <v>2480</v>
      </c>
      <c r="G72" s="21">
        <v>1228</v>
      </c>
      <c r="H72" s="21" t="s">
        <v>2440</v>
      </c>
      <c r="I72" s="21">
        <v>45</v>
      </c>
      <c r="J72" s="21">
        <v>55260</v>
      </c>
      <c r="K72" s="21">
        <v>0.09</v>
      </c>
      <c r="L72" s="21">
        <v>50286.6</v>
      </c>
      <c r="M72" s="24">
        <v>42130</v>
      </c>
      <c r="N72" s="21">
        <f>MONTH(Продажи!$M72)</f>
        <v>5</v>
      </c>
      <c r="O72" s="21">
        <f>WEEKDAY(Продажи!$M72,2)</f>
        <v>3</v>
      </c>
      <c r="P72" s="21">
        <f>YEAR(Продажи!$M72)</f>
        <v>2015</v>
      </c>
      <c r="Q72" s="28">
        <f>WEEKNUM(Продажи!$M72,2)</f>
        <v>19</v>
      </c>
      <c r="R72" s="28">
        <f>IF((Продажи!$E72="Зеленый чай")*(Продажи!$Q72&gt;=7)*(Продажи!$Q72&lt;=42),Продажи!$K72,0)</f>
        <v>0</v>
      </c>
      <c r="S72" s="28" t="b">
        <f t="shared" si="0"/>
        <v>0</v>
      </c>
    </row>
    <row r="73" spans="3:19" ht="15.75" customHeight="1" x14ac:dyDescent="0.2">
      <c r="C73" s="26">
        <v>3</v>
      </c>
      <c r="D73" s="21" t="s">
        <v>2445</v>
      </c>
      <c r="E73" s="21" t="s">
        <v>2446</v>
      </c>
      <c r="F73" s="21" t="s">
        <v>2446</v>
      </c>
      <c r="G73" s="21">
        <v>807</v>
      </c>
      <c r="H73" s="21" t="s">
        <v>2440</v>
      </c>
      <c r="I73" s="21">
        <v>18</v>
      </c>
      <c r="J73" s="21">
        <v>14526</v>
      </c>
      <c r="K73" s="21">
        <v>0</v>
      </c>
      <c r="L73" s="21">
        <v>14526</v>
      </c>
      <c r="M73" s="24">
        <v>42793</v>
      </c>
      <c r="N73" s="21">
        <f>MONTH(Продажи!$M73)</f>
        <v>2</v>
      </c>
      <c r="O73" s="21">
        <f>WEEKDAY(Продажи!$M73,2)</f>
        <v>1</v>
      </c>
      <c r="P73" s="21">
        <f>YEAR(Продажи!$M73)</f>
        <v>2017</v>
      </c>
      <c r="Q73" s="28">
        <f>WEEKNUM(Продажи!$M73,2)</f>
        <v>10</v>
      </c>
      <c r="R73" s="28">
        <f>IF((Продажи!$E73="Зеленый чай")*(Продажи!$Q73&gt;=7)*(Продажи!$Q73&lt;=42),Продажи!$K73,0)</f>
        <v>0</v>
      </c>
      <c r="S73" s="28">
        <f t="shared" si="0"/>
        <v>14526</v>
      </c>
    </row>
    <row r="74" spans="3:19" ht="15.75" customHeight="1" x14ac:dyDescent="0.2">
      <c r="C74" s="26">
        <v>8</v>
      </c>
      <c r="D74" s="21" t="s">
        <v>2477</v>
      </c>
      <c r="E74" s="21" t="s">
        <v>2454</v>
      </c>
      <c r="F74" s="21" t="s">
        <v>2478</v>
      </c>
      <c r="G74" s="21">
        <v>847</v>
      </c>
      <c r="H74" s="21" t="s">
        <v>2440</v>
      </c>
      <c r="I74" s="21">
        <v>15</v>
      </c>
      <c r="J74" s="21">
        <v>12705</v>
      </c>
      <c r="K74" s="21">
        <v>0</v>
      </c>
      <c r="L74" s="21">
        <v>12705</v>
      </c>
      <c r="M74" s="24">
        <v>42991</v>
      </c>
      <c r="N74" s="21">
        <f>MONTH(Продажи!$M74)</f>
        <v>9</v>
      </c>
      <c r="O74" s="21">
        <f>WEEKDAY(Продажи!$M74,2)</f>
        <v>3</v>
      </c>
      <c r="P74" s="21">
        <f>YEAR(Продажи!$M74)</f>
        <v>2017</v>
      </c>
      <c r="Q74" s="28">
        <f>WEEKNUM(Продажи!$M74,2)</f>
        <v>38</v>
      </c>
      <c r="R74" s="28">
        <f>IF((Продажи!$E74="Зеленый чай")*(Продажи!$Q74&gt;=7)*(Продажи!$Q74&lt;=42),Продажи!$K74,0)</f>
        <v>0</v>
      </c>
      <c r="S74" s="28" t="b">
        <f t="shared" si="0"/>
        <v>0</v>
      </c>
    </row>
    <row r="75" spans="3:19" ht="15.75" customHeight="1" x14ac:dyDescent="0.2">
      <c r="C75" s="26">
        <v>45</v>
      </c>
      <c r="D75" s="21" t="s">
        <v>2507</v>
      </c>
      <c r="E75" s="21" t="s">
        <v>2446</v>
      </c>
      <c r="F75" s="21" t="s">
        <v>2493</v>
      </c>
      <c r="G75" s="21">
        <v>759</v>
      </c>
      <c r="H75" s="21" t="s">
        <v>2444</v>
      </c>
      <c r="I75" s="21">
        <v>14</v>
      </c>
      <c r="J75" s="21">
        <v>10626</v>
      </c>
      <c r="K75" s="21">
        <v>0</v>
      </c>
      <c r="L75" s="21">
        <v>10626</v>
      </c>
      <c r="M75" s="24">
        <v>42743</v>
      </c>
      <c r="N75" s="21">
        <f>MONTH(Продажи!$M75)</f>
        <v>1</v>
      </c>
      <c r="O75" s="21">
        <f>WEEKDAY(Продажи!$M75,2)</f>
        <v>7</v>
      </c>
      <c r="P75" s="21">
        <f>YEAR(Продажи!$M75)</f>
        <v>2017</v>
      </c>
      <c r="Q75" s="28">
        <f>WEEKNUM(Продажи!$M75,2)</f>
        <v>2</v>
      </c>
      <c r="R75" s="28">
        <f>IF((Продажи!$E75="Зеленый чай")*(Продажи!$Q75&gt;=7)*(Продажи!$Q75&lt;=42),Продажи!$K75,0)</f>
        <v>0</v>
      </c>
      <c r="S75" s="28" t="b">
        <f t="shared" si="0"/>
        <v>0</v>
      </c>
    </row>
    <row r="76" spans="3:19" ht="15.75" customHeight="1" x14ac:dyDescent="0.2">
      <c r="C76" s="26">
        <v>25</v>
      </c>
      <c r="D76" s="21" t="s">
        <v>2490</v>
      </c>
      <c r="E76" s="21" t="s">
        <v>2462</v>
      </c>
      <c r="F76" s="21" t="s">
        <v>2491</v>
      </c>
      <c r="G76" s="21">
        <v>1994</v>
      </c>
      <c r="H76" s="21" t="s">
        <v>2444</v>
      </c>
      <c r="I76" s="21">
        <v>10</v>
      </c>
      <c r="J76" s="21">
        <v>19940</v>
      </c>
      <c r="K76" s="21">
        <v>0.03</v>
      </c>
      <c r="L76" s="21">
        <v>19341.8</v>
      </c>
      <c r="M76" s="24">
        <v>42193</v>
      </c>
      <c r="N76" s="21">
        <f>MONTH(Продажи!$M76)</f>
        <v>7</v>
      </c>
      <c r="O76" s="21">
        <f>WEEKDAY(Продажи!$M76,2)</f>
        <v>3</v>
      </c>
      <c r="P76" s="21">
        <f>YEAR(Продажи!$M76)</f>
        <v>2015</v>
      </c>
      <c r="Q76" s="28">
        <f>WEEKNUM(Продажи!$M76,2)</f>
        <v>28</v>
      </c>
      <c r="R76" s="28">
        <f>IF((Продажи!$E76="Зеленый чай")*(Продажи!$Q76&gt;=7)*(Продажи!$Q76&lt;=42),Продажи!$K76,0)</f>
        <v>0</v>
      </c>
      <c r="S76" s="28" t="b">
        <f t="shared" si="0"/>
        <v>0</v>
      </c>
    </row>
    <row r="77" spans="3:19" ht="15.75" customHeight="1" x14ac:dyDescent="0.2">
      <c r="C77" s="26">
        <v>31</v>
      </c>
      <c r="D77" s="21" t="s">
        <v>2479</v>
      </c>
      <c r="E77" s="21" t="s">
        <v>2442</v>
      </c>
      <c r="F77" s="21" t="s">
        <v>2480</v>
      </c>
      <c r="G77" s="21">
        <v>1228</v>
      </c>
      <c r="H77" s="21" t="s">
        <v>2440</v>
      </c>
      <c r="I77" s="21">
        <v>45</v>
      </c>
      <c r="J77" s="21">
        <v>55260</v>
      </c>
      <c r="K77" s="21">
        <v>0.09</v>
      </c>
      <c r="L77" s="21">
        <v>50286.6</v>
      </c>
      <c r="M77" s="24">
        <v>42894</v>
      </c>
      <c r="N77" s="21">
        <f>MONTH(Продажи!$M77)</f>
        <v>6</v>
      </c>
      <c r="O77" s="21">
        <f>WEEKDAY(Продажи!$M77,2)</f>
        <v>4</v>
      </c>
      <c r="P77" s="21">
        <f>YEAR(Продажи!$M77)</f>
        <v>2017</v>
      </c>
      <c r="Q77" s="28">
        <f>WEEKNUM(Продажи!$M77,2)</f>
        <v>24</v>
      </c>
      <c r="R77" s="28">
        <f>IF((Продажи!$E77="Зеленый чай")*(Продажи!$Q77&gt;=7)*(Продажи!$Q77&lt;=42),Продажи!$K77,0)</f>
        <v>0</v>
      </c>
      <c r="S77" s="28" t="b">
        <f t="shared" si="0"/>
        <v>0</v>
      </c>
    </row>
    <row r="78" spans="3:19" ht="15.75" customHeight="1" x14ac:dyDescent="0.2">
      <c r="C78" s="26">
        <v>25</v>
      </c>
      <c r="D78" s="21" t="s">
        <v>2490</v>
      </c>
      <c r="E78" s="21" t="s">
        <v>2462</v>
      </c>
      <c r="F78" s="21" t="s">
        <v>2491</v>
      </c>
      <c r="G78" s="21">
        <v>1994</v>
      </c>
      <c r="H78" s="21" t="s">
        <v>2444</v>
      </c>
      <c r="I78" s="21">
        <v>10</v>
      </c>
      <c r="J78" s="21">
        <v>19940</v>
      </c>
      <c r="K78" s="21">
        <v>0.03</v>
      </c>
      <c r="L78" s="21">
        <v>19341.8</v>
      </c>
      <c r="M78" s="24">
        <v>43769</v>
      </c>
      <c r="N78" s="21">
        <f>MONTH(Продажи!$M78)</f>
        <v>10</v>
      </c>
      <c r="O78" s="21">
        <f>WEEKDAY(Продажи!$M78,2)</f>
        <v>4</v>
      </c>
      <c r="P78" s="21">
        <f>YEAR(Продажи!$M78)</f>
        <v>2019</v>
      </c>
      <c r="Q78" s="28">
        <f>WEEKNUM(Продажи!$M78,2)</f>
        <v>44</v>
      </c>
      <c r="R78" s="28">
        <f>IF((Продажи!$E78="Зеленый чай")*(Продажи!$Q78&gt;=7)*(Продажи!$Q78&lt;=42),Продажи!$K78,0)</f>
        <v>0</v>
      </c>
      <c r="S78" s="28">
        <f t="shared" si="0"/>
        <v>19341.8</v>
      </c>
    </row>
    <row r="79" spans="3:19" ht="15.75" customHeight="1" x14ac:dyDescent="0.2">
      <c r="C79" s="26">
        <v>46</v>
      </c>
      <c r="D79" s="21" t="s">
        <v>2475</v>
      </c>
      <c r="E79" s="21" t="s">
        <v>2476</v>
      </c>
      <c r="F79" s="21" t="s">
        <v>2476</v>
      </c>
      <c r="G79" s="21">
        <v>770</v>
      </c>
      <c r="H79" s="21" t="s">
        <v>2440</v>
      </c>
      <c r="I79" s="21">
        <v>20</v>
      </c>
      <c r="J79" s="21">
        <v>15400</v>
      </c>
      <c r="K79" s="21">
        <v>0.03</v>
      </c>
      <c r="L79" s="21">
        <v>14938</v>
      </c>
      <c r="M79" s="24">
        <v>43675</v>
      </c>
      <c r="N79" s="21">
        <f>MONTH(Продажи!$M79)</f>
        <v>7</v>
      </c>
      <c r="O79" s="21">
        <f>WEEKDAY(Продажи!$M79,2)</f>
        <v>1</v>
      </c>
      <c r="P79" s="21">
        <f>YEAR(Продажи!$M79)</f>
        <v>2019</v>
      </c>
      <c r="Q79" s="28">
        <f>WEEKNUM(Продажи!$M79,2)</f>
        <v>31</v>
      </c>
      <c r="R79" s="28">
        <f>IF((Продажи!$E79="Зеленый чай")*(Продажи!$Q79&gt;=7)*(Продажи!$Q79&lt;=42),Продажи!$K79,0)</f>
        <v>0</v>
      </c>
      <c r="S79" s="28">
        <f t="shared" si="0"/>
        <v>14938</v>
      </c>
    </row>
    <row r="80" spans="3:19" ht="15.75" customHeight="1" x14ac:dyDescent="0.2">
      <c r="C80" s="26">
        <v>25</v>
      </c>
      <c r="D80" s="21" t="s">
        <v>2490</v>
      </c>
      <c r="E80" s="21" t="s">
        <v>2462</v>
      </c>
      <c r="F80" s="21" t="s">
        <v>2491</v>
      </c>
      <c r="G80" s="21">
        <v>1994</v>
      </c>
      <c r="H80" s="21" t="s">
        <v>2444</v>
      </c>
      <c r="I80" s="21">
        <v>10</v>
      </c>
      <c r="J80" s="21">
        <v>19940</v>
      </c>
      <c r="K80" s="21">
        <v>0.03</v>
      </c>
      <c r="L80" s="21">
        <v>19341.8</v>
      </c>
      <c r="M80" s="24">
        <v>44004</v>
      </c>
      <c r="N80" s="21">
        <f>MONTH(Продажи!$M80)</f>
        <v>6</v>
      </c>
      <c r="O80" s="21">
        <f>WEEKDAY(Продажи!$M80,2)</f>
        <v>1</v>
      </c>
      <c r="P80" s="21">
        <f>YEAR(Продажи!$M80)</f>
        <v>2020</v>
      </c>
      <c r="Q80" s="28">
        <f>WEEKNUM(Продажи!$M80,2)</f>
        <v>26</v>
      </c>
      <c r="R80" s="28">
        <f>IF((Продажи!$E80="Зеленый чай")*(Продажи!$Q80&gt;=7)*(Продажи!$Q80&lt;=42),Продажи!$K80,0)</f>
        <v>0</v>
      </c>
      <c r="S80" s="28">
        <f t="shared" si="0"/>
        <v>19341.8</v>
      </c>
    </row>
    <row r="81" spans="3:19" ht="15.75" customHeight="1" x14ac:dyDescent="0.2">
      <c r="C81" s="26">
        <v>16</v>
      </c>
      <c r="D81" s="21" t="s">
        <v>2504</v>
      </c>
      <c r="E81" s="21" t="s">
        <v>2505</v>
      </c>
      <c r="F81" s="21" t="s">
        <v>2506</v>
      </c>
      <c r="G81" s="21">
        <v>843</v>
      </c>
      <c r="H81" s="21" t="s">
        <v>2444</v>
      </c>
      <c r="I81" s="21">
        <v>5</v>
      </c>
      <c r="J81" s="21">
        <v>4215</v>
      </c>
      <c r="K81" s="21">
        <v>0</v>
      </c>
      <c r="L81" s="21">
        <v>4215</v>
      </c>
      <c r="M81" s="24">
        <v>42445</v>
      </c>
      <c r="N81" s="21">
        <f>MONTH(Продажи!$M81)</f>
        <v>3</v>
      </c>
      <c r="O81" s="21">
        <f>WEEKDAY(Продажи!$M81,2)</f>
        <v>3</v>
      </c>
      <c r="P81" s="21">
        <f>YEAR(Продажи!$M81)</f>
        <v>2016</v>
      </c>
      <c r="Q81" s="28">
        <f>WEEKNUM(Продажи!$M81,2)</f>
        <v>12</v>
      </c>
      <c r="R81" s="28">
        <f>IF((Продажи!$E81="Зеленый чай")*(Продажи!$Q81&gt;=7)*(Продажи!$Q81&lt;=42),Продажи!$K81,0)</f>
        <v>0</v>
      </c>
      <c r="S81" s="28" t="b">
        <f t="shared" si="0"/>
        <v>0</v>
      </c>
    </row>
    <row r="82" spans="3:19" ht="15.75" customHeight="1" x14ac:dyDescent="0.2">
      <c r="C82" s="26">
        <v>45</v>
      </c>
      <c r="D82" s="21" t="s">
        <v>2507</v>
      </c>
      <c r="E82" s="21" t="s">
        <v>2446</v>
      </c>
      <c r="F82" s="21" t="s">
        <v>2493</v>
      </c>
      <c r="G82" s="21">
        <v>759</v>
      </c>
      <c r="H82" s="21" t="s">
        <v>2444</v>
      </c>
      <c r="I82" s="21">
        <v>14</v>
      </c>
      <c r="J82" s="21">
        <v>10626</v>
      </c>
      <c r="K82" s="21">
        <v>0</v>
      </c>
      <c r="L82" s="21">
        <v>10626</v>
      </c>
      <c r="M82" s="24">
        <v>42470</v>
      </c>
      <c r="N82" s="21">
        <f>MONTH(Продажи!$M82)</f>
        <v>4</v>
      </c>
      <c r="O82" s="21">
        <f>WEEKDAY(Продажи!$M82,2)</f>
        <v>7</v>
      </c>
      <c r="P82" s="21">
        <f>YEAR(Продажи!$M82)</f>
        <v>2016</v>
      </c>
      <c r="Q82" s="28">
        <f>WEEKNUM(Продажи!$M82,2)</f>
        <v>15</v>
      </c>
      <c r="R82" s="28">
        <f>IF((Продажи!$E82="Зеленый чай")*(Продажи!$Q82&gt;=7)*(Продажи!$Q82&lt;=42),Продажи!$K82,0)</f>
        <v>0</v>
      </c>
      <c r="S82" s="28" t="b">
        <f t="shared" si="0"/>
        <v>0</v>
      </c>
    </row>
    <row r="83" spans="3:19" ht="15.75" customHeight="1" x14ac:dyDescent="0.2">
      <c r="C83" s="26">
        <v>21</v>
      </c>
      <c r="D83" s="21" t="s">
        <v>2497</v>
      </c>
      <c r="E83" s="21" t="s">
        <v>2442</v>
      </c>
      <c r="F83" s="21" t="s">
        <v>2498</v>
      </c>
      <c r="G83" s="21">
        <v>887</v>
      </c>
      <c r="H83" s="21" t="s">
        <v>2444</v>
      </c>
      <c r="I83" s="21">
        <v>15</v>
      </c>
      <c r="J83" s="21">
        <v>13305</v>
      </c>
      <c r="K83" s="21">
        <v>0</v>
      </c>
      <c r="L83" s="21">
        <v>13305</v>
      </c>
      <c r="M83" s="24">
        <v>43966</v>
      </c>
      <c r="N83" s="21">
        <f>MONTH(Продажи!$M83)</f>
        <v>5</v>
      </c>
      <c r="O83" s="21">
        <f>WEEKDAY(Продажи!$M83,2)</f>
        <v>5</v>
      </c>
      <c r="P83" s="21">
        <f>YEAR(Продажи!$M83)</f>
        <v>2020</v>
      </c>
      <c r="Q83" s="28">
        <f>WEEKNUM(Продажи!$M83,2)</f>
        <v>20</v>
      </c>
      <c r="R83" s="28">
        <f>IF((Продажи!$E83="Зеленый чай")*(Продажи!$Q83&gt;=7)*(Продажи!$Q83&lt;=42),Продажи!$K83,0)</f>
        <v>0</v>
      </c>
      <c r="S83" s="28" t="b">
        <f t="shared" si="0"/>
        <v>0</v>
      </c>
    </row>
    <row r="84" spans="3:19" ht="15.75" customHeight="1" x14ac:dyDescent="0.2">
      <c r="C84" s="26">
        <v>34</v>
      </c>
      <c r="D84" s="21" t="s">
        <v>2471</v>
      </c>
      <c r="E84" s="21" t="s">
        <v>2438</v>
      </c>
      <c r="F84" s="21" t="s">
        <v>2472</v>
      </c>
      <c r="G84" s="21">
        <v>2199</v>
      </c>
      <c r="H84" s="21" t="s">
        <v>2440</v>
      </c>
      <c r="I84" s="21">
        <v>60</v>
      </c>
      <c r="J84" s="21">
        <v>131940</v>
      </c>
      <c r="K84" s="21">
        <v>0.15</v>
      </c>
      <c r="L84" s="21">
        <v>112149</v>
      </c>
      <c r="M84" s="24">
        <v>42756</v>
      </c>
      <c r="N84" s="21">
        <f>MONTH(Продажи!$M84)</f>
        <v>1</v>
      </c>
      <c r="O84" s="21">
        <f>WEEKDAY(Продажи!$M84,2)</f>
        <v>6</v>
      </c>
      <c r="P84" s="21">
        <f>YEAR(Продажи!$M84)</f>
        <v>2017</v>
      </c>
      <c r="Q84" s="28">
        <f>WEEKNUM(Продажи!$M84,2)</f>
        <v>4</v>
      </c>
      <c r="R84" s="28">
        <f>IF((Продажи!$E84="Зеленый чай")*(Продажи!$Q84&gt;=7)*(Продажи!$Q84&lt;=42),Продажи!$K84,0)</f>
        <v>0</v>
      </c>
      <c r="S84" s="28">
        <f t="shared" si="0"/>
        <v>112149</v>
      </c>
    </row>
    <row r="85" spans="3:19" ht="15.75" customHeight="1" x14ac:dyDescent="0.2">
      <c r="C85" s="26">
        <v>3</v>
      </c>
      <c r="D85" s="21" t="s">
        <v>2445</v>
      </c>
      <c r="E85" s="21" t="s">
        <v>2446</v>
      </c>
      <c r="F85" s="21" t="s">
        <v>2446</v>
      </c>
      <c r="G85" s="21">
        <v>807</v>
      </c>
      <c r="H85" s="21" t="s">
        <v>2440</v>
      </c>
      <c r="I85" s="21">
        <v>18</v>
      </c>
      <c r="J85" s="21">
        <v>14526</v>
      </c>
      <c r="K85" s="21">
        <v>0</v>
      </c>
      <c r="L85" s="21">
        <v>14526</v>
      </c>
      <c r="M85" s="24">
        <v>43172</v>
      </c>
      <c r="N85" s="21">
        <f>MONTH(Продажи!$M85)</f>
        <v>3</v>
      </c>
      <c r="O85" s="21">
        <f>WEEKDAY(Продажи!$M85,2)</f>
        <v>2</v>
      </c>
      <c r="P85" s="21">
        <f>YEAR(Продажи!$M85)</f>
        <v>2018</v>
      </c>
      <c r="Q85" s="28">
        <f>WEEKNUM(Продажи!$M85,2)</f>
        <v>11</v>
      </c>
      <c r="R85" s="28">
        <f>IF((Продажи!$E85="Зеленый чай")*(Продажи!$Q85&gt;=7)*(Продажи!$Q85&lt;=42),Продажи!$K85,0)</f>
        <v>0</v>
      </c>
      <c r="S85" s="28" t="b">
        <f t="shared" si="0"/>
        <v>0</v>
      </c>
    </row>
    <row r="86" spans="3:19" ht="15.75" customHeight="1" x14ac:dyDescent="0.2">
      <c r="C86" s="26">
        <v>25</v>
      </c>
      <c r="D86" s="21" t="s">
        <v>2490</v>
      </c>
      <c r="E86" s="21" t="s">
        <v>2462</v>
      </c>
      <c r="F86" s="21" t="s">
        <v>2491</v>
      </c>
      <c r="G86" s="21">
        <v>1994</v>
      </c>
      <c r="H86" s="21" t="s">
        <v>2444</v>
      </c>
      <c r="I86" s="21">
        <v>10</v>
      </c>
      <c r="J86" s="21">
        <v>19940</v>
      </c>
      <c r="K86" s="21">
        <v>0.03</v>
      </c>
      <c r="L86" s="21">
        <v>19341.8</v>
      </c>
      <c r="M86" s="24">
        <v>44195</v>
      </c>
      <c r="N86" s="21">
        <f>MONTH(Продажи!$M86)</f>
        <v>12</v>
      </c>
      <c r="O86" s="21">
        <f>WEEKDAY(Продажи!$M86,2)</f>
        <v>3</v>
      </c>
      <c r="P86" s="21">
        <f>YEAR(Продажи!$M86)</f>
        <v>2020</v>
      </c>
      <c r="Q86" s="28">
        <f>WEEKNUM(Продажи!$M86,2)</f>
        <v>53</v>
      </c>
      <c r="R86" s="28">
        <f>IF((Продажи!$E86="Зеленый чай")*(Продажи!$Q86&gt;=7)*(Продажи!$Q86&lt;=42),Продажи!$K86,0)</f>
        <v>0</v>
      </c>
      <c r="S86" s="28">
        <f t="shared" si="0"/>
        <v>19341.8</v>
      </c>
    </row>
    <row r="87" spans="3:19" ht="15.75" customHeight="1" x14ac:dyDescent="0.2">
      <c r="C87" s="26">
        <v>56</v>
      </c>
      <c r="D87" s="21" t="s">
        <v>2451</v>
      </c>
      <c r="E87" s="21" t="s">
        <v>2438</v>
      </c>
      <c r="F87" s="21" t="s">
        <v>2452</v>
      </c>
      <c r="G87" s="21">
        <v>800</v>
      </c>
      <c r="H87" s="21" t="s">
        <v>2440</v>
      </c>
      <c r="I87" s="21">
        <v>40</v>
      </c>
      <c r="J87" s="21">
        <v>32000</v>
      </c>
      <c r="K87" s="21">
        <v>0.03</v>
      </c>
      <c r="L87" s="21">
        <v>31040</v>
      </c>
      <c r="M87" s="24">
        <v>43673</v>
      </c>
      <c r="N87" s="21">
        <f>MONTH(Продажи!$M87)</f>
        <v>7</v>
      </c>
      <c r="O87" s="21">
        <f>WEEKDAY(Продажи!$M87,2)</f>
        <v>6</v>
      </c>
      <c r="P87" s="21">
        <f>YEAR(Продажи!$M87)</f>
        <v>2019</v>
      </c>
      <c r="Q87" s="28">
        <f>WEEKNUM(Продажи!$M87,2)</f>
        <v>30</v>
      </c>
      <c r="R87" s="28">
        <f>IF((Продажи!$E87="Зеленый чай")*(Продажи!$Q87&gt;=7)*(Продажи!$Q87&lt;=42),Продажи!$K87,0)</f>
        <v>0.03</v>
      </c>
      <c r="S87" s="28">
        <f t="shared" si="0"/>
        <v>31040</v>
      </c>
    </row>
    <row r="88" spans="3:19" ht="15.75" customHeight="1" x14ac:dyDescent="0.2">
      <c r="C88" s="26">
        <v>47</v>
      </c>
      <c r="D88" s="21" t="s">
        <v>2461</v>
      </c>
      <c r="E88" s="21" t="s">
        <v>2462</v>
      </c>
      <c r="F88" s="21" t="s">
        <v>2463</v>
      </c>
      <c r="G88" s="21">
        <v>1994</v>
      </c>
      <c r="H88" s="21" t="s">
        <v>2444</v>
      </c>
      <c r="I88" s="21">
        <v>12</v>
      </c>
      <c r="J88" s="21">
        <v>23928</v>
      </c>
      <c r="K88" s="21">
        <v>0.03</v>
      </c>
      <c r="L88" s="21">
        <v>23210.16</v>
      </c>
      <c r="M88" s="24">
        <v>43016</v>
      </c>
      <c r="N88" s="21">
        <f>MONTH(Продажи!$M88)</f>
        <v>10</v>
      </c>
      <c r="O88" s="21">
        <f>WEEKDAY(Продажи!$M88,2)</f>
        <v>7</v>
      </c>
      <c r="P88" s="21">
        <f>YEAR(Продажи!$M88)</f>
        <v>2017</v>
      </c>
      <c r="Q88" s="28">
        <f>WEEKNUM(Продажи!$M88,2)</f>
        <v>41</v>
      </c>
      <c r="R88" s="28">
        <f>IF((Продажи!$E88="Зеленый чай")*(Продажи!$Q88&gt;=7)*(Продажи!$Q88&lt;=42),Продажи!$K88,0)</f>
        <v>0</v>
      </c>
      <c r="S88" s="28" t="b">
        <f t="shared" si="0"/>
        <v>0</v>
      </c>
    </row>
    <row r="89" spans="3:19" ht="15.75" customHeight="1" x14ac:dyDescent="0.2">
      <c r="C89" s="26">
        <v>37</v>
      </c>
      <c r="D89" s="21" t="s">
        <v>2449</v>
      </c>
      <c r="E89" s="21" t="s">
        <v>2448</v>
      </c>
      <c r="F89" s="21" t="s">
        <v>2450</v>
      </c>
      <c r="G89" s="21">
        <v>2211</v>
      </c>
      <c r="H89" s="21" t="s">
        <v>2444</v>
      </c>
      <c r="I89" s="21">
        <v>25</v>
      </c>
      <c r="J89" s="21">
        <v>55275</v>
      </c>
      <c r="K89" s="21">
        <v>0.09</v>
      </c>
      <c r="L89" s="21">
        <v>50300.25</v>
      </c>
      <c r="M89" s="24">
        <v>43492</v>
      </c>
      <c r="N89" s="21">
        <f>MONTH(Продажи!$M89)</f>
        <v>1</v>
      </c>
      <c r="O89" s="21">
        <f>WEEKDAY(Продажи!$M89,2)</f>
        <v>7</v>
      </c>
      <c r="P89" s="21">
        <f>YEAR(Продажи!$M89)</f>
        <v>2019</v>
      </c>
      <c r="Q89" s="28">
        <f>WEEKNUM(Продажи!$M89,2)</f>
        <v>4</v>
      </c>
      <c r="R89" s="28">
        <f>IF((Продажи!$E89="Зеленый чай")*(Продажи!$Q89&gt;=7)*(Продажи!$Q89&lt;=42),Продажи!$K89,0)</f>
        <v>0</v>
      </c>
      <c r="S89" s="28">
        <f t="shared" si="0"/>
        <v>50300.25</v>
      </c>
    </row>
    <row r="90" spans="3:19" ht="15.75" customHeight="1" x14ac:dyDescent="0.2">
      <c r="C90" s="26">
        <v>33</v>
      </c>
      <c r="D90" s="21" t="s">
        <v>2461</v>
      </c>
      <c r="E90" s="21" t="s">
        <v>2462</v>
      </c>
      <c r="F90" s="21" t="s">
        <v>2463</v>
      </c>
      <c r="G90" s="21">
        <v>1994</v>
      </c>
      <c r="H90" s="21" t="s">
        <v>2444</v>
      </c>
      <c r="I90" s="21">
        <v>12</v>
      </c>
      <c r="J90" s="21">
        <v>23928</v>
      </c>
      <c r="K90" s="21">
        <v>0.03</v>
      </c>
      <c r="L90" s="21">
        <v>23210.16</v>
      </c>
      <c r="M90" s="24">
        <v>43016</v>
      </c>
      <c r="N90" s="21">
        <f>MONTH(Продажи!$M90)</f>
        <v>10</v>
      </c>
      <c r="O90" s="21">
        <f>WEEKDAY(Продажи!$M90,2)</f>
        <v>7</v>
      </c>
      <c r="P90" s="21">
        <f>YEAR(Продажи!$M90)</f>
        <v>2017</v>
      </c>
      <c r="Q90" s="28">
        <f>WEEKNUM(Продажи!$M90,2)</f>
        <v>41</v>
      </c>
      <c r="R90" s="28">
        <f>IF((Продажи!$E90="Зеленый чай")*(Продажи!$Q90&gt;=7)*(Продажи!$Q90&lt;=42),Продажи!$K90,0)</f>
        <v>0</v>
      </c>
      <c r="S90" s="28" t="b">
        <f t="shared" si="0"/>
        <v>0</v>
      </c>
    </row>
    <row r="91" spans="3:19" ht="15.75" customHeight="1" x14ac:dyDescent="0.2">
      <c r="C91" s="26">
        <v>1</v>
      </c>
      <c r="D91" s="21" t="s">
        <v>2459</v>
      </c>
      <c r="E91" s="21" t="s">
        <v>2438</v>
      </c>
      <c r="F91" s="21" t="s">
        <v>2460</v>
      </c>
      <c r="G91" s="21">
        <v>876</v>
      </c>
      <c r="H91" s="21" t="s">
        <v>2444</v>
      </c>
      <c r="I91" s="21">
        <v>20</v>
      </c>
      <c r="J91" s="21">
        <v>17520</v>
      </c>
      <c r="K91" s="21">
        <v>0.03</v>
      </c>
      <c r="L91" s="21">
        <v>16994.400000000001</v>
      </c>
      <c r="M91" s="24">
        <v>43706</v>
      </c>
      <c r="N91" s="21">
        <f>MONTH(Продажи!$M91)</f>
        <v>8</v>
      </c>
      <c r="O91" s="21">
        <f>WEEKDAY(Продажи!$M91,2)</f>
        <v>4</v>
      </c>
      <c r="P91" s="21">
        <f>YEAR(Продажи!$M91)</f>
        <v>2019</v>
      </c>
      <c r="Q91" s="28">
        <f>WEEKNUM(Продажи!$M91,2)</f>
        <v>35</v>
      </c>
      <c r="R91" s="28">
        <f>IF((Продажи!$E91="Зеленый чай")*(Продажи!$Q91&gt;=7)*(Продажи!$Q91&lt;=42),Продажи!$K91,0)</f>
        <v>0.03</v>
      </c>
      <c r="S91" s="28">
        <f t="shared" si="0"/>
        <v>16994.400000000001</v>
      </c>
    </row>
    <row r="92" spans="3:19" ht="15.75" customHeight="1" x14ac:dyDescent="0.2">
      <c r="C92" s="26">
        <v>45</v>
      </c>
      <c r="D92" s="21" t="s">
        <v>2507</v>
      </c>
      <c r="E92" s="21" t="s">
        <v>2446</v>
      </c>
      <c r="F92" s="21" t="s">
        <v>2493</v>
      </c>
      <c r="G92" s="21">
        <v>759</v>
      </c>
      <c r="H92" s="21" t="s">
        <v>2444</v>
      </c>
      <c r="I92" s="21">
        <v>14</v>
      </c>
      <c r="J92" s="21">
        <v>10626</v>
      </c>
      <c r="K92" s="21">
        <v>0</v>
      </c>
      <c r="L92" s="21">
        <v>10626</v>
      </c>
      <c r="M92" s="24">
        <v>42872</v>
      </c>
      <c r="N92" s="21">
        <f>MONTH(Продажи!$M92)</f>
        <v>5</v>
      </c>
      <c r="O92" s="21">
        <f>WEEKDAY(Продажи!$M92,2)</f>
        <v>3</v>
      </c>
      <c r="P92" s="21">
        <f>YEAR(Продажи!$M92)</f>
        <v>2017</v>
      </c>
      <c r="Q92" s="28">
        <f>WEEKNUM(Продажи!$M92,2)</f>
        <v>21</v>
      </c>
      <c r="R92" s="28">
        <f>IF((Продажи!$E92="Зеленый чай")*(Продажи!$Q92&gt;=7)*(Продажи!$Q92&lt;=42),Продажи!$K92,0)</f>
        <v>0</v>
      </c>
      <c r="S92" s="28" t="b">
        <f t="shared" si="0"/>
        <v>0</v>
      </c>
    </row>
    <row r="93" spans="3:19" ht="15.75" customHeight="1" x14ac:dyDescent="0.2">
      <c r="C93" s="26">
        <v>21</v>
      </c>
      <c r="D93" s="21" t="s">
        <v>2497</v>
      </c>
      <c r="E93" s="21" t="s">
        <v>2442</v>
      </c>
      <c r="F93" s="21" t="s">
        <v>2498</v>
      </c>
      <c r="G93" s="21">
        <v>887</v>
      </c>
      <c r="H93" s="21" t="s">
        <v>2444</v>
      </c>
      <c r="I93" s="21">
        <v>15</v>
      </c>
      <c r="J93" s="21">
        <v>13305</v>
      </c>
      <c r="K93" s="21">
        <v>0</v>
      </c>
      <c r="L93" s="21">
        <v>13305</v>
      </c>
      <c r="M93" s="24">
        <v>43251</v>
      </c>
      <c r="N93" s="21">
        <f>MONTH(Продажи!$M93)</f>
        <v>5</v>
      </c>
      <c r="O93" s="21">
        <f>WEEKDAY(Продажи!$M93,2)</f>
        <v>4</v>
      </c>
      <c r="P93" s="21">
        <f>YEAR(Продажи!$M93)</f>
        <v>2018</v>
      </c>
      <c r="Q93" s="28">
        <f>WEEKNUM(Продажи!$M93,2)</f>
        <v>22</v>
      </c>
      <c r="R93" s="28">
        <f>IF((Продажи!$E93="Зеленый чай")*(Продажи!$Q93&gt;=7)*(Продажи!$Q93&lt;=42),Продажи!$K93,0)</f>
        <v>0</v>
      </c>
      <c r="S93" s="28">
        <f t="shared" si="0"/>
        <v>13305</v>
      </c>
    </row>
    <row r="94" spans="3:19" ht="15.75" customHeight="1" x14ac:dyDescent="0.2">
      <c r="C94" s="26">
        <v>18</v>
      </c>
      <c r="D94" s="21" t="s">
        <v>2508</v>
      </c>
      <c r="E94" s="21" t="s">
        <v>2476</v>
      </c>
      <c r="F94" s="21" t="s">
        <v>2509</v>
      </c>
      <c r="G94" s="21">
        <v>1531</v>
      </c>
      <c r="H94" s="21" t="s">
        <v>2440</v>
      </c>
      <c r="I94" s="21">
        <v>15</v>
      </c>
      <c r="J94" s="21">
        <v>22965</v>
      </c>
      <c r="K94" s="21">
        <v>0.03</v>
      </c>
      <c r="L94" s="21">
        <v>22276.05</v>
      </c>
      <c r="M94" s="24">
        <v>42242</v>
      </c>
      <c r="N94" s="21">
        <f>MONTH(Продажи!$M94)</f>
        <v>8</v>
      </c>
      <c r="O94" s="21">
        <f>WEEKDAY(Продажи!$M94,2)</f>
        <v>3</v>
      </c>
      <c r="P94" s="21">
        <f>YEAR(Продажи!$M94)</f>
        <v>2015</v>
      </c>
      <c r="Q94" s="28">
        <f>WEEKNUM(Продажи!$M94,2)</f>
        <v>35</v>
      </c>
      <c r="R94" s="28">
        <f>IF((Продажи!$E94="Зеленый чай")*(Продажи!$Q94&gt;=7)*(Продажи!$Q94&lt;=42),Продажи!$K94,0)</f>
        <v>0</v>
      </c>
      <c r="S94" s="28">
        <f t="shared" si="0"/>
        <v>22276.05</v>
      </c>
    </row>
    <row r="95" spans="3:19" ht="15.75" customHeight="1" x14ac:dyDescent="0.2">
      <c r="C95" s="26">
        <v>33</v>
      </c>
      <c r="D95" s="21" t="s">
        <v>2461</v>
      </c>
      <c r="E95" s="21" t="s">
        <v>2462</v>
      </c>
      <c r="F95" s="21" t="s">
        <v>2463</v>
      </c>
      <c r="G95" s="21">
        <v>1994</v>
      </c>
      <c r="H95" s="21" t="s">
        <v>2444</v>
      </c>
      <c r="I95" s="21">
        <v>12</v>
      </c>
      <c r="J95" s="21">
        <v>23928</v>
      </c>
      <c r="K95" s="21">
        <v>0.03</v>
      </c>
      <c r="L95" s="21">
        <v>23210.16</v>
      </c>
      <c r="M95" s="24">
        <v>43303</v>
      </c>
      <c r="N95" s="21">
        <f>MONTH(Продажи!$M95)</f>
        <v>7</v>
      </c>
      <c r="O95" s="21">
        <f>WEEKDAY(Продажи!$M95,2)</f>
        <v>7</v>
      </c>
      <c r="P95" s="21">
        <f>YEAR(Продажи!$M95)</f>
        <v>2018</v>
      </c>
      <c r="Q95" s="28">
        <f>WEEKNUM(Продажи!$M95,2)</f>
        <v>29</v>
      </c>
      <c r="R95" s="28">
        <f>IF((Продажи!$E95="Зеленый чай")*(Продажи!$Q95&gt;=7)*(Продажи!$Q95&lt;=42),Продажи!$K95,0)</f>
        <v>0</v>
      </c>
      <c r="S95" s="28">
        <f t="shared" si="0"/>
        <v>23210.16</v>
      </c>
    </row>
    <row r="96" spans="3:19" ht="15.75" customHeight="1" x14ac:dyDescent="0.2">
      <c r="C96" s="26">
        <v>40</v>
      </c>
      <c r="D96" s="21" t="s">
        <v>2477</v>
      </c>
      <c r="E96" s="21" t="s">
        <v>2454</v>
      </c>
      <c r="F96" s="21" t="s">
        <v>2478</v>
      </c>
      <c r="G96" s="21">
        <v>847</v>
      </c>
      <c r="H96" s="21" t="s">
        <v>2440</v>
      </c>
      <c r="I96" s="21">
        <v>15</v>
      </c>
      <c r="J96" s="21">
        <v>12705</v>
      </c>
      <c r="K96" s="21">
        <v>0</v>
      </c>
      <c r="L96" s="21">
        <v>12705</v>
      </c>
      <c r="M96" s="24">
        <v>42881</v>
      </c>
      <c r="N96" s="21">
        <f>MONTH(Продажи!$M96)</f>
        <v>5</v>
      </c>
      <c r="O96" s="21">
        <f>WEEKDAY(Продажи!$M96,2)</f>
        <v>5</v>
      </c>
      <c r="P96" s="21">
        <f>YEAR(Продажи!$M96)</f>
        <v>2017</v>
      </c>
      <c r="Q96" s="28">
        <f>WEEKNUM(Продажи!$M96,2)</f>
        <v>22</v>
      </c>
      <c r="R96" s="28">
        <f>IF((Продажи!$E96="Зеленый чай")*(Продажи!$Q96&gt;=7)*(Продажи!$Q96&lt;=42),Продажи!$K96,0)</f>
        <v>0</v>
      </c>
      <c r="S96" s="28">
        <f t="shared" si="0"/>
        <v>12705</v>
      </c>
    </row>
    <row r="97" spans="3:19" ht="15.75" customHeight="1" x14ac:dyDescent="0.2">
      <c r="C97" s="26">
        <v>22</v>
      </c>
      <c r="D97" s="21" t="s">
        <v>2510</v>
      </c>
      <c r="E97" s="21" t="s">
        <v>2511</v>
      </c>
      <c r="F97" s="21" t="s">
        <v>2511</v>
      </c>
      <c r="G97" s="21">
        <v>4889</v>
      </c>
      <c r="H97" s="21" t="s">
        <v>2444</v>
      </c>
      <c r="I97" s="21">
        <v>18</v>
      </c>
      <c r="J97" s="21">
        <v>88002</v>
      </c>
      <c r="K97" s="21">
        <v>0.12</v>
      </c>
      <c r="L97" s="21">
        <v>77441.759999999995</v>
      </c>
      <c r="M97" s="24">
        <v>43411</v>
      </c>
      <c r="N97" s="21">
        <f>MONTH(Продажи!$M97)</f>
        <v>11</v>
      </c>
      <c r="O97" s="21">
        <f>WEEKDAY(Продажи!$M97,2)</f>
        <v>3</v>
      </c>
      <c r="P97" s="21">
        <f>YEAR(Продажи!$M97)</f>
        <v>2018</v>
      </c>
      <c r="Q97" s="28">
        <f>WEEKNUM(Продажи!$M97,2)</f>
        <v>45</v>
      </c>
      <c r="R97" s="28">
        <f>IF((Продажи!$E97="Зеленый чай")*(Продажи!$Q97&gt;=7)*(Продажи!$Q97&lt;=42),Продажи!$K97,0)</f>
        <v>0</v>
      </c>
      <c r="S97" s="28" t="b">
        <f t="shared" si="0"/>
        <v>0</v>
      </c>
    </row>
    <row r="98" spans="3:19" ht="15.75" customHeight="1" x14ac:dyDescent="0.2">
      <c r="C98" s="26">
        <v>25</v>
      </c>
      <c r="D98" s="21" t="s">
        <v>2490</v>
      </c>
      <c r="E98" s="21" t="s">
        <v>2462</v>
      </c>
      <c r="F98" s="21" t="s">
        <v>2491</v>
      </c>
      <c r="G98" s="21">
        <v>1994</v>
      </c>
      <c r="H98" s="21" t="s">
        <v>2444</v>
      </c>
      <c r="I98" s="21">
        <v>10</v>
      </c>
      <c r="J98" s="21">
        <v>19940</v>
      </c>
      <c r="K98" s="21">
        <v>0.03</v>
      </c>
      <c r="L98" s="21">
        <v>19341.8</v>
      </c>
      <c r="M98" s="24">
        <v>42125</v>
      </c>
      <c r="N98" s="21">
        <f>MONTH(Продажи!$M98)</f>
        <v>5</v>
      </c>
      <c r="O98" s="21">
        <f>WEEKDAY(Продажи!$M98,2)</f>
        <v>5</v>
      </c>
      <c r="P98" s="21">
        <f>YEAR(Продажи!$M98)</f>
        <v>2015</v>
      </c>
      <c r="Q98" s="28">
        <f>WEEKNUM(Продажи!$M98,2)</f>
        <v>18</v>
      </c>
      <c r="R98" s="28">
        <f>IF((Продажи!$E98="Зеленый чай")*(Продажи!$Q98&gt;=7)*(Продажи!$Q98&lt;=42),Продажи!$K98,0)</f>
        <v>0</v>
      </c>
      <c r="S98" s="28" t="b">
        <f t="shared" si="0"/>
        <v>0</v>
      </c>
    </row>
    <row r="99" spans="3:19" ht="15.75" customHeight="1" x14ac:dyDescent="0.2">
      <c r="C99" s="26">
        <v>8</v>
      </c>
      <c r="D99" s="21" t="s">
        <v>2477</v>
      </c>
      <c r="E99" s="21" t="s">
        <v>2454</v>
      </c>
      <c r="F99" s="21" t="s">
        <v>2478</v>
      </c>
      <c r="G99" s="21">
        <v>847</v>
      </c>
      <c r="H99" s="21" t="s">
        <v>2440</v>
      </c>
      <c r="I99" s="21">
        <v>15</v>
      </c>
      <c r="J99" s="21">
        <v>12705</v>
      </c>
      <c r="K99" s="21">
        <v>0</v>
      </c>
      <c r="L99" s="21">
        <v>12705</v>
      </c>
      <c r="M99" s="24">
        <v>42355</v>
      </c>
      <c r="N99" s="21">
        <f>MONTH(Продажи!$M99)</f>
        <v>12</v>
      </c>
      <c r="O99" s="21">
        <f>WEEKDAY(Продажи!$M99,2)</f>
        <v>4</v>
      </c>
      <c r="P99" s="21">
        <f>YEAR(Продажи!$M99)</f>
        <v>2015</v>
      </c>
      <c r="Q99" s="28">
        <f>WEEKNUM(Продажи!$M99,2)</f>
        <v>51</v>
      </c>
      <c r="R99" s="28">
        <f>IF((Продажи!$E99="Зеленый чай")*(Продажи!$Q99&gt;=7)*(Продажи!$Q99&lt;=42),Продажи!$K99,0)</f>
        <v>0</v>
      </c>
      <c r="S99" s="28" t="b">
        <f t="shared" si="0"/>
        <v>0</v>
      </c>
    </row>
    <row r="100" spans="3:19" ht="15.75" customHeight="1" x14ac:dyDescent="0.2">
      <c r="C100" s="26">
        <v>7</v>
      </c>
      <c r="D100" s="21" t="s">
        <v>2437</v>
      </c>
      <c r="E100" s="21" t="s">
        <v>2438</v>
      </c>
      <c r="F100" s="21" t="s">
        <v>2439</v>
      </c>
      <c r="G100" s="21">
        <v>1923</v>
      </c>
      <c r="H100" s="21" t="s">
        <v>2440</v>
      </c>
      <c r="I100" s="21">
        <v>25</v>
      </c>
      <c r="J100" s="21">
        <v>48075</v>
      </c>
      <c r="K100" s="21">
        <v>0.06</v>
      </c>
      <c r="L100" s="21">
        <v>45190.5</v>
      </c>
      <c r="M100" s="24">
        <v>43596</v>
      </c>
      <c r="N100" s="21">
        <f>MONTH(Продажи!$M100)</f>
        <v>5</v>
      </c>
      <c r="O100" s="21">
        <f>WEEKDAY(Продажи!$M100,2)</f>
        <v>6</v>
      </c>
      <c r="P100" s="21">
        <f>YEAR(Продажи!$M100)</f>
        <v>2019</v>
      </c>
      <c r="Q100" s="28">
        <f>WEEKNUM(Продажи!$M100,2)</f>
        <v>19</v>
      </c>
      <c r="R100" s="28">
        <f>IF((Продажи!$E100="Зеленый чай")*(Продажи!$Q100&gt;=7)*(Продажи!$Q100&lt;=42),Продажи!$K100,0)</f>
        <v>0.06</v>
      </c>
      <c r="S100" s="28" t="b">
        <f t="shared" si="0"/>
        <v>0</v>
      </c>
    </row>
    <row r="101" spans="3:19" ht="15.75" customHeight="1" x14ac:dyDescent="0.2">
      <c r="C101" s="26">
        <v>44</v>
      </c>
      <c r="D101" s="21" t="s">
        <v>2453</v>
      </c>
      <c r="E101" s="21" t="s">
        <v>2454</v>
      </c>
      <c r="F101" s="21" t="s">
        <v>2455</v>
      </c>
      <c r="G101" s="21">
        <v>1386</v>
      </c>
      <c r="H101" s="21" t="s">
        <v>2440</v>
      </c>
      <c r="I101" s="21">
        <v>20</v>
      </c>
      <c r="J101" s="21">
        <v>27720</v>
      </c>
      <c r="K101" s="21">
        <v>0.03</v>
      </c>
      <c r="L101" s="21">
        <v>26888.400000000001</v>
      </c>
      <c r="M101" s="24">
        <v>42182</v>
      </c>
      <c r="N101" s="21">
        <f>MONTH(Продажи!$M101)</f>
        <v>6</v>
      </c>
      <c r="O101" s="21">
        <f>WEEKDAY(Продажи!$M101,2)</f>
        <v>6</v>
      </c>
      <c r="P101" s="21">
        <f>YEAR(Продажи!$M101)</f>
        <v>2015</v>
      </c>
      <c r="Q101" s="28">
        <f>WEEKNUM(Продажи!$M101,2)</f>
        <v>26</v>
      </c>
      <c r="R101" s="28">
        <f>IF((Продажи!$E101="Зеленый чай")*(Продажи!$Q101&gt;=7)*(Продажи!$Q101&lt;=42),Продажи!$K101,0)</f>
        <v>0</v>
      </c>
      <c r="S101" s="28">
        <f t="shared" si="0"/>
        <v>26888.400000000001</v>
      </c>
    </row>
    <row r="102" spans="3:19" ht="15.75" customHeight="1" x14ac:dyDescent="0.2">
      <c r="C102" s="26">
        <v>17</v>
      </c>
      <c r="D102" s="21" t="s">
        <v>2465</v>
      </c>
      <c r="E102" s="21" t="s">
        <v>2446</v>
      </c>
      <c r="F102" s="21" t="s">
        <v>2466</v>
      </c>
      <c r="G102" s="21">
        <v>967</v>
      </c>
      <c r="H102" s="21" t="s">
        <v>2444</v>
      </c>
      <c r="I102" s="21">
        <v>12</v>
      </c>
      <c r="J102" s="21">
        <v>11604</v>
      </c>
      <c r="K102" s="21">
        <v>0</v>
      </c>
      <c r="L102" s="21">
        <v>11604</v>
      </c>
      <c r="M102" s="24">
        <v>43421</v>
      </c>
      <c r="N102" s="21">
        <f>MONTH(Продажи!$M102)</f>
        <v>11</v>
      </c>
      <c r="O102" s="21">
        <f>WEEKDAY(Продажи!$M102,2)</f>
        <v>6</v>
      </c>
      <c r="P102" s="21">
        <f>YEAR(Продажи!$M102)</f>
        <v>2018</v>
      </c>
      <c r="Q102" s="28">
        <f>WEEKNUM(Продажи!$M102,2)</f>
        <v>46</v>
      </c>
      <c r="R102" s="28">
        <f>IF((Продажи!$E102="Зеленый чай")*(Продажи!$Q102&gt;=7)*(Продажи!$Q102&lt;=42),Продажи!$K102,0)</f>
        <v>0</v>
      </c>
      <c r="S102" s="28" t="b">
        <f t="shared" si="0"/>
        <v>0</v>
      </c>
    </row>
    <row r="103" spans="3:19" ht="15.75" customHeight="1" x14ac:dyDescent="0.2">
      <c r="C103" s="26">
        <v>31</v>
      </c>
      <c r="D103" s="21" t="s">
        <v>2479</v>
      </c>
      <c r="E103" s="21" t="s">
        <v>2442</v>
      </c>
      <c r="F103" s="21" t="s">
        <v>2480</v>
      </c>
      <c r="G103" s="21">
        <v>1228</v>
      </c>
      <c r="H103" s="21" t="s">
        <v>2440</v>
      </c>
      <c r="I103" s="21">
        <v>45</v>
      </c>
      <c r="J103" s="21">
        <v>55260</v>
      </c>
      <c r="K103" s="21">
        <v>0.09</v>
      </c>
      <c r="L103" s="21">
        <v>50286.6</v>
      </c>
      <c r="M103" s="24">
        <v>43505</v>
      </c>
      <c r="N103" s="21">
        <f>MONTH(Продажи!$M103)</f>
        <v>2</v>
      </c>
      <c r="O103" s="21">
        <f>WEEKDAY(Продажи!$M103,2)</f>
        <v>6</v>
      </c>
      <c r="P103" s="21">
        <f>YEAR(Продажи!$M103)</f>
        <v>2019</v>
      </c>
      <c r="Q103" s="28">
        <f>WEEKNUM(Продажи!$M103,2)</f>
        <v>6</v>
      </c>
      <c r="R103" s="28">
        <f>IF((Продажи!$E103="Зеленый чай")*(Продажи!$Q103&gt;=7)*(Продажи!$Q103&lt;=42),Продажи!$K103,0)</f>
        <v>0</v>
      </c>
      <c r="S103" s="28" t="b">
        <f t="shared" si="0"/>
        <v>0</v>
      </c>
    </row>
    <row r="104" spans="3:19" ht="15.75" customHeight="1" x14ac:dyDescent="0.2">
      <c r="C104" s="26">
        <v>1</v>
      </c>
      <c r="D104" s="21" t="s">
        <v>2459</v>
      </c>
      <c r="E104" s="21" t="s">
        <v>2438</v>
      </c>
      <c r="F104" s="21" t="s">
        <v>2460</v>
      </c>
      <c r="G104" s="21">
        <v>876</v>
      </c>
      <c r="H104" s="21" t="s">
        <v>2444</v>
      </c>
      <c r="I104" s="21">
        <v>20</v>
      </c>
      <c r="J104" s="21">
        <v>17520</v>
      </c>
      <c r="K104" s="21">
        <v>0.03</v>
      </c>
      <c r="L104" s="21">
        <v>16994.400000000001</v>
      </c>
      <c r="M104" s="24">
        <v>43544</v>
      </c>
      <c r="N104" s="21">
        <f>MONTH(Продажи!$M104)</f>
        <v>3</v>
      </c>
      <c r="O104" s="21">
        <f>WEEKDAY(Продажи!$M104,2)</f>
        <v>3</v>
      </c>
      <c r="P104" s="21">
        <f>YEAR(Продажи!$M104)</f>
        <v>2019</v>
      </c>
      <c r="Q104" s="28">
        <f>WEEKNUM(Продажи!$M104,2)</f>
        <v>12</v>
      </c>
      <c r="R104" s="28">
        <f>IF((Продажи!$E104="Зеленый чай")*(Продажи!$Q104&gt;=7)*(Продажи!$Q104&lt;=42),Продажи!$K104,0)</f>
        <v>0.03</v>
      </c>
      <c r="S104" s="28" t="b">
        <f t="shared" si="0"/>
        <v>0</v>
      </c>
    </row>
    <row r="105" spans="3:19" ht="15.75" customHeight="1" x14ac:dyDescent="0.2">
      <c r="C105" s="26">
        <v>2</v>
      </c>
      <c r="D105" s="21" t="s">
        <v>2500</v>
      </c>
      <c r="E105" s="21" t="s">
        <v>2446</v>
      </c>
      <c r="F105" s="21" t="s">
        <v>2501</v>
      </c>
      <c r="G105" s="21">
        <v>1178</v>
      </c>
      <c r="H105" s="21" t="s">
        <v>2444</v>
      </c>
      <c r="I105" s="21">
        <v>10</v>
      </c>
      <c r="J105" s="21">
        <v>11780</v>
      </c>
      <c r="K105" s="21">
        <v>0</v>
      </c>
      <c r="L105" s="21">
        <v>11780</v>
      </c>
      <c r="M105" s="24">
        <v>42836</v>
      </c>
      <c r="N105" s="21">
        <f>MONTH(Продажи!$M105)</f>
        <v>4</v>
      </c>
      <c r="O105" s="21">
        <f>WEEKDAY(Продажи!$M105,2)</f>
        <v>2</v>
      </c>
      <c r="P105" s="21">
        <f>YEAR(Продажи!$M105)</f>
        <v>2017</v>
      </c>
      <c r="Q105" s="28">
        <f>WEEKNUM(Продажи!$M105,2)</f>
        <v>16</v>
      </c>
      <c r="R105" s="28">
        <f>IF((Продажи!$E105="Зеленый чай")*(Продажи!$Q105&gt;=7)*(Продажи!$Q105&lt;=42),Продажи!$K105,0)</f>
        <v>0</v>
      </c>
      <c r="S105" s="28" t="b">
        <f t="shared" si="0"/>
        <v>0</v>
      </c>
    </row>
    <row r="106" spans="3:19" ht="15.75" customHeight="1" x14ac:dyDescent="0.2">
      <c r="C106" s="26">
        <v>38</v>
      </c>
      <c r="D106" s="21" t="s">
        <v>2483</v>
      </c>
      <c r="E106" s="21" t="s">
        <v>2446</v>
      </c>
      <c r="F106" s="21" t="s">
        <v>2484</v>
      </c>
      <c r="G106" s="21">
        <v>1182</v>
      </c>
      <c r="H106" s="21" t="s">
        <v>2440</v>
      </c>
      <c r="I106" s="21">
        <v>17</v>
      </c>
      <c r="J106" s="21">
        <v>20094</v>
      </c>
      <c r="K106" s="21">
        <v>0.03</v>
      </c>
      <c r="L106" s="21">
        <v>19491.18</v>
      </c>
      <c r="M106" s="24">
        <v>43902</v>
      </c>
      <c r="N106" s="21">
        <f>MONTH(Продажи!$M106)</f>
        <v>3</v>
      </c>
      <c r="O106" s="21">
        <f>WEEKDAY(Продажи!$M106,2)</f>
        <v>4</v>
      </c>
      <c r="P106" s="21">
        <f>YEAR(Продажи!$M106)</f>
        <v>2020</v>
      </c>
      <c r="Q106" s="28">
        <f>WEEKNUM(Продажи!$M106,2)</f>
        <v>11</v>
      </c>
      <c r="R106" s="28">
        <f>IF((Продажи!$E106="Зеленый чай")*(Продажи!$Q106&gt;=7)*(Продажи!$Q106&lt;=42),Продажи!$K106,0)</f>
        <v>0</v>
      </c>
      <c r="S106" s="28" t="b">
        <f t="shared" si="0"/>
        <v>0</v>
      </c>
    </row>
    <row r="107" spans="3:19" ht="15.75" customHeight="1" x14ac:dyDescent="0.2">
      <c r="C107" s="26">
        <v>37</v>
      </c>
      <c r="D107" s="21" t="s">
        <v>2449</v>
      </c>
      <c r="E107" s="21" t="s">
        <v>2448</v>
      </c>
      <c r="F107" s="21" t="s">
        <v>2450</v>
      </c>
      <c r="G107" s="21">
        <v>2211</v>
      </c>
      <c r="H107" s="21" t="s">
        <v>2444</v>
      </c>
      <c r="I107" s="21">
        <v>25</v>
      </c>
      <c r="J107" s="21">
        <v>55275</v>
      </c>
      <c r="K107" s="21">
        <v>0.09</v>
      </c>
      <c r="L107" s="21">
        <v>50300.25</v>
      </c>
      <c r="M107" s="24">
        <v>42662</v>
      </c>
      <c r="N107" s="21">
        <f>MONTH(Продажи!$M107)</f>
        <v>10</v>
      </c>
      <c r="O107" s="21">
        <f>WEEKDAY(Продажи!$M107,2)</f>
        <v>3</v>
      </c>
      <c r="P107" s="21">
        <f>YEAR(Продажи!$M107)</f>
        <v>2016</v>
      </c>
      <c r="Q107" s="28">
        <f>WEEKNUM(Продажи!$M107,2)</f>
        <v>43</v>
      </c>
      <c r="R107" s="28">
        <f>IF((Продажи!$E107="Зеленый чай")*(Продажи!$Q107&gt;=7)*(Продажи!$Q107&lt;=42),Продажи!$K107,0)</f>
        <v>0</v>
      </c>
      <c r="S107" s="28" t="b">
        <f t="shared" si="0"/>
        <v>0</v>
      </c>
    </row>
    <row r="108" spans="3:19" ht="15.75" customHeight="1" x14ac:dyDescent="0.2">
      <c r="C108" s="26">
        <v>15</v>
      </c>
      <c r="D108" s="21" t="s">
        <v>2512</v>
      </c>
      <c r="E108" s="21" t="s">
        <v>2462</v>
      </c>
      <c r="F108" s="21" t="s">
        <v>2513</v>
      </c>
      <c r="G108" s="21">
        <v>1994</v>
      </c>
      <c r="H108" s="21" t="s">
        <v>2444</v>
      </c>
      <c r="I108" s="21">
        <v>17</v>
      </c>
      <c r="J108" s="21">
        <v>33898</v>
      </c>
      <c r="K108" s="21">
        <v>0.06</v>
      </c>
      <c r="L108" s="21">
        <v>31864.12</v>
      </c>
      <c r="M108" s="24">
        <v>42592</v>
      </c>
      <c r="N108" s="21">
        <f>MONTH(Продажи!$M108)</f>
        <v>8</v>
      </c>
      <c r="O108" s="21">
        <f>WEEKDAY(Продажи!$M108,2)</f>
        <v>3</v>
      </c>
      <c r="P108" s="21">
        <f>YEAR(Продажи!$M108)</f>
        <v>2016</v>
      </c>
      <c r="Q108" s="28">
        <f>WEEKNUM(Продажи!$M108,2)</f>
        <v>33</v>
      </c>
      <c r="R108" s="28">
        <f>IF((Продажи!$E108="Зеленый чай")*(Продажи!$Q108&gt;=7)*(Продажи!$Q108&lt;=42),Продажи!$K108,0)</f>
        <v>0</v>
      </c>
      <c r="S108" s="28" t="b">
        <f t="shared" si="0"/>
        <v>0</v>
      </c>
    </row>
    <row r="109" spans="3:19" ht="15.75" customHeight="1" x14ac:dyDescent="0.2">
      <c r="C109" s="26">
        <v>11</v>
      </c>
      <c r="D109" s="21" t="s">
        <v>2492</v>
      </c>
      <c r="E109" s="21" t="s">
        <v>2446</v>
      </c>
      <c r="F109" s="21" t="s">
        <v>2495</v>
      </c>
      <c r="G109" s="21">
        <v>3197</v>
      </c>
      <c r="H109" s="21" t="s">
        <v>2444</v>
      </c>
      <c r="I109" s="21">
        <v>10</v>
      </c>
      <c r="J109" s="21">
        <v>31970</v>
      </c>
      <c r="K109" s="21">
        <v>0</v>
      </c>
      <c r="L109" s="21">
        <v>31970</v>
      </c>
      <c r="M109" s="24">
        <v>43783</v>
      </c>
      <c r="N109" s="21">
        <f>MONTH(Продажи!$M109)</f>
        <v>11</v>
      </c>
      <c r="O109" s="21">
        <f>WEEKDAY(Продажи!$M109,2)</f>
        <v>4</v>
      </c>
      <c r="P109" s="21">
        <f>YEAR(Продажи!$M109)</f>
        <v>2019</v>
      </c>
      <c r="Q109" s="28">
        <f>WEEKNUM(Продажи!$M109,2)</f>
        <v>46</v>
      </c>
      <c r="R109" s="28">
        <f>IF((Продажи!$E109="Зеленый чай")*(Продажи!$Q109&gt;=7)*(Продажи!$Q109&lt;=42),Продажи!$K109,0)</f>
        <v>0</v>
      </c>
      <c r="S109" s="28" t="b">
        <f t="shared" si="0"/>
        <v>0</v>
      </c>
    </row>
    <row r="110" spans="3:19" ht="15.75" customHeight="1" x14ac:dyDescent="0.2">
      <c r="C110" s="26">
        <v>44</v>
      </c>
      <c r="D110" s="21" t="s">
        <v>2453</v>
      </c>
      <c r="E110" s="21" t="s">
        <v>2454</v>
      </c>
      <c r="F110" s="21" t="s">
        <v>2455</v>
      </c>
      <c r="G110" s="21">
        <v>1386</v>
      </c>
      <c r="H110" s="21" t="s">
        <v>2440</v>
      </c>
      <c r="I110" s="21">
        <v>20</v>
      </c>
      <c r="J110" s="21">
        <v>27720</v>
      </c>
      <c r="K110" s="21">
        <v>0.03</v>
      </c>
      <c r="L110" s="21">
        <v>26888.400000000001</v>
      </c>
      <c r="M110" s="24">
        <v>42890</v>
      </c>
      <c r="N110" s="21">
        <f>MONTH(Продажи!$M110)</f>
        <v>6</v>
      </c>
      <c r="O110" s="21">
        <f>WEEKDAY(Продажи!$M110,2)</f>
        <v>7</v>
      </c>
      <c r="P110" s="21">
        <f>YEAR(Продажи!$M110)</f>
        <v>2017</v>
      </c>
      <c r="Q110" s="28">
        <f>WEEKNUM(Продажи!$M110,2)</f>
        <v>23</v>
      </c>
      <c r="R110" s="28">
        <f>IF((Продажи!$E110="Зеленый чай")*(Продажи!$Q110&gt;=7)*(Продажи!$Q110&lt;=42),Продажи!$K110,0)</f>
        <v>0</v>
      </c>
      <c r="S110" s="28" t="b">
        <f t="shared" si="0"/>
        <v>0</v>
      </c>
    </row>
    <row r="111" spans="3:19" ht="15.75" customHeight="1" x14ac:dyDescent="0.2">
      <c r="C111" s="26">
        <v>17</v>
      </c>
      <c r="D111" s="21" t="s">
        <v>2465</v>
      </c>
      <c r="E111" s="21" t="s">
        <v>2446</v>
      </c>
      <c r="F111" s="21" t="s">
        <v>2466</v>
      </c>
      <c r="G111" s="21">
        <v>967</v>
      </c>
      <c r="H111" s="21" t="s">
        <v>2444</v>
      </c>
      <c r="I111" s="21">
        <v>12</v>
      </c>
      <c r="J111" s="21">
        <v>11604</v>
      </c>
      <c r="K111" s="21">
        <v>0</v>
      </c>
      <c r="L111" s="21">
        <v>11604</v>
      </c>
      <c r="M111" s="24">
        <v>42566</v>
      </c>
      <c r="N111" s="21">
        <f>MONTH(Продажи!$M111)</f>
        <v>7</v>
      </c>
      <c r="O111" s="21">
        <f>WEEKDAY(Продажи!$M111,2)</f>
        <v>5</v>
      </c>
      <c r="P111" s="21">
        <f>YEAR(Продажи!$M111)</f>
        <v>2016</v>
      </c>
      <c r="Q111" s="28">
        <f>WEEKNUM(Продажи!$M111,2)</f>
        <v>29</v>
      </c>
      <c r="R111" s="28">
        <f>IF((Продажи!$E111="Зеленый чай")*(Продажи!$Q111&gt;=7)*(Продажи!$Q111&lt;=42),Продажи!$K111,0)</f>
        <v>0</v>
      </c>
      <c r="S111" s="28" t="b">
        <f t="shared" si="0"/>
        <v>0</v>
      </c>
    </row>
    <row r="112" spans="3:19" ht="15.75" customHeight="1" x14ac:dyDescent="0.2">
      <c r="C112" s="26">
        <v>51</v>
      </c>
      <c r="D112" s="21" t="s">
        <v>2449</v>
      </c>
      <c r="E112" s="21" t="s">
        <v>2448</v>
      </c>
      <c r="F112" s="21" t="s">
        <v>2450</v>
      </c>
      <c r="G112" s="21">
        <v>2211</v>
      </c>
      <c r="H112" s="21" t="s">
        <v>2444</v>
      </c>
      <c r="I112" s="21">
        <v>25</v>
      </c>
      <c r="J112" s="21">
        <v>55275</v>
      </c>
      <c r="K112" s="21">
        <v>0.09</v>
      </c>
      <c r="L112" s="21">
        <v>50300.25</v>
      </c>
      <c r="M112" s="24">
        <v>43650</v>
      </c>
      <c r="N112" s="21">
        <f>MONTH(Продажи!$M112)</f>
        <v>7</v>
      </c>
      <c r="O112" s="21">
        <f>WEEKDAY(Продажи!$M112,2)</f>
        <v>4</v>
      </c>
      <c r="P112" s="21">
        <f>YEAR(Продажи!$M112)</f>
        <v>2019</v>
      </c>
      <c r="Q112" s="28">
        <f>WEEKNUM(Продажи!$M112,2)</f>
        <v>27</v>
      </c>
      <c r="R112" s="28">
        <f>IF((Продажи!$E112="Зеленый чай")*(Продажи!$Q112&gt;=7)*(Продажи!$Q112&lt;=42),Продажи!$K112,0)</f>
        <v>0</v>
      </c>
      <c r="S112" s="28" t="b">
        <f t="shared" si="0"/>
        <v>0</v>
      </c>
    </row>
    <row r="113" spans="3:19" ht="15.75" customHeight="1" x14ac:dyDescent="0.2">
      <c r="C113" s="26">
        <v>29</v>
      </c>
      <c r="D113" s="21" t="s">
        <v>2514</v>
      </c>
      <c r="E113" s="21" t="s">
        <v>2505</v>
      </c>
      <c r="F113" s="21" t="s">
        <v>2515</v>
      </c>
      <c r="G113" s="21">
        <v>843</v>
      </c>
      <c r="H113" s="21" t="s">
        <v>2444</v>
      </c>
      <c r="I113" s="21">
        <v>10</v>
      </c>
      <c r="J113" s="21">
        <v>8430</v>
      </c>
      <c r="K113" s="21">
        <v>0</v>
      </c>
      <c r="L113" s="21">
        <v>8430</v>
      </c>
      <c r="M113" s="24">
        <v>43505</v>
      </c>
      <c r="N113" s="21">
        <f>MONTH(Продажи!$M113)</f>
        <v>2</v>
      </c>
      <c r="O113" s="21">
        <f>WEEKDAY(Продажи!$M113,2)</f>
        <v>6</v>
      </c>
      <c r="P113" s="21">
        <f>YEAR(Продажи!$M113)</f>
        <v>2019</v>
      </c>
      <c r="Q113" s="28">
        <f>WEEKNUM(Продажи!$M113,2)</f>
        <v>6</v>
      </c>
      <c r="R113" s="28">
        <f>IF((Продажи!$E113="Зеленый чай")*(Продажи!$Q113&gt;=7)*(Продажи!$Q113&lt;=42),Продажи!$K113,0)</f>
        <v>0</v>
      </c>
      <c r="S113" s="28" t="b">
        <f t="shared" si="0"/>
        <v>0</v>
      </c>
    </row>
    <row r="114" spans="3:19" ht="15.75" customHeight="1" x14ac:dyDescent="0.2">
      <c r="C114" s="26">
        <v>40</v>
      </c>
      <c r="D114" s="21" t="s">
        <v>2477</v>
      </c>
      <c r="E114" s="21" t="s">
        <v>2454</v>
      </c>
      <c r="F114" s="21" t="s">
        <v>2478</v>
      </c>
      <c r="G114" s="21">
        <v>847</v>
      </c>
      <c r="H114" s="21" t="s">
        <v>2440</v>
      </c>
      <c r="I114" s="21">
        <v>15</v>
      </c>
      <c r="J114" s="21">
        <v>12705</v>
      </c>
      <c r="K114" s="21">
        <v>0</v>
      </c>
      <c r="L114" s="21">
        <v>12705</v>
      </c>
      <c r="M114" s="24">
        <v>42710</v>
      </c>
      <c r="N114" s="21">
        <f>MONTH(Продажи!$M114)</f>
        <v>12</v>
      </c>
      <c r="O114" s="21">
        <f>WEEKDAY(Продажи!$M114,2)</f>
        <v>2</v>
      </c>
      <c r="P114" s="21">
        <f>YEAR(Продажи!$M114)</f>
        <v>2016</v>
      </c>
      <c r="Q114" s="28">
        <f>WEEKNUM(Продажи!$M114,2)</f>
        <v>50</v>
      </c>
      <c r="R114" s="28">
        <f>IF((Продажи!$E114="Зеленый чай")*(Продажи!$Q114&gt;=7)*(Продажи!$Q114&lt;=42),Продажи!$K114,0)</f>
        <v>0</v>
      </c>
      <c r="S114" s="28" t="b">
        <f t="shared" si="0"/>
        <v>0</v>
      </c>
    </row>
    <row r="115" spans="3:19" ht="15.75" customHeight="1" x14ac:dyDescent="0.2">
      <c r="C115" s="26">
        <v>31</v>
      </c>
      <c r="D115" s="21" t="s">
        <v>2479</v>
      </c>
      <c r="E115" s="21" t="s">
        <v>2442</v>
      </c>
      <c r="F115" s="21" t="s">
        <v>2480</v>
      </c>
      <c r="G115" s="21">
        <v>1228</v>
      </c>
      <c r="H115" s="21" t="s">
        <v>2440</v>
      </c>
      <c r="I115" s="21">
        <v>45</v>
      </c>
      <c r="J115" s="21">
        <v>55260</v>
      </c>
      <c r="K115" s="21">
        <v>0.09</v>
      </c>
      <c r="L115" s="21">
        <v>50286.6</v>
      </c>
      <c r="M115" s="24">
        <v>44134</v>
      </c>
      <c r="N115" s="21">
        <f>MONTH(Продажи!$M115)</f>
        <v>10</v>
      </c>
      <c r="O115" s="21">
        <f>WEEKDAY(Продажи!$M115,2)</f>
        <v>5</v>
      </c>
      <c r="P115" s="21">
        <f>YEAR(Продажи!$M115)</f>
        <v>2020</v>
      </c>
      <c r="Q115" s="28">
        <f>WEEKNUM(Продажи!$M115,2)</f>
        <v>44</v>
      </c>
      <c r="R115" s="28">
        <f>IF((Продажи!$E115="Зеленый чай")*(Продажи!$Q115&gt;=7)*(Продажи!$Q115&lt;=42),Продажи!$K115,0)</f>
        <v>0</v>
      </c>
      <c r="S115" s="28">
        <f t="shared" si="0"/>
        <v>50286.6</v>
      </c>
    </row>
    <row r="116" spans="3:19" ht="15.75" customHeight="1" x14ac:dyDescent="0.2">
      <c r="C116" s="26">
        <v>8</v>
      </c>
      <c r="D116" s="21" t="s">
        <v>2477</v>
      </c>
      <c r="E116" s="21" t="s">
        <v>2454</v>
      </c>
      <c r="F116" s="21" t="s">
        <v>2478</v>
      </c>
      <c r="G116" s="21">
        <v>847</v>
      </c>
      <c r="H116" s="21" t="s">
        <v>2440</v>
      </c>
      <c r="I116" s="21">
        <v>15</v>
      </c>
      <c r="J116" s="21">
        <v>12705</v>
      </c>
      <c r="K116" s="21">
        <v>0</v>
      </c>
      <c r="L116" s="21">
        <v>12705</v>
      </c>
      <c r="M116" s="24">
        <v>43983</v>
      </c>
      <c r="N116" s="21">
        <f>MONTH(Продажи!$M116)</f>
        <v>6</v>
      </c>
      <c r="O116" s="21">
        <f>WEEKDAY(Продажи!$M116,2)</f>
        <v>1</v>
      </c>
      <c r="P116" s="21">
        <f>YEAR(Продажи!$M116)</f>
        <v>2020</v>
      </c>
      <c r="Q116" s="28">
        <f>WEEKNUM(Продажи!$M116,2)</f>
        <v>23</v>
      </c>
      <c r="R116" s="28">
        <f>IF((Продажи!$E116="Зеленый чай")*(Продажи!$Q116&gt;=7)*(Продажи!$Q116&lt;=42),Продажи!$K116,0)</f>
        <v>0</v>
      </c>
      <c r="S116" s="28" t="b">
        <f t="shared" si="0"/>
        <v>0</v>
      </c>
    </row>
    <row r="117" spans="3:19" ht="15.75" customHeight="1" x14ac:dyDescent="0.2">
      <c r="C117" s="26">
        <v>51</v>
      </c>
      <c r="D117" s="21" t="s">
        <v>2449</v>
      </c>
      <c r="E117" s="21" t="s">
        <v>2448</v>
      </c>
      <c r="F117" s="21" t="s">
        <v>2450</v>
      </c>
      <c r="G117" s="21">
        <v>2211</v>
      </c>
      <c r="H117" s="21" t="s">
        <v>2444</v>
      </c>
      <c r="I117" s="21">
        <v>25</v>
      </c>
      <c r="J117" s="21">
        <v>55275</v>
      </c>
      <c r="K117" s="21">
        <v>0.09</v>
      </c>
      <c r="L117" s="21">
        <v>50300.25</v>
      </c>
      <c r="M117" s="24">
        <v>43053</v>
      </c>
      <c r="N117" s="21">
        <f>MONTH(Продажи!$M117)</f>
        <v>11</v>
      </c>
      <c r="O117" s="21">
        <f>WEEKDAY(Продажи!$M117,2)</f>
        <v>2</v>
      </c>
      <c r="P117" s="21">
        <f>YEAR(Продажи!$M117)</f>
        <v>2017</v>
      </c>
      <c r="Q117" s="28">
        <f>WEEKNUM(Продажи!$M117,2)</f>
        <v>47</v>
      </c>
      <c r="R117" s="28">
        <f>IF((Продажи!$E117="Зеленый чай")*(Продажи!$Q117&gt;=7)*(Продажи!$Q117&lt;=42),Продажи!$K117,0)</f>
        <v>0</v>
      </c>
      <c r="S117" s="28" t="b">
        <f t="shared" si="0"/>
        <v>0</v>
      </c>
    </row>
    <row r="118" spans="3:19" ht="15.75" customHeight="1" x14ac:dyDescent="0.2">
      <c r="C118" s="26">
        <v>9</v>
      </c>
      <c r="D118" s="21" t="s">
        <v>2447</v>
      </c>
      <c r="E118" s="21" t="s">
        <v>2448</v>
      </c>
      <c r="F118" s="21" t="s">
        <v>2448</v>
      </c>
      <c r="G118" s="21">
        <v>699</v>
      </c>
      <c r="H118" s="21" t="s">
        <v>2444</v>
      </c>
      <c r="I118" s="21">
        <v>10</v>
      </c>
      <c r="J118" s="21">
        <v>6990</v>
      </c>
      <c r="K118" s="21">
        <v>0</v>
      </c>
      <c r="L118" s="21">
        <v>6990</v>
      </c>
      <c r="M118" s="24">
        <v>42957</v>
      </c>
      <c r="N118" s="21">
        <f>MONTH(Продажи!$M118)</f>
        <v>8</v>
      </c>
      <c r="O118" s="21">
        <f>WEEKDAY(Продажи!$M118,2)</f>
        <v>4</v>
      </c>
      <c r="P118" s="21">
        <f>YEAR(Продажи!$M118)</f>
        <v>2017</v>
      </c>
      <c r="Q118" s="28">
        <f>WEEKNUM(Продажи!$M118,2)</f>
        <v>33</v>
      </c>
      <c r="R118" s="28">
        <f>IF((Продажи!$E118="Зеленый чай")*(Продажи!$Q118&gt;=7)*(Продажи!$Q118&lt;=42),Продажи!$K118,0)</f>
        <v>0</v>
      </c>
      <c r="S118" s="28" t="b">
        <f t="shared" si="0"/>
        <v>0</v>
      </c>
    </row>
    <row r="119" spans="3:19" ht="15.75" customHeight="1" x14ac:dyDescent="0.2">
      <c r="C119" s="26">
        <v>27</v>
      </c>
      <c r="D119" s="21" t="s">
        <v>2499</v>
      </c>
      <c r="E119" s="21" t="s">
        <v>2462</v>
      </c>
      <c r="F119" s="21" t="s">
        <v>2463</v>
      </c>
      <c r="G119" s="21">
        <v>1994</v>
      </c>
      <c r="H119" s="21" t="s">
        <v>2444</v>
      </c>
      <c r="I119" s="21">
        <v>25</v>
      </c>
      <c r="J119" s="21">
        <v>49850</v>
      </c>
      <c r="K119" s="21">
        <v>0.06</v>
      </c>
      <c r="L119" s="21">
        <v>46859</v>
      </c>
      <c r="M119" s="24">
        <v>43545</v>
      </c>
      <c r="N119" s="21">
        <f>MONTH(Продажи!$M119)</f>
        <v>3</v>
      </c>
      <c r="O119" s="21">
        <f>WEEKDAY(Продажи!$M119,2)</f>
        <v>4</v>
      </c>
      <c r="P119" s="21">
        <f>YEAR(Продажи!$M119)</f>
        <v>2019</v>
      </c>
      <c r="Q119" s="28">
        <f>WEEKNUM(Продажи!$M119,2)</f>
        <v>12</v>
      </c>
      <c r="R119" s="28">
        <f>IF((Продажи!$E119="Зеленый чай")*(Продажи!$Q119&gt;=7)*(Продажи!$Q119&lt;=42),Продажи!$K119,0)</f>
        <v>0</v>
      </c>
      <c r="S119" s="28">
        <f t="shared" si="0"/>
        <v>46859</v>
      </c>
    </row>
    <row r="120" spans="3:19" ht="15.75" customHeight="1" x14ac:dyDescent="0.2">
      <c r="C120" s="26">
        <v>16</v>
      </c>
      <c r="D120" s="21" t="s">
        <v>2504</v>
      </c>
      <c r="E120" s="21" t="s">
        <v>2505</v>
      </c>
      <c r="F120" s="21" t="s">
        <v>2506</v>
      </c>
      <c r="G120" s="21">
        <v>843</v>
      </c>
      <c r="H120" s="21" t="s">
        <v>2444</v>
      </c>
      <c r="I120" s="21">
        <v>5</v>
      </c>
      <c r="J120" s="21">
        <v>4215</v>
      </c>
      <c r="K120" s="21">
        <v>0</v>
      </c>
      <c r="L120" s="21">
        <v>4215</v>
      </c>
      <c r="M120" s="24">
        <v>42474</v>
      </c>
      <c r="N120" s="21">
        <f>MONTH(Продажи!$M120)</f>
        <v>4</v>
      </c>
      <c r="O120" s="21">
        <f>WEEKDAY(Продажи!$M120,2)</f>
        <v>4</v>
      </c>
      <c r="P120" s="21">
        <f>YEAR(Продажи!$M120)</f>
        <v>2016</v>
      </c>
      <c r="Q120" s="28">
        <f>WEEKNUM(Продажи!$M120,2)</f>
        <v>16</v>
      </c>
      <c r="R120" s="28">
        <f>IF((Продажи!$E120="Зеленый чай")*(Продажи!$Q120&gt;=7)*(Продажи!$Q120&lt;=42),Продажи!$K120,0)</f>
        <v>0</v>
      </c>
      <c r="S120" s="28" t="b">
        <f t="shared" si="0"/>
        <v>0</v>
      </c>
    </row>
    <row r="121" spans="3:19" ht="15.75" customHeight="1" x14ac:dyDescent="0.2">
      <c r="C121" s="26">
        <v>39</v>
      </c>
      <c r="D121" s="21" t="s">
        <v>2437</v>
      </c>
      <c r="E121" s="21" t="s">
        <v>2438</v>
      </c>
      <c r="F121" s="21" t="s">
        <v>2439</v>
      </c>
      <c r="G121" s="21">
        <v>1923</v>
      </c>
      <c r="H121" s="21" t="s">
        <v>2440</v>
      </c>
      <c r="I121" s="21">
        <v>25</v>
      </c>
      <c r="J121" s="21">
        <v>48075</v>
      </c>
      <c r="K121" s="21">
        <v>0.06</v>
      </c>
      <c r="L121" s="21">
        <v>45190.5</v>
      </c>
      <c r="M121" s="24">
        <v>43464</v>
      </c>
      <c r="N121" s="21">
        <f>MONTH(Продажи!$M121)</f>
        <v>12</v>
      </c>
      <c r="O121" s="21">
        <f>WEEKDAY(Продажи!$M121,2)</f>
        <v>7</v>
      </c>
      <c r="P121" s="21">
        <f>YEAR(Продажи!$M121)</f>
        <v>2018</v>
      </c>
      <c r="Q121" s="28">
        <f>WEEKNUM(Продажи!$M121,2)</f>
        <v>52</v>
      </c>
      <c r="R121" s="28">
        <f>IF((Продажи!$E121="Зеленый чай")*(Продажи!$Q121&gt;=7)*(Продажи!$Q121&lt;=42),Продажи!$K121,0)</f>
        <v>0</v>
      </c>
      <c r="S121" s="28">
        <f t="shared" si="0"/>
        <v>45190.5</v>
      </c>
    </row>
    <row r="122" spans="3:19" ht="15.75" customHeight="1" x14ac:dyDescent="0.2">
      <c r="C122" s="26">
        <v>46</v>
      </c>
      <c r="D122" s="21" t="s">
        <v>2475</v>
      </c>
      <c r="E122" s="21" t="s">
        <v>2476</v>
      </c>
      <c r="F122" s="21" t="s">
        <v>2476</v>
      </c>
      <c r="G122" s="21">
        <v>770</v>
      </c>
      <c r="H122" s="21" t="s">
        <v>2440</v>
      </c>
      <c r="I122" s="21">
        <v>20</v>
      </c>
      <c r="J122" s="21">
        <v>15400</v>
      </c>
      <c r="K122" s="21">
        <v>0.03</v>
      </c>
      <c r="L122" s="21">
        <v>14938</v>
      </c>
      <c r="M122" s="24">
        <v>43257</v>
      </c>
      <c r="N122" s="21">
        <f>MONTH(Продажи!$M122)</f>
        <v>6</v>
      </c>
      <c r="O122" s="21">
        <f>WEEKDAY(Продажи!$M122,2)</f>
        <v>3</v>
      </c>
      <c r="P122" s="21">
        <f>YEAR(Продажи!$M122)</f>
        <v>2018</v>
      </c>
      <c r="Q122" s="28">
        <f>WEEKNUM(Продажи!$M122,2)</f>
        <v>23</v>
      </c>
      <c r="R122" s="28">
        <f>IF((Продажи!$E122="Зеленый чай")*(Продажи!$Q122&gt;=7)*(Продажи!$Q122&lt;=42),Продажи!$K122,0)</f>
        <v>0</v>
      </c>
      <c r="S122" s="28" t="b">
        <f t="shared" si="0"/>
        <v>0</v>
      </c>
    </row>
    <row r="123" spans="3:19" ht="15.75" customHeight="1" x14ac:dyDescent="0.2">
      <c r="C123" s="26">
        <v>28</v>
      </c>
      <c r="D123" s="21" t="s">
        <v>2494</v>
      </c>
      <c r="E123" s="21" t="s">
        <v>2462</v>
      </c>
      <c r="F123" s="21" t="s">
        <v>2491</v>
      </c>
      <c r="G123" s="21">
        <v>1994</v>
      </c>
      <c r="H123" s="21" t="s">
        <v>2444</v>
      </c>
      <c r="I123" s="21">
        <v>40</v>
      </c>
      <c r="J123" s="21">
        <v>79760</v>
      </c>
      <c r="K123" s="21">
        <v>0.12</v>
      </c>
      <c r="L123" s="21">
        <v>70188.800000000003</v>
      </c>
      <c r="M123" s="24">
        <v>44094</v>
      </c>
      <c r="N123" s="21">
        <f>MONTH(Продажи!$M123)</f>
        <v>9</v>
      </c>
      <c r="O123" s="21">
        <f>WEEKDAY(Продажи!$M123,2)</f>
        <v>7</v>
      </c>
      <c r="P123" s="21">
        <f>YEAR(Продажи!$M123)</f>
        <v>2020</v>
      </c>
      <c r="Q123" s="28">
        <f>WEEKNUM(Продажи!$M123,2)</f>
        <v>38</v>
      </c>
      <c r="R123" s="28">
        <f>IF((Продажи!$E123="Зеленый чай")*(Продажи!$Q123&gt;=7)*(Продажи!$Q123&lt;=42),Продажи!$K123,0)</f>
        <v>0</v>
      </c>
      <c r="S123" s="28" t="b">
        <f t="shared" si="0"/>
        <v>0</v>
      </c>
    </row>
    <row r="124" spans="3:19" ht="15.75" customHeight="1" x14ac:dyDescent="0.2">
      <c r="C124" s="26">
        <v>0</v>
      </c>
      <c r="D124" s="21" t="s">
        <v>2469</v>
      </c>
      <c r="E124" s="21" t="s">
        <v>2442</v>
      </c>
      <c r="F124" s="21" t="s">
        <v>2470</v>
      </c>
      <c r="G124" s="21">
        <v>620</v>
      </c>
      <c r="H124" s="21" t="s">
        <v>2444</v>
      </c>
      <c r="I124" s="21">
        <v>30</v>
      </c>
      <c r="J124" s="21">
        <v>18600</v>
      </c>
      <c r="K124" s="21">
        <v>0.03</v>
      </c>
      <c r="L124" s="21">
        <v>18042</v>
      </c>
      <c r="M124" s="24">
        <v>43618</v>
      </c>
      <c r="N124" s="21">
        <f>MONTH(Продажи!$M124)</f>
        <v>6</v>
      </c>
      <c r="O124" s="21">
        <f>WEEKDAY(Продажи!$M124,2)</f>
        <v>7</v>
      </c>
      <c r="P124" s="21">
        <f>YEAR(Продажи!$M124)</f>
        <v>2019</v>
      </c>
      <c r="Q124" s="28">
        <f>WEEKNUM(Продажи!$M124,2)</f>
        <v>22</v>
      </c>
      <c r="R124" s="28">
        <f>IF((Продажи!$E124="Зеленый чай")*(Продажи!$Q124&gt;=7)*(Продажи!$Q124&lt;=42),Продажи!$K124,0)</f>
        <v>0</v>
      </c>
      <c r="S124" s="28" t="b">
        <f t="shared" si="0"/>
        <v>0</v>
      </c>
    </row>
    <row r="125" spans="3:19" ht="15.75" customHeight="1" x14ac:dyDescent="0.2">
      <c r="C125" s="26">
        <v>34</v>
      </c>
      <c r="D125" s="21" t="s">
        <v>2471</v>
      </c>
      <c r="E125" s="21" t="s">
        <v>2438</v>
      </c>
      <c r="F125" s="21" t="s">
        <v>2472</v>
      </c>
      <c r="G125" s="21">
        <v>2199</v>
      </c>
      <c r="H125" s="21" t="s">
        <v>2440</v>
      </c>
      <c r="I125" s="21">
        <v>60</v>
      </c>
      <c r="J125" s="21">
        <v>131940</v>
      </c>
      <c r="K125" s="21">
        <v>0.15</v>
      </c>
      <c r="L125" s="21">
        <v>112149</v>
      </c>
      <c r="M125" s="24">
        <v>42605</v>
      </c>
      <c r="N125" s="21">
        <f>MONTH(Продажи!$M125)</f>
        <v>8</v>
      </c>
      <c r="O125" s="21">
        <f>WEEKDAY(Продажи!$M125,2)</f>
        <v>2</v>
      </c>
      <c r="P125" s="21">
        <f>YEAR(Продажи!$M125)</f>
        <v>2016</v>
      </c>
      <c r="Q125" s="28">
        <f>WEEKNUM(Продажи!$M125,2)</f>
        <v>35</v>
      </c>
      <c r="R125" s="28">
        <f>IF((Продажи!$E125="Зеленый чай")*(Продажи!$Q125&gt;=7)*(Продажи!$Q125&lt;=42),Продажи!$K125,0)</f>
        <v>0.15</v>
      </c>
      <c r="S125" s="28">
        <f t="shared" si="0"/>
        <v>112149</v>
      </c>
    </row>
    <row r="126" spans="3:19" ht="15.75" customHeight="1" x14ac:dyDescent="0.2">
      <c r="C126" s="26">
        <v>47</v>
      </c>
      <c r="D126" s="21" t="s">
        <v>2461</v>
      </c>
      <c r="E126" s="21" t="s">
        <v>2462</v>
      </c>
      <c r="F126" s="21" t="s">
        <v>2463</v>
      </c>
      <c r="G126" s="21">
        <v>1994</v>
      </c>
      <c r="H126" s="21" t="s">
        <v>2444</v>
      </c>
      <c r="I126" s="21">
        <v>12</v>
      </c>
      <c r="J126" s="21">
        <v>23928</v>
      </c>
      <c r="K126" s="21">
        <v>0.03</v>
      </c>
      <c r="L126" s="21">
        <v>23210.16</v>
      </c>
      <c r="M126" s="24">
        <v>42208</v>
      </c>
      <c r="N126" s="21">
        <f>MONTH(Продажи!$M126)</f>
        <v>7</v>
      </c>
      <c r="O126" s="21">
        <f>WEEKDAY(Продажи!$M126,2)</f>
        <v>4</v>
      </c>
      <c r="P126" s="21">
        <f>YEAR(Продажи!$M126)</f>
        <v>2015</v>
      </c>
      <c r="Q126" s="28">
        <f>WEEKNUM(Продажи!$M126,2)</f>
        <v>30</v>
      </c>
      <c r="R126" s="28">
        <f>IF((Продажи!$E126="Зеленый чай")*(Продажи!$Q126&gt;=7)*(Продажи!$Q126&lt;=42),Продажи!$K126,0)</f>
        <v>0</v>
      </c>
      <c r="S126" s="28">
        <f t="shared" si="0"/>
        <v>23210.16</v>
      </c>
    </row>
    <row r="127" spans="3:19" ht="15.75" customHeight="1" x14ac:dyDescent="0.2">
      <c r="C127" s="26">
        <v>23</v>
      </c>
      <c r="D127" s="21" t="s">
        <v>2473</v>
      </c>
      <c r="E127" s="21" t="s">
        <v>2448</v>
      </c>
      <c r="F127" s="21" t="s">
        <v>2474</v>
      </c>
      <c r="G127" s="21">
        <v>2645</v>
      </c>
      <c r="H127" s="21" t="s">
        <v>2444</v>
      </c>
      <c r="I127" s="21">
        <v>50</v>
      </c>
      <c r="J127" s="21">
        <v>132250</v>
      </c>
      <c r="K127" s="21">
        <v>0.15</v>
      </c>
      <c r="L127" s="21">
        <v>112412.5</v>
      </c>
      <c r="M127" s="24">
        <v>43851</v>
      </c>
      <c r="N127" s="21">
        <f>MONTH(Продажи!$M127)</f>
        <v>1</v>
      </c>
      <c r="O127" s="21">
        <f>WEEKDAY(Продажи!$M127,2)</f>
        <v>2</v>
      </c>
      <c r="P127" s="21">
        <f>YEAR(Продажи!$M127)</f>
        <v>2020</v>
      </c>
      <c r="Q127" s="28">
        <f>WEEKNUM(Продажи!$M127,2)</f>
        <v>4</v>
      </c>
      <c r="R127" s="28">
        <f>IF((Продажи!$E127="Зеленый чай")*(Продажи!$Q127&gt;=7)*(Продажи!$Q127&lt;=42),Продажи!$K127,0)</f>
        <v>0</v>
      </c>
      <c r="S127" s="28">
        <f t="shared" si="0"/>
        <v>112412.5</v>
      </c>
    </row>
    <row r="128" spans="3:19" ht="15.75" customHeight="1" x14ac:dyDescent="0.2">
      <c r="C128" s="26">
        <v>35</v>
      </c>
      <c r="D128" s="21" t="s">
        <v>2441</v>
      </c>
      <c r="E128" s="21" t="s">
        <v>2442</v>
      </c>
      <c r="F128" s="21" t="s">
        <v>2443</v>
      </c>
      <c r="G128" s="21">
        <v>617</v>
      </c>
      <c r="H128" s="21" t="s">
        <v>2444</v>
      </c>
      <c r="I128" s="21">
        <v>10</v>
      </c>
      <c r="J128" s="21">
        <v>6170</v>
      </c>
      <c r="K128" s="21">
        <v>0</v>
      </c>
      <c r="L128" s="21">
        <v>6170</v>
      </c>
      <c r="M128" s="24">
        <v>42621</v>
      </c>
      <c r="N128" s="21">
        <f>MONTH(Продажи!$M128)</f>
        <v>9</v>
      </c>
      <c r="O128" s="21">
        <f>WEEKDAY(Продажи!$M128,2)</f>
        <v>4</v>
      </c>
      <c r="P128" s="21">
        <f>YEAR(Продажи!$M128)</f>
        <v>2016</v>
      </c>
      <c r="Q128" s="28">
        <f>WEEKNUM(Продажи!$M128,2)</f>
        <v>37</v>
      </c>
      <c r="R128" s="28">
        <f>IF((Продажи!$E128="Зеленый чай")*(Продажи!$Q128&gt;=7)*(Продажи!$Q128&lt;=42),Продажи!$K128,0)</f>
        <v>0</v>
      </c>
      <c r="S128" s="28" t="b">
        <f t="shared" si="0"/>
        <v>0</v>
      </c>
    </row>
    <row r="129" spans="3:19" ht="15.75" customHeight="1" x14ac:dyDescent="0.2">
      <c r="C129" s="26">
        <v>48</v>
      </c>
      <c r="D129" s="21" t="s">
        <v>2471</v>
      </c>
      <c r="E129" s="21" t="s">
        <v>2438</v>
      </c>
      <c r="F129" s="21" t="s">
        <v>2472</v>
      </c>
      <c r="G129" s="21">
        <v>2199</v>
      </c>
      <c r="H129" s="21" t="s">
        <v>2440</v>
      </c>
      <c r="I129" s="21">
        <v>55</v>
      </c>
      <c r="J129" s="21">
        <v>120945</v>
      </c>
      <c r="K129" s="21">
        <v>0.15</v>
      </c>
      <c r="L129" s="21">
        <v>102803.25</v>
      </c>
      <c r="M129" s="24">
        <v>43107</v>
      </c>
      <c r="N129" s="21">
        <f>MONTH(Продажи!$M129)</f>
        <v>1</v>
      </c>
      <c r="O129" s="21">
        <f>WEEKDAY(Продажи!$M129,2)</f>
        <v>7</v>
      </c>
      <c r="P129" s="21">
        <f>YEAR(Продажи!$M129)</f>
        <v>2018</v>
      </c>
      <c r="Q129" s="28">
        <f>WEEKNUM(Продажи!$M129,2)</f>
        <v>1</v>
      </c>
      <c r="R129" s="28">
        <f>IF((Продажи!$E129="Зеленый чай")*(Продажи!$Q129&gt;=7)*(Продажи!$Q129&lt;=42),Продажи!$K129,0)</f>
        <v>0</v>
      </c>
      <c r="S129" s="28" t="b">
        <f t="shared" si="0"/>
        <v>0</v>
      </c>
    </row>
    <row r="130" spans="3:19" ht="15.75" customHeight="1" x14ac:dyDescent="0.2">
      <c r="C130" s="26">
        <v>2</v>
      </c>
      <c r="D130" s="21" t="s">
        <v>2500</v>
      </c>
      <c r="E130" s="21" t="s">
        <v>2446</v>
      </c>
      <c r="F130" s="21" t="s">
        <v>2501</v>
      </c>
      <c r="G130" s="21">
        <v>1178</v>
      </c>
      <c r="H130" s="21" t="s">
        <v>2444</v>
      </c>
      <c r="I130" s="21">
        <v>10</v>
      </c>
      <c r="J130" s="21">
        <v>11780</v>
      </c>
      <c r="K130" s="21">
        <v>0</v>
      </c>
      <c r="L130" s="21">
        <v>11780</v>
      </c>
      <c r="M130" s="24">
        <v>42327</v>
      </c>
      <c r="N130" s="21">
        <f>MONTH(Продажи!$M130)</f>
        <v>11</v>
      </c>
      <c r="O130" s="21">
        <f>WEEKDAY(Продажи!$M130,2)</f>
        <v>4</v>
      </c>
      <c r="P130" s="21">
        <f>YEAR(Продажи!$M130)</f>
        <v>2015</v>
      </c>
      <c r="Q130" s="28">
        <f>WEEKNUM(Продажи!$M130,2)</f>
        <v>47</v>
      </c>
      <c r="R130" s="28">
        <f>IF((Продажи!$E130="Зеленый чай")*(Продажи!$Q130&gt;=7)*(Продажи!$Q130&lt;=42),Продажи!$K130,0)</f>
        <v>0</v>
      </c>
      <c r="S130" s="28" t="b">
        <f t="shared" si="0"/>
        <v>0</v>
      </c>
    </row>
    <row r="131" spans="3:19" ht="15.75" customHeight="1" x14ac:dyDescent="0.2">
      <c r="C131" s="26">
        <v>15</v>
      </c>
      <c r="D131" s="21" t="s">
        <v>2512</v>
      </c>
      <c r="E131" s="21" t="s">
        <v>2462</v>
      </c>
      <c r="F131" s="21" t="s">
        <v>2513</v>
      </c>
      <c r="G131" s="21">
        <v>1994</v>
      </c>
      <c r="H131" s="21" t="s">
        <v>2444</v>
      </c>
      <c r="I131" s="21">
        <v>17</v>
      </c>
      <c r="J131" s="21">
        <v>33898</v>
      </c>
      <c r="K131" s="21">
        <v>0.06</v>
      </c>
      <c r="L131" s="21">
        <v>31864.12</v>
      </c>
      <c r="M131" s="24">
        <v>43359</v>
      </c>
      <c r="N131" s="21">
        <f>MONTH(Продажи!$M131)</f>
        <v>9</v>
      </c>
      <c r="O131" s="21">
        <f>WEEKDAY(Продажи!$M131,2)</f>
        <v>7</v>
      </c>
      <c r="P131" s="21">
        <f>YEAR(Продажи!$M131)</f>
        <v>2018</v>
      </c>
      <c r="Q131" s="28">
        <f>WEEKNUM(Продажи!$M131,2)</f>
        <v>37</v>
      </c>
      <c r="R131" s="28">
        <f>IF((Продажи!$E131="Зеленый чай")*(Продажи!$Q131&gt;=7)*(Продажи!$Q131&lt;=42),Продажи!$K131,0)</f>
        <v>0</v>
      </c>
      <c r="S131" s="28" t="b">
        <f t="shared" si="0"/>
        <v>0</v>
      </c>
    </row>
    <row r="132" spans="3:19" ht="15.75" customHeight="1" x14ac:dyDescent="0.2">
      <c r="C132" s="26">
        <v>49</v>
      </c>
      <c r="D132" s="21" t="s">
        <v>2441</v>
      </c>
      <c r="E132" s="21" t="s">
        <v>2442</v>
      </c>
      <c r="F132" s="21" t="s">
        <v>2443</v>
      </c>
      <c r="G132" s="21">
        <v>617</v>
      </c>
      <c r="H132" s="21" t="s">
        <v>2444</v>
      </c>
      <c r="I132" s="21">
        <v>25</v>
      </c>
      <c r="J132" s="21">
        <v>15425</v>
      </c>
      <c r="K132" s="21">
        <v>0</v>
      </c>
      <c r="L132" s="21">
        <v>15425</v>
      </c>
      <c r="M132" s="24">
        <v>43974</v>
      </c>
      <c r="N132" s="21">
        <f>MONTH(Продажи!$M132)</f>
        <v>5</v>
      </c>
      <c r="O132" s="21">
        <f>WEEKDAY(Продажи!$M132,2)</f>
        <v>6</v>
      </c>
      <c r="P132" s="21">
        <f>YEAR(Продажи!$M132)</f>
        <v>2020</v>
      </c>
      <c r="Q132" s="28">
        <f>WEEKNUM(Продажи!$M132,2)</f>
        <v>21</v>
      </c>
      <c r="R132" s="28">
        <f>IF((Продажи!$E132="Зеленый чай")*(Продажи!$Q132&gt;=7)*(Продажи!$Q132&lt;=42),Продажи!$K132,0)</f>
        <v>0</v>
      </c>
      <c r="S132" s="28">
        <f t="shared" si="0"/>
        <v>15425</v>
      </c>
    </row>
    <row r="133" spans="3:19" ht="15.75" customHeight="1" x14ac:dyDescent="0.2">
      <c r="C133" s="26">
        <v>27</v>
      </c>
      <c r="D133" s="21" t="s">
        <v>2499</v>
      </c>
      <c r="E133" s="21" t="s">
        <v>2462</v>
      </c>
      <c r="F133" s="21" t="s">
        <v>2463</v>
      </c>
      <c r="G133" s="21">
        <v>1994</v>
      </c>
      <c r="H133" s="21" t="s">
        <v>2444</v>
      </c>
      <c r="I133" s="21">
        <v>25</v>
      </c>
      <c r="J133" s="21">
        <v>49850</v>
      </c>
      <c r="K133" s="21">
        <v>0.06</v>
      </c>
      <c r="L133" s="21">
        <v>46859</v>
      </c>
      <c r="M133" s="24">
        <v>44095</v>
      </c>
      <c r="N133" s="21">
        <f>MONTH(Продажи!$M133)</f>
        <v>9</v>
      </c>
      <c r="O133" s="21">
        <f>WEEKDAY(Продажи!$M133,2)</f>
        <v>1</v>
      </c>
      <c r="P133" s="21">
        <f>YEAR(Продажи!$M133)</f>
        <v>2020</v>
      </c>
      <c r="Q133" s="28">
        <f>WEEKNUM(Продажи!$M133,2)</f>
        <v>39</v>
      </c>
      <c r="R133" s="28">
        <f>IF((Продажи!$E133="Зеленый чай")*(Продажи!$Q133&gt;=7)*(Продажи!$Q133&lt;=42),Продажи!$K133,0)</f>
        <v>0</v>
      </c>
      <c r="S133" s="28">
        <f t="shared" si="0"/>
        <v>46859</v>
      </c>
    </row>
    <row r="134" spans="3:19" ht="15.75" customHeight="1" x14ac:dyDescent="0.2">
      <c r="C134" s="26">
        <v>4</v>
      </c>
      <c r="D134" s="21" t="s">
        <v>2449</v>
      </c>
      <c r="E134" s="21" t="s">
        <v>2448</v>
      </c>
      <c r="F134" s="21" t="s">
        <v>2485</v>
      </c>
      <c r="G134" s="21">
        <v>2211</v>
      </c>
      <c r="H134" s="21" t="s">
        <v>2444</v>
      </c>
      <c r="I134" s="21">
        <v>25</v>
      </c>
      <c r="J134" s="21">
        <v>55275</v>
      </c>
      <c r="K134" s="21">
        <v>0.09</v>
      </c>
      <c r="L134" s="21">
        <v>50300.25</v>
      </c>
      <c r="M134" s="24">
        <v>43341</v>
      </c>
      <c r="N134" s="21">
        <f>MONTH(Продажи!$M134)</f>
        <v>8</v>
      </c>
      <c r="O134" s="21">
        <f>WEEKDAY(Продажи!$M134,2)</f>
        <v>3</v>
      </c>
      <c r="P134" s="21">
        <f>YEAR(Продажи!$M134)</f>
        <v>2018</v>
      </c>
      <c r="Q134" s="28">
        <f>WEEKNUM(Продажи!$M134,2)</f>
        <v>35</v>
      </c>
      <c r="R134" s="28">
        <f>IF((Продажи!$E134="Зеленый чай")*(Продажи!$Q134&gt;=7)*(Продажи!$Q134&lt;=42),Продажи!$K134,0)</f>
        <v>0</v>
      </c>
      <c r="S134" s="28">
        <f t="shared" si="0"/>
        <v>50300.25</v>
      </c>
    </row>
    <row r="135" spans="3:19" ht="15.75" customHeight="1" x14ac:dyDescent="0.2">
      <c r="C135" s="26">
        <v>21</v>
      </c>
      <c r="D135" s="21" t="s">
        <v>2497</v>
      </c>
      <c r="E135" s="21" t="s">
        <v>2442</v>
      </c>
      <c r="F135" s="21" t="s">
        <v>2498</v>
      </c>
      <c r="G135" s="21">
        <v>887</v>
      </c>
      <c r="H135" s="21" t="s">
        <v>2444</v>
      </c>
      <c r="I135" s="21">
        <v>15</v>
      </c>
      <c r="J135" s="21">
        <v>13305</v>
      </c>
      <c r="K135" s="21">
        <v>0</v>
      </c>
      <c r="L135" s="21">
        <v>13305</v>
      </c>
      <c r="M135" s="24">
        <v>43885</v>
      </c>
      <c r="N135" s="21">
        <f>MONTH(Продажи!$M135)</f>
        <v>2</v>
      </c>
      <c r="O135" s="21">
        <f>WEEKDAY(Продажи!$M135,2)</f>
        <v>1</v>
      </c>
      <c r="P135" s="21">
        <f>YEAR(Продажи!$M135)</f>
        <v>2020</v>
      </c>
      <c r="Q135" s="28">
        <f>WEEKNUM(Продажи!$M135,2)</f>
        <v>9</v>
      </c>
      <c r="R135" s="28">
        <f>IF((Продажи!$E135="Зеленый чай")*(Продажи!$Q135&gt;=7)*(Продажи!$Q135&lt;=42),Продажи!$K135,0)</f>
        <v>0</v>
      </c>
      <c r="S135" s="28">
        <f t="shared" si="0"/>
        <v>13305</v>
      </c>
    </row>
    <row r="136" spans="3:19" ht="15.75" customHeight="1" x14ac:dyDescent="0.2">
      <c r="C136" s="26">
        <v>46</v>
      </c>
      <c r="D136" s="21" t="s">
        <v>2475</v>
      </c>
      <c r="E136" s="21" t="s">
        <v>2476</v>
      </c>
      <c r="F136" s="21" t="s">
        <v>2476</v>
      </c>
      <c r="G136" s="21">
        <v>770</v>
      </c>
      <c r="H136" s="21" t="s">
        <v>2440</v>
      </c>
      <c r="I136" s="21">
        <v>20</v>
      </c>
      <c r="J136" s="21">
        <v>15400</v>
      </c>
      <c r="K136" s="21">
        <v>0.03</v>
      </c>
      <c r="L136" s="21">
        <v>14938</v>
      </c>
      <c r="M136" s="24">
        <v>42429</v>
      </c>
      <c r="N136" s="21">
        <f>MONTH(Продажи!$M136)</f>
        <v>2</v>
      </c>
      <c r="O136" s="21">
        <f>WEEKDAY(Продажи!$M136,2)</f>
        <v>1</v>
      </c>
      <c r="P136" s="21">
        <f>YEAR(Продажи!$M136)</f>
        <v>2016</v>
      </c>
      <c r="Q136" s="28">
        <f>WEEKNUM(Продажи!$M136,2)</f>
        <v>10</v>
      </c>
      <c r="R136" s="28">
        <f>IF((Продажи!$E136="Зеленый чай")*(Продажи!$Q136&gt;=7)*(Продажи!$Q136&lt;=42),Продажи!$K136,0)</f>
        <v>0</v>
      </c>
      <c r="S136" s="28">
        <f t="shared" si="0"/>
        <v>14938</v>
      </c>
    </row>
    <row r="137" spans="3:19" ht="15.75" customHeight="1" x14ac:dyDescent="0.2">
      <c r="C137" s="26">
        <v>15</v>
      </c>
      <c r="D137" s="21" t="s">
        <v>2512</v>
      </c>
      <c r="E137" s="21" t="s">
        <v>2462</v>
      </c>
      <c r="F137" s="21" t="s">
        <v>2513</v>
      </c>
      <c r="G137" s="21">
        <v>1994</v>
      </c>
      <c r="H137" s="21" t="s">
        <v>2444</v>
      </c>
      <c r="I137" s="21">
        <v>17</v>
      </c>
      <c r="J137" s="21">
        <v>33898</v>
      </c>
      <c r="K137" s="21">
        <v>0.06</v>
      </c>
      <c r="L137" s="21">
        <v>31864.12</v>
      </c>
      <c r="M137" s="24">
        <v>42486</v>
      </c>
      <c r="N137" s="21">
        <f>MONTH(Продажи!$M137)</f>
        <v>4</v>
      </c>
      <c r="O137" s="21">
        <f>WEEKDAY(Продажи!$M137,2)</f>
        <v>2</v>
      </c>
      <c r="P137" s="21">
        <f>YEAR(Продажи!$M137)</f>
        <v>2016</v>
      </c>
      <c r="Q137" s="28">
        <f>WEEKNUM(Продажи!$M137,2)</f>
        <v>18</v>
      </c>
      <c r="R137" s="28">
        <f>IF((Продажи!$E137="Зеленый чай")*(Продажи!$Q137&gt;=7)*(Продажи!$Q137&lt;=42),Продажи!$K137,0)</f>
        <v>0</v>
      </c>
      <c r="S137" s="28">
        <f t="shared" si="0"/>
        <v>31864.12</v>
      </c>
    </row>
    <row r="138" spans="3:19" ht="15.75" customHeight="1" x14ac:dyDescent="0.2">
      <c r="C138" s="26">
        <v>35</v>
      </c>
      <c r="D138" s="21" t="s">
        <v>2441</v>
      </c>
      <c r="E138" s="21" t="s">
        <v>2442</v>
      </c>
      <c r="F138" s="21" t="s">
        <v>2443</v>
      </c>
      <c r="G138" s="21">
        <v>617</v>
      </c>
      <c r="H138" s="21" t="s">
        <v>2444</v>
      </c>
      <c r="I138" s="21">
        <v>10</v>
      </c>
      <c r="J138" s="21">
        <v>6170</v>
      </c>
      <c r="K138" s="21">
        <v>0</v>
      </c>
      <c r="L138" s="21">
        <v>6170</v>
      </c>
      <c r="M138" s="24">
        <v>43003</v>
      </c>
      <c r="N138" s="21">
        <f>MONTH(Продажи!$M138)</f>
        <v>9</v>
      </c>
      <c r="O138" s="21">
        <f>WEEKDAY(Продажи!$M138,2)</f>
        <v>1</v>
      </c>
      <c r="P138" s="21">
        <f>YEAR(Продажи!$M138)</f>
        <v>2017</v>
      </c>
      <c r="Q138" s="28">
        <f>WEEKNUM(Продажи!$M138,2)</f>
        <v>40</v>
      </c>
      <c r="R138" s="28">
        <f>IF((Продажи!$E138="Зеленый чай")*(Продажи!$Q138&gt;=7)*(Продажи!$Q138&lt;=42),Продажи!$K138,0)</f>
        <v>0</v>
      </c>
      <c r="S138" s="28">
        <f t="shared" si="0"/>
        <v>6170</v>
      </c>
    </row>
    <row r="139" spans="3:19" ht="15.75" customHeight="1" x14ac:dyDescent="0.2">
      <c r="C139" s="26">
        <v>30</v>
      </c>
      <c r="D139" s="21" t="s">
        <v>2486</v>
      </c>
      <c r="E139" s="21" t="s">
        <v>2476</v>
      </c>
      <c r="F139" s="21" t="s">
        <v>2487</v>
      </c>
      <c r="G139" s="21">
        <v>1730</v>
      </c>
      <c r="H139" s="21" t="s">
        <v>2440</v>
      </c>
      <c r="I139" s="21">
        <v>5</v>
      </c>
      <c r="J139" s="21">
        <v>8650</v>
      </c>
      <c r="K139" s="21">
        <v>0</v>
      </c>
      <c r="L139" s="21">
        <v>8650</v>
      </c>
      <c r="M139" s="24">
        <v>44189</v>
      </c>
      <c r="N139" s="21">
        <f>MONTH(Продажи!$M139)</f>
        <v>12</v>
      </c>
      <c r="O139" s="21">
        <f>WEEKDAY(Продажи!$M139,2)</f>
        <v>4</v>
      </c>
      <c r="P139" s="21">
        <f>YEAR(Продажи!$M139)</f>
        <v>2020</v>
      </c>
      <c r="Q139" s="28">
        <f>WEEKNUM(Продажи!$M139,2)</f>
        <v>52</v>
      </c>
      <c r="R139" s="28">
        <f>IF((Продажи!$E139="Зеленый чай")*(Продажи!$Q139&gt;=7)*(Продажи!$Q139&lt;=42),Продажи!$K139,0)</f>
        <v>0</v>
      </c>
      <c r="S139" s="28">
        <f t="shared" si="0"/>
        <v>8650</v>
      </c>
    </row>
    <row r="140" spans="3:19" ht="15.75" customHeight="1" x14ac:dyDescent="0.2">
      <c r="C140" s="26">
        <v>35</v>
      </c>
      <c r="D140" s="21" t="s">
        <v>2441</v>
      </c>
      <c r="E140" s="21" t="s">
        <v>2442</v>
      </c>
      <c r="F140" s="21" t="s">
        <v>2443</v>
      </c>
      <c r="G140" s="21">
        <v>617</v>
      </c>
      <c r="H140" s="21" t="s">
        <v>2444</v>
      </c>
      <c r="I140" s="21">
        <v>10</v>
      </c>
      <c r="J140" s="21">
        <v>6170</v>
      </c>
      <c r="K140" s="21">
        <v>0</v>
      </c>
      <c r="L140" s="21">
        <v>6170</v>
      </c>
      <c r="M140" s="24">
        <v>42783</v>
      </c>
      <c r="N140" s="21">
        <f>MONTH(Продажи!$M140)</f>
        <v>2</v>
      </c>
      <c r="O140" s="21">
        <f>WEEKDAY(Продажи!$M140,2)</f>
        <v>5</v>
      </c>
      <c r="P140" s="21">
        <f>YEAR(Продажи!$M140)</f>
        <v>2017</v>
      </c>
      <c r="Q140" s="28">
        <f>WEEKNUM(Продажи!$M140,2)</f>
        <v>8</v>
      </c>
      <c r="R140" s="28">
        <f>IF((Продажи!$E140="Зеленый чай")*(Продажи!$Q140&gt;=7)*(Продажи!$Q140&lt;=42),Продажи!$K140,0)</f>
        <v>0</v>
      </c>
      <c r="S140" s="28" t="b">
        <f t="shared" si="0"/>
        <v>0</v>
      </c>
    </row>
    <row r="141" spans="3:19" ht="15.75" customHeight="1" x14ac:dyDescent="0.2">
      <c r="C141" s="26">
        <v>43</v>
      </c>
      <c r="D141" s="21" t="s">
        <v>2492</v>
      </c>
      <c r="E141" s="21" t="s">
        <v>2446</v>
      </c>
      <c r="F141" s="21" t="s">
        <v>2493</v>
      </c>
      <c r="G141" s="21">
        <v>759</v>
      </c>
      <c r="H141" s="21" t="s">
        <v>2444</v>
      </c>
      <c r="I141" s="21">
        <v>10</v>
      </c>
      <c r="J141" s="21">
        <v>7590</v>
      </c>
      <c r="K141" s="21">
        <v>0</v>
      </c>
      <c r="L141" s="21">
        <v>7590</v>
      </c>
      <c r="M141" s="24">
        <v>43158</v>
      </c>
      <c r="N141" s="21">
        <f>MONTH(Продажи!$M141)</f>
        <v>2</v>
      </c>
      <c r="O141" s="21">
        <f>WEEKDAY(Продажи!$M141,2)</f>
        <v>2</v>
      </c>
      <c r="P141" s="21">
        <f>YEAR(Продажи!$M141)</f>
        <v>2018</v>
      </c>
      <c r="Q141" s="28">
        <f>WEEKNUM(Продажи!$M141,2)</f>
        <v>9</v>
      </c>
      <c r="R141" s="28">
        <f>IF((Продажи!$E141="Зеленый чай")*(Продажи!$Q141&gt;=7)*(Продажи!$Q141&lt;=42),Продажи!$K141,0)</f>
        <v>0</v>
      </c>
      <c r="S141" s="28">
        <f t="shared" si="0"/>
        <v>7590</v>
      </c>
    </row>
    <row r="142" spans="3:19" ht="15.75" customHeight="1" x14ac:dyDescent="0.2">
      <c r="C142" s="26">
        <v>50</v>
      </c>
      <c r="D142" s="21" t="s">
        <v>2481</v>
      </c>
      <c r="E142" s="21" t="s">
        <v>2454</v>
      </c>
      <c r="F142" s="21" t="s">
        <v>2482</v>
      </c>
      <c r="G142" s="21">
        <v>912</v>
      </c>
      <c r="H142" s="21" t="s">
        <v>2440</v>
      </c>
      <c r="I142" s="21">
        <v>20</v>
      </c>
      <c r="J142" s="21">
        <v>18240</v>
      </c>
      <c r="K142" s="21">
        <v>0</v>
      </c>
      <c r="L142" s="21">
        <v>18240</v>
      </c>
      <c r="M142" s="24">
        <v>43637</v>
      </c>
      <c r="N142" s="21">
        <f>MONTH(Продажи!$M142)</f>
        <v>6</v>
      </c>
      <c r="O142" s="21">
        <f>WEEKDAY(Продажи!$M142,2)</f>
        <v>5</v>
      </c>
      <c r="P142" s="21">
        <f>YEAR(Продажи!$M142)</f>
        <v>2019</v>
      </c>
      <c r="Q142" s="28">
        <f>WEEKNUM(Продажи!$M142,2)</f>
        <v>25</v>
      </c>
      <c r="R142" s="28">
        <f>IF((Продажи!$E142="Зеленый чай")*(Продажи!$Q142&gt;=7)*(Продажи!$Q142&lt;=42),Продажи!$K142,0)</f>
        <v>0</v>
      </c>
      <c r="S142" s="28">
        <f t="shared" si="0"/>
        <v>18240</v>
      </c>
    </row>
    <row r="143" spans="3:19" ht="15.75" customHeight="1" x14ac:dyDescent="0.2">
      <c r="C143" s="26">
        <v>17</v>
      </c>
      <c r="D143" s="21" t="s">
        <v>2465</v>
      </c>
      <c r="E143" s="21" t="s">
        <v>2446</v>
      </c>
      <c r="F143" s="21" t="s">
        <v>2466</v>
      </c>
      <c r="G143" s="21">
        <v>967</v>
      </c>
      <c r="H143" s="21" t="s">
        <v>2444</v>
      </c>
      <c r="I143" s="21">
        <v>12</v>
      </c>
      <c r="J143" s="21">
        <v>11604</v>
      </c>
      <c r="K143" s="21">
        <v>0</v>
      </c>
      <c r="L143" s="21">
        <v>11604</v>
      </c>
      <c r="M143" s="24">
        <v>43737</v>
      </c>
      <c r="N143" s="21">
        <f>MONTH(Продажи!$M143)</f>
        <v>9</v>
      </c>
      <c r="O143" s="21">
        <f>WEEKDAY(Продажи!$M143,2)</f>
        <v>7</v>
      </c>
      <c r="P143" s="21">
        <f>YEAR(Продажи!$M143)</f>
        <v>2019</v>
      </c>
      <c r="Q143" s="28">
        <f>WEEKNUM(Продажи!$M143,2)</f>
        <v>39</v>
      </c>
      <c r="R143" s="28">
        <f>IF((Продажи!$E143="Зеленый чай")*(Продажи!$Q143&gt;=7)*(Продажи!$Q143&lt;=42),Продажи!$K143,0)</f>
        <v>0</v>
      </c>
      <c r="S143" s="28">
        <f t="shared" si="0"/>
        <v>11604</v>
      </c>
    </row>
    <row r="144" spans="3:19" ht="15.75" customHeight="1" x14ac:dyDescent="0.2">
      <c r="C144" s="26">
        <v>7</v>
      </c>
      <c r="D144" s="21" t="s">
        <v>2437</v>
      </c>
      <c r="E144" s="21" t="s">
        <v>2438</v>
      </c>
      <c r="F144" s="21" t="s">
        <v>2439</v>
      </c>
      <c r="G144" s="21">
        <v>1923</v>
      </c>
      <c r="H144" s="21" t="s">
        <v>2440</v>
      </c>
      <c r="I144" s="21">
        <v>25</v>
      </c>
      <c r="J144" s="21">
        <v>48075</v>
      </c>
      <c r="K144" s="21">
        <v>0.06</v>
      </c>
      <c r="L144" s="21">
        <v>45190.5</v>
      </c>
      <c r="M144" s="24">
        <v>42447</v>
      </c>
      <c r="N144" s="21">
        <f>MONTH(Продажи!$M144)</f>
        <v>3</v>
      </c>
      <c r="O144" s="21">
        <f>WEEKDAY(Продажи!$M144,2)</f>
        <v>5</v>
      </c>
      <c r="P144" s="21">
        <f>YEAR(Продажи!$M144)</f>
        <v>2016</v>
      </c>
      <c r="Q144" s="28">
        <f>WEEKNUM(Продажи!$M144,2)</f>
        <v>12</v>
      </c>
      <c r="R144" s="28">
        <f>IF((Продажи!$E144="Зеленый чай")*(Продажи!$Q144&gt;=7)*(Продажи!$Q144&lt;=42),Продажи!$K144,0)</f>
        <v>0.06</v>
      </c>
      <c r="S144" s="28" t="b">
        <f t="shared" si="0"/>
        <v>0</v>
      </c>
    </row>
    <row r="145" spans="3:19" ht="15.75" customHeight="1" x14ac:dyDescent="0.2">
      <c r="C145" s="26">
        <v>51</v>
      </c>
      <c r="D145" s="21" t="s">
        <v>2449</v>
      </c>
      <c r="E145" s="21" t="s">
        <v>2448</v>
      </c>
      <c r="F145" s="21" t="s">
        <v>2450</v>
      </c>
      <c r="G145" s="21">
        <v>2211</v>
      </c>
      <c r="H145" s="21" t="s">
        <v>2444</v>
      </c>
      <c r="I145" s="21">
        <v>25</v>
      </c>
      <c r="J145" s="21">
        <v>55275</v>
      </c>
      <c r="K145" s="21">
        <v>0.09</v>
      </c>
      <c r="L145" s="21">
        <v>50300.25</v>
      </c>
      <c r="M145" s="24">
        <v>43411</v>
      </c>
      <c r="N145" s="21">
        <f>MONTH(Продажи!$M145)</f>
        <v>11</v>
      </c>
      <c r="O145" s="21">
        <f>WEEKDAY(Продажи!$M145,2)</f>
        <v>3</v>
      </c>
      <c r="P145" s="21">
        <f>YEAR(Продажи!$M145)</f>
        <v>2018</v>
      </c>
      <c r="Q145" s="28">
        <f>WEEKNUM(Продажи!$M145,2)</f>
        <v>45</v>
      </c>
      <c r="R145" s="28">
        <f>IF((Продажи!$E145="Зеленый чай")*(Продажи!$Q145&gt;=7)*(Продажи!$Q145&lt;=42),Продажи!$K145,0)</f>
        <v>0</v>
      </c>
      <c r="S145" s="28" t="b">
        <f t="shared" si="0"/>
        <v>0</v>
      </c>
    </row>
    <row r="146" spans="3:19" ht="15.75" customHeight="1" x14ac:dyDescent="0.2">
      <c r="C146" s="26">
        <v>23</v>
      </c>
      <c r="D146" s="21" t="s">
        <v>2473</v>
      </c>
      <c r="E146" s="21" t="s">
        <v>2448</v>
      </c>
      <c r="F146" s="21" t="s">
        <v>2474</v>
      </c>
      <c r="G146" s="21">
        <v>2645</v>
      </c>
      <c r="H146" s="21" t="s">
        <v>2444</v>
      </c>
      <c r="I146" s="21">
        <v>50</v>
      </c>
      <c r="J146" s="21">
        <v>132250</v>
      </c>
      <c r="K146" s="21">
        <v>0.15</v>
      </c>
      <c r="L146" s="21">
        <v>112412.5</v>
      </c>
      <c r="M146" s="24">
        <v>42386</v>
      </c>
      <c r="N146" s="21">
        <f>MONTH(Продажи!$M146)</f>
        <v>1</v>
      </c>
      <c r="O146" s="21">
        <f>WEEKDAY(Продажи!$M146,2)</f>
        <v>7</v>
      </c>
      <c r="P146" s="21">
        <f>YEAR(Продажи!$M146)</f>
        <v>2016</v>
      </c>
      <c r="Q146" s="28">
        <f>WEEKNUM(Продажи!$M146,2)</f>
        <v>3</v>
      </c>
      <c r="R146" s="28">
        <f>IF((Продажи!$E146="Зеленый чай")*(Продажи!$Q146&gt;=7)*(Продажи!$Q146&lt;=42),Продажи!$K146,0)</f>
        <v>0</v>
      </c>
      <c r="S146" s="28" t="b">
        <f t="shared" si="0"/>
        <v>0</v>
      </c>
    </row>
    <row r="147" spans="3:19" ht="15.75" customHeight="1" x14ac:dyDescent="0.2">
      <c r="C147" s="26">
        <v>38</v>
      </c>
      <c r="D147" s="21" t="s">
        <v>2483</v>
      </c>
      <c r="E147" s="21" t="s">
        <v>2446</v>
      </c>
      <c r="F147" s="21" t="s">
        <v>2484</v>
      </c>
      <c r="G147" s="21">
        <v>1182</v>
      </c>
      <c r="H147" s="21" t="s">
        <v>2440</v>
      </c>
      <c r="I147" s="21">
        <v>17</v>
      </c>
      <c r="J147" s="21">
        <v>20094</v>
      </c>
      <c r="K147" s="21">
        <v>0.03</v>
      </c>
      <c r="L147" s="21">
        <v>19491.18</v>
      </c>
      <c r="M147" s="24">
        <v>43544</v>
      </c>
      <c r="N147" s="21">
        <f>MONTH(Продажи!$M147)</f>
        <v>3</v>
      </c>
      <c r="O147" s="21">
        <f>WEEKDAY(Продажи!$M147,2)</f>
        <v>3</v>
      </c>
      <c r="P147" s="21">
        <f>YEAR(Продажи!$M147)</f>
        <v>2019</v>
      </c>
      <c r="Q147" s="28">
        <f>WEEKNUM(Продажи!$M147,2)</f>
        <v>12</v>
      </c>
      <c r="R147" s="28">
        <f>IF((Продажи!$E147="Зеленый чай")*(Продажи!$Q147&gt;=7)*(Продажи!$Q147&lt;=42),Продажи!$K147,0)</f>
        <v>0</v>
      </c>
      <c r="S147" s="28" t="b">
        <f t="shared" si="0"/>
        <v>0</v>
      </c>
    </row>
    <row r="148" spans="3:19" ht="15.75" customHeight="1" x14ac:dyDescent="0.2">
      <c r="C148" s="26">
        <v>28</v>
      </c>
      <c r="D148" s="21" t="s">
        <v>2494</v>
      </c>
      <c r="E148" s="21" t="s">
        <v>2462</v>
      </c>
      <c r="F148" s="21" t="s">
        <v>2491</v>
      </c>
      <c r="G148" s="21">
        <v>1994</v>
      </c>
      <c r="H148" s="21" t="s">
        <v>2444</v>
      </c>
      <c r="I148" s="21">
        <v>40</v>
      </c>
      <c r="J148" s="21">
        <v>79760</v>
      </c>
      <c r="K148" s="21">
        <v>0.12</v>
      </c>
      <c r="L148" s="21">
        <v>70188.800000000003</v>
      </c>
      <c r="M148" s="24">
        <v>42356</v>
      </c>
      <c r="N148" s="21">
        <f>MONTH(Продажи!$M148)</f>
        <v>12</v>
      </c>
      <c r="O148" s="21">
        <f>WEEKDAY(Продажи!$M148,2)</f>
        <v>5</v>
      </c>
      <c r="P148" s="21">
        <f>YEAR(Продажи!$M148)</f>
        <v>2015</v>
      </c>
      <c r="Q148" s="28">
        <f>WEEKNUM(Продажи!$M148,2)</f>
        <v>51</v>
      </c>
      <c r="R148" s="28">
        <f>IF((Продажи!$E148="Зеленый чай")*(Продажи!$Q148&gt;=7)*(Продажи!$Q148&lt;=42),Продажи!$K148,0)</f>
        <v>0</v>
      </c>
      <c r="S148" s="28" t="b">
        <f t="shared" si="0"/>
        <v>0</v>
      </c>
    </row>
    <row r="149" spans="3:19" ht="15.75" customHeight="1" x14ac:dyDescent="0.2">
      <c r="C149" s="26">
        <v>15</v>
      </c>
      <c r="D149" s="21" t="s">
        <v>2512</v>
      </c>
      <c r="E149" s="21" t="s">
        <v>2462</v>
      </c>
      <c r="F149" s="21" t="s">
        <v>2513</v>
      </c>
      <c r="G149" s="21">
        <v>1994</v>
      </c>
      <c r="H149" s="21" t="s">
        <v>2444</v>
      </c>
      <c r="I149" s="21">
        <v>17</v>
      </c>
      <c r="J149" s="21">
        <v>33898</v>
      </c>
      <c r="K149" s="21">
        <v>0.06</v>
      </c>
      <c r="L149" s="21">
        <v>31864.12</v>
      </c>
      <c r="M149" s="24">
        <v>42188</v>
      </c>
      <c r="N149" s="21">
        <f>MONTH(Продажи!$M149)</f>
        <v>7</v>
      </c>
      <c r="O149" s="21">
        <f>WEEKDAY(Продажи!$M149,2)</f>
        <v>5</v>
      </c>
      <c r="P149" s="21">
        <f>YEAR(Продажи!$M149)</f>
        <v>2015</v>
      </c>
      <c r="Q149" s="28">
        <f>WEEKNUM(Продажи!$M149,2)</f>
        <v>27</v>
      </c>
      <c r="R149" s="28">
        <f>IF((Продажи!$E149="Зеленый чай")*(Продажи!$Q149&gt;=7)*(Продажи!$Q149&lt;=42),Продажи!$K149,0)</f>
        <v>0</v>
      </c>
      <c r="S149" s="28" t="b">
        <f t="shared" si="0"/>
        <v>0</v>
      </c>
    </row>
    <row r="150" spans="3:19" ht="15.75" customHeight="1" x14ac:dyDescent="0.2">
      <c r="C150" s="26">
        <v>1</v>
      </c>
      <c r="D150" s="21" t="s">
        <v>2459</v>
      </c>
      <c r="E150" s="21" t="s">
        <v>2438</v>
      </c>
      <c r="F150" s="21" t="s">
        <v>2460</v>
      </c>
      <c r="G150" s="21">
        <v>876</v>
      </c>
      <c r="H150" s="21" t="s">
        <v>2444</v>
      </c>
      <c r="I150" s="21">
        <v>20</v>
      </c>
      <c r="J150" s="21">
        <v>17520</v>
      </c>
      <c r="K150" s="21">
        <v>0.03</v>
      </c>
      <c r="L150" s="21">
        <v>16994.400000000001</v>
      </c>
      <c r="M150" s="24">
        <v>42176</v>
      </c>
      <c r="N150" s="21">
        <f>MONTH(Продажи!$M150)</f>
        <v>6</v>
      </c>
      <c r="O150" s="21">
        <f>WEEKDAY(Продажи!$M150,2)</f>
        <v>7</v>
      </c>
      <c r="P150" s="21">
        <f>YEAR(Продажи!$M150)</f>
        <v>2015</v>
      </c>
      <c r="Q150" s="28">
        <f>WEEKNUM(Продажи!$M150,2)</f>
        <v>25</v>
      </c>
      <c r="R150" s="28">
        <f>IF((Продажи!$E150="Зеленый чай")*(Продажи!$Q150&gt;=7)*(Продажи!$Q150&lt;=42),Продажи!$K150,0)</f>
        <v>0.03</v>
      </c>
      <c r="S150" s="28">
        <f t="shared" si="0"/>
        <v>16994.400000000001</v>
      </c>
    </row>
    <row r="151" spans="3:19" ht="15.75" customHeight="1" x14ac:dyDescent="0.2">
      <c r="C151" s="26">
        <v>8</v>
      </c>
      <c r="D151" s="21" t="s">
        <v>2477</v>
      </c>
      <c r="E151" s="21" t="s">
        <v>2454</v>
      </c>
      <c r="F151" s="21" t="s">
        <v>2478</v>
      </c>
      <c r="G151" s="21">
        <v>847</v>
      </c>
      <c r="H151" s="21" t="s">
        <v>2440</v>
      </c>
      <c r="I151" s="21">
        <v>15</v>
      </c>
      <c r="J151" s="21">
        <v>12705</v>
      </c>
      <c r="K151" s="21">
        <v>0</v>
      </c>
      <c r="L151" s="21">
        <v>12705</v>
      </c>
      <c r="M151" s="24">
        <v>42749</v>
      </c>
      <c r="N151" s="21">
        <f>MONTH(Продажи!$M151)</f>
        <v>1</v>
      </c>
      <c r="O151" s="21">
        <f>WEEKDAY(Продажи!$M151,2)</f>
        <v>6</v>
      </c>
      <c r="P151" s="21">
        <f>YEAR(Продажи!$M151)</f>
        <v>2017</v>
      </c>
      <c r="Q151" s="28">
        <f>WEEKNUM(Продажи!$M151,2)</f>
        <v>3</v>
      </c>
      <c r="R151" s="28">
        <f>IF((Продажи!$E151="Зеленый чай")*(Продажи!$Q151&gt;=7)*(Продажи!$Q151&lt;=42),Продажи!$K151,0)</f>
        <v>0</v>
      </c>
      <c r="S151" s="28" t="b">
        <f t="shared" si="0"/>
        <v>0</v>
      </c>
    </row>
    <row r="152" spans="3:19" ht="15.75" customHeight="1" x14ac:dyDescent="0.2">
      <c r="C152" s="26">
        <v>15</v>
      </c>
      <c r="D152" s="21" t="s">
        <v>2512</v>
      </c>
      <c r="E152" s="21" t="s">
        <v>2462</v>
      </c>
      <c r="F152" s="21" t="s">
        <v>2513</v>
      </c>
      <c r="G152" s="21">
        <v>1994</v>
      </c>
      <c r="H152" s="21" t="s">
        <v>2444</v>
      </c>
      <c r="I152" s="21">
        <v>17</v>
      </c>
      <c r="J152" s="21">
        <v>33898</v>
      </c>
      <c r="K152" s="21">
        <v>0.06</v>
      </c>
      <c r="L152" s="21">
        <v>31864.12</v>
      </c>
      <c r="M152" s="24">
        <v>42795</v>
      </c>
      <c r="N152" s="21">
        <f>MONTH(Продажи!$M152)</f>
        <v>3</v>
      </c>
      <c r="O152" s="21">
        <f>WEEKDAY(Продажи!$M152,2)</f>
        <v>3</v>
      </c>
      <c r="P152" s="21">
        <f>YEAR(Продажи!$M152)</f>
        <v>2017</v>
      </c>
      <c r="Q152" s="28">
        <f>WEEKNUM(Продажи!$M152,2)</f>
        <v>10</v>
      </c>
      <c r="R152" s="28">
        <f>IF((Продажи!$E152="Зеленый чай")*(Продажи!$Q152&gt;=7)*(Продажи!$Q152&lt;=42),Продажи!$K152,0)</f>
        <v>0</v>
      </c>
      <c r="S152" s="28" t="b">
        <f t="shared" si="0"/>
        <v>0</v>
      </c>
    </row>
    <row r="153" spans="3:19" ht="15.75" customHeight="1" x14ac:dyDescent="0.2">
      <c r="C153" s="26">
        <v>49</v>
      </c>
      <c r="D153" s="21" t="s">
        <v>2441</v>
      </c>
      <c r="E153" s="21" t="s">
        <v>2442</v>
      </c>
      <c r="F153" s="21" t="s">
        <v>2443</v>
      </c>
      <c r="G153" s="21">
        <v>617</v>
      </c>
      <c r="H153" s="21" t="s">
        <v>2444</v>
      </c>
      <c r="I153" s="21">
        <v>25</v>
      </c>
      <c r="J153" s="21">
        <v>15425</v>
      </c>
      <c r="K153" s="21">
        <v>0</v>
      </c>
      <c r="L153" s="21">
        <v>15425</v>
      </c>
      <c r="M153" s="24">
        <v>42251</v>
      </c>
      <c r="N153" s="21">
        <f>MONTH(Продажи!$M153)</f>
        <v>9</v>
      </c>
      <c r="O153" s="21">
        <f>WEEKDAY(Продажи!$M153,2)</f>
        <v>5</v>
      </c>
      <c r="P153" s="21">
        <f>YEAR(Продажи!$M153)</f>
        <v>2015</v>
      </c>
      <c r="Q153" s="28">
        <f>WEEKNUM(Продажи!$M153,2)</f>
        <v>36</v>
      </c>
      <c r="R153" s="28">
        <f>IF((Продажи!$E153="Зеленый чай")*(Продажи!$Q153&gt;=7)*(Продажи!$Q153&lt;=42),Продажи!$K153,0)</f>
        <v>0</v>
      </c>
      <c r="S153" s="28" t="b">
        <f t="shared" si="0"/>
        <v>0</v>
      </c>
    </row>
    <row r="154" spans="3:19" ht="15.75" customHeight="1" x14ac:dyDescent="0.2">
      <c r="C154" s="26">
        <v>41</v>
      </c>
      <c r="D154" s="21" t="s">
        <v>2447</v>
      </c>
      <c r="E154" s="21" t="s">
        <v>2448</v>
      </c>
      <c r="F154" s="21" t="s">
        <v>2448</v>
      </c>
      <c r="G154" s="21">
        <v>699</v>
      </c>
      <c r="H154" s="21" t="s">
        <v>2444</v>
      </c>
      <c r="I154" s="21">
        <v>10</v>
      </c>
      <c r="J154" s="21">
        <v>6990</v>
      </c>
      <c r="K154" s="21">
        <v>0</v>
      </c>
      <c r="L154" s="21">
        <v>6990</v>
      </c>
      <c r="M154" s="24">
        <v>43899</v>
      </c>
      <c r="N154" s="21">
        <f>MONTH(Продажи!$M154)</f>
        <v>3</v>
      </c>
      <c r="O154" s="21">
        <f>WEEKDAY(Продажи!$M154,2)</f>
        <v>1</v>
      </c>
      <c r="P154" s="21">
        <f>YEAR(Продажи!$M154)</f>
        <v>2020</v>
      </c>
      <c r="Q154" s="28">
        <f>WEEKNUM(Продажи!$M154,2)</f>
        <v>11</v>
      </c>
      <c r="R154" s="28">
        <f>IF((Продажи!$E154="Зеленый чай")*(Продажи!$Q154&gt;=7)*(Продажи!$Q154&lt;=42),Продажи!$K154,0)</f>
        <v>0</v>
      </c>
      <c r="S154" s="28" t="b">
        <f t="shared" si="0"/>
        <v>0</v>
      </c>
    </row>
    <row r="155" spans="3:19" ht="15.75" customHeight="1" x14ac:dyDescent="0.2">
      <c r="C155" s="26">
        <v>25</v>
      </c>
      <c r="D155" s="21" t="s">
        <v>2490</v>
      </c>
      <c r="E155" s="21" t="s">
        <v>2462</v>
      </c>
      <c r="F155" s="21" t="s">
        <v>2491</v>
      </c>
      <c r="G155" s="21">
        <v>1994</v>
      </c>
      <c r="H155" s="21" t="s">
        <v>2444</v>
      </c>
      <c r="I155" s="21">
        <v>10</v>
      </c>
      <c r="J155" s="21">
        <v>19940</v>
      </c>
      <c r="K155" s="21">
        <v>0.03</v>
      </c>
      <c r="L155" s="21">
        <v>19341.8</v>
      </c>
      <c r="M155" s="24">
        <v>42782</v>
      </c>
      <c r="N155" s="21">
        <f>MONTH(Продажи!$M155)</f>
        <v>2</v>
      </c>
      <c r="O155" s="21">
        <f>WEEKDAY(Продажи!$M155,2)</f>
        <v>4</v>
      </c>
      <c r="P155" s="21">
        <f>YEAR(Продажи!$M155)</f>
        <v>2017</v>
      </c>
      <c r="Q155" s="28">
        <f>WEEKNUM(Продажи!$M155,2)</f>
        <v>8</v>
      </c>
      <c r="R155" s="28">
        <f>IF((Продажи!$E155="Зеленый чай")*(Продажи!$Q155&gt;=7)*(Продажи!$Q155&lt;=42),Продажи!$K155,0)</f>
        <v>0</v>
      </c>
      <c r="S155" s="28" t="b">
        <f t="shared" si="0"/>
        <v>0</v>
      </c>
    </row>
    <row r="156" spans="3:19" ht="15.75" customHeight="1" x14ac:dyDescent="0.2">
      <c r="C156" s="26">
        <v>7</v>
      </c>
      <c r="D156" s="21" t="s">
        <v>2437</v>
      </c>
      <c r="E156" s="21" t="s">
        <v>2438</v>
      </c>
      <c r="F156" s="21" t="s">
        <v>2439</v>
      </c>
      <c r="G156" s="21">
        <v>1923</v>
      </c>
      <c r="H156" s="21" t="s">
        <v>2440</v>
      </c>
      <c r="I156" s="21">
        <v>25</v>
      </c>
      <c r="J156" s="21">
        <v>48075</v>
      </c>
      <c r="K156" s="21">
        <v>0.06</v>
      </c>
      <c r="L156" s="21">
        <v>45190.5</v>
      </c>
      <c r="M156" s="24">
        <v>43335</v>
      </c>
      <c r="N156" s="21">
        <f>MONTH(Продажи!$M156)</f>
        <v>8</v>
      </c>
      <c r="O156" s="21">
        <f>WEEKDAY(Продажи!$M156,2)</f>
        <v>4</v>
      </c>
      <c r="P156" s="21">
        <f>YEAR(Продажи!$M156)</f>
        <v>2018</v>
      </c>
      <c r="Q156" s="28">
        <f>WEEKNUM(Продажи!$M156,2)</f>
        <v>34</v>
      </c>
      <c r="R156" s="28">
        <f>IF((Продажи!$E156="Зеленый чай")*(Продажи!$Q156&gt;=7)*(Продажи!$Q156&lt;=42),Продажи!$K156,0)</f>
        <v>0.06</v>
      </c>
      <c r="S156" s="28">
        <f t="shared" si="0"/>
        <v>45190.5</v>
      </c>
    </row>
    <row r="157" spans="3:19" ht="15.75" customHeight="1" x14ac:dyDescent="0.2">
      <c r="C157" s="26">
        <v>6</v>
      </c>
      <c r="D157" s="21" t="s">
        <v>2502</v>
      </c>
      <c r="E157" s="21" t="s">
        <v>2446</v>
      </c>
      <c r="F157" s="21" t="s">
        <v>2503</v>
      </c>
      <c r="G157" s="21">
        <v>3197</v>
      </c>
      <c r="H157" s="21" t="s">
        <v>2444</v>
      </c>
      <c r="I157" s="21">
        <v>6</v>
      </c>
      <c r="J157" s="21">
        <v>19182</v>
      </c>
      <c r="K157" s="21">
        <v>0.03</v>
      </c>
      <c r="L157" s="21">
        <v>18606.54</v>
      </c>
      <c r="M157" s="24">
        <v>44040</v>
      </c>
      <c r="N157" s="21">
        <f>MONTH(Продажи!$M157)</f>
        <v>7</v>
      </c>
      <c r="O157" s="21">
        <f>WEEKDAY(Продажи!$M157,2)</f>
        <v>2</v>
      </c>
      <c r="P157" s="21">
        <f>YEAR(Продажи!$M157)</f>
        <v>2020</v>
      </c>
      <c r="Q157" s="28">
        <f>WEEKNUM(Продажи!$M157,2)</f>
        <v>31</v>
      </c>
      <c r="R157" s="28">
        <f>IF((Продажи!$E157="Зеленый чай")*(Продажи!$Q157&gt;=7)*(Продажи!$Q157&lt;=42),Продажи!$K157,0)</f>
        <v>0</v>
      </c>
      <c r="S157" s="28">
        <f t="shared" si="0"/>
        <v>18606.54</v>
      </c>
    </row>
    <row r="158" spans="3:19" ht="15.75" customHeight="1" x14ac:dyDescent="0.2">
      <c r="C158" s="26">
        <v>24</v>
      </c>
      <c r="D158" s="21" t="s">
        <v>2456</v>
      </c>
      <c r="E158" s="21" t="s">
        <v>2457</v>
      </c>
      <c r="F158" s="21" t="s">
        <v>2458</v>
      </c>
      <c r="G158" s="21">
        <v>957</v>
      </c>
      <c r="H158" s="21" t="s">
        <v>2440</v>
      </c>
      <c r="I158" s="21">
        <v>25</v>
      </c>
      <c r="J158" s="21">
        <v>23925</v>
      </c>
      <c r="K158" s="21">
        <v>0.03</v>
      </c>
      <c r="L158" s="21">
        <v>23207.25</v>
      </c>
      <c r="M158" s="24">
        <v>43626</v>
      </c>
      <c r="N158" s="21">
        <f>MONTH(Продажи!$M158)</f>
        <v>6</v>
      </c>
      <c r="O158" s="21">
        <f>WEEKDAY(Продажи!$M158,2)</f>
        <v>1</v>
      </c>
      <c r="P158" s="21">
        <f>YEAR(Продажи!$M158)</f>
        <v>2019</v>
      </c>
      <c r="Q158" s="28">
        <f>WEEKNUM(Продажи!$M158,2)</f>
        <v>24</v>
      </c>
      <c r="R158" s="28">
        <f>IF((Продажи!$E158="Зеленый чай")*(Продажи!$Q158&gt;=7)*(Продажи!$Q158&lt;=42),Продажи!$K158,0)</f>
        <v>0</v>
      </c>
      <c r="S158" s="28" t="b">
        <f t="shared" si="0"/>
        <v>0</v>
      </c>
    </row>
    <row r="159" spans="3:19" ht="15.75" customHeight="1" x14ac:dyDescent="0.2">
      <c r="C159" s="26">
        <v>3</v>
      </c>
      <c r="D159" s="21" t="s">
        <v>2445</v>
      </c>
      <c r="E159" s="21" t="s">
        <v>2446</v>
      </c>
      <c r="F159" s="21" t="s">
        <v>2446</v>
      </c>
      <c r="G159" s="21">
        <v>807</v>
      </c>
      <c r="H159" s="21" t="s">
        <v>2440</v>
      </c>
      <c r="I159" s="21">
        <v>18</v>
      </c>
      <c r="J159" s="21">
        <v>14526</v>
      </c>
      <c r="K159" s="21">
        <v>0</v>
      </c>
      <c r="L159" s="21">
        <v>14526</v>
      </c>
      <c r="M159" s="24">
        <v>42575</v>
      </c>
      <c r="N159" s="21">
        <f>MONTH(Продажи!$M159)</f>
        <v>7</v>
      </c>
      <c r="O159" s="21">
        <f>WEEKDAY(Продажи!$M159,2)</f>
        <v>7</v>
      </c>
      <c r="P159" s="21">
        <f>YEAR(Продажи!$M159)</f>
        <v>2016</v>
      </c>
      <c r="Q159" s="28">
        <f>WEEKNUM(Продажи!$M159,2)</f>
        <v>30</v>
      </c>
      <c r="R159" s="28">
        <f>IF((Продажи!$E159="Зеленый чай")*(Продажи!$Q159&gt;=7)*(Продажи!$Q159&lt;=42),Продажи!$K159,0)</f>
        <v>0</v>
      </c>
      <c r="S159" s="28">
        <f t="shared" si="0"/>
        <v>14526</v>
      </c>
    </row>
    <row r="160" spans="3:19" ht="15.75" customHeight="1" x14ac:dyDescent="0.2">
      <c r="C160" s="26">
        <v>10</v>
      </c>
      <c r="D160" s="21" t="s">
        <v>2451</v>
      </c>
      <c r="E160" s="21" t="s">
        <v>2438</v>
      </c>
      <c r="F160" s="21" t="s">
        <v>2452</v>
      </c>
      <c r="G160" s="21">
        <v>800</v>
      </c>
      <c r="H160" s="21" t="s">
        <v>2440</v>
      </c>
      <c r="I160" s="21">
        <v>25</v>
      </c>
      <c r="J160" s="21">
        <v>20000</v>
      </c>
      <c r="K160" s="21">
        <v>0.03</v>
      </c>
      <c r="L160" s="21">
        <v>19400</v>
      </c>
      <c r="M160" s="24">
        <v>44163</v>
      </c>
      <c r="N160" s="21">
        <f>MONTH(Продажи!$M160)</f>
        <v>11</v>
      </c>
      <c r="O160" s="21">
        <f>WEEKDAY(Продажи!$M160,2)</f>
        <v>6</v>
      </c>
      <c r="P160" s="21">
        <f>YEAR(Продажи!$M160)</f>
        <v>2020</v>
      </c>
      <c r="Q160" s="28">
        <f>WEEKNUM(Продажи!$M160,2)</f>
        <v>48</v>
      </c>
      <c r="R160" s="28">
        <f>IF((Продажи!$E160="Зеленый чай")*(Продажи!$Q160&gt;=7)*(Продажи!$Q160&lt;=42),Продажи!$K160,0)</f>
        <v>0</v>
      </c>
      <c r="S160" s="28">
        <f t="shared" si="0"/>
        <v>19400</v>
      </c>
    </row>
    <row r="161" spans="3:19" ht="15.75" customHeight="1" x14ac:dyDescent="0.2">
      <c r="C161" s="26">
        <v>5</v>
      </c>
      <c r="D161" s="21" t="s">
        <v>2483</v>
      </c>
      <c r="E161" s="21" t="s">
        <v>2446</v>
      </c>
      <c r="F161" s="21" t="s">
        <v>2484</v>
      </c>
      <c r="G161" s="21">
        <v>1182</v>
      </c>
      <c r="H161" s="21" t="s">
        <v>2440</v>
      </c>
      <c r="I161" s="21">
        <v>17</v>
      </c>
      <c r="J161" s="21">
        <v>20094</v>
      </c>
      <c r="K161" s="21">
        <v>0.03</v>
      </c>
      <c r="L161" s="21">
        <v>19491.18</v>
      </c>
      <c r="M161" s="24">
        <v>43923</v>
      </c>
      <c r="N161" s="21">
        <f>MONTH(Продажи!$M161)</f>
        <v>4</v>
      </c>
      <c r="O161" s="21">
        <f>WEEKDAY(Продажи!$M161,2)</f>
        <v>4</v>
      </c>
      <c r="P161" s="21">
        <f>YEAR(Продажи!$M161)</f>
        <v>2020</v>
      </c>
      <c r="Q161" s="28">
        <f>WEEKNUM(Продажи!$M161,2)</f>
        <v>14</v>
      </c>
      <c r="R161" s="28">
        <f>IF((Продажи!$E161="Зеленый чай")*(Продажи!$Q161&gt;=7)*(Продажи!$Q161&lt;=42),Продажи!$K161,0)</f>
        <v>0</v>
      </c>
      <c r="S161" s="28" t="b">
        <f t="shared" si="0"/>
        <v>0</v>
      </c>
    </row>
    <row r="162" spans="3:19" ht="15.75" customHeight="1" x14ac:dyDescent="0.2">
      <c r="C162" s="26">
        <v>6</v>
      </c>
      <c r="D162" s="21" t="s">
        <v>2502</v>
      </c>
      <c r="E162" s="21" t="s">
        <v>2446</v>
      </c>
      <c r="F162" s="21" t="s">
        <v>2503</v>
      </c>
      <c r="G162" s="21">
        <v>3197</v>
      </c>
      <c r="H162" s="21" t="s">
        <v>2444</v>
      </c>
      <c r="I162" s="21">
        <v>6</v>
      </c>
      <c r="J162" s="21">
        <v>19182</v>
      </c>
      <c r="K162" s="21">
        <v>0.03</v>
      </c>
      <c r="L162" s="21">
        <v>18606.54</v>
      </c>
      <c r="M162" s="24">
        <v>43986</v>
      </c>
      <c r="N162" s="21">
        <f>MONTH(Продажи!$M162)</f>
        <v>6</v>
      </c>
      <c r="O162" s="21">
        <f>WEEKDAY(Продажи!$M162,2)</f>
        <v>4</v>
      </c>
      <c r="P162" s="21">
        <f>YEAR(Продажи!$M162)</f>
        <v>2020</v>
      </c>
      <c r="Q162" s="28">
        <f>WEEKNUM(Продажи!$M162,2)</f>
        <v>23</v>
      </c>
      <c r="R162" s="28">
        <f>IF((Продажи!$E162="Зеленый чай")*(Продажи!$Q162&gt;=7)*(Продажи!$Q162&lt;=42),Продажи!$K162,0)</f>
        <v>0</v>
      </c>
      <c r="S162" s="28" t="b">
        <f t="shared" si="0"/>
        <v>0</v>
      </c>
    </row>
    <row r="163" spans="3:19" ht="15.75" customHeight="1" x14ac:dyDescent="0.2">
      <c r="C163" s="26">
        <v>44</v>
      </c>
      <c r="D163" s="21" t="s">
        <v>2453</v>
      </c>
      <c r="E163" s="21" t="s">
        <v>2454</v>
      </c>
      <c r="F163" s="21" t="s">
        <v>2455</v>
      </c>
      <c r="G163" s="21">
        <v>1386</v>
      </c>
      <c r="H163" s="21" t="s">
        <v>2440</v>
      </c>
      <c r="I163" s="21">
        <v>20</v>
      </c>
      <c r="J163" s="21">
        <v>27720</v>
      </c>
      <c r="K163" s="21">
        <v>0.03</v>
      </c>
      <c r="L163" s="21">
        <v>26888.400000000001</v>
      </c>
      <c r="M163" s="24">
        <v>42383</v>
      </c>
      <c r="N163" s="21">
        <f>MONTH(Продажи!$M163)</f>
        <v>1</v>
      </c>
      <c r="O163" s="21">
        <f>WEEKDAY(Продажи!$M163,2)</f>
        <v>4</v>
      </c>
      <c r="P163" s="21">
        <f>YEAR(Продажи!$M163)</f>
        <v>2016</v>
      </c>
      <c r="Q163" s="28">
        <f>WEEKNUM(Продажи!$M163,2)</f>
        <v>3</v>
      </c>
      <c r="R163" s="28">
        <f>IF((Продажи!$E163="Зеленый чай")*(Продажи!$Q163&gt;=7)*(Продажи!$Q163&lt;=42),Продажи!$K163,0)</f>
        <v>0</v>
      </c>
      <c r="S163" s="28" t="b">
        <f t="shared" si="0"/>
        <v>0</v>
      </c>
    </row>
    <row r="164" spans="3:19" ht="15.75" customHeight="1" x14ac:dyDescent="0.2">
      <c r="C164" s="26">
        <v>12</v>
      </c>
      <c r="D164" s="21" t="s">
        <v>2453</v>
      </c>
      <c r="E164" s="21" t="s">
        <v>2454</v>
      </c>
      <c r="F164" s="21" t="s">
        <v>2455</v>
      </c>
      <c r="G164" s="21">
        <v>1386</v>
      </c>
      <c r="H164" s="21" t="s">
        <v>2440</v>
      </c>
      <c r="I164" s="21">
        <v>20</v>
      </c>
      <c r="J164" s="21">
        <v>27720</v>
      </c>
      <c r="K164" s="21">
        <v>0.03</v>
      </c>
      <c r="L164" s="21">
        <v>26888.400000000001</v>
      </c>
      <c r="M164" s="24">
        <v>42966</v>
      </c>
      <c r="N164" s="21">
        <f>MONTH(Продажи!$M164)</f>
        <v>8</v>
      </c>
      <c r="O164" s="21">
        <f>WEEKDAY(Продажи!$M164,2)</f>
        <v>6</v>
      </c>
      <c r="P164" s="21">
        <f>YEAR(Продажи!$M164)</f>
        <v>2017</v>
      </c>
      <c r="Q164" s="28">
        <f>WEEKNUM(Продажи!$M164,2)</f>
        <v>34</v>
      </c>
      <c r="R164" s="28">
        <f>IF((Продажи!$E164="Зеленый чай")*(Продажи!$Q164&gt;=7)*(Продажи!$Q164&lt;=42),Продажи!$K164,0)</f>
        <v>0</v>
      </c>
      <c r="S164" s="28" t="b">
        <f t="shared" si="0"/>
        <v>0</v>
      </c>
    </row>
    <row r="165" spans="3:19" ht="15.75" customHeight="1" x14ac:dyDescent="0.2">
      <c r="C165" s="26">
        <v>26</v>
      </c>
      <c r="D165" s="21" t="s">
        <v>2464</v>
      </c>
      <c r="E165" s="21" t="s">
        <v>2442</v>
      </c>
      <c r="F165" s="21" t="s">
        <v>2443</v>
      </c>
      <c r="G165" s="21">
        <v>2197</v>
      </c>
      <c r="H165" s="21" t="s">
        <v>2440</v>
      </c>
      <c r="I165" s="21">
        <v>40</v>
      </c>
      <c r="J165" s="21">
        <v>87880</v>
      </c>
      <c r="K165" s="21">
        <v>0.12</v>
      </c>
      <c r="L165" s="21">
        <v>77334.399999999994</v>
      </c>
      <c r="M165" s="24">
        <v>44192</v>
      </c>
      <c r="N165" s="21">
        <f>MONTH(Продажи!$M165)</f>
        <v>12</v>
      </c>
      <c r="O165" s="21">
        <f>WEEKDAY(Продажи!$M165,2)</f>
        <v>7</v>
      </c>
      <c r="P165" s="21">
        <f>YEAR(Продажи!$M165)</f>
        <v>2020</v>
      </c>
      <c r="Q165" s="28">
        <f>WEEKNUM(Продажи!$M165,2)</f>
        <v>52</v>
      </c>
      <c r="R165" s="28">
        <f>IF((Продажи!$E165="Зеленый чай")*(Продажи!$Q165&gt;=7)*(Продажи!$Q165&lt;=42),Продажи!$K165,0)</f>
        <v>0</v>
      </c>
      <c r="S165" s="28">
        <f t="shared" si="0"/>
        <v>77334.399999999994</v>
      </c>
    </row>
    <row r="166" spans="3:19" ht="15.75" customHeight="1" x14ac:dyDescent="0.2">
      <c r="C166" s="26">
        <v>1</v>
      </c>
      <c r="D166" s="21" t="s">
        <v>2459</v>
      </c>
      <c r="E166" s="21" t="s">
        <v>2438</v>
      </c>
      <c r="F166" s="21" t="s">
        <v>2460</v>
      </c>
      <c r="G166" s="21">
        <v>876</v>
      </c>
      <c r="H166" s="21" t="s">
        <v>2444</v>
      </c>
      <c r="I166" s="21">
        <v>20</v>
      </c>
      <c r="J166" s="21">
        <v>17520</v>
      </c>
      <c r="K166" s="21">
        <v>0.03</v>
      </c>
      <c r="L166" s="21">
        <v>16994.400000000001</v>
      </c>
      <c r="M166" s="24">
        <v>44095</v>
      </c>
      <c r="N166" s="21">
        <f>MONTH(Продажи!$M166)</f>
        <v>9</v>
      </c>
      <c r="O166" s="21">
        <f>WEEKDAY(Продажи!$M166,2)</f>
        <v>1</v>
      </c>
      <c r="P166" s="21">
        <f>YEAR(Продажи!$M166)</f>
        <v>2020</v>
      </c>
      <c r="Q166" s="28">
        <f>WEEKNUM(Продажи!$M166,2)</f>
        <v>39</v>
      </c>
      <c r="R166" s="28">
        <f>IF((Продажи!$E166="Зеленый чай")*(Продажи!$Q166&gt;=7)*(Продажи!$Q166&lt;=42),Продажи!$K166,0)</f>
        <v>0.03</v>
      </c>
      <c r="S166" s="28">
        <f t="shared" si="0"/>
        <v>16994.400000000001</v>
      </c>
    </row>
    <row r="167" spans="3:19" ht="15.75" customHeight="1" x14ac:dyDescent="0.2">
      <c r="C167" s="26">
        <v>43</v>
      </c>
      <c r="D167" s="21" t="s">
        <v>2492</v>
      </c>
      <c r="E167" s="21" t="s">
        <v>2446</v>
      </c>
      <c r="F167" s="21" t="s">
        <v>2493</v>
      </c>
      <c r="G167" s="21">
        <v>759</v>
      </c>
      <c r="H167" s="21" t="s">
        <v>2444</v>
      </c>
      <c r="I167" s="21">
        <v>10</v>
      </c>
      <c r="J167" s="21">
        <v>7590</v>
      </c>
      <c r="K167" s="21">
        <v>0</v>
      </c>
      <c r="L167" s="21">
        <v>7590</v>
      </c>
      <c r="M167" s="24">
        <v>43364</v>
      </c>
      <c r="N167" s="21">
        <f>MONTH(Продажи!$M167)</f>
        <v>9</v>
      </c>
      <c r="O167" s="21">
        <f>WEEKDAY(Продажи!$M167,2)</f>
        <v>5</v>
      </c>
      <c r="P167" s="21">
        <f>YEAR(Продажи!$M167)</f>
        <v>2018</v>
      </c>
      <c r="Q167" s="28">
        <f>WEEKNUM(Продажи!$M167,2)</f>
        <v>38</v>
      </c>
      <c r="R167" s="28">
        <f>IF((Продажи!$E167="Зеленый чай")*(Продажи!$Q167&gt;=7)*(Продажи!$Q167&lt;=42),Продажи!$K167,0)</f>
        <v>0</v>
      </c>
      <c r="S167" s="28">
        <f t="shared" si="0"/>
        <v>7590</v>
      </c>
    </row>
    <row r="168" spans="3:19" ht="15.75" customHeight="1" x14ac:dyDescent="0.2">
      <c r="C168" s="26">
        <v>13</v>
      </c>
      <c r="D168" s="21" t="s">
        <v>2507</v>
      </c>
      <c r="E168" s="21" t="s">
        <v>2446</v>
      </c>
      <c r="F168" s="21" t="s">
        <v>2493</v>
      </c>
      <c r="G168" s="21">
        <v>759</v>
      </c>
      <c r="H168" s="21" t="s">
        <v>2444</v>
      </c>
      <c r="I168" s="21">
        <v>14</v>
      </c>
      <c r="J168" s="21">
        <v>10626</v>
      </c>
      <c r="K168" s="21">
        <v>0</v>
      </c>
      <c r="L168" s="21">
        <v>10626</v>
      </c>
      <c r="M168" s="24">
        <v>42958</v>
      </c>
      <c r="N168" s="21">
        <f>MONTH(Продажи!$M168)</f>
        <v>8</v>
      </c>
      <c r="O168" s="21">
        <f>WEEKDAY(Продажи!$M168,2)</f>
        <v>5</v>
      </c>
      <c r="P168" s="21">
        <f>YEAR(Продажи!$M168)</f>
        <v>2017</v>
      </c>
      <c r="Q168" s="28">
        <f>WEEKNUM(Продажи!$M168,2)</f>
        <v>33</v>
      </c>
      <c r="R168" s="28">
        <f>IF((Продажи!$E168="Зеленый чай")*(Продажи!$Q168&gt;=7)*(Продажи!$Q168&lt;=42),Продажи!$K168,0)</f>
        <v>0</v>
      </c>
      <c r="S168" s="28" t="b">
        <f t="shared" si="0"/>
        <v>0</v>
      </c>
    </row>
    <row r="169" spans="3:19" ht="15.75" customHeight="1" x14ac:dyDescent="0.2">
      <c r="C169" s="26">
        <v>5</v>
      </c>
      <c r="D169" s="21" t="s">
        <v>2483</v>
      </c>
      <c r="E169" s="21" t="s">
        <v>2446</v>
      </c>
      <c r="F169" s="21" t="s">
        <v>2484</v>
      </c>
      <c r="G169" s="21">
        <v>1182</v>
      </c>
      <c r="H169" s="21" t="s">
        <v>2440</v>
      </c>
      <c r="I169" s="21">
        <v>17</v>
      </c>
      <c r="J169" s="21">
        <v>20094</v>
      </c>
      <c r="K169" s="21">
        <v>0.03</v>
      </c>
      <c r="L169" s="21">
        <v>19491.18</v>
      </c>
      <c r="M169" s="24">
        <v>42810</v>
      </c>
      <c r="N169" s="21">
        <f>MONTH(Продажи!$M169)</f>
        <v>3</v>
      </c>
      <c r="O169" s="21">
        <f>WEEKDAY(Продажи!$M169,2)</f>
        <v>4</v>
      </c>
      <c r="P169" s="21">
        <f>YEAR(Продажи!$M169)</f>
        <v>2017</v>
      </c>
      <c r="Q169" s="28">
        <f>WEEKNUM(Продажи!$M169,2)</f>
        <v>12</v>
      </c>
      <c r="R169" s="28">
        <f>IF((Продажи!$E169="Зеленый чай")*(Продажи!$Q169&gt;=7)*(Продажи!$Q169&lt;=42),Продажи!$K169,0)</f>
        <v>0</v>
      </c>
      <c r="S169" s="28" t="b">
        <f t="shared" si="0"/>
        <v>0</v>
      </c>
    </row>
    <row r="170" spans="3:19" ht="15.75" customHeight="1" x14ac:dyDescent="0.2">
      <c r="C170" s="26">
        <v>47</v>
      </c>
      <c r="D170" s="21" t="s">
        <v>2461</v>
      </c>
      <c r="E170" s="21" t="s">
        <v>2462</v>
      </c>
      <c r="F170" s="21" t="s">
        <v>2463</v>
      </c>
      <c r="G170" s="21">
        <v>1994</v>
      </c>
      <c r="H170" s="21" t="s">
        <v>2444</v>
      </c>
      <c r="I170" s="21">
        <v>12</v>
      </c>
      <c r="J170" s="21">
        <v>23928</v>
      </c>
      <c r="K170" s="21">
        <v>0.03</v>
      </c>
      <c r="L170" s="21">
        <v>23210.16</v>
      </c>
      <c r="M170" s="24">
        <v>42987</v>
      </c>
      <c r="N170" s="21">
        <f>MONTH(Продажи!$M170)</f>
        <v>9</v>
      </c>
      <c r="O170" s="21">
        <f>WEEKDAY(Продажи!$M170,2)</f>
        <v>6</v>
      </c>
      <c r="P170" s="21">
        <f>YEAR(Продажи!$M170)</f>
        <v>2017</v>
      </c>
      <c r="Q170" s="28">
        <f>WEEKNUM(Продажи!$M170,2)</f>
        <v>37</v>
      </c>
      <c r="R170" s="28">
        <f>IF((Продажи!$E170="Зеленый чай")*(Продажи!$Q170&gt;=7)*(Продажи!$Q170&lt;=42),Продажи!$K170,0)</f>
        <v>0</v>
      </c>
      <c r="S170" s="28" t="b">
        <f t="shared" si="0"/>
        <v>0</v>
      </c>
    </row>
    <row r="171" spans="3:19" ht="15.75" customHeight="1" x14ac:dyDescent="0.2">
      <c r="C171" s="26">
        <v>8</v>
      </c>
      <c r="D171" s="21" t="s">
        <v>2477</v>
      </c>
      <c r="E171" s="21" t="s">
        <v>2454</v>
      </c>
      <c r="F171" s="21" t="s">
        <v>2478</v>
      </c>
      <c r="G171" s="21">
        <v>847</v>
      </c>
      <c r="H171" s="21" t="s">
        <v>2440</v>
      </c>
      <c r="I171" s="21">
        <v>15</v>
      </c>
      <c r="J171" s="21">
        <v>12705</v>
      </c>
      <c r="K171" s="21">
        <v>0</v>
      </c>
      <c r="L171" s="21">
        <v>12705</v>
      </c>
      <c r="M171" s="24">
        <v>42210</v>
      </c>
      <c r="N171" s="21">
        <f>MONTH(Продажи!$M171)</f>
        <v>7</v>
      </c>
      <c r="O171" s="21">
        <f>WEEKDAY(Продажи!$M171,2)</f>
        <v>6</v>
      </c>
      <c r="P171" s="21">
        <f>YEAR(Продажи!$M171)</f>
        <v>2015</v>
      </c>
      <c r="Q171" s="28">
        <f>WEEKNUM(Продажи!$M171,2)</f>
        <v>30</v>
      </c>
      <c r="R171" s="28">
        <f>IF((Продажи!$E171="Зеленый чай")*(Продажи!$Q171&gt;=7)*(Продажи!$Q171&lt;=42),Продажи!$K171,0)</f>
        <v>0</v>
      </c>
      <c r="S171" s="28">
        <f t="shared" si="0"/>
        <v>12705</v>
      </c>
    </row>
    <row r="172" spans="3:19" ht="15.75" customHeight="1" x14ac:dyDescent="0.2">
      <c r="C172" s="26">
        <v>29</v>
      </c>
      <c r="D172" s="21" t="s">
        <v>2514</v>
      </c>
      <c r="E172" s="21" t="s">
        <v>2505</v>
      </c>
      <c r="F172" s="21" t="s">
        <v>2515</v>
      </c>
      <c r="G172" s="21">
        <v>843</v>
      </c>
      <c r="H172" s="21" t="s">
        <v>2444</v>
      </c>
      <c r="I172" s="21">
        <v>10</v>
      </c>
      <c r="J172" s="21">
        <v>8430</v>
      </c>
      <c r="K172" s="21">
        <v>0</v>
      </c>
      <c r="L172" s="21">
        <v>8430</v>
      </c>
      <c r="M172" s="24">
        <v>43440</v>
      </c>
      <c r="N172" s="21">
        <f>MONTH(Продажи!$M172)</f>
        <v>12</v>
      </c>
      <c r="O172" s="21">
        <f>WEEKDAY(Продажи!$M172,2)</f>
        <v>4</v>
      </c>
      <c r="P172" s="21">
        <f>YEAR(Продажи!$M172)</f>
        <v>2018</v>
      </c>
      <c r="Q172" s="28">
        <f>WEEKNUM(Продажи!$M172,2)</f>
        <v>49</v>
      </c>
      <c r="R172" s="28">
        <f>IF((Продажи!$E172="Зеленый чай")*(Продажи!$Q172&gt;=7)*(Продажи!$Q172&lt;=42),Продажи!$K172,0)</f>
        <v>0</v>
      </c>
      <c r="S172" s="28" t="b">
        <f t="shared" si="0"/>
        <v>0</v>
      </c>
    </row>
    <row r="173" spans="3:19" ht="15.75" customHeight="1" x14ac:dyDescent="0.2">
      <c r="C173" s="26">
        <v>54</v>
      </c>
      <c r="D173" s="21" t="s">
        <v>2477</v>
      </c>
      <c r="E173" s="21" t="s">
        <v>2454</v>
      </c>
      <c r="F173" s="21" t="s">
        <v>2478</v>
      </c>
      <c r="G173" s="21">
        <v>847</v>
      </c>
      <c r="H173" s="21" t="s">
        <v>2440</v>
      </c>
      <c r="I173" s="21">
        <v>15</v>
      </c>
      <c r="J173" s="21">
        <v>12705</v>
      </c>
      <c r="K173" s="21">
        <v>0</v>
      </c>
      <c r="L173" s="21">
        <v>12705</v>
      </c>
      <c r="M173" s="24">
        <v>43990</v>
      </c>
      <c r="N173" s="21">
        <f>MONTH(Продажи!$M173)</f>
        <v>6</v>
      </c>
      <c r="O173" s="21">
        <f>WEEKDAY(Продажи!$M173,2)</f>
        <v>1</v>
      </c>
      <c r="P173" s="21">
        <f>YEAR(Продажи!$M173)</f>
        <v>2020</v>
      </c>
      <c r="Q173" s="28">
        <f>WEEKNUM(Продажи!$M173,2)</f>
        <v>24</v>
      </c>
      <c r="R173" s="28">
        <f>IF((Продажи!$E173="Зеленый чай")*(Продажи!$Q173&gt;=7)*(Продажи!$Q173&lt;=42),Продажи!$K173,0)</f>
        <v>0</v>
      </c>
      <c r="S173" s="28" t="b">
        <f t="shared" si="0"/>
        <v>0</v>
      </c>
    </row>
    <row r="174" spans="3:19" ht="15.75" customHeight="1" x14ac:dyDescent="0.2">
      <c r="C174" s="26">
        <v>3</v>
      </c>
      <c r="D174" s="21" t="s">
        <v>2445</v>
      </c>
      <c r="E174" s="21" t="s">
        <v>2446</v>
      </c>
      <c r="F174" s="21" t="s">
        <v>2446</v>
      </c>
      <c r="G174" s="21">
        <v>807</v>
      </c>
      <c r="H174" s="21" t="s">
        <v>2440</v>
      </c>
      <c r="I174" s="21">
        <v>18</v>
      </c>
      <c r="J174" s="21">
        <v>14526</v>
      </c>
      <c r="K174" s="21">
        <v>0</v>
      </c>
      <c r="L174" s="21">
        <v>14526</v>
      </c>
      <c r="M174" s="24">
        <v>43321</v>
      </c>
      <c r="N174" s="21">
        <f>MONTH(Продажи!$M174)</f>
        <v>8</v>
      </c>
      <c r="O174" s="21">
        <f>WEEKDAY(Продажи!$M174,2)</f>
        <v>4</v>
      </c>
      <c r="P174" s="21">
        <f>YEAR(Продажи!$M174)</f>
        <v>2018</v>
      </c>
      <c r="Q174" s="28">
        <f>WEEKNUM(Продажи!$M174,2)</f>
        <v>32</v>
      </c>
      <c r="R174" s="28">
        <f>IF((Продажи!$E174="Зеленый чай")*(Продажи!$Q174&gt;=7)*(Продажи!$Q174&lt;=42),Продажи!$K174,0)</f>
        <v>0</v>
      </c>
      <c r="S174" s="28" t="b">
        <f t="shared" si="0"/>
        <v>0</v>
      </c>
    </row>
    <row r="175" spans="3:19" ht="15.75" customHeight="1" x14ac:dyDescent="0.2">
      <c r="C175" s="26">
        <v>20</v>
      </c>
      <c r="D175" s="21" t="s">
        <v>2467</v>
      </c>
      <c r="E175" s="21" t="s">
        <v>2457</v>
      </c>
      <c r="F175" s="21" t="s">
        <v>2468</v>
      </c>
      <c r="G175" s="21">
        <v>2198</v>
      </c>
      <c r="H175" s="21" t="s">
        <v>2444</v>
      </c>
      <c r="I175" s="21">
        <v>35</v>
      </c>
      <c r="J175" s="21">
        <v>76930</v>
      </c>
      <c r="K175" s="21">
        <v>0.12</v>
      </c>
      <c r="L175" s="21">
        <v>67698.399999999994</v>
      </c>
      <c r="M175" s="24">
        <v>43626</v>
      </c>
      <c r="N175" s="21">
        <f>MONTH(Продажи!$M175)</f>
        <v>6</v>
      </c>
      <c r="O175" s="21">
        <f>WEEKDAY(Продажи!$M175,2)</f>
        <v>1</v>
      </c>
      <c r="P175" s="21">
        <f>YEAR(Продажи!$M175)</f>
        <v>2019</v>
      </c>
      <c r="Q175" s="28">
        <f>WEEKNUM(Продажи!$M175,2)</f>
        <v>24</v>
      </c>
      <c r="R175" s="28">
        <f>IF((Продажи!$E175="Зеленый чай")*(Продажи!$Q175&gt;=7)*(Продажи!$Q175&lt;=42),Продажи!$K175,0)</f>
        <v>0</v>
      </c>
      <c r="S175" s="28" t="b">
        <f t="shared" si="0"/>
        <v>0</v>
      </c>
    </row>
    <row r="176" spans="3:19" ht="15.75" customHeight="1" x14ac:dyDescent="0.2">
      <c r="C176" s="26">
        <v>5</v>
      </c>
      <c r="D176" s="21" t="s">
        <v>2483</v>
      </c>
      <c r="E176" s="21" t="s">
        <v>2446</v>
      </c>
      <c r="F176" s="21" t="s">
        <v>2484</v>
      </c>
      <c r="G176" s="21">
        <v>1182</v>
      </c>
      <c r="H176" s="21" t="s">
        <v>2440</v>
      </c>
      <c r="I176" s="21">
        <v>17</v>
      </c>
      <c r="J176" s="21">
        <v>20094</v>
      </c>
      <c r="K176" s="21">
        <v>0.03</v>
      </c>
      <c r="L176" s="21">
        <v>19491.18</v>
      </c>
      <c r="M176" s="24">
        <v>42290</v>
      </c>
      <c r="N176" s="21">
        <f>MONTH(Продажи!$M176)</f>
        <v>10</v>
      </c>
      <c r="O176" s="21">
        <f>WEEKDAY(Продажи!$M176,2)</f>
        <v>2</v>
      </c>
      <c r="P176" s="21">
        <f>YEAR(Продажи!$M176)</f>
        <v>2015</v>
      </c>
      <c r="Q176" s="28">
        <f>WEEKNUM(Продажи!$M176,2)</f>
        <v>42</v>
      </c>
      <c r="R176" s="28">
        <f>IF((Продажи!$E176="Зеленый чай")*(Продажи!$Q176&gt;=7)*(Продажи!$Q176&lt;=42),Продажи!$K176,0)</f>
        <v>0</v>
      </c>
      <c r="S176" s="28" t="b">
        <f t="shared" si="0"/>
        <v>0</v>
      </c>
    </row>
    <row r="177" spans="3:19" ht="15.75" customHeight="1" x14ac:dyDescent="0.2">
      <c r="C177" s="26">
        <v>27</v>
      </c>
      <c r="D177" s="21" t="s">
        <v>2499</v>
      </c>
      <c r="E177" s="21" t="s">
        <v>2462</v>
      </c>
      <c r="F177" s="21" t="s">
        <v>2463</v>
      </c>
      <c r="G177" s="21">
        <v>1994</v>
      </c>
      <c r="H177" s="21" t="s">
        <v>2444</v>
      </c>
      <c r="I177" s="21">
        <v>25</v>
      </c>
      <c r="J177" s="21">
        <v>49850</v>
      </c>
      <c r="K177" s="21">
        <v>0.06</v>
      </c>
      <c r="L177" s="21">
        <v>46859</v>
      </c>
      <c r="M177" s="24">
        <v>42221</v>
      </c>
      <c r="N177" s="21">
        <f>MONTH(Продажи!$M177)</f>
        <v>8</v>
      </c>
      <c r="O177" s="21">
        <f>WEEKDAY(Продажи!$M177,2)</f>
        <v>3</v>
      </c>
      <c r="P177" s="21">
        <f>YEAR(Продажи!$M177)</f>
        <v>2015</v>
      </c>
      <c r="Q177" s="28">
        <f>WEEKNUM(Продажи!$M177,2)</f>
        <v>32</v>
      </c>
      <c r="R177" s="28">
        <f>IF((Продажи!$E177="Зеленый чай")*(Продажи!$Q177&gt;=7)*(Продажи!$Q177&lt;=42),Продажи!$K177,0)</f>
        <v>0</v>
      </c>
      <c r="S177" s="28" t="b">
        <f t="shared" si="0"/>
        <v>0</v>
      </c>
    </row>
    <row r="178" spans="3:19" ht="15.75" customHeight="1" x14ac:dyDescent="0.2">
      <c r="C178" s="26">
        <v>5</v>
      </c>
      <c r="D178" s="21" t="s">
        <v>2483</v>
      </c>
      <c r="E178" s="21" t="s">
        <v>2446</v>
      </c>
      <c r="F178" s="21" t="s">
        <v>2484</v>
      </c>
      <c r="G178" s="21">
        <v>1182</v>
      </c>
      <c r="H178" s="21" t="s">
        <v>2440</v>
      </c>
      <c r="I178" s="21">
        <v>17</v>
      </c>
      <c r="J178" s="21">
        <v>20094</v>
      </c>
      <c r="K178" s="21">
        <v>0.03</v>
      </c>
      <c r="L178" s="21">
        <v>19491.18</v>
      </c>
      <c r="M178" s="24">
        <v>43969</v>
      </c>
      <c r="N178" s="21">
        <f>MONTH(Продажи!$M178)</f>
        <v>5</v>
      </c>
      <c r="O178" s="21">
        <f>WEEKDAY(Продажи!$M178,2)</f>
        <v>1</v>
      </c>
      <c r="P178" s="21">
        <f>YEAR(Продажи!$M178)</f>
        <v>2020</v>
      </c>
      <c r="Q178" s="28">
        <f>WEEKNUM(Продажи!$M178,2)</f>
        <v>21</v>
      </c>
      <c r="R178" s="28">
        <f>IF((Продажи!$E178="Зеленый чай")*(Продажи!$Q178&gt;=7)*(Продажи!$Q178&lt;=42),Продажи!$K178,0)</f>
        <v>0</v>
      </c>
      <c r="S178" s="28" t="b">
        <f t="shared" si="0"/>
        <v>0</v>
      </c>
    </row>
    <row r="179" spans="3:19" ht="15.75" customHeight="1" x14ac:dyDescent="0.2">
      <c r="C179" s="26">
        <v>13</v>
      </c>
      <c r="D179" s="21" t="s">
        <v>2507</v>
      </c>
      <c r="E179" s="21" t="s">
        <v>2446</v>
      </c>
      <c r="F179" s="21" t="s">
        <v>2493</v>
      </c>
      <c r="G179" s="21">
        <v>759</v>
      </c>
      <c r="H179" s="21" t="s">
        <v>2444</v>
      </c>
      <c r="I179" s="21">
        <v>14</v>
      </c>
      <c r="J179" s="21">
        <v>10626</v>
      </c>
      <c r="K179" s="21">
        <v>0</v>
      </c>
      <c r="L179" s="21">
        <v>10626</v>
      </c>
      <c r="M179" s="24">
        <v>43947</v>
      </c>
      <c r="N179" s="21">
        <f>MONTH(Продажи!$M179)</f>
        <v>4</v>
      </c>
      <c r="O179" s="21">
        <f>WEEKDAY(Продажи!$M179,2)</f>
        <v>7</v>
      </c>
      <c r="P179" s="21">
        <f>YEAR(Продажи!$M179)</f>
        <v>2020</v>
      </c>
      <c r="Q179" s="28">
        <f>WEEKNUM(Продажи!$M179,2)</f>
        <v>17</v>
      </c>
      <c r="R179" s="28">
        <f>IF((Продажи!$E179="Зеленый чай")*(Продажи!$Q179&gt;=7)*(Продажи!$Q179&lt;=42),Продажи!$K179,0)</f>
        <v>0</v>
      </c>
      <c r="S179" s="28">
        <f t="shared" si="0"/>
        <v>10626</v>
      </c>
    </row>
    <row r="180" spans="3:19" ht="15.75" customHeight="1" x14ac:dyDescent="0.2">
      <c r="C180" s="26">
        <v>25</v>
      </c>
      <c r="D180" s="21" t="s">
        <v>2490</v>
      </c>
      <c r="E180" s="21" t="s">
        <v>2462</v>
      </c>
      <c r="F180" s="21" t="s">
        <v>2491</v>
      </c>
      <c r="G180" s="21">
        <v>1994</v>
      </c>
      <c r="H180" s="21" t="s">
        <v>2444</v>
      </c>
      <c r="I180" s="21">
        <v>10</v>
      </c>
      <c r="J180" s="21">
        <v>19940</v>
      </c>
      <c r="K180" s="21">
        <v>0.03</v>
      </c>
      <c r="L180" s="21">
        <v>19341.8</v>
      </c>
      <c r="M180" s="24">
        <v>43574</v>
      </c>
      <c r="N180" s="21">
        <f>MONTH(Продажи!$M180)</f>
        <v>4</v>
      </c>
      <c r="O180" s="21">
        <f>WEEKDAY(Продажи!$M180,2)</f>
        <v>5</v>
      </c>
      <c r="P180" s="21">
        <f>YEAR(Продажи!$M180)</f>
        <v>2019</v>
      </c>
      <c r="Q180" s="28">
        <f>WEEKNUM(Продажи!$M180,2)</f>
        <v>16</v>
      </c>
      <c r="R180" s="28">
        <f>IF((Продажи!$E180="Зеленый чай")*(Продажи!$Q180&gt;=7)*(Продажи!$Q180&lt;=42),Продажи!$K180,0)</f>
        <v>0</v>
      </c>
      <c r="S180" s="28" t="b">
        <f t="shared" si="0"/>
        <v>0</v>
      </c>
    </row>
    <row r="181" spans="3:19" ht="15.75" customHeight="1" x14ac:dyDescent="0.2">
      <c r="C181" s="26">
        <v>18</v>
      </c>
      <c r="D181" s="21" t="s">
        <v>2508</v>
      </c>
      <c r="E181" s="21" t="s">
        <v>2476</v>
      </c>
      <c r="F181" s="21" t="s">
        <v>2509</v>
      </c>
      <c r="G181" s="21">
        <v>1531</v>
      </c>
      <c r="H181" s="21" t="s">
        <v>2440</v>
      </c>
      <c r="I181" s="21">
        <v>15</v>
      </c>
      <c r="J181" s="21">
        <v>22965</v>
      </c>
      <c r="K181" s="21">
        <v>0.03</v>
      </c>
      <c r="L181" s="21">
        <v>22276.05</v>
      </c>
      <c r="M181" s="24">
        <v>44013</v>
      </c>
      <c r="N181" s="21">
        <f>MONTH(Продажи!$M181)</f>
        <v>7</v>
      </c>
      <c r="O181" s="21">
        <f>WEEKDAY(Продажи!$M181,2)</f>
        <v>3</v>
      </c>
      <c r="P181" s="21">
        <f>YEAR(Продажи!$M181)</f>
        <v>2020</v>
      </c>
      <c r="Q181" s="28">
        <f>WEEKNUM(Продажи!$M181,2)</f>
        <v>27</v>
      </c>
      <c r="R181" s="28">
        <f>IF((Продажи!$E181="Зеленый чай")*(Продажи!$Q181&gt;=7)*(Продажи!$Q181&lt;=42),Продажи!$K181,0)</f>
        <v>0</v>
      </c>
      <c r="S181" s="28" t="b">
        <f t="shared" si="0"/>
        <v>0</v>
      </c>
    </row>
    <row r="182" spans="3:19" ht="15.75" customHeight="1" x14ac:dyDescent="0.2">
      <c r="C182" s="26">
        <v>32</v>
      </c>
      <c r="D182" s="21" t="s">
        <v>2496</v>
      </c>
      <c r="E182" s="21" t="s">
        <v>2446</v>
      </c>
      <c r="F182" s="21" t="s">
        <v>2466</v>
      </c>
      <c r="G182" s="21">
        <v>967</v>
      </c>
      <c r="H182" s="21" t="s">
        <v>2444</v>
      </c>
      <c r="I182" s="21">
        <v>8</v>
      </c>
      <c r="J182" s="21">
        <v>7736</v>
      </c>
      <c r="K182" s="21">
        <v>0</v>
      </c>
      <c r="L182" s="21">
        <v>7736</v>
      </c>
      <c r="M182" s="24">
        <v>43723</v>
      </c>
      <c r="N182" s="21">
        <f>MONTH(Продажи!$M182)</f>
        <v>9</v>
      </c>
      <c r="O182" s="21">
        <f>WEEKDAY(Продажи!$M182,2)</f>
        <v>7</v>
      </c>
      <c r="P182" s="21">
        <f>YEAR(Продажи!$M182)</f>
        <v>2019</v>
      </c>
      <c r="Q182" s="28">
        <f>WEEKNUM(Продажи!$M182,2)</f>
        <v>37</v>
      </c>
      <c r="R182" s="28">
        <f>IF((Продажи!$E182="Зеленый чай")*(Продажи!$Q182&gt;=7)*(Продажи!$Q182&lt;=42),Продажи!$K182,0)</f>
        <v>0</v>
      </c>
      <c r="S182" s="28" t="b">
        <f t="shared" si="0"/>
        <v>0</v>
      </c>
    </row>
    <row r="183" spans="3:19" ht="15.75" customHeight="1" x14ac:dyDescent="0.2">
      <c r="C183" s="26">
        <v>43</v>
      </c>
      <c r="D183" s="21" t="s">
        <v>2492</v>
      </c>
      <c r="E183" s="21" t="s">
        <v>2446</v>
      </c>
      <c r="F183" s="21" t="s">
        <v>2493</v>
      </c>
      <c r="G183" s="21">
        <v>759</v>
      </c>
      <c r="H183" s="21" t="s">
        <v>2444</v>
      </c>
      <c r="I183" s="21">
        <v>10</v>
      </c>
      <c r="J183" s="21">
        <v>7590</v>
      </c>
      <c r="K183" s="21">
        <v>0</v>
      </c>
      <c r="L183" s="21">
        <v>7590</v>
      </c>
      <c r="M183" s="24">
        <v>42904</v>
      </c>
      <c r="N183" s="21">
        <f>MONTH(Продажи!$M183)</f>
        <v>6</v>
      </c>
      <c r="O183" s="21">
        <f>WEEKDAY(Продажи!$M183,2)</f>
        <v>7</v>
      </c>
      <c r="P183" s="21">
        <f>YEAR(Продажи!$M183)</f>
        <v>2017</v>
      </c>
      <c r="Q183" s="28">
        <f>WEEKNUM(Продажи!$M183,2)</f>
        <v>25</v>
      </c>
      <c r="R183" s="28">
        <f>IF((Продажи!$E183="Зеленый чай")*(Продажи!$Q183&gt;=7)*(Продажи!$Q183&lt;=42),Продажи!$K183,0)</f>
        <v>0</v>
      </c>
      <c r="S183" s="28" t="b">
        <f t="shared" si="0"/>
        <v>0</v>
      </c>
    </row>
    <row r="184" spans="3:19" ht="15.75" customHeight="1" x14ac:dyDescent="0.2">
      <c r="C184" s="26">
        <v>38</v>
      </c>
      <c r="D184" s="21" t="s">
        <v>2483</v>
      </c>
      <c r="E184" s="21" t="s">
        <v>2446</v>
      </c>
      <c r="F184" s="21" t="s">
        <v>2484</v>
      </c>
      <c r="G184" s="21">
        <v>1182</v>
      </c>
      <c r="H184" s="21" t="s">
        <v>2440</v>
      </c>
      <c r="I184" s="21">
        <v>17</v>
      </c>
      <c r="J184" s="21">
        <v>20094</v>
      </c>
      <c r="K184" s="21">
        <v>0.03</v>
      </c>
      <c r="L184" s="21">
        <v>19491.18</v>
      </c>
      <c r="M184" s="24">
        <v>43140</v>
      </c>
      <c r="N184" s="21">
        <f>MONTH(Продажи!$M184)</f>
        <v>2</v>
      </c>
      <c r="O184" s="21">
        <f>WEEKDAY(Продажи!$M184,2)</f>
        <v>5</v>
      </c>
      <c r="P184" s="21">
        <f>YEAR(Продажи!$M184)</f>
        <v>2018</v>
      </c>
      <c r="Q184" s="28">
        <f>WEEKNUM(Продажи!$M184,2)</f>
        <v>6</v>
      </c>
      <c r="R184" s="28">
        <f>IF((Продажи!$E184="Зеленый чай")*(Продажи!$Q184&gt;=7)*(Продажи!$Q184&lt;=42),Продажи!$K184,0)</f>
        <v>0</v>
      </c>
      <c r="S184" s="28" t="b">
        <f t="shared" si="0"/>
        <v>0</v>
      </c>
    </row>
    <row r="185" spans="3:19" ht="15.75" customHeight="1" x14ac:dyDescent="0.2">
      <c r="C185" s="26">
        <v>9</v>
      </c>
      <c r="D185" s="21" t="s">
        <v>2447</v>
      </c>
      <c r="E185" s="21" t="s">
        <v>2448</v>
      </c>
      <c r="F185" s="21" t="s">
        <v>2448</v>
      </c>
      <c r="G185" s="21">
        <v>699</v>
      </c>
      <c r="H185" s="21" t="s">
        <v>2444</v>
      </c>
      <c r="I185" s="21">
        <v>10</v>
      </c>
      <c r="J185" s="21">
        <v>6990</v>
      </c>
      <c r="K185" s="21">
        <v>0</v>
      </c>
      <c r="L185" s="21">
        <v>6990</v>
      </c>
      <c r="M185" s="24">
        <v>42117</v>
      </c>
      <c r="N185" s="21">
        <f>MONTH(Продажи!$M185)</f>
        <v>4</v>
      </c>
      <c r="O185" s="21">
        <f>WEEKDAY(Продажи!$M185,2)</f>
        <v>4</v>
      </c>
      <c r="P185" s="21">
        <f>YEAR(Продажи!$M185)</f>
        <v>2015</v>
      </c>
      <c r="Q185" s="28">
        <f>WEEKNUM(Продажи!$M185,2)</f>
        <v>17</v>
      </c>
      <c r="R185" s="28">
        <f>IF((Продажи!$E185="Зеленый чай")*(Продажи!$Q185&gt;=7)*(Продажи!$Q185&lt;=42),Продажи!$K185,0)</f>
        <v>0</v>
      </c>
      <c r="S185" s="28">
        <f t="shared" si="0"/>
        <v>6990</v>
      </c>
    </row>
    <row r="186" spans="3:19" ht="15.75" customHeight="1" x14ac:dyDescent="0.2">
      <c r="C186" s="26">
        <v>56</v>
      </c>
      <c r="D186" s="21" t="s">
        <v>2451</v>
      </c>
      <c r="E186" s="21" t="s">
        <v>2438</v>
      </c>
      <c r="F186" s="21" t="s">
        <v>2452</v>
      </c>
      <c r="G186" s="21">
        <v>800</v>
      </c>
      <c r="H186" s="21" t="s">
        <v>2440</v>
      </c>
      <c r="I186" s="21">
        <v>40</v>
      </c>
      <c r="J186" s="21">
        <v>32000</v>
      </c>
      <c r="K186" s="21">
        <v>0.03</v>
      </c>
      <c r="L186" s="21">
        <v>31040</v>
      </c>
      <c r="M186" s="24">
        <v>42884</v>
      </c>
      <c r="N186" s="21">
        <f>MONTH(Продажи!$M186)</f>
        <v>5</v>
      </c>
      <c r="O186" s="21">
        <f>WEEKDAY(Продажи!$M186,2)</f>
        <v>1</v>
      </c>
      <c r="P186" s="21">
        <f>YEAR(Продажи!$M186)</f>
        <v>2017</v>
      </c>
      <c r="Q186" s="28">
        <f>WEEKNUM(Продажи!$M186,2)</f>
        <v>23</v>
      </c>
      <c r="R186" s="28">
        <f>IF((Продажи!$E186="Зеленый чай")*(Продажи!$Q186&gt;=7)*(Продажи!$Q186&lt;=42),Продажи!$K186,0)</f>
        <v>0.03</v>
      </c>
      <c r="S186" s="28">
        <f t="shared" si="0"/>
        <v>31040</v>
      </c>
    </row>
    <row r="187" spans="3:19" ht="15.75" customHeight="1" x14ac:dyDescent="0.2">
      <c r="C187" s="26">
        <v>20</v>
      </c>
      <c r="D187" s="21" t="s">
        <v>2467</v>
      </c>
      <c r="E187" s="21" t="s">
        <v>2457</v>
      </c>
      <c r="F187" s="21" t="s">
        <v>2468</v>
      </c>
      <c r="G187" s="21">
        <v>2198</v>
      </c>
      <c r="H187" s="21" t="s">
        <v>2444</v>
      </c>
      <c r="I187" s="21">
        <v>35</v>
      </c>
      <c r="J187" s="21">
        <v>76930</v>
      </c>
      <c r="K187" s="21">
        <v>0.12</v>
      </c>
      <c r="L187" s="21">
        <v>67698.399999999994</v>
      </c>
      <c r="M187" s="24">
        <v>43869</v>
      </c>
      <c r="N187" s="21">
        <f>MONTH(Продажи!$M187)</f>
        <v>2</v>
      </c>
      <c r="O187" s="21">
        <f>WEEKDAY(Продажи!$M187,2)</f>
        <v>6</v>
      </c>
      <c r="P187" s="21">
        <f>YEAR(Продажи!$M187)</f>
        <v>2020</v>
      </c>
      <c r="Q187" s="28">
        <f>WEEKNUM(Продажи!$M187,2)</f>
        <v>6</v>
      </c>
      <c r="R187" s="28">
        <f>IF((Продажи!$E187="Зеленый чай")*(Продажи!$Q187&gt;=7)*(Продажи!$Q187&lt;=42),Продажи!$K187,0)</f>
        <v>0</v>
      </c>
      <c r="S187" s="28" t="b">
        <f t="shared" si="0"/>
        <v>0</v>
      </c>
    </row>
    <row r="188" spans="3:19" ht="15.75" customHeight="1" x14ac:dyDescent="0.2">
      <c r="C188" s="26">
        <v>53</v>
      </c>
      <c r="D188" s="21" t="s">
        <v>2437</v>
      </c>
      <c r="E188" s="21" t="s">
        <v>2438</v>
      </c>
      <c r="F188" s="21" t="s">
        <v>2439</v>
      </c>
      <c r="G188" s="21">
        <v>1923</v>
      </c>
      <c r="H188" s="21" t="s">
        <v>2440</v>
      </c>
      <c r="I188" s="21">
        <v>35</v>
      </c>
      <c r="J188" s="21">
        <v>67305</v>
      </c>
      <c r="K188" s="21">
        <v>0.06</v>
      </c>
      <c r="L188" s="21">
        <v>63266.7</v>
      </c>
      <c r="M188" s="24">
        <v>42890</v>
      </c>
      <c r="N188" s="21">
        <f>MONTH(Продажи!$M188)</f>
        <v>6</v>
      </c>
      <c r="O188" s="21">
        <f>WEEKDAY(Продажи!$M188,2)</f>
        <v>7</v>
      </c>
      <c r="P188" s="21">
        <f>YEAR(Продажи!$M188)</f>
        <v>2017</v>
      </c>
      <c r="Q188" s="28">
        <f>WEEKNUM(Продажи!$M188,2)</f>
        <v>23</v>
      </c>
      <c r="R188" s="28">
        <f>IF((Продажи!$E188="Зеленый чай")*(Продажи!$Q188&gt;=7)*(Продажи!$Q188&lt;=42),Продажи!$K188,0)</f>
        <v>0.06</v>
      </c>
      <c r="S188" s="28" t="b">
        <f t="shared" si="0"/>
        <v>0</v>
      </c>
    </row>
    <row r="189" spans="3:19" ht="15.75" customHeight="1" x14ac:dyDescent="0.2">
      <c r="C189" s="26">
        <v>40</v>
      </c>
      <c r="D189" s="21" t="s">
        <v>2477</v>
      </c>
      <c r="E189" s="21" t="s">
        <v>2454</v>
      </c>
      <c r="F189" s="21" t="s">
        <v>2478</v>
      </c>
      <c r="G189" s="21">
        <v>847</v>
      </c>
      <c r="H189" s="21" t="s">
        <v>2440</v>
      </c>
      <c r="I189" s="21">
        <v>15</v>
      </c>
      <c r="J189" s="21">
        <v>12705</v>
      </c>
      <c r="K189" s="21">
        <v>0</v>
      </c>
      <c r="L189" s="21">
        <v>12705</v>
      </c>
      <c r="M189" s="24">
        <v>42971</v>
      </c>
      <c r="N189" s="21">
        <f>MONTH(Продажи!$M189)</f>
        <v>8</v>
      </c>
      <c r="O189" s="21">
        <f>WEEKDAY(Продажи!$M189,2)</f>
        <v>4</v>
      </c>
      <c r="P189" s="21">
        <f>YEAR(Продажи!$M189)</f>
        <v>2017</v>
      </c>
      <c r="Q189" s="28">
        <f>WEEKNUM(Продажи!$M189,2)</f>
        <v>35</v>
      </c>
      <c r="R189" s="28">
        <f>IF((Продажи!$E189="Зеленый чай")*(Продажи!$Q189&gt;=7)*(Продажи!$Q189&lt;=42),Продажи!$K189,0)</f>
        <v>0</v>
      </c>
      <c r="S189" s="28">
        <f t="shared" si="0"/>
        <v>12705</v>
      </c>
    </row>
    <row r="190" spans="3:19" ht="15.75" customHeight="1" x14ac:dyDescent="0.2">
      <c r="C190" s="26">
        <v>8</v>
      </c>
      <c r="D190" s="21" t="s">
        <v>2477</v>
      </c>
      <c r="E190" s="21" t="s">
        <v>2454</v>
      </c>
      <c r="F190" s="21" t="s">
        <v>2478</v>
      </c>
      <c r="G190" s="21">
        <v>847</v>
      </c>
      <c r="H190" s="21" t="s">
        <v>2440</v>
      </c>
      <c r="I190" s="21">
        <v>15</v>
      </c>
      <c r="J190" s="21">
        <v>12705</v>
      </c>
      <c r="K190" s="21">
        <v>0</v>
      </c>
      <c r="L190" s="21">
        <v>12705</v>
      </c>
      <c r="M190" s="24">
        <v>43479</v>
      </c>
      <c r="N190" s="21">
        <f>MONTH(Продажи!$M190)</f>
        <v>1</v>
      </c>
      <c r="O190" s="21">
        <f>WEEKDAY(Продажи!$M190,2)</f>
        <v>1</v>
      </c>
      <c r="P190" s="21">
        <f>YEAR(Продажи!$M190)</f>
        <v>2019</v>
      </c>
      <c r="Q190" s="28">
        <f>WEEKNUM(Продажи!$M190,2)</f>
        <v>3</v>
      </c>
      <c r="R190" s="28">
        <f>IF((Продажи!$E190="Зеленый чай")*(Продажи!$Q190&gt;=7)*(Продажи!$Q190&lt;=42),Продажи!$K190,0)</f>
        <v>0</v>
      </c>
      <c r="S190" s="28" t="b">
        <f t="shared" si="0"/>
        <v>0</v>
      </c>
    </row>
    <row r="191" spans="3:19" ht="15.75" customHeight="1" x14ac:dyDescent="0.2">
      <c r="C191" s="26">
        <v>14</v>
      </c>
      <c r="D191" s="21" t="s">
        <v>2475</v>
      </c>
      <c r="E191" s="21" t="s">
        <v>2476</v>
      </c>
      <c r="F191" s="21" t="s">
        <v>2476</v>
      </c>
      <c r="G191" s="21">
        <v>770</v>
      </c>
      <c r="H191" s="21" t="s">
        <v>2440</v>
      </c>
      <c r="I191" s="21">
        <v>20</v>
      </c>
      <c r="J191" s="21">
        <v>15400</v>
      </c>
      <c r="K191" s="21">
        <v>0.03</v>
      </c>
      <c r="L191" s="21">
        <v>14938</v>
      </c>
      <c r="M191" s="24">
        <v>43207</v>
      </c>
      <c r="N191" s="21">
        <f>MONTH(Продажи!$M191)</f>
        <v>4</v>
      </c>
      <c r="O191" s="21">
        <f>WEEKDAY(Продажи!$M191,2)</f>
        <v>2</v>
      </c>
      <c r="P191" s="21">
        <f>YEAR(Продажи!$M191)</f>
        <v>2018</v>
      </c>
      <c r="Q191" s="28">
        <f>WEEKNUM(Продажи!$M191,2)</f>
        <v>16</v>
      </c>
      <c r="R191" s="28">
        <f>IF((Продажи!$E191="Зеленый чай")*(Продажи!$Q191&gt;=7)*(Продажи!$Q191&lt;=42),Продажи!$K191,0)</f>
        <v>0</v>
      </c>
      <c r="S191" s="28" t="b">
        <f t="shared" si="0"/>
        <v>0</v>
      </c>
    </row>
    <row r="192" spans="3:19" ht="15.75" customHeight="1" x14ac:dyDescent="0.2">
      <c r="C192" s="26">
        <v>53</v>
      </c>
      <c r="D192" s="21" t="s">
        <v>2437</v>
      </c>
      <c r="E192" s="21" t="s">
        <v>2438</v>
      </c>
      <c r="F192" s="21" t="s">
        <v>2439</v>
      </c>
      <c r="G192" s="21">
        <v>1923</v>
      </c>
      <c r="H192" s="21" t="s">
        <v>2440</v>
      </c>
      <c r="I192" s="21">
        <v>35</v>
      </c>
      <c r="J192" s="21">
        <v>67305</v>
      </c>
      <c r="K192" s="21">
        <v>0.06</v>
      </c>
      <c r="L192" s="21">
        <v>63266.7</v>
      </c>
      <c r="M192" s="24">
        <v>42914</v>
      </c>
      <c r="N192" s="21">
        <f>MONTH(Продажи!$M192)</f>
        <v>6</v>
      </c>
      <c r="O192" s="21">
        <f>WEEKDAY(Продажи!$M192,2)</f>
        <v>3</v>
      </c>
      <c r="P192" s="21">
        <f>YEAR(Продажи!$M192)</f>
        <v>2017</v>
      </c>
      <c r="Q192" s="28">
        <f>WEEKNUM(Продажи!$M192,2)</f>
        <v>27</v>
      </c>
      <c r="R192" s="28">
        <f>IF((Продажи!$E192="Зеленый чай")*(Продажи!$Q192&gt;=7)*(Продажи!$Q192&lt;=42),Продажи!$K192,0)</f>
        <v>0.06</v>
      </c>
      <c r="S192" s="28">
        <f t="shared" si="0"/>
        <v>63266.7</v>
      </c>
    </row>
    <row r="193" spans="3:19" ht="15.75" customHeight="1" x14ac:dyDescent="0.2">
      <c r="C193" s="26">
        <v>32</v>
      </c>
      <c r="D193" s="21" t="s">
        <v>2496</v>
      </c>
      <c r="E193" s="21" t="s">
        <v>2446</v>
      </c>
      <c r="F193" s="21" t="s">
        <v>2466</v>
      </c>
      <c r="G193" s="21">
        <v>967</v>
      </c>
      <c r="H193" s="21" t="s">
        <v>2444</v>
      </c>
      <c r="I193" s="21">
        <v>8</v>
      </c>
      <c r="J193" s="21">
        <v>7736</v>
      </c>
      <c r="K193" s="21">
        <v>0</v>
      </c>
      <c r="L193" s="21">
        <v>7736</v>
      </c>
      <c r="M193" s="24">
        <v>44029</v>
      </c>
      <c r="N193" s="21">
        <f>MONTH(Продажи!$M193)</f>
        <v>7</v>
      </c>
      <c r="O193" s="21">
        <f>WEEKDAY(Продажи!$M193,2)</f>
        <v>5</v>
      </c>
      <c r="P193" s="21">
        <f>YEAR(Продажи!$M193)</f>
        <v>2020</v>
      </c>
      <c r="Q193" s="28">
        <f>WEEKNUM(Продажи!$M193,2)</f>
        <v>29</v>
      </c>
      <c r="R193" s="28">
        <f>IF((Продажи!$E193="Зеленый чай")*(Продажи!$Q193&gt;=7)*(Продажи!$Q193&lt;=42),Продажи!$K193,0)</f>
        <v>0</v>
      </c>
      <c r="S193" s="28" t="b">
        <f t="shared" si="0"/>
        <v>0</v>
      </c>
    </row>
    <row r="194" spans="3:19" ht="15.75" customHeight="1" x14ac:dyDescent="0.2">
      <c r="C194" s="26">
        <v>25</v>
      </c>
      <c r="D194" s="21" t="s">
        <v>2490</v>
      </c>
      <c r="E194" s="21" t="s">
        <v>2462</v>
      </c>
      <c r="F194" s="21" t="s">
        <v>2491</v>
      </c>
      <c r="G194" s="21">
        <v>1994</v>
      </c>
      <c r="H194" s="21" t="s">
        <v>2444</v>
      </c>
      <c r="I194" s="21">
        <v>10</v>
      </c>
      <c r="J194" s="21">
        <v>19940</v>
      </c>
      <c r="K194" s="21">
        <v>0.03</v>
      </c>
      <c r="L194" s="21">
        <v>19341.8</v>
      </c>
      <c r="M194" s="24">
        <v>42017</v>
      </c>
      <c r="N194" s="21">
        <f>MONTH(Продажи!$M194)</f>
        <v>1</v>
      </c>
      <c r="O194" s="21">
        <f>WEEKDAY(Продажи!$M194,2)</f>
        <v>2</v>
      </c>
      <c r="P194" s="21">
        <f>YEAR(Продажи!$M194)</f>
        <v>2015</v>
      </c>
      <c r="Q194" s="28">
        <f>WEEKNUM(Продажи!$M194,2)</f>
        <v>3</v>
      </c>
      <c r="R194" s="28">
        <f>IF((Продажи!$E194="Зеленый чай")*(Продажи!$Q194&gt;=7)*(Продажи!$Q194&lt;=42),Продажи!$K194,0)</f>
        <v>0</v>
      </c>
      <c r="S194" s="28" t="b">
        <f t="shared" si="0"/>
        <v>0</v>
      </c>
    </row>
    <row r="195" spans="3:19" ht="15.75" customHeight="1" x14ac:dyDescent="0.2">
      <c r="C195" s="26">
        <v>42</v>
      </c>
      <c r="D195" s="21" t="s">
        <v>2451</v>
      </c>
      <c r="E195" s="21" t="s">
        <v>2438</v>
      </c>
      <c r="F195" s="21" t="s">
        <v>2452</v>
      </c>
      <c r="G195" s="21">
        <v>800</v>
      </c>
      <c r="H195" s="21" t="s">
        <v>2440</v>
      </c>
      <c r="I195" s="21">
        <v>25</v>
      </c>
      <c r="J195" s="21">
        <v>20000</v>
      </c>
      <c r="K195" s="21">
        <v>0.03</v>
      </c>
      <c r="L195" s="21">
        <v>19400</v>
      </c>
      <c r="M195" s="24">
        <v>43418</v>
      </c>
      <c r="N195" s="21">
        <f>MONTH(Продажи!$M195)</f>
        <v>11</v>
      </c>
      <c r="O195" s="21">
        <f>WEEKDAY(Продажи!$M195,2)</f>
        <v>3</v>
      </c>
      <c r="P195" s="21">
        <f>YEAR(Продажи!$M195)</f>
        <v>2018</v>
      </c>
      <c r="Q195" s="28">
        <f>WEEKNUM(Продажи!$M195,2)</f>
        <v>46</v>
      </c>
      <c r="R195" s="28">
        <f>IF((Продажи!$E195="Зеленый чай")*(Продажи!$Q195&gt;=7)*(Продажи!$Q195&lt;=42),Продажи!$K195,0)</f>
        <v>0</v>
      </c>
      <c r="S195" s="28" t="b">
        <f t="shared" si="0"/>
        <v>0</v>
      </c>
    </row>
    <row r="196" spans="3:19" ht="15.75" customHeight="1" x14ac:dyDescent="0.2">
      <c r="C196" s="26">
        <v>23</v>
      </c>
      <c r="D196" s="21" t="s">
        <v>2473</v>
      </c>
      <c r="E196" s="21" t="s">
        <v>2448</v>
      </c>
      <c r="F196" s="21" t="s">
        <v>2474</v>
      </c>
      <c r="G196" s="21">
        <v>2645</v>
      </c>
      <c r="H196" s="21" t="s">
        <v>2444</v>
      </c>
      <c r="I196" s="21">
        <v>50</v>
      </c>
      <c r="J196" s="21">
        <v>132250</v>
      </c>
      <c r="K196" s="21">
        <v>0.15</v>
      </c>
      <c r="L196" s="21">
        <v>112412.5</v>
      </c>
      <c r="M196" s="24">
        <v>42055</v>
      </c>
      <c r="N196" s="21">
        <f>MONTH(Продажи!$M196)</f>
        <v>2</v>
      </c>
      <c r="O196" s="21">
        <f>WEEKDAY(Продажи!$M196,2)</f>
        <v>5</v>
      </c>
      <c r="P196" s="21">
        <f>YEAR(Продажи!$M196)</f>
        <v>2015</v>
      </c>
      <c r="Q196" s="28">
        <f>WEEKNUM(Продажи!$M196,2)</f>
        <v>8</v>
      </c>
      <c r="R196" s="28">
        <f>IF((Продажи!$E196="Зеленый чай")*(Продажи!$Q196&gt;=7)*(Продажи!$Q196&lt;=42),Продажи!$K196,0)</f>
        <v>0</v>
      </c>
      <c r="S196" s="28" t="b">
        <f t="shared" si="0"/>
        <v>0</v>
      </c>
    </row>
    <row r="197" spans="3:19" ht="15.75" customHeight="1" x14ac:dyDescent="0.2">
      <c r="C197" s="26">
        <v>39</v>
      </c>
      <c r="D197" s="21" t="s">
        <v>2437</v>
      </c>
      <c r="E197" s="21" t="s">
        <v>2438</v>
      </c>
      <c r="F197" s="21" t="s">
        <v>2439</v>
      </c>
      <c r="G197" s="21">
        <v>1923</v>
      </c>
      <c r="H197" s="21" t="s">
        <v>2440</v>
      </c>
      <c r="I197" s="21">
        <v>25</v>
      </c>
      <c r="J197" s="21">
        <v>48075</v>
      </c>
      <c r="K197" s="21">
        <v>0.06</v>
      </c>
      <c r="L197" s="21">
        <v>45190.5</v>
      </c>
      <c r="M197" s="24">
        <v>43020</v>
      </c>
      <c r="N197" s="21">
        <f>MONTH(Продажи!$M197)</f>
        <v>10</v>
      </c>
      <c r="O197" s="21">
        <f>WEEKDAY(Продажи!$M197,2)</f>
        <v>4</v>
      </c>
      <c r="P197" s="21">
        <f>YEAR(Продажи!$M197)</f>
        <v>2017</v>
      </c>
      <c r="Q197" s="28">
        <f>WEEKNUM(Продажи!$M197,2)</f>
        <v>42</v>
      </c>
      <c r="R197" s="28">
        <f>IF((Продажи!$E197="Зеленый чай")*(Продажи!$Q197&gt;=7)*(Продажи!$Q197&lt;=42),Продажи!$K197,0)</f>
        <v>0.06</v>
      </c>
      <c r="S197" s="28" t="b">
        <f t="shared" si="0"/>
        <v>0</v>
      </c>
    </row>
    <row r="198" spans="3:19" ht="15.75" customHeight="1" x14ac:dyDescent="0.2">
      <c r="C198" s="26">
        <v>37</v>
      </c>
      <c r="D198" s="21" t="s">
        <v>2449</v>
      </c>
      <c r="E198" s="21" t="s">
        <v>2448</v>
      </c>
      <c r="F198" s="21" t="s">
        <v>2450</v>
      </c>
      <c r="G198" s="21">
        <v>2211</v>
      </c>
      <c r="H198" s="21" t="s">
        <v>2444</v>
      </c>
      <c r="I198" s="21">
        <v>25</v>
      </c>
      <c r="J198" s="21">
        <v>55275</v>
      </c>
      <c r="K198" s="21">
        <v>0.09</v>
      </c>
      <c r="L198" s="21">
        <v>50300.25</v>
      </c>
      <c r="M198" s="24">
        <v>43684</v>
      </c>
      <c r="N198" s="21">
        <f>MONTH(Продажи!$M198)</f>
        <v>8</v>
      </c>
      <c r="O198" s="21">
        <f>WEEKDAY(Продажи!$M198,2)</f>
        <v>3</v>
      </c>
      <c r="P198" s="21">
        <f>YEAR(Продажи!$M198)</f>
        <v>2019</v>
      </c>
      <c r="Q198" s="28">
        <f>WEEKNUM(Продажи!$M198,2)</f>
        <v>32</v>
      </c>
      <c r="R198" s="28">
        <f>IF((Продажи!$E198="Зеленый чай")*(Продажи!$Q198&gt;=7)*(Продажи!$Q198&lt;=42),Продажи!$K198,0)</f>
        <v>0</v>
      </c>
      <c r="S198" s="28" t="b">
        <f t="shared" si="0"/>
        <v>0</v>
      </c>
    </row>
    <row r="199" spans="3:19" ht="15.75" customHeight="1" x14ac:dyDescent="0.2">
      <c r="C199" s="26">
        <v>2</v>
      </c>
      <c r="D199" s="21" t="s">
        <v>2500</v>
      </c>
      <c r="E199" s="21" t="s">
        <v>2446</v>
      </c>
      <c r="F199" s="21" t="s">
        <v>2501</v>
      </c>
      <c r="G199" s="21">
        <v>1178</v>
      </c>
      <c r="H199" s="21" t="s">
        <v>2444</v>
      </c>
      <c r="I199" s="21">
        <v>10</v>
      </c>
      <c r="J199" s="21">
        <v>11780</v>
      </c>
      <c r="K199" s="21">
        <v>0</v>
      </c>
      <c r="L199" s="21">
        <v>11780</v>
      </c>
      <c r="M199" s="24">
        <v>42672</v>
      </c>
      <c r="N199" s="21">
        <f>MONTH(Продажи!$M199)</f>
        <v>10</v>
      </c>
      <c r="O199" s="21">
        <f>WEEKDAY(Продажи!$M199,2)</f>
        <v>6</v>
      </c>
      <c r="P199" s="21">
        <f>YEAR(Продажи!$M199)</f>
        <v>2016</v>
      </c>
      <c r="Q199" s="28">
        <f>WEEKNUM(Продажи!$M199,2)</f>
        <v>44</v>
      </c>
      <c r="R199" s="28">
        <f>IF((Продажи!$E199="Зеленый чай")*(Продажи!$Q199&gt;=7)*(Продажи!$Q199&lt;=42),Продажи!$K199,0)</f>
        <v>0</v>
      </c>
      <c r="S199" s="28">
        <f t="shared" si="0"/>
        <v>11780</v>
      </c>
    </row>
    <row r="200" spans="3:19" ht="15.75" customHeight="1" x14ac:dyDescent="0.2">
      <c r="C200" s="26">
        <v>53</v>
      </c>
      <c r="D200" s="21" t="s">
        <v>2437</v>
      </c>
      <c r="E200" s="21" t="s">
        <v>2438</v>
      </c>
      <c r="F200" s="21" t="s">
        <v>2439</v>
      </c>
      <c r="G200" s="21">
        <v>1923</v>
      </c>
      <c r="H200" s="21" t="s">
        <v>2440</v>
      </c>
      <c r="I200" s="21">
        <v>35</v>
      </c>
      <c r="J200" s="21">
        <v>67305</v>
      </c>
      <c r="K200" s="21">
        <v>0.06</v>
      </c>
      <c r="L200" s="21">
        <v>63266.7</v>
      </c>
      <c r="M200" s="24">
        <v>43476</v>
      </c>
      <c r="N200" s="21">
        <f>MONTH(Продажи!$M200)</f>
        <v>1</v>
      </c>
      <c r="O200" s="21">
        <f>WEEKDAY(Продажи!$M200,2)</f>
        <v>5</v>
      </c>
      <c r="P200" s="21">
        <f>YEAR(Продажи!$M200)</f>
        <v>2019</v>
      </c>
      <c r="Q200" s="28">
        <f>WEEKNUM(Продажи!$M200,2)</f>
        <v>2</v>
      </c>
      <c r="R200" s="28">
        <f>IF((Продажи!$E200="Зеленый чай")*(Продажи!$Q200&gt;=7)*(Продажи!$Q200&lt;=42),Продажи!$K200,0)</f>
        <v>0</v>
      </c>
      <c r="S200" s="28" t="b">
        <f t="shared" si="0"/>
        <v>0</v>
      </c>
    </row>
    <row r="201" spans="3:19" ht="15.75" customHeight="1" x14ac:dyDescent="0.2">
      <c r="C201" s="26">
        <v>0</v>
      </c>
      <c r="D201" s="21" t="s">
        <v>2469</v>
      </c>
      <c r="E201" s="21" t="s">
        <v>2442</v>
      </c>
      <c r="F201" s="21" t="s">
        <v>2470</v>
      </c>
      <c r="G201" s="21">
        <v>620</v>
      </c>
      <c r="H201" s="21" t="s">
        <v>2444</v>
      </c>
      <c r="I201" s="21">
        <v>30</v>
      </c>
      <c r="J201" s="21">
        <v>18600</v>
      </c>
      <c r="K201" s="21">
        <v>0.03</v>
      </c>
      <c r="L201" s="21">
        <v>18042</v>
      </c>
      <c r="M201" s="24">
        <v>42840</v>
      </c>
      <c r="N201" s="21">
        <f>MONTH(Продажи!$M201)</f>
        <v>4</v>
      </c>
      <c r="O201" s="21">
        <f>WEEKDAY(Продажи!$M201,2)</f>
        <v>6</v>
      </c>
      <c r="P201" s="21">
        <f>YEAR(Продажи!$M201)</f>
        <v>2017</v>
      </c>
      <c r="Q201" s="28">
        <f>WEEKNUM(Продажи!$M201,2)</f>
        <v>16</v>
      </c>
      <c r="R201" s="28">
        <f>IF((Продажи!$E201="Зеленый чай")*(Продажи!$Q201&gt;=7)*(Продажи!$Q201&lt;=42),Продажи!$K201,0)</f>
        <v>0</v>
      </c>
      <c r="S201" s="28" t="b">
        <f t="shared" si="0"/>
        <v>0</v>
      </c>
    </row>
    <row r="202" spans="3:19" ht="15.75" customHeight="1" x14ac:dyDescent="0.2">
      <c r="C202" s="26">
        <v>17</v>
      </c>
      <c r="D202" s="21" t="s">
        <v>2465</v>
      </c>
      <c r="E202" s="21" t="s">
        <v>2446</v>
      </c>
      <c r="F202" s="21" t="s">
        <v>2466</v>
      </c>
      <c r="G202" s="21">
        <v>967</v>
      </c>
      <c r="H202" s="21" t="s">
        <v>2444</v>
      </c>
      <c r="I202" s="21">
        <v>12</v>
      </c>
      <c r="J202" s="21">
        <v>11604</v>
      </c>
      <c r="K202" s="21">
        <v>0</v>
      </c>
      <c r="L202" s="21">
        <v>11604</v>
      </c>
      <c r="M202" s="24">
        <v>44161</v>
      </c>
      <c r="N202" s="21">
        <f>MONTH(Продажи!$M202)</f>
        <v>11</v>
      </c>
      <c r="O202" s="21">
        <f>WEEKDAY(Продажи!$M202,2)</f>
        <v>4</v>
      </c>
      <c r="P202" s="21">
        <f>YEAR(Продажи!$M202)</f>
        <v>2020</v>
      </c>
      <c r="Q202" s="28">
        <f>WEEKNUM(Продажи!$M202,2)</f>
        <v>48</v>
      </c>
      <c r="R202" s="28">
        <f>IF((Продажи!$E202="Зеленый чай")*(Продажи!$Q202&gt;=7)*(Продажи!$Q202&lt;=42),Продажи!$K202,0)</f>
        <v>0</v>
      </c>
      <c r="S202" s="28">
        <f t="shared" si="0"/>
        <v>11604</v>
      </c>
    </row>
    <row r="203" spans="3:19" ht="15.75" customHeight="1" x14ac:dyDescent="0.2">
      <c r="C203" s="26">
        <v>52</v>
      </c>
      <c r="D203" s="21" t="s">
        <v>2483</v>
      </c>
      <c r="E203" s="21" t="s">
        <v>2446</v>
      </c>
      <c r="F203" s="21" t="s">
        <v>2484</v>
      </c>
      <c r="G203" s="21">
        <v>1182</v>
      </c>
      <c r="H203" s="21" t="s">
        <v>2440</v>
      </c>
      <c r="I203" s="21">
        <v>17</v>
      </c>
      <c r="J203" s="21">
        <v>20094</v>
      </c>
      <c r="K203" s="21">
        <v>0.03</v>
      </c>
      <c r="L203" s="21">
        <v>19491.18</v>
      </c>
      <c r="M203" s="24">
        <v>42313</v>
      </c>
      <c r="N203" s="21">
        <f>MONTH(Продажи!$M203)</f>
        <v>11</v>
      </c>
      <c r="O203" s="21">
        <f>WEEKDAY(Продажи!$M203,2)</f>
        <v>4</v>
      </c>
      <c r="P203" s="21">
        <f>YEAR(Продажи!$M203)</f>
        <v>2015</v>
      </c>
      <c r="Q203" s="28">
        <f>WEEKNUM(Продажи!$M203,2)</f>
        <v>45</v>
      </c>
      <c r="R203" s="28">
        <f>IF((Продажи!$E203="Зеленый чай")*(Продажи!$Q203&gt;=7)*(Продажи!$Q203&lt;=42),Продажи!$K203,0)</f>
        <v>0</v>
      </c>
      <c r="S203" s="28" t="b">
        <f t="shared" si="0"/>
        <v>0</v>
      </c>
    </row>
    <row r="204" spans="3:19" ht="15.75" customHeight="1" x14ac:dyDescent="0.2">
      <c r="C204" s="26">
        <v>16</v>
      </c>
      <c r="D204" s="21" t="s">
        <v>2504</v>
      </c>
      <c r="E204" s="21" t="s">
        <v>2505</v>
      </c>
      <c r="F204" s="21" t="s">
        <v>2506</v>
      </c>
      <c r="G204" s="21">
        <v>843</v>
      </c>
      <c r="H204" s="21" t="s">
        <v>2444</v>
      </c>
      <c r="I204" s="21">
        <v>5</v>
      </c>
      <c r="J204" s="21">
        <v>4215</v>
      </c>
      <c r="K204" s="21">
        <v>0</v>
      </c>
      <c r="L204" s="21">
        <v>4215</v>
      </c>
      <c r="M204" s="24">
        <v>42794</v>
      </c>
      <c r="N204" s="21">
        <f>MONTH(Продажи!$M204)</f>
        <v>2</v>
      </c>
      <c r="O204" s="21">
        <f>WEEKDAY(Продажи!$M204,2)</f>
        <v>2</v>
      </c>
      <c r="P204" s="21">
        <f>YEAR(Продажи!$M204)</f>
        <v>2017</v>
      </c>
      <c r="Q204" s="28">
        <f>WEEKNUM(Продажи!$M204,2)</f>
        <v>10</v>
      </c>
      <c r="R204" s="28">
        <f>IF((Продажи!$E204="Зеленый чай")*(Продажи!$Q204&gt;=7)*(Продажи!$Q204&lt;=42),Продажи!$K204,0)</f>
        <v>0</v>
      </c>
      <c r="S204" s="28">
        <f t="shared" si="0"/>
        <v>4215</v>
      </c>
    </row>
    <row r="205" spans="3:19" ht="15.75" customHeight="1" x14ac:dyDescent="0.2">
      <c r="C205" s="26">
        <v>12</v>
      </c>
      <c r="D205" s="21" t="s">
        <v>2453</v>
      </c>
      <c r="E205" s="21" t="s">
        <v>2454</v>
      </c>
      <c r="F205" s="21" t="s">
        <v>2455</v>
      </c>
      <c r="G205" s="21">
        <v>1386</v>
      </c>
      <c r="H205" s="21" t="s">
        <v>2440</v>
      </c>
      <c r="I205" s="21">
        <v>20</v>
      </c>
      <c r="J205" s="21">
        <v>27720</v>
      </c>
      <c r="K205" s="21">
        <v>0.03</v>
      </c>
      <c r="L205" s="21">
        <v>26888.400000000001</v>
      </c>
      <c r="M205" s="24">
        <v>42667</v>
      </c>
      <c r="N205" s="21">
        <f>MONTH(Продажи!$M205)</f>
        <v>10</v>
      </c>
      <c r="O205" s="21">
        <f>WEEKDAY(Продажи!$M205,2)</f>
        <v>1</v>
      </c>
      <c r="P205" s="21">
        <f>YEAR(Продажи!$M205)</f>
        <v>2016</v>
      </c>
      <c r="Q205" s="28">
        <f>WEEKNUM(Продажи!$M205,2)</f>
        <v>44</v>
      </c>
      <c r="R205" s="28">
        <f>IF((Продажи!$E205="Зеленый чай")*(Продажи!$Q205&gt;=7)*(Продажи!$Q205&lt;=42),Продажи!$K205,0)</f>
        <v>0</v>
      </c>
      <c r="S205" s="28">
        <f t="shared" si="0"/>
        <v>26888.400000000001</v>
      </c>
    </row>
    <row r="206" spans="3:19" ht="15.75" customHeight="1" x14ac:dyDescent="0.2">
      <c r="C206" s="26">
        <v>3</v>
      </c>
      <c r="D206" s="21" t="s">
        <v>2445</v>
      </c>
      <c r="E206" s="21" t="s">
        <v>2446</v>
      </c>
      <c r="F206" s="21" t="s">
        <v>2446</v>
      </c>
      <c r="G206" s="21">
        <v>807</v>
      </c>
      <c r="H206" s="21" t="s">
        <v>2440</v>
      </c>
      <c r="I206" s="21">
        <v>18</v>
      </c>
      <c r="J206" s="21">
        <v>14526</v>
      </c>
      <c r="K206" s="21">
        <v>0</v>
      </c>
      <c r="L206" s="21">
        <v>14526</v>
      </c>
      <c r="M206" s="24">
        <v>43604</v>
      </c>
      <c r="N206" s="21">
        <f>MONTH(Продажи!$M206)</f>
        <v>5</v>
      </c>
      <c r="O206" s="21">
        <f>WEEKDAY(Продажи!$M206,2)</f>
        <v>7</v>
      </c>
      <c r="P206" s="21">
        <f>YEAR(Продажи!$M206)</f>
        <v>2019</v>
      </c>
      <c r="Q206" s="28">
        <f>WEEKNUM(Продажи!$M206,2)</f>
        <v>20</v>
      </c>
      <c r="R206" s="28">
        <f>IF((Продажи!$E206="Зеленый чай")*(Продажи!$Q206&gt;=7)*(Продажи!$Q206&lt;=42),Продажи!$K206,0)</f>
        <v>0</v>
      </c>
      <c r="S206" s="28" t="b">
        <f t="shared" si="0"/>
        <v>0</v>
      </c>
    </row>
    <row r="207" spans="3:19" ht="15.75" customHeight="1" x14ac:dyDescent="0.2">
      <c r="C207" s="26">
        <v>3</v>
      </c>
      <c r="D207" s="21" t="s">
        <v>2445</v>
      </c>
      <c r="E207" s="21" t="s">
        <v>2446</v>
      </c>
      <c r="F207" s="21" t="s">
        <v>2446</v>
      </c>
      <c r="G207" s="21">
        <v>807</v>
      </c>
      <c r="H207" s="21" t="s">
        <v>2440</v>
      </c>
      <c r="I207" s="21">
        <v>18</v>
      </c>
      <c r="J207" s="21">
        <v>14526</v>
      </c>
      <c r="K207" s="21">
        <v>0</v>
      </c>
      <c r="L207" s="21">
        <v>14526</v>
      </c>
      <c r="M207" s="24">
        <v>43478</v>
      </c>
      <c r="N207" s="21">
        <f>MONTH(Продажи!$M207)</f>
        <v>1</v>
      </c>
      <c r="O207" s="21">
        <f>WEEKDAY(Продажи!$M207,2)</f>
        <v>7</v>
      </c>
      <c r="P207" s="21">
        <f>YEAR(Продажи!$M207)</f>
        <v>2019</v>
      </c>
      <c r="Q207" s="28">
        <f>WEEKNUM(Продажи!$M207,2)</f>
        <v>2</v>
      </c>
      <c r="R207" s="28">
        <f>IF((Продажи!$E207="Зеленый чай")*(Продажи!$Q207&gt;=7)*(Продажи!$Q207&lt;=42),Продажи!$K207,0)</f>
        <v>0</v>
      </c>
      <c r="S207" s="28" t="b">
        <f t="shared" si="0"/>
        <v>0</v>
      </c>
    </row>
    <row r="208" spans="3:19" ht="15.75" customHeight="1" x14ac:dyDescent="0.2">
      <c r="C208" s="26">
        <v>5</v>
      </c>
      <c r="D208" s="21" t="s">
        <v>2483</v>
      </c>
      <c r="E208" s="21" t="s">
        <v>2446</v>
      </c>
      <c r="F208" s="21" t="s">
        <v>2484</v>
      </c>
      <c r="G208" s="21">
        <v>1182</v>
      </c>
      <c r="H208" s="21" t="s">
        <v>2440</v>
      </c>
      <c r="I208" s="21">
        <v>17</v>
      </c>
      <c r="J208" s="21">
        <v>20094</v>
      </c>
      <c r="K208" s="21">
        <v>0.03</v>
      </c>
      <c r="L208" s="21">
        <v>19491.18</v>
      </c>
      <c r="M208" s="24">
        <v>43690</v>
      </c>
      <c r="N208" s="21">
        <f>MONTH(Продажи!$M208)</f>
        <v>8</v>
      </c>
      <c r="O208" s="21">
        <f>WEEKDAY(Продажи!$M208,2)</f>
        <v>2</v>
      </c>
      <c r="P208" s="21">
        <f>YEAR(Продажи!$M208)</f>
        <v>2019</v>
      </c>
      <c r="Q208" s="28">
        <f>WEEKNUM(Продажи!$M208,2)</f>
        <v>33</v>
      </c>
      <c r="R208" s="28">
        <f>IF((Продажи!$E208="Зеленый чай")*(Продажи!$Q208&gt;=7)*(Продажи!$Q208&lt;=42),Продажи!$K208,0)</f>
        <v>0</v>
      </c>
      <c r="S208" s="28" t="b">
        <f t="shared" si="0"/>
        <v>0</v>
      </c>
    </row>
    <row r="209" spans="3:19" ht="15.75" customHeight="1" x14ac:dyDescent="0.2">
      <c r="C209" s="26">
        <v>45</v>
      </c>
      <c r="D209" s="21" t="s">
        <v>2507</v>
      </c>
      <c r="E209" s="21" t="s">
        <v>2446</v>
      </c>
      <c r="F209" s="21" t="s">
        <v>2493</v>
      </c>
      <c r="G209" s="21">
        <v>759</v>
      </c>
      <c r="H209" s="21" t="s">
        <v>2444</v>
      </c>
      <c r="I209" s="21">
        <v>14</v>
      </c>
      <c r="J209" s="21">
        <v>10626</v>
      </c>
      <c r="K209" s="21">
        <v>0</v>
      </c>
      <c r="L209" s="21">
        <v>10626</v>
      </c>
      <c r="M209" s="24">
        <v>42181</v>
      </c>
      <c r="N209" s="21">
        <f>MONTH(Продажи!$M209)</f>
        <v>6</v>
      </c>
      <c r="O209" s="21">
        <f>WEEKDAY(Продажи!$M209,2)</f>
        <v>5</v>
      </c>
      <c r="P209" s="21">
        <f>YEAR(Продажи!$M209)</f>
        <v>2015</v>
      </c>
      <c r="Q209" s="28">
        <f>WEEKNUM(Продажи!$M209,2)</f>
        <v>26</v>
      </c>
      <c r="R209" s="28">
        <f>IF((Продажи!$E209="Зеленый чай")*(Продажи!$Q209&gt;=7)*(Продажи!$Q209&lt;=42),Продажи!$K209,0)</f>
        <v>0</v>
      </c>
      <c r="S209" s="28">
        <f t="shared" si="0"/>
        <v>10626</v>
      </c>
    </row>
    <row r="210" spans="3:19" ht="15.75" customHeight="1" x14ac:dyDescent="0.2">
      <c r="C210" s="26">
        <v>2</v>
      </c>
      <c r="D210" s="21" t="s">
        <v>2500</v>
      </c>
      <c r="E210" s="21" t="s">
        <v>2446</v>
      </c>
      <c r="F210" s="21" t="s">
        <v>2501</v>
      </c>
      <c r="G210" s="21">
        <v>1178</v>
      </c>
      <c r="H210" s="21" t="s">
        <v>2444</v>
      </c>
      <c r="I210" s="21">
        <v>10</v>
      </c>
      <c r="J210" s="21">
        <v>11780</v>
      </c>
      <c r="K210" s="21">
        <v>0</v>
      </c>
      <c r="L210" s="21">
        <v>11780</v>
      </c>
      <c r="M210" s="24">
        <v>42804</v>
      </c>
      <c r="N210" s="21">
        <f>MONTH(Продажи!$M210)</f>
        <v>3</v>
      </c>
      <c r="O210" s="21">
        <f>WEEKDAY(Продажи!$M210,2)</f>
        <v>5</v>
      </c>
      <c r="P210" s="21">
        <f>YEAR(Продажи!$M210)</f>
        <v>2017</v>
      </c>
      <c r="Q210" s="28">
        <f>WEEKNUM(Продажи!$M210,2)</f>
        <v>11</v>
      </c>
      <c r="R210" s="28">
        <f>IF((Продажи!$E210="Зеленый чай")*(Продажи!$Q210&gt;=7)*(Продажи!$Q210&lt;=42),Продажи!$K210,0)</f>
        <v>0</v>
      </c>
      <c r="S210" s="28" t="b">
        <f t="shared" si="0"/>
        <v>0</v>
      </c>
    </row>
    <row r="211" spans="3:19" ht="15.75" customHeight="1" x14ac:dyDescent="0.2">
      <c r="C211" s="26">
        <v>28</v>
      </c>
      <c r="D211" s="21" t="s">
        <v>2494</v>
      </c>
      <c r="E211" s="21" t="s">
        <v>2462</v>
      </c>
      <c r="F211" s="21" t="s">
        <v>2491</v>
      </c>
      <c r="G211" s="21">
        <v>1994</v>
      </c>
      <c r="H211" s="21" t="s">
        <v>2444</v>
      </c>
      <c r="I211" s="21">
        <v>40</v>
      </c>
      <c r="J211" s="21">
        <v>79760</v>
      </c>
      <c r="K211" s="21">
        <v>0.12</v>
      </c>
      <c r="L211" s="21">
        <v>70188.800000000003</v>
      </c>
      <c r="M211" s="24">
        <v>43107</v>
      </c>
      <c r="N211" s="21">
        <f>MONTH(Продажи!$M211)</f>
        <v>1</v>
      </c>
      <c r="O211" s="21">
        <f>WEEKDAY(Продажи!$M211,2)</f>
        <v>7</v>
      </c>
      <c r="P211" s="21">
        <f>YEAR(Продажи!$M211)</f>
        <v>2018</v>
      </c>
      <c r="Q211" s="28">
        <f>WEEKNUM(Продажи!$M211,2)</f>
        <v>1</v>
      </c>
      <c r="R211" s="28">
        <f>IF((Продажи!$E211="Зеленый чай")*(Продажи!$Q211&gt;=7)*(Продажи!$Q211&lt;=42),Продажи!$K211,0)</f>
        <v>0</v>
      </c>
      <c r="S211" s="28" t="b">
        <f t="shared" si="0"/>
        <v>0</v>
      </c>
    </row>
    <row r="212" spans="3:19" ht="15.75" customHeight="1" x14ac:dyDescent="0.2">
      <c r="C212" s="26">
        <v>54</v>
      </c>
      <c r="D212" s="21" t="s">
        <v>2477</v>
      </c>
      <c r="E212" s="21" t="s">
        <v>2454</v>
      </c>
      <c r="F212" s="21" t="s">
        <v>2478</v>
      </c>
      <c r="G212" s="21">
        <v>847</v>
      </c>
      <c r="H212" s="21" t="s">
        <v>2440</v>
      </c>
      <c r="I212" s="21">
        <v>15</v>
      </c>
      <c r="J212" s="21">
        <v>12705</v>
      </c>
      <c r="K212" s="21">
        <v>0</v>
      </c>
      <c r="L212" s="21">
        <v>12705</v>
      </c>
      <c r="M212" s="24">
        <v>42760</v>
      </c>
      <c r="N212" s="21">
        <f>MONTH(Продажи!$M212)</f>
        <v>1</v>
      </c>
      <c r="O212" s="21">
        <f>WEEKDAY(Продажи!$M212,2)</f>
        <v>3</v>
      </c>
      <c r="P212" s="21">
        <f>YEAR(Продажи!$M212)</f>
        <v>2017</v>
      </c>
      <c r="Q212" s="28">
        <f>WEEKNUM(Продажи!$M212,2)</f>
        <v>5</v>
      </c>
      <c r="R212" s="28">
        <f>IF((Продажи!$E212="Зеленый чай")*(Продажи!$Q212&gt;=7)*(Продажи!$Q212&lt;=42),Продажи!$K212,0)</f>
        <v>0</v>
      </c>
      <c r="S212" s="28">
        <f t="shared" si="0"/>
        <v>12705</v>
      </c>
    </row>
    <row r="213" spans="3:19" ht="15.75" customHeight="1" x14ac:dyDescent="0.2">
      <c r="C213" s="26">
        <v>22</v>
      </c>
      <c r="D213" s="21" t="s">
        <v>2510</v>
      </c>
      <c r="E213" s="21" t="s">
        <v>2511</v>
      </c>
      <c r="F213" s="21" t="s">
        <v>2511</v>
      </c>
      <c r="G213" s="21">
        <v>4889</v>
      </c>
      <c r="H213" s="21" t="s">
        <v>2444</v>
      </c>
      <c r="I213" s="21">
        <v>18</v>
      </c>
      <c r="J213" s="21">
        <v>88002</v>
      </c>
      <c r="K213" s="21">
        <v>0.12</v>
      </c>
      <c r="L213" s="21">
        <v>77441.759999999995</v>
      </c>
      <c r="M213" s="24">
        <v>44038</v>
      </c>
      <c r="N213" s="21">
        <f>MONTH(Продажи!$M213)</f>
        <v>7</v>
      </c>
      <c r="O213" s="21">
        <f>WEEKDAY(Продажи!$M213,2)</f>
        <v>7</v>
      </c>
      <c r="P213" s="21">
        <f>YEAR(Продажи!$M213)</f>
        <v>2020</v>
      </c>
      <c r="Q213" s="28">
        <f>WEEKNUM(Продажи!$M213,2)</f>
        <v>30</v>
      </c>
      <c r="R213" s="28">
        <f>IF((Продажи!$E213="Зеленый чай")*(Продажи!$Q213&gt;=7)*(Продажи!$Q213&lt;=42),Продажи!$K213,0)</f>
        <v>0</v>
      </c>
      <c r="S213" s="28">
        <f t="shared" si="0"/>
        <v>77441.759999999995</v>
      </c>
    </row>
    <row r="214" spans="3:19" ht="15.75" customHeight="1" x14ac:dyDescent="0.2">
      <c r="C214" s="26">
        <v>0</v>
      </c>
      <c r="D214" s="21" t="s">
        <v>2469</v>
      </c>
      <c r="E214" s="21" t="s">
        <v>2442</v>
      </c>
      <c r="F214" s="21" t="s">
        <v>2470</v>
      </c>
      <c r="G214" s="21">
        <v>620</v>
      </c>
      <c r="H214" s="21" t="s">
        <v>2444</v>
      </c>
      <c r="I214" s="21">
        <v>30</v>
      </c>
      <c r="J214" s="21">
        <v>18600</v>
      </c>
      <c r="K214" s="21">
        <v>0.03</v>
      </c>
      <c r="L214" s="21">
        <v>18042</v>
      </c>
      <c r="M214" s="24">
        <v>44006</v>
      </c>
      <c r="N214" s="21">
        <f>MONTH(Продажи!$M214)</f>
        <v>6</v>
      </c>
      <c r="O214" s="21">
        <f>WEEKDAY(Продажи!$M214,2)</f>
        <v>3</v>
      </c>
      <c r="P214" s="21">
        <f>YEAR(Продажи!$M214)</f>
        <v>2020</v>
      </c>
      <c r="Q214" s="28">
        <f>WEEKNUM(Продажи!$M214,2)</f>
        <v>26</v>
      </c>
      <c r="R214" s="28">
        <f>IF((Продажи!$E214="Зеленый чай")*(Продажи!$Q214&gt;=7)*(Продажи!$Q214&lt;=42),Продажи!$K214,0)</f>
        <v>0</v>
      </c>
      <c r="S214" s="28">
        <f t="shared" si="0"/>
        <v>18042</v>
      </c>
    </row>
    <row r="215" spans="3:19" ht="15.75" customHeight="1" x14ac:dyDescent="0.2">
      <c r="C215" s="26">
        <v>11</v>
      </c>
      <c r="D215" s="21" t="s">
        <v>2492</v>
      </c>
      <c r="E215" s="21" t="s">
        <v>2446</v>
      </c>
      <c r="F215" s="21" t="s">
        <v>2495</v>
      </c>
      <c r="G215" s="21">
        <v>3197</v>
      </c>
      <c r="H215" s="21" t="s">
        <v>2444</v>
      </c>
      <c r="I215" s="21">
        <v>10</v>
      </c>
      <c r="J215" s="21">
        <v>31970</v>
      </c>
      <c r="K215" s="21">
        <v>0</v>
      </c>
      <c r="L215" s="21">
        <v>31970</v>
      </c>
      <c r="M215" s="24">
        <v>42177</v>
      </c>
      <c r="N215" s="21">
        <f>MONTH(Продажи!$M215)</f>
        <v>6</v>
      </c>
      <c r="O215" s="21">
        <f>WEEKDAY(Продажи!$M215,2)</f>
        <v>1</v>
      </c>
      <c r="P215" s="21">
        <f>YEAR(Продажи!$M215)</f>
        <v>2015</v>
      </c>
      <c r="Q215" s="28">
        <f>WEEKNUM(Продажи!$M215,2)</f>
        <v>26</v>
      </c>
      <c r="R215" s="28">
        <f>IF((Продажи!$E215="Зеленый чай")*(Продажи!$Q215&gt;=7)*(Продажи!$Q215&lt;=42),Продажи!$K215,0)</f>
        <v>0</v>
      </c>
      <c r="S215" s="28">
        <f t="shared" si="0"/>
        <v>31970</v>
      </c>
    </row>
    <row r="216" spans="3:19" ht="15.75" customHeight="1" x14ac:dyDescent="0.2">
      <c r="C216" s="26">
        <v>8</v>
      </c>
      <c r="D216" s="21" t="s">
        <v>2477</v>
      </c>
      <c r="E216" s="21" t="s">
        <v>2454</v>
      </c>
      <c r="F216" s="21" t="s">
        <v>2478</v>
      </c>
      <c r="G216" s="21">
        <v>847</v>
      </c>
      <c r="H216" s="21" t="s">
        <v>2440</v>
      </c>
      <c r="I216" s="21">
        <v>15</v>
      </c>
      <c r="J216" s="21">
        <v>12705</v>
      </c>
      <c r="K216" s="21">
        <v>0</v>
      </c>
      <c r="L216" s="21">
        <v>12705</v>
      </c>
      <c r="M216" s="24">
        <v>43445</v>
      </c>
      <c r="N216" s="21">
        <f>MONTH(Продажи!$M216)</f>
        <v>12</v>
      </c>
      <c r="O216" s="21">
        <f>WEEKDAY(Продажи!$M216,2)</f>
        <v>2</v>
      </c>
      <c r="P216" s="21">
        <f>YEAR(Продажи!$M216)</f>
        <v>2018</v>
      </c>
      <c r="Q216" s="28">
        <f>WEEKNUM(Продажи!$M216,2)</f>
        <v>50</v>
      </c>
      <c r="R216" s="28">
        <f>IF((Продажи!$E216="Зеленый чай")*(Продажи!$Q216&gt;=7)*(Продажи!$Q216&lt;=42),Продажи!$K216,0)</f>
        <v>0</v>
      </c>
      <c r="S216" s="28" t="b">
        <f t="shared" si="0"/>
        <v>0</v>
      </c>
    </row>
    <row r="217" spans="3:19" ht="15.75" customHeight="1" x14ac:dyDescent="0.2">
      <c r="C217" s="26">
        <v>7</v>
      </c>
      <c r="D217" s="21" t="s">
        <v>2437</v>
      </c>
      <c r="E217" s="21" t="s">
        <v>2438</v>
      </c>
      <c r="F217" s="21" t="s">
        <v>2439</v>
      </c>
      <c r="G217" s="21">
        <v>1923</v>
      </c>
      <c r="H217" s="21" t="s">
        <v>2440</v>
      </c>
      <c r="I217" s="21">
        <v>25</v>
      </c>
      <c r="J217" s="21">
        <v>48075</v>
      </c>
      <c r="K217" s="21">
        <v>0.06</v>
      </c>
      <c r="L217" s="21">
        <v>45190.5</v>
      </c>
      <c r="M217" s="24">
        <v>44019</v>
      </c>
      <c r="N217" s="21">
        <f>MONTH(Продажи!$M217)</f>
        <v>7</v>
      </c>
      <c r="O217" s="21">
        <f>WEEKDAY(Продажи!$M217,2)</f>
        <v>2</v>
      </c>
      <c r="P217" s="21">
        <f>YEAR(Продажи!$M217)</f>
        <v>2020</v>
      </c>
      <c r="Q217" s="28">
        <f>WEEKNUM(Продажи!$M217,2)</f>
        <v>28</v>
      </c>
      <c r="R217" s="28">
        <f>IF((Продажи!$E217="Зеленый чай")*(Продажи!$Q217&gt;=7)*(Продажи!$Q217&lt;=42),Продажи!$K217,0)</f>
        <v>0.06</v>
      </c>
      <c r="S217" s="28" t="b">
        <f t="shared" si="0"/>
        <v>0</v>
      </c>
    </row>
    <row r="218" spans="3:19" ht="15.75" customHeight="1" x14ac:dyDescent="0.2">
      <c r="C218" s="26">
        <v>23</v>
      </c>
      <c r="D218" s="21" t="s">
        <v>2473</v>
      </c>
      <c r="E218" s="21" t="s">
        <v>2448</v>
      </c>
      <c r="F218" s="21" t="s">
        <v>2474</v>
      </c>
      <c r="G218" s="21">
        <v>2645</v>
      </c>
      <c r="H218" s="21" t="s">
        <v>2444</v>
      </c>
      <c r="I218" s="21">
        <v>50</v>
      </c>
      <c r="J218" s="21">
        <v>132250</v>
      </c>
      <c r="K218" s="21">
        <v>0.15</v>
      </c>
      <c r="L218" s="21">
        <v>112412.5</v>
      </c>
      <c r="M218" s="24">
        <v>43255</v>
      </c>
      <c r="N218" s="21">
        <f>MONTH(Продажи!$M218)</f>
        <v>6</v>
      </c>
      <c r="O218" s="21">
        <f>WEEKDAY(Продажи!$M218,2)</f>
        <v>1</v>
      </c>
      <c r="P218" s="21">
        <f>YEAR(Продажи!$M218)</f>
        <v>2018</v>
      </c>
      <c r="Q218" s="28">
        <f>WEEKNUM(Продажи!$M218,2)</f>
        <v>23</v>
      </c>
      <c r="R218" s="28">
        <f>IF((Продажи!$E218="Зеленый чай")*(Продажи!$Q218&gt;=7)*(Продажи!$Q218&lt;=42),Продажи!$K218,0)</f>
        <v>0</v>
      </c>
      <c r="S218" s="28" t="b">
        <f t="shared" si="0"/>
        <v>0</v>
      </c>
    </row>
    <row r="219" spans="3:19" ht="15.75" customHeight="1" x14ac:dyDescent="0.2">
      <c r="C219" s="26">
        <v>2</v>
      </c>
      <c r="D219" s="21" t="s">
        <v>2500</v>
      </c>
      <c r="E219" s="21" t="s">
        <v>2446</v>
      </c>
      <c r="F219" s="21" t="s">
        <v>2501</v>
      </c>
      <c r="G219" s="21">
        <v>1178</v>
      </c>
      <c r="H219" s="21" t="s">
        <v>2444</v>
      </c>
      <c r="I219" s="21">
        <v>10</v>
      </c>
      <c r="J219" s="21">
        <v>11780</v>
      </c>
      <c r="K219" s="21">
        <v>0</v>
      </c>
      <c r="L219" s="21">
        <v>11780</v>
      </c>
      <c r="M219" s="24">
        <v>42236</v>
      </c>
      <c r="N219" s="21">
        <f>MONTH(Продажи!$M219)</f>
        <v>8</v>
      </c>
      <c r="O219" s="21">
        <f>WEEKDAY(Продажи!$M219,2)</f>
        <v>4</v>
      </c>
      <c r="P219" s="21">
        <f>YEAR(Продажи!$M219)</f>
        <v>2015</v>
      </c>
      <c r="Q219" s="28">
        <f>WEEKNUM(Продажи!$M219,2)</f>
        <v>34</v>
      </c>
      <c r="R219" s="28">
        <f>IF((Продажи!$E219="Зеленый чай")*(Продажи!$Q219&gt;=7)*(Продажи!$Q219&lt;=42),Продажи!$K219,0)</f>
        <v>0</v>
      </c>
      <c r="S219" s="28" t="b">
        <f t="shared" si="0"/>
        <v>0</v>
      </c>
    </row>
    <row r="220" spans="3:19" ht="15.75" customHeight="1" x14ac:dyDescent="0.2">
      <c r="C220" s="26">
        <v>10</v>
      </c>
      <c r="D220" s="21" t="s">
        <v>2451</v>
      </c>
      <c r="E220" s="21" t="s">
        <v>2438</v>
      </c>
      <c r="F220" s="21" t="s">
        <v>2452</v>
      </c>
      <c r="G220" s="21">
        <v>800</v>
      </c>
      <c r="H220" s="21" t="s">
        <v>2440</v>
      </c>
      <c r="I220" s="21">
        <v>25</v>
      </c>
      <c r="J220" s="21">
        <v>20000</v>
      </c>
      <c r="K220" s="21">
        <v>0.03</v>
      </c>
      <c r="L220" s="21">
        <v>19400</v>
      </c>
      <c r="M220" s="24">
        <v>42543</v>
      </c>
      <c r="N220" s="21">
        <f>MONTH(Продажи!$M220)</f>
        <v>6</v>
      </c>
      <c r="O220" s="21">
        <f>WEEKDAY(Продажи!$M220,2)</f>
        <v>3</v>
      </c>
      <c r="P220" s="21">
        <f>YEAR(Продажи!$M220)</f>
        <v>2016</v>
      </c>
      <c r="Q220" s="28">
        <f>WEEKNUM(Продажи!$M220,2)</f>
        <v>26</v>
      </c>
      <c r="R220" s="28">
        <f>IF((Продажи!$E220="Зеленый чай")*(Продажи!$Q220&gt;=7)*(Продажи!$Q220&lt;=42),Продажи!$K220,0)</f>
        <v>0.03</v>
      </c>
      <c r="S220" s="28">
        <f t="shared" si="0"/>
        <v>19400</v>
      </c>
    </row>
    <row r="221" spans="3:19" ht="15.75" customHeight="1" x14ac:dyDescent="0.2">
      <c r="C221" s="26">
        <v>52</v>
      </c>
      <c r="D221" s="21" t="s">
        <v>2483</v>
      </c>
      <c r="E221" s="21" t="s">
        <v>2446</v>
      </c>
      <c r="F221" s="21" t="s">
        <v>2484</v>
      </c>
      <c r="G221" s="21">
        <v>1182</v>
      </c>
      <c r="H221" s="21" t="s">
        <v>2440</v>
      </c>
      <c r="I221" s="21">
        <v>17</v>
      </c>
      <c r="J221" s="21">
        <v>20094</v>
      </c>
      <c r="K221" s="21">
        <v>0.03</v>
      </c>
      <c r="L221" s="21">
        <v>19491.18</v>
      </c>
      <c r="M221" s="24">
        <v>43925</v>
      </c>
      <c r="N221" s="21">
        <f>MONTH(Продажи!$M221)</f>
        <v>4</v>
      </c>
      <c r="O221" s="21">
        <f>WEEKDAY(Продажи!$M221,2)</f>
        <v>6</v>
      </c>
      <c r="P221" s="21">
        <f>YEAR(Продажи!$M221)</f>
        <v>2020</v>
      </c>
      <c r="Q221" s="28">
        <f>WEEKNUM(Продажи!$M221,2)</f>
        <v>14</v>
      </c>
      <c r="R221" s="28">
        <f>IF((Продажи!$E221="Зеленый чай")*(Продажи!$Q221&gt;=7)*(Продажи!$Q221&lt;=42),Продажи!$K221,0)</f>
        <v>0</v>
      </c>
      <c r="S221" s="28" t="b">
        <f t="shared" si="0"/>
        <v>0</v>
      </c>
    </row>
    <row r="222" spans="3:19" ht="15.75" customHeight="1" x14ac:dyDescent="0.2">
      <c r="C222" s="26">
        <v>16</v>
      </c>
      <c r="D222" s="21" t="s">
        <v>2504</v>
      </c>
      <c r="E222" s="21" t="s">
        <v>2505</v>
      </c>
      <c r="F222" s="21" t="s">
        <v>2506</v>
      </c>
      <c r="G222" s="21">
        <v>843</v>
      </c>
      <c r="H222" s="21" t="s">
        <v>2444</v>
      </c>
      <c r="I222" s="21">
        <v>5</v>
      </c>
      <c r="J222" s="21">
        <v>4215</v>
      </c>
      <c r="K222" s="21">
        <v>0</v>
      </c>
      <c r="L222" s="21">
        <v>4215</v>
      </c>
      <c r="M222" s="24">
        <v>42194</v>
      </c>
      <c r="N222" s="21">
        <f>MONTH(Продажи!$M222)</f>
        <v>7</v>
      </c>
      <c r="O222" s="21">
        <f>WEEKDAY(Продажи!$M222,2)</f>
        <v>4</v>
      </c>
      <c r="P222" s="21">
        <f>YEAR(Продажи!$M222)</f>
        <v>2015</v>
      </c>
      <c r="Q222" s="28">
        <f>WEEKNUM(Продажи!$M222,2)</f>
        <v>28</v>
      </c>
      <c r="R222" s="28">
        <f>IF((Продажи!$E222="Зеленый чай")*(Продажи!$Q222&gt;=7)*(Продажи!$Q222&lt;=42),Продажи!$K222,0)</f>
        <v>0</v>
      </c>
      <c r="S222" s="28" t="b">
        <f t="shared" si="0"/>
        <v>0</v>
      </c>
    </row>
    <row r="223" spans="3:19" ht="15.75" customHeight="1" x14ac:dyDescent="0.2">
      <c r="C223" s="26">
        <v>56</v>
      </c>
      <c r="D223" s="21" t="s">
        <v>2451</v>
      </c>
      <c r="E223" s="21" t="s">
        <v>2438</v>
      </c>
      <c r="F223" s="21" t="s">
        <v>2452</v>
      </c>
      <c r="G223" s="21">
        <v>800</v>
      </c>
      <c r="H223" s="21" t="s">
        <v>2440</v>
      </c>
      <c r="I223" s="21">
        <v>40</v>
      </c>
      <c r="J223" s="21">
        <v>32000</v>
      </c>
      <c r="K223" s="21">
        <v>0.03</v>
      </c>
      <c r="L223" s="21">
        <v>31040</v>
      </c>
      <c r="M223" s="24">
        <v>42528</v>
      </c>
      <c r="N223" s="21">
        <f>MONTH(Продажи!$M223)</f>
        <v>6</v>
      </c>
      <c r="O223" s="21">
        <f>WEEKDAY(Продажи!$M223,2)</f>
        <v>2</v>
      </c>
      <c r="P223" s="21">
        <f>YEAR(Продажи!$M223)</f>
        <v>2016</v>
      </c>
      <c r="Q223" s="28">
        <f>WEEKNUM(Продажи!$M223,2)</f>
        <v>24</v>
      </c>
      <c r="R223" s="28">
        <f>IF((Продажи!$E223="Зеленый чай")*(Продажи!$Q223&gt;=7)*(Продажи!$Q223&lt;=42),Продажи!$K223,0)</f>
        <v>0.03</v>
      </c>
      <c r="S223" s="28" t="b">
        <f t="shared" si="0"/>
        <v>0</v>
      </c>
    </row>
    <row r="224" spans="3:19" ht="15.75" customHeight="1" x14ac:dyDescent="0.2">
      <c r="C224" s="26">
        <v>9</v>
      </c>
      <c r="D224" s="21" t="s">
        <v>2447</v>
      </c>
      <c r="E224" s="21" t="s">
        <v>2448</v>
      </c>
      <c r="F224" s="21" t="s">
        <v>2448</v>
      </c>
      <c r="G224" s="21">
        <v>699</v>
      </c>
      <c r="H224" s="21" t="s">
        <v>2444</v>
      </c>
      <c r="I224" s="21">
        <v>10</v>
      </c>
      <c r="J224" s="21">
        <v>6990</v>
      </c>
      <c r="K224" s="21">
        <v>0</v>
      </c>
      <c r="L224" s="21">
        <v>6990</v>
      </c>
      <c r="M224" s="24">
        <v>43329</v>
      </c>
      <c r="N224" s="21">
        <f>MONTH(Продажи!$M224)</f>
        <v>8</v>
      </c>
      <c r="O224" s="21">
        <f>WEEKDAY(Продажи!$M224,2)</f>
        <v>5</v>
      </c>
      <c r="P224" s="21">
        <f>YEAR(Продажи!$M224)</f>
        <v>2018</v>
      </c>
      <c r="Q224" s="28">
        <f>WEEKNUM(Продажи!$M224,2)</f>
        <v>33</v>
      </c>
      <c r="R224" s="28">
        <f>IF((Продажи!$E224="Зеленый чай")*(Продажи!$Q224&gt;=7)*(Продажи!$Q224&lt;=42),Продажи!$K224,0)</f>
        <v>0</v>
      </c>
      <c r="S224" s="28" t="b">
        <f t="shared" si="0"/>
        <v>0</v>
      </c>
    </row>
    <row r="225" spans="3:19" ht="15.75" customHeight="1" x14ac:dyDescent="0.2">
      <c r="C225" s="26">
        <v>3</v>
      </c>
      <c r="D225" s="21" t="s">
        <v>2445</v>
      </c>
      <c r="E225" s="21" t="s">
        <v>2446</v>
      </c>
      <c r="F225" s="21" t="s">
        <v>2446</v>
      </c>
      <c r="G225" s="21">
        <v>807</v>
      </c>
      <c r="H225" s="21" t="s">
        <v>2440</v>
      </c>
      <c r="I225" s="21">
        <v>18</v>
      </c>
      <c r="J225" s="21">
        <v>14526</v>
      </c>
      <c r="K225" s="21">
        <v>0</v>
      </c>
      <c r="L225" s="21">
        <v>14526</v>
      </c>
      <c r="M225" s="24">
        <v>42352</v>
      </c>
      <c r="N225" s="21">
        <f>MONTH(Продажи!$M225)</f>
        <v>12</v>
      </c>
      <c r="O225" s="21">
        <f>WEEKDAY(Продажи!$M225,2)</f>
        <v>1</v>
      </c>
      <c r="P225" s="21">
        <f>YEAR(Продажи!$M225)</f>
        <v>2015</v>
      </c>
      <c r="Q225" s="28">
        <f>WEEKNUM(Продажи!$M225,2)</f>
        <v>51</v>
      </c>
      <c r="R225" s="28">
        <f>IF((Продажи!$E225="Зеленый чай")*(Продажи!$Q225&gt;=7)*(Продажи!$Q225&lt;=42),Продажи!$K225,0)</f>
        <v>0</v>
      </c>
      <c r="S225" s="28" t="b">
        <f t="shared" si="0"/>
        <v>0</v>
      </c>
    </row>
    <row r="226" spans="3:19" ht="15.75" customHeight="1" x14ac:dyDescent="0.2">
      <c r="C226" s="26">
        <v>23</v>
      </c>
      <c r="D226" s="21" t="s">
        <v>2473</v>
      </c>
      <c r="E226" s="21" t="s">
        <v>2448</v>
      </c>
      <c r="F226" s="21" t="s">
        <v>2474</v>
      </c>
      <c r="G226" s="21">
        <v>2645</v>
      </c>
      <c r="H226" s="21" t="s">
        <v>2444</v>
      </c>
      <c r="I226" s="21">
        <v>50</v>
      </c>
      <c r="J226" s="21">
        <v>132250</v>
      </c>
      <c r="K226" s="21">
        <v>0.15</v>
      </c>
      <c r="L226" s="21">
        <v>112412.5</v>
      </c>
      <c r="M226" s="24">
        <v>43471</v>
      </c>
      <c r="N226" s="21">
        <f>MONTH(Продажи!$M226)</f>
        <v>1</v>
      </c>
      <c r="O226" s="21">
        <f>WEEKDAY(Продажи!$M226,2)</f>
        <v>7</v>
      </c>
      <c r="P226" s="21">
        <f>YEAR(Продажи!$M226)</f>
        <v>2019</v>
      </c>
      <c r="Q226" s="28">
        <f>WEEKNUM(Продажи!$M226,2)</f>
        <v>1</v>
      </c>
      <c r="R226" s="28">
        <f>IF((Продажи!$E226="Зеленый чай")*(Продажи!$Q226&gt;=7)*(Продажи!$Q226&lt;=42),Продажи!$K226,0)</f>
        <v>0</v>
      </c>
      <c r="S226" s="28" t="b">
        <f t="shared" si="0"/>
        <v>0</v>
      </c>
    </row>
    <row r="227" spans="3:19" ht="15.75" customHeight="1" x14ac:dyDescent="0.2">
      <c r="C227" s="26">
        <v>8</v>
      </c>
      <c r="D227" s="21" t="s">
        <v>2477</v>
      </c>
      <c r="E227" s="21" t="s">
        <v>2454</v>
      </c>
      <c r="F227" s="21" t="s">
        <v>2478</v>
      </c>
      <c r="G227" s="21">
        <v>847</v>
      </c>
      <c r="H227" s="21" t="s">
        <v>2440</v>
      </c>
      <c r="I227" s="21">
        <v>15</v>
      </c>
      <c r="J227" s="21">
        <v>12705</v>
      </c>
      <c r="K227" s="21">
        <v>0</v>
      </c>
      <c r="L227" s="21">
        <v>12705</v>
      </c>
      <c r="M227" s="24">
        <v>42946</v>
      </c>
      <c r="N227" s="21">
        <f>MONTH(Продажи!$M227)</f>
        <v>7</v>
      </c>
      <c r="O227" s="21">
        <f>WEEKDAY(Продажи!$M227,2)</f>
        <v>7</v>
      </c>
      <c r="P227" s="21">
        <f>YEAR(Продажи!$M227)</f>
        <v>2017</v>
      </c>
      <c r="Q227" s="28">
        <f>WEEKNUM(Продажи!$M227,2)</f>
        <v>31</v>
      </c>
      <c r="R227" s="28">
        <f>IF((Продажи!$E227="Зеленый чай")*(Продажи!$Q227&gt;=7)*(Продажи!$Q227&lt;=42),Продажи!$K227,0)</f>
        <v>0</v>
      </c>
      <c r="S227" s="28">
        <f t="shared" si="0"/>
        <v>12705</v>
      </c>
    </row>
    <row r="228" spans="3:19" ht="15.75" customHeight="1" x14ac:dyDescent="0.2">
      <c r="C228" s="26">
        <v>54</v>
      </c>
      <c r="D228" s="21" t="s">
        <v>2477</v>
      </c>
      <c r="E228" s="21" t="s">
        <v>2454</v>
      </c>
      <c r="F228" s="21" t="s">
        <v>2478</v>
      </c>
      <c r="G228" s="21">
        <v>847</v>
      </c>
      <c r="H228" s="21" t="s">
        <v>2440</v>
      </c>
      <c r="I228" s="21">
        <v>15</v>
      </c>
      <c r="J228" s="21">
        <v>12705</v>
      </c>
      <c r="K228" s="21">
        <v>0</v>
      </c>
      <c r="L228" s="21">
        <v>12705</v>
      </c>
      <c r="M228" s="24">
        <v>43670</v>
      </c>
      <c r="N228" s="21">
        <f>MONTH(Продажи!$M228)</f>
        <v>7</v>
      </c>
      <c r="O228" s="21">
        <f>WEEKDAY(Продажи!$M228,2)</f>
        <v>3</v>
      </c>
      <c r="P228" s="21">
        <f>YEAR(Продажи!$M228)</f>
        <v>2019</v>
      </c>
      <c r="Q228" s="28">
        <f>WEEKNUM(Продажи!$M228,2)</f>
        <v>30</v>
      </c>
      <c r="R228" s="28">
        <f>IF((Продажи!$E228="Зеленый чай")*(Продажи!$Q228&gt;=7)*(Продажи!$Q228&lt;=42),Продажи!$K228,0)</f>
        <v>0</v>
      </c>
      <c r="S228" s="28">
        <f t="shared" si="0"/>
        <v>12705</v>
      </c>
    </row>
    <row r="229" spans="3:19" ht="15.75" customHeight="1" x14ac:dyDescent="0.2">
      <c r="C229" s="26">
        <v>14</v>
      </c>
      <c r="D229" s="21" t="s">
        <v>2475</v>
      </c>
      <c r="E229" s="21" t="s">
        <v>2476</v>
      </c>
      <c r="F229" s="21" t="s">
        <v>2476</v>
      </c>
      <c r="G229" s="21">
        <v>770</v>
      </c>
      <c r="H229" s="21" t="s">
        <v>2440</v>
      </c>
      <c r="I229" s="21">
        <v>20</v>
      </c>
      <c r="J229" s="21">
        <v>15400</v>
      </c>
      <c r="K229" s="21">
        <v>0.03</v>
      </c>
      <c r="L229" s="21">
        <v>14938</v>
      </c>
      <c r="M229" s="24">
        <v>43319</v>
      </c>
      <c r="N229" s="21">
        <f>MONTH(Продажи!$M229)</f>
        <v>8</v>
      </c>
      <c r="O229" s="21">
        <f>WEEKDAY(Продажи!$M229,2)</f>
        <v>2</v>
      </c>
      <c r="P229" s="21">
        <f>YEAR(Продажи!$M229)</f>
        <v>2018</v>
      </c>
      <c r="Q229" s="28">
        <f>WEEKNUM(Продажи!$M229,2)</f>
        <v>32</v>
      </c>
      <c r="R229" s="28">
        <f>IF((Продажи!$E229="Зеленый чай")*(Продажи!$Q229&gt;=7)*(Продажи!$Q229&lt;=42),Продажи!$K229,0)</f>
        <v>0</v>
      </c>
      <c r="S229" s="28" t="b">
        <f t="shared" si="0"/>
        <v>0</v>
      </c>
    </row>
    <row r="230" spans="3:19" ht="15.75" customHeight="1" x14ac:dyDescent="0.2">
      <c r="C230" s="26">
        <v>47</v>
      </c>
      <c r="D230" s="21" t="s">
        <v>2461</v>
      </c>
      <c r="E230" s="21" t="s">
        <v>2462</v>
      </c>
      <c r="F230" s="21" t="s">
        <v>2463</v>
      </c>
      <c r="G230" s="21">
        <v>1994</v>
      </c>
      <c r="H230" s="21" t="s">
        <v>2444</v>
      </c>
      <c r="I230" s="21">
        <v>12</v>
      </c>
      <c r="J230" s="21">
        <v>23928</v>
      </c>
      <c r="K230" s="21">
        <v>0.03</v>
      </c>
      <c r="L230" s="21">
        <v>23210.16</v>
      </c>
      <c r="M230" s="24">
        <v>43091</v>
      </c>
      <c r="N230" s="21">
        <f>MONTH(Продажи!$M230)</f>
        <v>12</v>
      </c>
      <c r="O230" s="21">
        <f>WEEKDAY(Продажи!$M230,2)</f>
        <v>5</v>
      </c>
      <c r="P230" s="21">
        <f>YEAR(Продажи!$M230)</f>
        <v>2017</v>
      </c>
      <c r="Q230" s="28">
        <f>WEEKNUM(Продажи!$M230,2)</f>
        <v>52</v>
      </c>
      <c r="R230" s="28">
        <f>IF((Продажи!$E230="Зеленый чай")*(Продажи!$Q230&gt;=7)*(Продажи!$Q230&lt;=42),Продажи!$K230,0)</f>
        <v>0</v>
      </c>
      <c r="S230" s="28">
        <f t="shared" si="0"/>
        <v>23210.16</v>
      </c>
    </row>
    <row r="231" spans="3:19" ht="15.75" customHeight="1" x14ac:dyDescent="0.2">
      <c r="C231" s="26">
        <v>19</v>
      </c>
      <c r="D231" s="21" t="s">
        <v>2488</v>
      </c>
      <c r="E231" s="21" t="s">
        <v>2454</v>
      </c>
      <c r="F231" s="21" t="s">
        <v>2489</v>
      </c>
      <c r="G231" s="21">
        <v>1879</v>
      </c>
      <c r="H231" s="21" t="s">
        <v>2440</v>
      </c>
      <c r="I231" s="21">
        <v>15</v>
      </c>
      <c r="J231" s="21">
        <v>28185</v>
      </c>
      <c r="K231" s="21">
        <v>0.03</v>
      </c>
      <c r="L231" s="21">
        <v>27339.45</v>
      </c>
      <c r="M231" s="24">
        <v>42475</v>
      </c>
      <c r="N231" s="21">
        <f>MONTH(Продажи!$M231)</f>
        <v>4</v>
      </c>
      <c r="O231" s="21">
        <f>WEEKDAY(Продажи!$M231,2)</f>
        <v>5</v>
      </c>
      <c r="P231" s="21">
        <f>YEAR(Продажи!$M231)</f>
        <v>2016</v>
      </c>
      <c r="Q231" s="28">
        <f>WEEKNUM(Продажи!$M231,2)</f>
        <v>16</v>
      </c>
      <c r="R231" s="28">
        <f>IF((Продажи!$E231="Зеленый чай")*(Продажи!$Q231&gt;=7)*(Продажи!$Q231&lt;=42),Продажи!$K231,0)</f>
        <v>0</v>
      </c>
      <c r="S231" s="28" t="b">
        <f t="shared" si="0"/>
        <v>0</v>
      </c>
    </row>
    <row r="232" spans="3:19" ht="15.75" customHeight="1" x14ac:dyDescent="0.2">
      <c r="C232" s="26">
        <v>50</v>
      </c>
      <c r="D232" s="21" t="s">
        <v>2481</v>
      </c>
      <c r="E232" s="21" t="s">
        <v>2454</v>
      </c>
      <c r="F232" s="21" t="s">
        <v>2482</v>
      </c>
      <c r="G232" s="21">
        <v>912</v>
      </c>
      <c r="H232" s="21" t="s">
        <v>2440</v>
      </c>
      <c r="I232" s="21">
        <v>20</v>
      </c>
      <c r="J232" s="21">
        <v>18240</v>
      </c>
      <c r="K232" s="21">
        <v>0</v>
      </c>
      <c r="L232" s="21">
        <v>18240</v>
      </c>
      <c r="M232" s="24">
        <v>43511</v>
      </c>
      <c r="N232" s="21">
        <f>MONTH(Продажи!$M232)</f>
        <v>2</v>
      </c>
      <c r="O232" s="21">
        <f>WEEKDAY(Продажи!$M232,2)</f>
        <v>5</v>
      </c>
      <c r="P232" s="21">
        <f>YEAR(Продажи!$M232)</f>
        <v>2019</v>
      </c>
      <c r="Q232" s="28">
        <f>WEEKNUM(Продажи!$M232,2)</f>
        <v>7</v>
      </c>
      <c r="R232" s="28">
        <f>IF((Продажи!$E232="Зеленый чай")*(Продажи!$Q232&gt;=7)*(Продажи!$Q232&lt;=42),Продажи!$K232,0)</f>
        <v>0</v>
      </c>
      <c r="S232" s="28" t="b">
        <f t="shared" si="0"/>
        <v>0</v>
      </c>
    </row>
    <row r="233" spans="3:19" ht="15.75" customHeight="1" x14ac:dyDescent="0.2">
      <c r="C233" s="26">
        <v>5</v>
      </c>
      <c r="D233" s="21" t="s">
        <v>2483</v>
      </c>
      <c r="E233" s="21" t="s">
        <v>2446</v>
      </c>
      <c r="F233" s="21" t="s">
        <v>2484</v>
      </c>
      <c r="G233" s="21">
        <v>1182</v>
      </c>
      <c r="H233" s="21" t="s">
        <v>2440</v>
      </c>
      <c r="I233" s="21">
        <v>17</v>
      </c>
      <c r="J233" s="21">
        <v>20094</v>
      </c>
      <c r="K233" s="21">
        <v>0.03</v>
      </c>
      <c r="L233" s="21">
        <v>19491.18</v>
      </c>
      <c r="M233" s="24">
        <v>43330</v>
      </c>
      <c r="N233" s="21">
        <f>MONTH(Продажи!$M233)</f>
        <v>8</v>
      </c>
      <c r="O233" s="21">
        <f>WEEKDAY(Продажи!$M233,2)</f>
        <v>6</v>
      </c>
      <c r="P233" s="21">
        <f>YEAR(Продажи!$M233)</f>
        <v>2018</v>
      </c>
      <c r="Q233" s="28">
        <f>WEEKNUM(Продажи!$M233,2)</f>
        <v>33</v>
      </c>
      <c r="R233" s="28">
        <f>IF((Продажи!$E233="Зеленый чай")*(Продажи!$Q233&gt;=7)*(Продажи!$Q233&lt;=42),Продажи!$K233,0)</f>
        <v>0</v>
      </c>
      <c r="S233" s="28" t="b">
        <f t="shared" si="0"/>
        <v>0</v>
      </c>
    </row>
    <row r="234" spans="3:19" ht="15.75" customHeight="1" x14ac:dyDescent="0.2">
      <c r="C234" s="26">
        <v>13</v>
      </c>
      <c r="D234" s="21" t="s">
        <v>2507</v>
      </c>
      <c r="E234" s="21" t="s">
        <v>2446</v>
      </c>
      <c r="F234" s="21" t="s">
        <v>2493</v>
      </c>
      <c r="G234" s="21">
        <v>759</v>
      </c>
      <c r="H234" s="21" t="s">
        <v>2444</v>
      </c>
      <c r="I234" s="21">
        <v>14</v>
      </c>
      <c r="J234" s="21">
        <v>10626</v>
      </c>
      <c r="K234" s="21">
        <v>0</v>
      </c>
      <c r="L234" s="21">
        <v>10626</v>
      </c>
      <c r="M234" s="24">
        <v>42818</v>
      </c>
      <c r="N234" s="21">
        <f>MONTH(Продажи!$M234)</f>
        <v>3</v>
      </c>
      <c r="O234" s="21">
        <f>WEEKDAY(Продажи!$M234,2)</f>
        <v>5</v>
      </c>
      <c r="P234" s="21">
        <f>YEAR(Продажи!$M234)</f>
        <v>2017</v>
      </c>
      <c r="Q234" s="28">
        <f>WEEKNUM(Продажи!$M234,2)</f>
        <v>13</v>
      </c>
      <c r="R234" s="28">
        <f>IF((Продажи!$E234="Зеленый чай")*(Продажи!$Q234&gt;=7)*(Продажи!$Q234&lt;=42),Продажи!$K234,0)</f>
        <v>0</v>
      </c>
      <c r="S234" s="28">
        <f t="shared" si="0"/>
        <v>10626</v>
      </c>
    </row>
    <row r="235" spans="3:19" ht="15.75" customHeight="1" x14ac:dyDescent="0.2">
      <c r="C235" s="26">
        <v>11</v>
      </c>
      <c r="D235" s="21" t="s">
        <v>2492</v>
      </c>
      <c r="E235" s="21" t="s">
        <v>2446</v>
      </c>
      <c r="F235" s="21" t="s">
        <v>2495</v>
      </c>
      <c r="G235" s="21">
        <v>3197</v>
      </c>
      <c r="H235" s="21" t="s">
        <v>2444</v>
      </c>
      <c r="I235" s="21">
        <v>10</v>
      </c>
      <c r="J235" s="21">
        <v>31970</v>
      </c>
      <c r="K235" s="21">
        <v>0</v>
      </c>
      <c r="L235" s="21">
        <v>31970</v>
      </c>
      <c r="M235" s="24">
        <v>42741</v>
      </c>
      <c r="N235" s="21">
        <f>MONTH(Продажи!$M235)</f>
        <v>1</v>
      </c>
      <c r="O235" s="21">
        <f>WEEKDAY(Продажи!$M235,2)</f>
        <v>5</v>
      </c>
      <c r="P235" s="21">
        <f>YEAR(Продажи!$M235)</f>
        <v>2017</v>
      </c>
      <c r="Q235" s="28">
        <f>WEEKNUM(Продажи!$M235,2)</f>
        <v>2</v>
      </c>
      <c r="R235" s="28">
        <f>IF((Продажи!$E235="Зеленый чай")*(Продажи!$Q235&gt;=7)*(Продажи!$Q235&lt;=42),Продажи!$K235,0)</f>
        <v>0</v>
      </c>
      <c r="S235" s="28" t="b">
        <f t="shared" si="0"/>
        <v>0</v>
      </c>
    </row>
    <row r="236" spans="3:19" ht="15.75" customHeight="1" x14ac:dyDescent="0.2">
      <c r="C236" s="26">
        <v>5</v>
      </c>
      <c r="D236" s="21" t="s">
        <v>2483</v>
      </c>
      <c r="E236" s="21" t="s">
        <v>2446</v>
      </c>
      <c r="F236" s="21" t="s">
        <v>2484</v>
      </c>
      <c r="G236" s="21">
        <v>1182</v>
      </c>
      <c r="H236" s="21" t="s">
        <v>2440</v>
      </c>
      <c r="I236" s="21">
        <v>17</v>
      </c>
      <c r="J236" s="21">
        <v>20094</v>
      </c>
      <c r="K236" s="21">
        <v>0.03</v>
      </c>
      <c r="L236" s="21">
        <v>19491.18</v>
      </c>
      <c r="M236" s="24">
        <v>43693</v>
      </c>
      <c r="N236" s="21">
        <f>MONTH(Продажи!$M236)</f>
        <v>8</v>
      </c>
      <c r="O236" s="21">
        <f>WEEKDAY(Продажи!$M236,2)</f>
        <v>5</v>
      </c>
      <c r="P236" s="21">
        <f>YEAR(Продажи!$M236)</f>
        <v>2019</v>
      </c>
      <c r="Q236" s="28">
        <f>WEEKNUM(Продажи!$M236,2)</f>
        <v>33</v>
      </c>
      <c r="R236" s="28">
        <f>IF((Продажи!$E236="Зеленый чай")*(Продажи!$Q236&gt;=7)*(Продажи!$Q236&lt;=42),Продажи!$K236,0)</f>
        <v>0</v>
      </c>
      <c r="S236" s="28" t="b">
        <f t="shared" si="0"/>
        <v>0</v>
      </c>
    </row>
    <row r="237" spans="3:19" ht="15.75" customHeight="1" x14ac:dyDescent="0.2">
      <c r="C237" s="26">
        <v>37</v>
      </c>
      <c r="D237" s="21" t="s">
        <v>2449</v>
      </c>
      <c r="E237" s="21" t="s">
        <v>2448</v>
      </c>
      <c r="F237" s="21" t="s">
        <v>2450</v>
      </c>
      <c r="G237" s="21">
        <v>2211</v>
      </c>
      <c r="H237" s="21" t="s">
        <v>2444</v>
      </c>
      <c r="I237" s="21">
        <v>25</v>
      </c>
      <c r="J237" s="21">
        <v>55275</v>
      </c>
      <c r="K237" s="21">
        <v>0.09</v>
      </c>
      <c r="L237" s="21">
        <v>50300.25</v>
      </c>
      <c r="M237" s="24">
        <v>42370</v>
      </c>
      <c r="N237" s="21">
        <f>MONTH(Продажи!$M237)</f>
        <v>1</v>
      </c>
      <c r="O237" s="21">
        <f>WEEKDAY(Продажи!$M237,2)</f>
        <v>5</v>
      </c>
      <c r="P237" s="21">
        <f>YEAR(Продажи!$M237)</f>
        <v>2016</v>
      </c>
      <c r="Q237" s="28">
        <f>WEEKNUM(Продажи!$M237,2)</f>
        <v>1</v>
      </c>
      <c r="R237" s="28">
        <f>IF((Продажи!$E237="Зеленый чай")*(Продажи!$Q237&gt;=7)*(Продажи!$Q237&lt;=42),Продажи!$K237,0)</f>
        <v>0</v>
      </c>
      <c r="S237" s="28" t="b">
        <f t="shared" si="0"/>
        <v>0</v>
      </c>
    </row>
    <row r="238" spans="3:19" ht="15.75" customHeight="1" x14ac:dyDescent="0.2">
      <c r="C238" s="26">
        <v>20</v>
      </c>
      <c r="D238" s="21" t="s">
        <v>2467</v>
      </c>
      <c r="E238" s="21" t="s">
        <v>2457</v>
      </c>
      <c r="F238" s="21" t="s">
        <v>2468</v>
      </c>
      <c r="G238" s="21">
        <v>2198</v>
      </c>
      <c r="H238" s="21" t="s">
        <v>2444</v>
      </c>
      <c r="I238" s="21">
        <v>35</v>
      </c>
      <c r="J238" s="21">
        <v>76930</v>
      </c>
      <c r="K238" s="21">
        <v>0.12</v>
      </c>
      <c r="L238" s="21">
        <v>67698.399999999994</v>
      </c>
      <c r="M238" s="24">
        <v>42675</v>
      </c>
      <c r="N238" s="21">
        <f>MONTH(Продажи!$M238)</f>
        <v>11</v>
      </c>
      <c r="O238" s="21">
        <f>WEEKDAY(Продажи!$M238,2)</f>
        <v>2</v>
      </c>
      <c r="P238" s="21">
        <f>YEAR(Продажи!$M238)</f>
        <v>2016</v>
      </c>
      <c r="Q238" s="28">
        <f>WEEKNUM(Продажи!$M238,2)</f>
        <v>45</v>
      </c>
      <c r="R238" s="28">
        <f>IF((Продажи!$E238="Зеленый чай")*(Продажи!$Q238&gt;=7)*(Продажи!$Q238&lt;=42),Продажи!$K238,0)</f>
        <v>0</v>
      </c>
      <c r="S238" s="28" t="b">
        <f t="shared" si="0"/>
        <v>0</v>
      </c>
    </row>
    <row r="239" spans="3:19" ht="15.75" customHeight="1" x14ac:dyDescent="0.2">
      <c r="C239" s="26">
        <v>16</v>
      </c>
      <c r="D239" s="21" t="s">
        <v>2504</v>
      </c>
      <c r="E239" s="21" t="s">
        <v>2505</v>
      </c>
      <c r="F239" s="21" t="s">
        <v>2506</v>
      </c>
      <c r="G239" s="21">
        <v>843</v>
      </c>
      <c r="H239" s="21" t="s">
        <v>2444</v>
      </c>
      <c r="I239" s="21">
        <v>5</v>
      </c>
      <c r="J239" s="21">
        <v>4215</v>
      </c>
      <c r="K239" s="21">
        <v>0</v>
      </c>
      <c r="L239" s="21">
        <v>4215</v>
      </c>
      <c r="M239" s="24">
        <v>42776</v>
      </c>
      <c r="N239" s="21">
        <f>MONTH(Продажи!$M239)</f>
        <v>2</v>
      </c>
      <c r="O239" s="21">
        <f>WEEKDAY(Продажи!$M239,2)</f>
        <v>5</v>
      </c>
      <c r="P239" s="21">
        <f>YEAR(Продажи!$M239)</f>
        <v>2017</v>
      </c>
      <c r="Q239" s="28">
        <f>WEEKNUM(Продажи!$M239,2)</f>
        <v>7</v>
      </c>
      <c r="R239" s="28">
        <f>IF((Продажи!$E239="Зеленый чай")*(Продажи!$Q239&gt;=7)*(Продажи!$Q239&lt;=42),Продажи!$K239,0)</f>
        <v>0</v>
      </c>
      <c r="S239" s="28" t="b">
        <f t="shared" si="0"/>
        <v>0</v>
      </c>
    </row>
    <row r="240" spans="3:19" ht="15.75" customHeight="1" x14ac:dyDescent="0.2">
      <c r="C240" s="26">
        <v>16</v>
      </c>
      <c r="D240" s="21" t="s">
        <v>2504</v>
      </c>
      <c r="E240" s="21" t="s">
        <v>2505</v>
      </c>
      <c r="F240" s="21" t="s">
        <v>2506</v>
      </c>
      <c r="G240" s="21">
        <v>843</v>
      </c>
      <c r="H240" s="21" t="s">
        <v>2444</v>
      </c>
      <c r="I240" s="21">
        <v>5</v>
      </c>
      <c r="J240" s="21">
        <v>4215</v>
      </c>
      <c r="K240" s="21">
        <v>0</v>
      </c>
      <c r="L240" s="21">
        <v>4215</v>
      </c>
      <c r="M240" s="24">
        <v>43220</v>
      </c>
      <c r="N240" s="21">
        <f>MONTH(Продажи!$M240)</f>
        <v>4</v>
      </c>
      <c r="O240" s="21">
        <f>WEEKDAY(Продажи!$M240,2)</f>
        <v>1</v>
      </c>
      <c r="P240" s="21">
        <f>YEAR(Продажи!$M240)</f>
        <v>2018</v>
      </c>
      <c r="Q240" s="28">
        <f>WEEKNUM(Продажи!$M240,2)</f>
        <v>18</v>
      </c>
      <c r="R240" s="28">
        <f>IF((Продажи!$E240="Зеленый чай")*(Продажи!$Q240&gt;=7)*(Продажи!$Q240&lt;=42),Продажи!$K240,0)</f>
        <v>0</v>
      </c>
      <c r="S240" s="28">
        <f t="shared" si="0"/>
        <v>4215</v>
      </c>
    </row>
    <row r="241" spans="3:19" ht="15.75" customHeight="1" x14ac:dyDescent="0.2">
      <c r="C241" s="26">
        <v>13</v>
      </c>
      <c r="D241" s="21" t="s">
        <v>2507</v>
      </c>
      <c r="E241" s="21" t="s">
        <v>2446</v>
      </c>
      <c r="F241" s="21" t="s">
        <v>2493</v>
      </c>
      <c r="G241" s="21">
        <v>759</v>
      </c>
      <c r="H241" s="21" t="s">
        <v>2444</v>
      </c>
      <c r="I241" s="21">
        <v>14</v>
      </c>
      <c r="J241" s="21">
        <v>10626</v>
      </c>
      <c r="K241" s="21">
        <v>0</v>
      </c>
      <c r="L241" s="21">
        <v>10626</v>
      </c>
      <c r="M241" s="24">
        <v>43105</v>
      </c>
      <c r="N241" s="21">
        <f>MONTH(Продажи!$M241)</f>
        <v>1</v>
      </c>
      <c r="O241" s="21">
        <f>WEEKDAY(Продажи!$M241,2)</f>
        <v>5</v>
      </c>
      <c r="P241" s="21">
        <f>YEAR(Продажи!$M241)</f>
        <v>2018</v>
      </c>
      <c r="Q241" s="28">
        <f>WEEKNUM(Продажи!$M241,2)</f>
        <v>1</v>
      </c>
      <c r="R241" s="28">
        <f>IF((Продажи!$E241="Зеленый чай")*(Продажи!$Q241&gt;=7)*(Продажи!$Q241&lt;=42),Продажи!$K241,0)</f>
        <v>0</v>
      </c>
      <c r="S241" s="28" t="b">
        <f t="shared" si="0"/>
        <v>0</v>
      </c>
    </row>
    <row r="242" spans="3:19" ht="15.75" customHeight="1" x14ac:dyDescent="0.2">
      <c r="C242" s="26">
        <v>17</v>
      </c>
      <c r="D242" s="21" t="s">
        <v>2465</v>
      </c>
      <c r="E242" s="21" t="s">
        <v>2446</v>
      </c>
      <c r="F242" s="21" t="s">
        <v>2466</v>
      </c>
      <c r="G242" s="21">
        <v>967</v>
      </c>
      <c r="H242" s="21" t="s">
        <v>2444</v>
      </c>
      <c r="I242" s="21">
        <v>12</v>
      </c>
      <c r="J242" s="21">
        <v>11604</v>
      </c>
      <c r="K242" s="21">
        <v>0</v>
      </c>
      <c r="L242" s="21">
        <v>11604</v>
      </c>
      <c r="M242" s="24">
        <v>43695</v>
      </c>
      <c r="N242" s="21">
        <f>MONTH(Продажи!$M242)</f>
        <v>8</v>
      </c>
      <c r="O242" s="21">
        <f>WEEKDAY(Продажи!$M242,2)</f>
        <v>7</v>
      </c>
      <c r="P242" s="21">
        <f>YEAR(Продажи!$M242)</f>
        <v>2019</v>
      </c>
      <c r="Q242" s="28">
        <f>WEEKNUM(Продажи!$M242,2)</f>
        <v>33</v>
      </c>
      <c r="R242" s="28">
        <f>IF((Продажи!$E242="Зеленый чай")*(Продажи!$Q242&gt;=7)*(Продажи!$Q242&lt;=42),Продажи!$K242,0)</f>
        <v>0</v>
      </c>
      <c r="S242" s="28" t="b">
        <f t="shared" si="0"/>
        <v>0</v>
      </c>
    </row>
    <row r="243" spans="3:19" ht="15.75" customHeight="1" x14ac:dyDescent="0.2">
      <c r="C243" s="26">
        <v>55</v>
      </c>
      <c r="D243" s="21" t="s">
        <v>2447</v>
      </c>
      <c r="E243" s="21" t="s">
        <v>2448</v>
      </c>
      <c r="F243" s="21" t="s">
        <v>2448</v>
      </c>
      <c r="G243" s="21">
        <v>699</v>
      </c>
      <c r="H243" s="21" t="s">
        <v>2444</v>
      </c>
      <c r="I243" s="21">
        <v>10</v>
      </c>
      <c r="J243" s="21">
        <v>6990</v>
      </c>
      <c r="K243" s="21">
        <v>0</v>
      </c>
      <c r="L243" s="21">
        <v>6990</v>
      </c>
      <c r="M243" s="24">
        <v>42101</v>
      </c>
      <c r="N243" s="21">
        <f>MONTH(Продажи!$M243)</f>
        <v>4</v>
      </c>
      <c r="O243" s="21">
        <f>WEEKDAY(Продажи!$M243,2)</f>
        <v>2</v>
      </c>
      <c r="P243" s="21">
        <f>YEAR(Продажи!$M243)</f>
        <v>2015</v>
      </c>
      <c r="Q243" s="28">
        <f>WEEKNUM(Продажи!$M243,2)</f>
        <v>15</v>
      </c>
      <c r="R243" s="28">
        <f>IF((Продажи!$E243="Зеленый чай")*(Продажи!$Q243&gt;=7)*(Продажи!$Q243&lt;=42),Продажи!$K243,0)</f>
        <v>0</v>
      </c>
      <c r="S243" s="28" t="b">
        <f t="shared" si="0"/>
        <v>0</v>
      </c>
    </row>
    <row r="244" spans="3:19" ht="15.75" customHeight="1" x14ac:dyDescent="0.2">
      <c r="C244" s="26">
        <v>44</v>
      </c>
      <c r="D244" s="21" t="s">
        <v>2453</v>
      </c>
      <c r="E244" s="21" t="s">
        <v>2454</v>
      </c>
      <c r="F244" s="21" t="s">
        <v>2455</v>
      </c>
      <c r="G244" s="21">
        <v>1386</v>
      </c>
      <c r="H244" s="21" t="s">
        <v>2440</v>
      </c>
      <c r="I244" s="21">
        <v>20</v>
      </c>
      <c r="J244" s="21">
        <v>27720</v>
      </c>
      <c r="K244" s="21">
        <v>0.03</v>
      </c>
      <c r="L244" s="21">
        <v>26888.400000000001</v>
      </c>
      <c r="M244" s="24">
        <v>43633</v>
      </c>
      <c r="N244" s="21">
        <f>MONTH(Продажи!$M244)</f>
        <v>6</v>
      </c>
      <c r="O244" s="21">
        <f>WEEKDAY(Продажи!$M244,2)</f>
        <v>1</v>
      </c>
      <c r="P244" s="21">
        <f>YEAR(Продажи!$M244)</f>
        <v>2019</v>
      </c>
      <c r="Q244" s="28">
        <f>WEEKNUM(Продажи!$M244,2)</f>
        <v>25</v>
      </c>
      <c r="R244" s="28">
        <f>IF((Продажи!$E244="Зеленый чай")*(Продажи!$Q244&gt;=7)*(Продажи!$Q244&lt;=42),Продажи!$K244,0)</f>
        <v>0</v>
      </c>
      <c r="S244" s="28" t="b">
        <f t="shared" si="0"/>
        <v>0</v>
      </c>
    </row>
    <row r="245" spans="3:19" ht="15.75" customHeight="1" x14ac:dyDescent="0.2">
      <c r="C245" s="26">
        <v>9</v>
      </c>
      <c r="D245" s="21" t="s">
        <v>2447</v>
      </c>
      <c r="E245" s="21" t="s">
        <v>2448</v>
      </c>
      <c r="F245" s="21" t="s">
        <v>2448</v>
      </c>
      <c r="G245" s="21">
        <v>699</v>
      </c>
      <c r="H245" s="21" t="s">
        <v>2444</v>
      </c>
      <c r="I245" s="21">
        <v>10</v>
      </c>
      <c r="J245" s="21">
        <v>6990</v>
      </c>
      <c r="K245" s="21">
        <v>0</v>
      </c>
      <c r="L245" s="21">
        <v>6990</v>
      </c>
      <c r="M245" s="24">
        <v>43694</v>
      </c>
      <c r="N245" s="21">
        <f>MONTH(Продажи!$M245)</f>
        <v>8</v>
      </c>
      <c r="O245" s="21">
        <f>WEEKDAY(Продажи!$M245,2)</f>
        <v>6</v>
      </c>
      <c r="P245" s="21">
        <f>YEAR(Продажи!$M245)</f>
        <v>2019</v>
      </c>
      <c r="Q245" s="28">
        <f>WEEKNUM(Продажи!$M245,2)</f>
        <v>33</v>
      </c>
      <c r="R245" s="28">
        <f>IF((Продажи!$E245="Зеленый чай")*(Продажи!$Q245&gt;=7)*(Продажи!$Q245&lt;=42),Продажи!$K245,0)</f>
        <v>0</v>
      </c>
      <c r="S245" s="28" t="b">
        <f t="shared" si="0"/>
        <v>0</v>
      </c>
    </row>
    <row r="246" spans="3:19" ht="15.75" customHeight="1" x14ac:dyDescent="0.2">
      <c r="C246" s="26">
        <v>53</v>
      </c>
      <c r="D246" s="21" t="s">
        <v>2437</v>
      </c>
      <c r="E246" s="21" t="s">
        <v>2438</v>
      </c>
      <c r="F246" s="21" t="s">
        <v>2439</v>
      </c>
      <c r="G246" s="21">
        <v>1923</v>
      </c>
      <c r="H246" s="21" t="s">
        <v>2440</v>
      </c>
      <c r="I246" s="21">
        <v>35</v>
      </c>
      <c r="J246" s="21">
        <v>67305</v>
      </c>
      <c r="K246" s="21">
        <v>0.06</v>
      </c>
      <c r="L246" s="21">
        <v>63266.7</v>
      </c>
      <c r="M246" s="24">
        <v>42085</v>
      </c>
      <c r="N246" s="21">
        <f>MONTH(Продажи!$M246)</f>
        <v>3</v>
      </c>
      <c r="O246" s="21">
        <f>WEEKDAY(Продажи!$M246,2)</f>
        <v>7</v>
      </c>
      <c r="P246" s="21">
        <f>YEAR(Продажи!$M246)</f>
        <v>2015</v>
      </c>
      <c r="Q246" s="28">
        <f>WEEKNUM(Продажи!$M246,2)</f>
        <v>12</v>
      </c>
      <c r="R246" s="28">
        <f>IF((Продажи!$E246="Зеленый чай")*(Продажи!$Q246&gt;=7)*(Продажи!$Q246&lt;=42),Продажи!$K246,0)</f>
        <v>0.06</v>
      </c>
      <c r="S246" s="28">
        <f t="shared" si="0"/>
        <v>63266.7</v>
      </c>
    </row>
    <row r="247" spans="3:19" ht="15.75" customHeight="1" x14ac:dyDescent="0.2">
      <c r="C247" s="26">
        <v>21</v>
      </c>
      <c r="D247" s="21" t="s">
        <v>2497</v>
      </c>
      <c r="E247" s="21" t="s">
        <v>2442</v>
      </c>
      <c r="F247" s="21" t="s">
        <v>2498</v>
      </c>
      <c r="G247" s="21">
        <v>887</v>
      </c>
      <c r="H247" s="21" t="s">
        <v>2444</v>
      </c>
      <c r="I247" s="21">
        <v>15</v>
      </c>
      <c r="J247" s="21">
        <v>13305</v>
      </c>
      <c r="K247" s="21">
        <v>0</v>
      </c>
      <c r="L247" s="21">
        <v>13305</v>
      </c>
      <c r="M247" s="24">
        <v>42242</v>
      </c>
      <c r="N247" s="21">
        <f>MONTH(Продажи!$M247)</f>
        <v>8</v>
      </c>
      <c r="O247" s="21">
        <f>WEEKDAY(Продажи!$M247,2)</f>
        <v>3</v>
      </c>
      <c r="P247" s="21">
        <f>YEAR(Продажи!$M247)</f>
        <v>2015</v>
      </c>
      <c r="Q247" s="28">
        <f>WEEKNUM(Продажи!$M247,2)</f>
        <v>35</v>
      </c>
      <c r="R247" s="28">
        <f>IF((Продажи!$E247="Зеленый чай")*(Продажи!$Q247&gt;=7)*(Продажи!$Q247&lt;=42),Продажи!$K247,0)</f>
        <v>0</v>
      </c>
      <c r="S247" s="28">
        <f t="shared" si="0"/>
        <v>13305</v>
      </c>
    </row>
    <row r="248" spans="3:19" ht="15.75" customHeight="1" x14ac:dyDescent="0.2">
      <c r="C248" s="26">
        <v>20</v>
      </c>
      <c r="D248" s="21" t="s">
        <v>2467</v>
      </c>
      <c r="E248" s="21" t="s">
        <v>2457</v>
      </c>
      <c r="F248" s="21" t="s">
        <v>2468</v>
      </c>
      <c r="G248" s="21">
        <v>2198</v>
      </c>
      <c r="H248" s="21" t="s">
        <v>2444</v>
      </c>
      <c r="I248" s="21">
        <v>35</v>
      </c>
      <c r="J248" s="21">
        <v>76930</v>
      </c>
      <c r="K248" s="21">
        <v>0.12</v>
      </c>
      <c r="L248" s="21">
        <v>67698.399999999994</v>
      </c>
      <c r="M248" s="24">
        <v>43211</v>
      </c>
      <c r="N248" s="21">
        <f>MONTH(Продажи!$M248)</f>
        <v>4</v>
      </c>
      <c r="O248" s="21">
        <f>WEEKDAY(Продажи!$M248,2)</f>
        <v>6</v>
      </c>
      <c r="P248" s="21">
        <f>YEAR(Продажи!$M248)</f>
        <v>2018</v>
      </c>
      <c r="Q248" s="28">
        <f>WEEKNUM(Продажи!$M248,2)</f>
        <v>16</v>
      </c>
      <c r="R248" s="28">
        <f>IF((Продажи!$E248="Зеленый чай")*(Продажи!$Q248&gt;=7)*(Продажи!$Q248&lt;=42),Продажи!$K248,0)</f>
        <v>0</v>
      </c>
      <c r="S248" s="28">
        <f t="shared" si="0"/>
        <v>67698.399999999994</v>
      </c>
    </row>
    <row r="249" spans="3:19" ht="15.75" customHeight="1" x14ac:dyDescent="0.2">
      <c r="C249" s="26">
        <v>46</v>
      </c>
      <c r="D249" s="21" t="s">
        <v>2475</v>
      </c>
      <c r="E249" s="21" t="s">
        <v>2476</v>
      </c>
      <c r="F249" s="21" t="s">
        <v>2476</v>
      </c>
      <c r="G249" s="21">
        <v>770</v>
      </c>
      <c r="H249" s="21" t="s">
        <v>2440</v>
      </c>
      <c r="I249" s="21">
        <v>20</v>
      </c>
      <c r="J249" s="21">
        <v>15400</v>
      </c>
      <c r="K249" s="21">
        <v>0.03</v>
      </c>
      <c r="L249" s="21">
        <v>14938</v>
      </c>
      <c r="M249" s="24">
        <v>43200</v>
      </c>
      <c r="N249" s="21">
        <f>MONTH(Продажи!$M249)</f>
        <v>4</v>
      </c>
      <c r="O249" s="21">
        <f>WEEKDAY(Продажи!$M249,2)</f>
        <v>2</v>
      </c>
      <c r="P249" s="21">
        <f>YEAR(Продажи!$M249)</f>
        <v>2018</v>
      </c>
      <c r="Q249" s="28">
        <f>WEEKNUM(Продажи!$M249,2)</f>
        <v>15</v>
      </c>
      <c r="R249" s="28">
        <f>IF((Продажи!$E249="Зеленый чай")*(Продажи!$Q249&gt;=7)*(Продажи!$Q249&lt;=42),Продажи!$K249,0)</f>
        <v>0</v>
      </c>
      <c r="S249" s="28" t="b">
        <f t="shared" si="0"/>
        <v>0</v>
      </c>
    </row>
    <row r="250" spans="3:19" ht="15.75" customHeight="1" x14ac:dyDescent="0.2">
      <c r="C250" s="26">
        <v>1</v>
      </c>
      <c r="D250" s="21" t="s">
        <v>2459</v>
      </c>
      <c r="E250" s="21" t="s">
        <v>2438</v>
      </c>
      <c r="F250" s="21" t="s">
        <v>2460</v>
      </c>
      <c r="G250" s="21">
        <v>876</v>
      </c>
      <c r="H250" s="21" t="s">
        <v>2444</v>
      </c>
      <c r="I250" s="21">
        <v>20</v>
      </c>
      <c r="J250" s="21">
        <v>17520</v>
      </c>
      <c r="K250" s="21">
        <v>0.03</v>
      </c>
      <c r="L250" s="21">
        <v>16994.400000000001</v>
      </c>
      <c r="M250" s="24">
        <v>43427</v>
      </c>
      <c r="N250" s="21">
        <f>MONTH(Продажи!$M250)</f>
        <v>11</v>
      </c>
      <c r="O250" s="21">
        <f>WEEKDAY(Продажи!$M250,2)</f>
        <v>5</v>
      </c>
      <c r="P250" s="21">
        <f>YEAR(Продажи!$M250)</f>
        <v>2018</v>
      </c>
      <c r="Q250" s="28">
        <f>WEEKNUM(Продажи!$M250,2)</f>
        <v>47</v>
      </c>
      <c r="R250" s="28">
        <f>IF((Продажи!$E250="Зеленый чай")*(Продажи!$Q250&gt;=7)*(Продажи!$Q250&lt;=42),Продажи!$K250,0)</f>
        <v>0</v>
      </c>
      <c r="S250" s="28">
        <f t="shared" si="0"/>
        <v>16994.400000000001</v>
      </c>
    </row>
    <row r="251" spans="3:19" ht="15.75" customHeight="1" x14ac:dyDescent="0.2">
      <c r="C251" s="26">
        <v>28</v>
      </c>
      <c r="D251" s="21" t="s">
        <v>2494</v>
      </c>
      <c r="E251" s="21" t="s">
        <v>2462</v>
      </c>
      <c r="F251" s="21" t="s">
        <v>2491</v>
      </c>
      <c r="G251" s="21">
        <v>1994</v>
      </c>
      <c r="H251" s="21" t="s">
        <v>2444</v>
      </c>
      <c r="I251" s="21">
        <v>40</v>
      </c>
      <c r="J251" s="21">
        <v>79760</v>
      </c>
      <c r="K251" s="21">
        <v>0.12</v>
      </c>
      <c r="L251" s="21">
        <v>70188.800000000003</v>
      </c>
      <c r="M251" s="24">
        <v>42297</v>
      </c>
      <c r="N251" s="21">
        <f>MONTH(Продажи!$M251)</f>
        <v>10</v>
      </c>
      <c r="O251" s="21">
        <f>WEEKDAY(Продажи!$M251,2)</f>
        <v>2</v>
      </c>
      <c r="P251" s="21">
        <f>YEAR(Продажи!$M251)</f>
        <v>2015</v>
      </c>
      <c r="Q251" s="28">
        <f>WEEKNUM(Продажи!$M251,2)</f>
        <v>43</v>
      </c>
      <c r="R251" s="28">
        <f>IF((Продажи!$E251="Зеленый чай")*(Продажи!$Q251&gt;=7)*(Продажи!$Q251&lt;=42),Продажи!$K251,0)</f>
        <v>0</v>
      </c>
      <c r="S251" s="28" t="b">
        <f t="shared" si="0"/>
        <v>0</v>
      </c>
    </row>
    <row r="252" spans="3:19" ht="15.75" customHeight="1" x14ac:dyDescent="0.2">
      <c r="C252" s="26">
        <v>19</v>
      </c>
      <c r="D252" s="21" t="s">
        <v>2488</v>
      </c>
      <c r="E252" s="21" t="s">
        <v>2454</v>
      </c>
      <c r="F252" s="21" t="s">
        <v>2489</v>
      </c>
      <c r="G252" s="21">
        <v>1879</v>
      </c>
      <c r="H252" s="21" t="s">
        <v>2440</v>
      </c>
      <c r="I252" s="21">
        <v>15</v>
      </c>
      <c r="J252" s="21">
        <v>28185</v>
      </c>
      <c r="K252" s="21">
        <v>0.03</v>
      </c>
      <c r="L252" s="21">
        <v>27339.45</v>
      </c>
      <c r="M252" s="24">
        <v>42256</v>
      </c>
      <c r="N252" s="21">
        <f>MONTH(Продажи!$M252)</f>
        <v>9</v>
      </c>
      <c r="O252" s="21">
        <f>WEEKDAY(Продажи!$M252,2)</f>
        <v>3</v>
      </c>
      <c r="P252" s="21">
        <f>YEAR(Продажи!$M252)</f>
        <v>2015</v>
      </c>
      <c r="Q252" s="28">
        <f>WEEKNUM(Продажи!$M252,2)</f>
        <v>37</v>
      </c>
      <c r="R252" s="28">
        <f>IF((Продажи!$E252="Зеленый чай")*(Продажи!$Q252&gt;=7)*(Продажи!$Q252&lt;=42),Продажи!$K252,0)</f>
        <v>0</v>
      </c>
      <c r="S252" s="28" t="b">
        <f t="shared" si="0"/>
        <v>0</v>
      </c>
    </row>
    <row r="253" spans="3:19" ht="15.75" customHeight="1" x14ac:dyDescent="0.2">
      <c r="C253" s="26">
        <v>16</v>
      </c>
      <c r="D253" s="21" t="s">
        <v>2504</v>
      </c>
      <c r="E253" s="21" t="s">
        <v>2505</v>
      </c>
      <c r="F253" s="21" t="s">
        <v>2506</v>
      </c>
      <c r="G253" s="21">
        <v>843</v>
      </c>
      <c r="H253" s="21" t="s">
        <v>2444</v>
      </c>
      <c r="I253" s="21">
        <v>5</v>
      </c>
      <c r="J253" s="21">
        <v>4215</v>
      </c>
      <c r="K253" s="21">
        <v>0</v>
      </c>
      <c r="L253" s="21">
        <v>4215</v>
      </c>
      <c r="M253" s="24">
        <v>42639</v>
      </c>
      <c r="N253" s="21">
        <f>MONTH(Продажи!$M253)</f>
        <v>9</v>
      </c>
      <c r="O253" s="21">
        <f>WEEKDAY(Продажи!$M253,2)</f>
        <v>1</v>
      </c>
      <c r="P253" s="21">
        <f>YEAR(Продажи!$M253)</f>
        <v>2016</v>
      </c>
      <c r="Q253" s="28">
        <f>WEEKNUM(Продажи!$M253,2)</f>
        <v>40</v>
      </c>
      <c r="R253" s="28">
        <f>IF((Продажи!$E253="Зеленый чай")*(Продажи!$Q253&gt;=7)*(Продажи!$Q253&lt;=42),Продажи!$K253,0)</f>
        <v>0</v>
      </c>
      <c r="S253" s="28">
        <f t="shared" si="0"/>
        <v>4215</v>
      </c>
    </row>
    <row r="254" spans="3:19" ht="15.75" customHeight="1" x14ac:dyDescent="0.2">
      <c r="C254" s="26">
        <v>44</v>
      </c>
      <c r="D254" s="21" t="s">
        <v>2453</v>
      </c>
      <c r="E254" s="21" t="s">
        <v>2454</v>
      </c>
      <c r="F254" s="21" t="s">
        <v>2455</v>
      </c>
      <c r="G254" s="21">
        <v>1386</v>
      </c>
      <c r="H254" s="21" t="s">
        <v>2440</v>
      </c>
      <c r="I254" s="21">
        <v>20</v>
      </c>
      <c r="J254" s="21">
        <v>27720</v>
      </c>
      <c r="K254" s="21">
        <v>0.03</v>
      </c>
      <c r="L254" s="21">
        <v>26888.400000000001</v>
      </c>
      <c r="M254" s="24">
        <v>42224</v>
      </c>
      <c r="N254" s="21">
        <f>MONTH(Продажи!$M254)</f>
        <v>8</v>
      </c>
      <c r="O254" s="21">
        <f>WEEKDAY(Продажи!$M254,2)</f>
        <v>6</v>
      </c>
      <c r="P254" s="21">
        <f>YEAR(Продажи!$M254)</f>
        <v>2015</v>
      </c>
      <c r="Q254" s="28">
        <f>WEEKNUM(Продажи!$M254,2)</f>
        <v>32</v>
      </c>
      <c r="R254" s="28">
        <f>IF((Продажи!$E254="Зеленый чай")*(Продажи!$Q254&gt;=7)*(Продажи!$Q254&lt;=42),Продажи!$K254,0)</f>
        <v>0</v>
      </c>
      <c r="S254" s="28" t="b">
        <f t="shared" si="0"/>
        <v>0</v>
      </c>
    </row>
    <row r="255" spans="3:19" ht="15.75" customHeight="1" x14ac:dyDescent="0.2">
      <c r="C255" s="26">
        <v>20</v>
      </c>
      <c r="D255" s="21" t="s">
        <v>2467</v>
      </c>
      <c r="E255" s="21" t="s">
        <v>2457</v>
      </c>
      <c r="F255" s="21" t="s">
        <v>2468</v>
      </c>
      <c r="G255" s="21">
        <v>2198</v>
      </c>
      <c r="H255" s="21" t="s">
        <v>2444</v>
      </c>
      <c r="I255" s="21">
        <v>35</v>
      </c>
      <c r="J255" s="21">
        <v>76930</v>
      </c>
      <c r="K255" s="21">
        <v>0.12</v>
      </c>
      <c r="L255" s="21">
        <v>67698.399999999994</v>
      </c>
      <c r="M255" s="24">
        <v>42448</v>
      </c>
      <c r="N255" s="21">
        <f>MONTH(Продажи!$M255)</f>
        <v>3</v>
      </c>
      <c r="O255" s="21">
        <f>WEEKDAY(Продажи!$M255,2)</f>
        <v>6</v>
      </c>
      <c r="P255" s="21">
        <f>YEAR(Продажи!$M255)</f>
        <v>2016</v>
      </c>
      <c r="Q255" s="28">
        <f>WEEKNUM(Продажи!$M255,2)</f>
        <v>12</v>
      </c>
      <c r="R255" s="28">
        <f>IF((Продажи!$E255="Зеленый чай")*(Продажи!$Q255&gt;=7)*(Продажи!$Q255&lt;=42),Продажи!$K255,0)</f>
        <v>0</v>
      </c>
      <c r="S255" s="28" t="b">
        <f t="shared" si="0"/>
        <v>0</v>
      </c>
    </row>
    <row r="256" spans="3:19" ht="15.75" customHeight="1" x14ac:dyDescent="0.2">
      <c r="C256" s="26">
        <v>53</v>
      </c>
      <c r="D256" s="21" t="s">
        <v>2437</v>
      </c>
      <c r="E256" s="21" t="s">
        <v>2438</v>
      </c>
      <c r="F256" s="21" t="s">
        <v>2439</v>
      </c>
      <c r="G256" s="21">
        <v>1923</v>
      </c>
      <c r="H256" s="21" t="s">
        <v>2440</v>
      </c>
      <c r="I256" s="21">
        <v>35</v>
      </c>
      <c r="J256" s="21">
        <v>67305</v>
      </c>
      <c r="K256" s="21">
        <v>0.06</v>
      </c>
      <c r="L256" s="21">
        <v>63266.7</v>
      </c>
      <c r="M256" s="24">
        <v>42177</v>
      </c>
      <c r="N256" s="21">
        <f>MONTH(Продажи!$M256)</f>
        <v>6</v>
      </c>
      <c r="O256" s="21">
        <f>WEEKDAY(Продажи!$M256,2)</f>
        <v>1</v>
      </c>
      <c r="P256" s="21">
        <f>YEAR(Продажи!$M256)</f>
        <v>2015</v>
      </c>
      <c r="Q256" s="28">
        <f>WEEKNUM(Продажи!$M256,2)</f>
        <v>26</v>
      </c>
      <c r="R256" s="28">
        <f>IF((Продажи!$E256="Зеленый чай")*(Продажи!$Q256&gt;=7)*(Продажи!$Q256&lt;=42),Продажи!$K256,0)</f>
        <v>0.06</v>
      </c>
      <c r="S256" s="28">
        <f t="shared" si="0"/>
        <v>63266.7</v>
      </c>
    </row>
    <row r="257" spans="3:19" ht="15.75" customHeight="1" x14ac:dyDescent="0.2">
      <c r="C257" s="26">
        <v>40</v>
      </c>
      <c r="D257" s="21" t="s">
        <v>2477</v>
      </c>
      <c r="E257" s="21" t="s">
        <v>2454</v>
      </c>
      <c r="F257" s="21" t="s">
        <v>2478</v>
      </c>
      <c r="G257" s="21">
        <v>847</v>
      </c>
      <c r="H257" s="21" t="s">
        <v>2440</v>
      </c>
      <c r="I257" s="21">
        <v>15</v>
      </c>
      <c r="J257" s="21">
        <v>12705</v>
      </c>
      <c r="K257" s="21">
        <v>0</v>
      </c>
      <c r="L257" s="21">
        <v>12705</v>
      </c>
      <c r="M257" s="24">
        <v>42351</v>
      </c>
      <c r="N257" s="21">
        <f>MONTH(Продажи!$M257)</f>
        <v>12</v>
      </c>
      <c r="O257" s="21">
        <f>WEEKDAY(Продажи!$M257,2)</f>
        <v>7</v>
      </c>
      <c r="P257" s="21">
        <f>YEAR(Продажи!$M257)</f>
        <v>2015</v>
      </c>
      <c r="Q257" s="28">
        <f>WEEKNUM(Продажи!$M257,2)</f>
        <v>50</v>
      </c>
      <c r="R257" s="28">
        <f>IF((Продажи!$E257="Зеленый чай")*(Продажи!$Q257&gt;=7)*(Продажи!$Q257&lt;=42),Продажи!$K257,0)</f>
        <v>0</v>
      </c>
      <c r="S257" s="28" t="b">
        <f t="shared" si="0"/>
        <v>0</v>
      </c>
    </row>
    <row r="258" spans="3:19" ht="15.75" customHeight="1" x14ac:dyDescent="0.2">
      <c r="C258" s="26">
        <v>46</v>
      </c>
      <c r="D258" s="21" t="s">
        <v>2475</v>
      </c>
      <c r="E258" s="21" t="s">
        <v>2476</v>
      </c>
      <c r="F258" s="21" t="s">
        <v>2476</v>
      </c>
      <c r="G258" s="21">
        <v>770</v>
      </c>
      <c r="H258" s="21" t="s">
        <v>2440</v>
      </c>
      <c r="I258" s="21">
        <v>20</v>
      </c>
      <c r="J258" s="21">
        <v>15400</v>
      </c>
      <c r="K258" s="21">
        <v>0.03</v>
      </c>
      <c r="L258" s="21">
        <v>14938</v>
      </c>
      <c r="M258" s="24">
        <v>43314</v>
      </c>
      <c r="N258" s="21">
        <f>MONTH(Продажи!$M258)</f>
        <v>8</v>
      </c>
      <c r="O258" s="21">
        <f>WEEKDAY(Продажи!$M258,2)</f>
        <v>4</v>
      </c>
      <c r="P258" s="21">
        <f>YEAR(Продажи!$M258)</f>
        <v>2018</v>
      </c>
      <c r="Q258" s="28">
        <f>WEEKNUM(Продажи!$M258,2)</f>
        <v>31</v>
      </c>
      <c r="R258" s="28">
        <f>IF((Продажи!$E258="Зеленый чай")*(Продажи!$Q258&gt;=7)*(Продажи!$Q258&lt;=42),Продажи!$K258,0)</f>
        <v>0</v>
      </c>
      <c r="S258" s="28" t="b">
        <f t="shared" si="0"/>
        <v>0</v>
      </c>
    </row>
    <row r="259" spans="3:19" ht="15.75" customHeight="1" x14ac:dyDescent="0.2">
      <c r="C259" s="26">
        <v>3</v>
      </c>
      <c r="D259" s="21" t="s">
        <v>2445</v>
      </c>
      <c r="E259" s="21" t="s">
        <v>2446</v>
      </c>
      <c r="F259" s="21" t="s">
        <v>2446</v>
      </c>
      <c r="G259" s="21">
        <v>807</v>
      </c>
      <c r="H259" s="21" t="s">
        <v>2440</v>
      </c>
      <c r="I259" s="21">
        <v>18</v>
      </c>
      <c r="J259" s="21">
        <v>14526</v>
      </c>
      <c r="K259" s="21">
        <v>0</v>
      </c>
      <c r="L259" s="21">
        <v>14526</v>
      </c>
      <c r="M259" s="24">
        <v>44037</v>
      </c>
      <c r="N259" s="21">
        <f>MONTH(Продажи!$M259)</f>
        <v>7</v>
      </c>
      <c r="O259" s="21">
        <f>WEEKDAY(Продажи!$M259,2)</f>
        <v>6</v>
      </c>
      <c r="P259" s="21">
        <f>YEAR(Продажи!$M259)</f>
        <v>2020</v>
      </c>
      <c r="Q259" s="28">
        <f>WEEKNUM(Продажи!$M259,2)</f>
        <v>30</v>
      </c>
      <c r="R259" s="28">
        <f>IF((Продажи!$E259="Зеленый чай")*(Продажи!$Q259&gt;=7)*(Продажи!$Q259&lt;=42),Продажи!$K259,0)</f>
        <v>0</v>
      </c>
      <c r="S259" s="28">
        <f t="shared" si="0"/>
        <v>14526</v>
      </c>
    </row>
    <row r="260" spans="3:19" ht="15.75" customHeight="1" x14ac:dyDescent="0.2">
      <c r="C260" s="26">
        <v>46</v>
      </c>
      <c r="D260" s="21" t="s">
        <v>2475</v>
      </c>
      <c r="E260" s="21" t="s">
        <v>2476</v>
      </c>
      <c r="F260" s="21" t="s">
        <v>2476</v>
      </c>
      <c r="G260" s="21">
        <v>770</v>
      </c>
      <c r="H260" s="21" t="s">
        <v>2440</v>
      </c>
      <c r="I260" s="21">
        <v>20</v>
      </c>
      <c r="J260" s="21">
        <v>15400</v>
      </c>
      <c r="K260" s="21">
        <v>0.03</v>
      </c>
      <c r="L260" s="21">
        <v>14938</v>
      </c>
      <c r="M260" s="24">
        <v>43404</v>
      </c>
      <c r="N260" s="21">
        <f>MONTH(Продажи!$M260)</f>
        <v>10</v>
      </c>
      <c r="O260" s="21">
        <f>WEEKDAY(Продажи!$M260,2)</f>
        <v>3</v>
      </c>
      <c r="P260" s="21">
        <f>YEAR(Продажи!$M260)</f>
        <v>2018</v>
      </c>
      <c r="Q260" s="28">
        <f>WEEKNUM(Продажи!$M260,2)</f>
        <v>44</v>
      </c>
      <c r="R260" s="28">
        <f>IF((Продажи!$E260="Зеленый чай")*(Продажи!$Q260&gt;=7)*(Продажи!$Q260&lt;=42),Продажи!$K260,0)</f>
        <v>0</v>
      </c>
      <c r="S260" s="28">
        <f t="shared" si="0"/>
        <v>14938</v>
      </c>
    </row>
    <row r="261" spans="3:19" ht="15.75" customHeight="1" x14ac:dyDescent="0.2">
      <c r="C261" s="26">
        <v>16</v>
      </c>
      <c r="D261" s="21" t="s">
        <v>2504</v>
      </c>
      <c r="E261" s="21" t="s">
        <v>2505</v>
      </c>
      <c r="F261" s="21" t="s">
        <v>2506</v>
      </c>
      <c r="G261" s="21">
        <v>843</v>
      </c>
      <c r="H261" s="21" t="s">
        <v>2444</v>
      </c>
      <c r="I261" s="21">
        <v>5</v>
      </c>
      <c r="J261" s="21">
        <v>4215</v>
      </c>
      <c r="K261" s="21">
        <v>0</v>
      </c>
      <c r="L261" s="21">
        <v>4215</v>
      </c>
      <c r="M261" s="24">
        <v>43326</v>
      </c>
      <c r="N261" s="21">
        <f>MONTH(Продажи!$M261)</f>
        <v>8</v>
      </c>
      <c r="O261" s="21">
        <f>WEEKDAY(Продажи!$M261,2)</f>
        <v>2</v>
      </c>
      <c r="P261" s="21">
        <f>YEAR(Продажи!$M261)</f>
        <v>2018</v>
      </c>
      <c r="Q261" s="28">
        <f>WEEKNUM(Продажи!$M261,2)</f>
        <v>33</v>
      </c>
      <c r="R261" s="28">
        <f>IF((Продажи!$E261="Зеленый чай")*(Продажи!$Q261&gt;=7)*(Продажи!$Q261&lt;=42),Продажи!$K261,0)</f>
        <v>0</v>
      </c>
      <c r="S261" s="28" t="b">
        <f t="shared" si="0"/>
        <v>0</v>
      </c>
    </row>
    <row r="262" spans="3:19" ht="15.75" customHeight="1" x14ac:dyDescent="0.2">
      <c r="C262" s="26">
        <v>4</v>
      </c>
      <c r="D262" s="21" t="s">
        <v>2449</v>
      </c>
      <c r="E262" s="21" t="s">
        <v>2448</v>
      </c>
      <c r="F262" s="21" t="s">
        <v>2485</v>
      </c>
      <c r="G262" s="21">
        <v>2211</v>
      </c>
      <c r="H262" s="21" t="s">
        <v>2444</v>
      </c>
      <c r="I262" s="21">
        <v>25</v>
      </c>
      <c r="J262" s="21">
        <v>55275</v>
      </c>
      <c r="K262" s="21">
        <v>0.09</v>
      </c>
      <c r="L262" s="21">
        <v>50300.25</v>
      </c>
      <c r="M262" s="24">
        <v>43422</v>
      </c>
      <c r="N262" s="21">
        <f>MONTH(Продажи!$M262)</f>
        <v>11</v>
      </c>
      <c r="O262" s="21">
        <f>WEEKDAY(Продажи!$M262,2)</f>
        <v>7</v>
      </c>
      <c r="P262" s="21">
        <f>YEAR(Продажи!$M262)</f>
        <v>2018</v>
      </c>
      <c r="Q262" s="28">
        <f>WEEKNUM(Продажи!$M262,2)</f>
        <v>46</v>
      </c>
      <c r="R262" s="28">
        <f>IF((Продажи!$E262="Зеленый чай")*(Продажи!$Q262&gt;=7)*(Продажи!$Q262&lt;=42),Продажи!$K262,0)</f>
        <v>0</v>
      </c>
      <c r="S262" s="28" t="b">
        <f t="shared" si="0"/>
        <v>0</v>
      </c>
    </row>
    <row r="263" spans="3:19" ht="15.75" customHeight="1" x14ac:dyDescent="0.2">
      <c r="C263" s="26">
        <v>26</v>
      </c>
      <c r="D263" s="21" t="s">
        <v>2464</v>
      </c>
      <c r="E263" s="21" t="s">
        <v>2442</v>
      </c>
      <c r="F263" s="21" t="s">
        <v>2443</v>
      </c>
      <c r="G263" s="21">
        <v>2197</v>
      </c>
      <c r="H263" s="21" t="s">
        <v>2440</v>
      </c>
      <c r="I263" s="21">
        <v>40</v>
      </c>
      <c r="J263" s="21">
        <v>87880</v>
      </c>
      <c r="K263" s="21">
        <v>0.12</v>
      </c>
      <c r="L263" s="21">
        <v>77334.399999999994</v>
      </c>
      <c r="M263" s="24">
        <v>42893</v>
      </c>
      <c r="N263" s="21">
        <f>MONTH(Продажи!$M263)</f>
        <v>6</v>
      </c>
      <c r="O263" s="21">
        <f>WEEKDAY(Продажи!$M263,2)</f>
        <v>3</v>
      </c>
      <c r="P263" s="21">
        <f>YEAR(Продажи!$M263)</f>
        <v>2017</v>
      </c>
      <c r="Q263" s="28">
        <f>WEEKNUM(Продажи!$M263,2)</f>
        <v>24</v>
      </c>
      <c r="R263" s="28">
        <f>IF((Продажи!$E263="Зеленый чай")*(Продажи!$Q263&gt;=7)*(Продажи!$Q263&lt;=42),Продажи!$K263,0)</f>
        <v>0</v>
      </c>
      <c r="S263" s="28" t="b">
        <f t="shared" si="0"/>
        <v>0</v>
      </c>
    </row>
    <row r="264" spans="3:19" ht="15.75" customHeight="1" x14ac:dyDescent="0.2">
      <c r="C264" s="26">
        <v>6</v>
      </c>
      <c r="D264" s="21" t="s">
        <v>2502</v>
      </c>
      <c r="E264" s="21" t="s">
        <v>2446</v>
      </c>
      <c r="F264" s="21" t="s">
        <v>2503</v>
      </c>
      <c r="G264" s="21">
        <v>3197</v>
      </c>
      <c r="H264" s="21" t="s">
        <v>2444</v>
      </c>
      <c r="I264" s="21">
        <v>6</v>
      </c>
      <c r="J264" s="21">
        <v>19182</v>
      </c>
      <c r="K264" s="21">
        <v>0.03</v>
      </c>
      <c r="L264" s="21">
        <v>18606.54</v>
      </c>
      <c r="M264" s="24">
        <v>42489</v>
      </c>
      <c r="N264" s="21">
        <f>MONTH(Продажи!$M264)</f>
        <v>4</v>
      </c>
      <c r="O264" s="21">
        <f>WEEKDAY(Продажи!$M264,2)</f>
        <v>5</v>
      </c>
      <c r="P264" s="21">
        <f>YEAR(Продажи!$M264)</f>
        <v>2016</v>
      </c>
      <c r="Q264" s="28">
        <f>WEEKNUM(Продажи!$M264,2)</f>
        <v>18</v>
      </c>
      <c r="R264" s="28">
        <f>IF((Продажи!$E264="Зеленый чай")*(Продажи!$Q264&gt;=7)*(Продажи!$Q264&lt;=42),Продажи!$K264,0)</f>
        <v>0</v>
      </c>
      <c r="S264" s="28">
        <f t="shared" si="0"/>
        <v>18606.54</v>
      </c>
    </row>
    <row r="265" spans="3:19" ht="15.75" customHeight="1" x14ac:dyDescent="0.2">
      <c r="C265" s="26">
        <v>50</v>
      </c>
      <c r="D265" s="21" t="s">
        <v>2481</v>
      </c>
      <c r="E265" s="21" t="s">
        <v>2454</v>
      </c>
      <c r="F265" s="21" t="s">
        <v>2482</v>
      </c>
      <c r="G265" s="21">
        <v>912</v>
      </c>
      <c r="H265" s="21" t="s">
        <v>2440</v>
      </c>
      <c r="I265" s="21">
        <v>20</v>
      </c>
      <c r="J265" s="21">
        <v>18240</v>
      </c>
      <c r="K265" s="21">
        <v>0</v>
      </c>
      <c r="L265" s="21">
        <v>18240</v>
      </c>
      <c r="M265" s="24">
        <v>42098</v>
      </c>
      <c r="N265" s="21">
        <f>MONTH(Продажи!$M265)</f>
        <v>4</v>
      </c>
      <c r="O265" s="21">
        <f>WEEKDAY(Продажи!$M265,2)</f>
        <v>6</v>
      </c>
      <c r="P265" s="21">
        <f>YEAR(Продажи!$M265)</f>
        <v>2015</v>
      </c>
      <c r="Q265" s="28">
        <f>WEEKNUM(Продажи!$M265,2)</f>
        <v>14</v>
      </c>
      <c r="R265" s="28">
        <f>IF((Продажи!$E265="Зеленый чай")*(Продажи!$Q265&gt;=7)*(Продажи!$Q265&lt;=42),Продажи!$K265,0)</f>
        <v>0</v>
      </c>
      <c r="S265" s="28" t="b">
        <f t="shared" si="0"/>
        <v>0</v>
      </c>
    </row>
    <row r="266" spans="3:19" ht="15.75" customHeight="1" x14ac:dyDescent="0.2">
      <c r="C266" s="26">
        <v>43</v>
      </c>
      <c r="D266" s="21" t="s">
        <v>2492</v>
      </c>
      <c r="E266" s="21" t="s">
        <v>2446</v>
      </c>
      <c r="F266" s="21" t="s">
        <v>2493</v>
      </c>
      <c r="G266" s="21">
        <v>759</v>
      </c>
      <c r="H266" s="21" t="s">
        <v>2444</v>
      </c>
      <c r="I266" s="21">
        <v>10</v>
      </c>
      <c r="J266" s="21">
        <v>7590</v>
      </c>
      <c r="K266" s="21">
        <v>0</v>
      </c>
      <c r="L266" s="21">
        <v>7590</v>
      </c>
      <c r="M266" s="24">
        <v>42545</v>
      </c>
      <c r="N266" s="21">
        <f>MONTH(Продажи!$M266)</f>
        <v>6</v>
      </c>
      <c r="O266" s="21">
        <f>WEEKDAY(Продажи!$M266,2)</f>
        <v>5</v>
      </c>
      <c r="P266" s="21">
        <f>YEAR(Продажи!$M266)</f>
        <v>2016</v>
      </c>
      <c r="Q266" s="28">
        <f>WEEKNUM(Продажи!$M266,2)</f>
        <v>26</v>
      </c>
      <c r="R266" s="28">
        <f>IF((Продажи!$E266="Зеленый чай")*(Продажи!$Q266&gt;=7)*(Продажи!$Q266&lt;=42),Продажи!$K266,0)</f>
        <v>0</v>
      </c>
      <c r="S266" s="28">
        <f t="shared" si="0"/>
        <v>7590</v>
      </c>
    </row>
    <row r="267" spans="3:19" ht="15.75" customHeight="1" x14ac:dyDescent="0.2">
      <c r="C267" s="26">
        <v>45</v>
      </c>
      <c r="D267" s="21" t="s">
        <v>2507</v>
      </c>
      <c r="E267" s="21" t="s">
        <v>2446</v>
      </c>
      <c r="F267" s="21" t="s">
        <v>2493</v>
      </c>
      <c r="G267" s="21">
        <v>759</v>
      </c>
      <c r="H267" s="21" t="s">
        <v>2444</v>
      </c>
      <c r="I267" s="21">
        <v>14</v>
      </c>
      <c r="J267" s="21">
        <v>10626</v>
      </c>
      <c r="K267" s="21">
        <v>0</v>
      </c>
      <c r="L267" s="21">
        <v>10626</v>
      </c>
      <c r="M267" s="24">
        <v>43758</v>
      </c>
      <c r="N267" s="21">
        <f>MONTH(Продажи!$M267)</f>
        <v>10</v>
      </c>
      <c r="O267" s="21">
        <f>WEEKDAY(Продажи!$M267,2)</f>
        <v>7</v>
      </c>
      <c r="P267" s="21">
        <f>YEAR(Продажи!$M267)</f>
        <v>2019</v>
      </c>
      <c r="Q267" s="28">
        <f>WEEKNUM(Продажи!$M267,2)</f>
        <v>42</v>
      </c>
      <c r="R267" s="28">
        <f>IF((Продажи!$E267="Зеленый чай")*(Продажи!$Q267&gt;=7)*(Продажи!$Q267&lt;=42),Продажи!$K267,0)</f>
        <v>0</v>
      </c>
      <c r="S267" s="28" t="b">
        <f t="shared" si="0"/>
        <v>0</v>
      </c>
    </row>
    <row r="268" spans="3:19" ht="15.75" customHeight="1" x14ac:dyDescent="0.2">
      <c r="C268" s="26">
        <v>20</v>
      </c>
      <c r="D268" s="21" t="s">
        <v>2467</v>
      </c>
      <c r="E268" s="21" t="s">
        <v>2457</v>
      </c>
      <c r="F268" s="21" t="s">
        <v>2468</v>
      </c>
      <c r="G268" s="21">
        <v>2198</v>
      </c>
      <c r="H268" s="21" t="s">
        <v>2444</v>
      </c>
      <c r="I268" s="21">
        <v>35</v>
      </c>
      <c r="J268" s="21">
        <v>76930</v>
      </c>
      <c r="K268" s="21">
        <v>0.12</v>
      </c>
      <c r="L268" s="21">
        <v>67698.399999999994</v>
      </c>
      <c r="M268" s="24">
        <v>44014</v>
      </c>
      <c r="N268" s="21">
        <f>MONTH(Продажи!$M268)</f>
        <v>7</v>
      </c>
      <c r="O268" s="21">
        <f>WEEKDAY(Продажи!$M268,2)</f>
        <v>4</v>
      </c>
      <c r="P268" s="21">
        <f>YEAR(Продажи!$M268)</f>
        <v>2020</v>
      </c>
      <c r="Q268" s="28">
        <f>WEEKNUM(Продажи!$M268,2)</f>
        <v>27</v>
      </c>
      <c r="R268" s="28">
        <f>IF((Продажи!$E268="Зеленый чай")*(Продажи!$Q268&gt;=7)*(Продажи!$Q268&lt;=42),Продажи!$K268,0)</f>
        <v>0</v>
      </c>
      <c r="S268" s="28" t="b">
        <f t="shared" si="0"/>
        <v>0</v>
      </c>
    </row>
    <row r="269" spans="3:19" ht="15.75" customHeight="1" x14ac:dyDescent="0.2">
      <c r="C269" s="26">
        <v>56</v>
      </c>
      <c r="D269" s="21" t="s">
        <v>2451</v>
      </c>
      <c r="E269" s="21" t="s">
        <v>2438</v>
      </c>
      <c r="F269" s="21" t="s">
        <v>2452</v>
      </c>
      <c r="G269" s="21">
        <v>800</v>
      </c>
      <c r="H269" s="21" t="s">
        <v>2440</v>
      </c>
      <c r="I269" s="21">
        <v>40</v>
      </c>
      <c r="J269" s="21">
        <v>32000</v>
      </c>
      <c r="K269" s="21">
        <v>0.03</v>
      </c>
      <c r="L269" s="21">
        <v>31040</v>
      </c>
      <c r="M269" s="24">
        <v>42953</v>
      </c>
      <c r="N269" s="21">
        <f>MONTH(Продажи!$M269)</f>
        <v>8</v>
      </c>
      <c r="O269" s="21">
        <f>WEEKDAY(Продажи!$M269,2)</f>
        <v>7</v>
      </c>
      <c r="P269" s="21">
        <f>YEAR(Продажи!$M269)</f>
        <v>2017</v>
      </c>
      <c r="Q269" s="28">
        <f>WEEKNUM(Продажи!$M269,2)</f>
        <v>32</v>
      </c>
      <c r="R269" s="28">
        <f>IF((Продажи!$E269="Зеленый чай")*(Продажи!$Q269&gt;=7)*(Продажи!$Q269&lt;=42),Продажи!$K269,0)</f>
        <v>0.03</v>
      </c>
      <c r="S269" s="28" t="b">
        <f t="shared" si="0"/>
        <v>0</v>
      </c>
    </row>
    <row r="270" spans="3:19" ht="15.75" customHeight="1" x14ac:dyDescent="0.2">
      <c r="C270" s="26">
        <v>46</v>
      </c>
      <c r="D270" s="21" t="s">
        <v>2475</v>
      </c>
      <c r="E270" s="21" t="s">
        <v>2476</v>
      </c>
      <c r="F270" s="21" t="s">
        <v>2476</v>
      </c>
      <c r="G270" s="21">
        <v>770</v>
      </c>
      <c r="H270" s="21" t="s">
        <v>2440</v>
      </c>
      <c r="I270" s="21">
        <v>20</v>
      </c>
      <c r="J270" s="21">
        <v>15400</v>
      </c>
      <c r="K270" s="21">
        <v>0.03</v>
      </c>
      <c r="L270" s="21">
        <v>14938</v>
      </c>
      <c r="M270" s="24">
        <v>42265</v>
      </c>
      <c r="N270" s="21">
        <f>MONTH(Продажи!$M270)</f>
        <v>9</v>
      </c>
      <c r="O270" s="21">
        <f>WEEKDAY(Продажи!$M270,2)</f>
        <v>5</v>
      </c>
      <c r="P270" s="21">
        <f>YEAR(Продажи!$M270)</f>
        <v>2015</v>
      </c>
      <c r="Q270" s="28">
        <f>WEEKNUM(Продажи!$M270,2)</f>
        <v>38</v>
      </c>
      <c r="R270" s="28">
        <f>IF((Продажи!$E270="Зеленый чай")*(Продажи!$Q270&gt;=7)*(Продажи!$Q270&lt;=42),Продажи!$K270,0)</f>
        <v>0</v>
      </c>
      <c r="S270" s="28" t="b">
        <f t="shared" si="0"/>
        <v>0</v>
      </c>
    </row>
    <row r="271" spans="3:19" ht="15.75" customHeight="1" x14ac:dyDescent="0.2">
      <c r="C271" s="26">
        <v>56</v>
      </c>
      <c r="D271" s="21" t="s">
        <v>2451</v>
      </c>
      <c r="E271" s="21" t="s">
        <v>2438</v>
      </c>
      <c r="F271" s="21" t="s">
        <v>2452</v>
      </c>
      <c r="G271" s="21">
        <v>800</v>
      </c>
      <c r="H271" s="21" t="s">
        <v>2440</v>
      </c>
      <c r="I271" s="21">
        <v>40</v>
      </c>
      <c r="J271" s="21">
        <v>32000</v>
      </c>
      <c r="K271" s="21">
        <v>0.03</v>
      </c>
      <c r="L271" s="21">
        <v>31040</v>
      </c>
      <c r="M271" s="24">
        <v>42138</v>
      </c>
      <c r="N271" s="21">
        <f>MONTH(Продажи!$M271)</f>
        <v>5</v>
      </c>
      <c r="O271" s="21">
        <f>WEEKDAY(Продажи!$M271,2)</f>
        <v>4</v>
      </c>
      <c r="P271" s="21">
        <f>YEAR(Продажи!$M271)</f>
        <v>2015</v>
      </c>
      <c r="Q271" s="28">
        <f>WEEKNUM(Продажи!$M271,2)</f>
        <v>20</v>
      </c>
      <c r="R271" s="28">
        <f>IF((Продажи!$E271="Зеленый чай")*(Продажи!$Q271&gt;=7)*(Продажи!$Q271&lt;=42),Продажи!$K271,0)</f>
        <v>0.03</v>
      </c>
      <c r="S271" s="28" t="b">
        <f t="shared" si="0"/>
        <v>0</v>
      </c>
    </row>
    <row r="272" spans="3:19" ht="15.75" customHeight="1" x14ac:dyDescent="0.2">
      <c r="C272" s="26">
        <v>23</v>
      </c>
      <c r="D272" s="21" t="s">
        <v>2473</v>
      </c>
      <c r="E272" s="21" t="s">
        <v>2448</v>
      </c>
      <c r="F272" s="21" t="s">
        <v>2474</v>
      </c>
      <c r="G272" s="21">
        <v>2645</v>
      </c>
      <c r="H272" s="21" t="s">
        <v>2444</v>
      </c>
      <c r="I272" s="21">
        <v>50</v>
      </c>
      <c r="J272" s="21">
        <v>132250</v>
      </c>
      <c r="K272" s="21">
        <v>0.15</v>
      </c>
      <c r="L272" s="21">
        <v>112412.5</v>
      </c>
      <c r="M272" s="24">
        <v>42356</v>
      </c>
      <c r="N272" s="21">
        <f>MONTH(Продажи!$M272)</f>
        <v>12</v>
      </c>
      <c r="O272" s="21">
        <f>WEEKDAY(Продажи!$M272,2)</f>
        <v>5</v>
      </c>
      <c r="P272" s="21">
        <f>YEAR(Продажи!$M272)</f>
        <v>2015</v>
      </c>
      <c r="Q272" s="28">
        <f>WEEKNUM(Продажи!$M272,2)</f>
        <v>51</v>
      </c>
      <c r="R272" s="28">
        <f>IF((Продажи!$E272="Зеленый чай")*(Продажи!$Q272&gt;=7)*(Продажи!$Q272&lt;=42),Продажи!$K272,0)</f>
        <v>0</v>
      </c>
      <c r="S272" s="28" t="b">
        <f t="shared" si="0"/>
        <v>0</v>
      </c>
    </row>
    <row r="273" spans="3:19" ht="15.75" customHeight="1" x14ac:dyDescent="0.2">
      <c r="C273" s="26">
        <v>48</v>
      </c>
      <c r="D273" s="21" t="s">
        <v>2471</v>
      </c>
      <c r="E273" s="21" t="s">
        <v>2438</v>
      </c>
      <c r="F273" s="21" t="s">
        <v>2472</v>
      </c>
      <c r="G273" s="21">
        <v>2199</v>
      </c>
      <c r="H273" s="21" t="s">
        <v>2440</v>
      </c>
      <c r="I273" s="21">
        <v>55</v>
      </c>
      <c r="J273" s="21">
        <v>120945</v>
      </c>
      <c r="K273" s="21">
        <v>0.15</v>
      </c>
      <c r="L273" s="21">
        <v>102803.25</v>
      </c>
      <c r="M273" s="24">
        <v>42201</v>
      </c>
      <c r="N273" s="21">
        <f>MONTH(Продажи!$M273)</f>
        <v>7</v>
      </c>
      <c r="O273" s="21">
        <f>WEEKDAY(Продажи!$M273,2)</f>
        <v>4</v>
      </c>
      <c r="P273" s="21">
        <f>YEAR(Продажи!$M273)</f>
        <v>2015</v>
      </c>
      <c r="Q273" s="28">
        <f>WEEKNUM(Продажи!$M273,2)</f>
        <v>29</v>
      </c>
      <c r="R273" s="28">
        <f>IF((Продажи!$E273="Зеленый чай")*(Продажи!$Q273&gt;=7)*(Продажи!$Q273&lt;=42),Продажи!$K273,0)</f>
        <v>0.15</v>
      </c>
      <c r="S273" s="28" t="b">
        <f t="shared" si="0"/>
        <v>0</v>
      </c>
    </row>
    <row r="274" spans="3:19" ht="15.75" customHeight="1" x14ac:dyDescent="0.2">
      <c r="C274" s="26">
        <v>10</v>
      </c>
      <c r="D274" s="21" t="s">
        <v>2451</v>
      </c>
      <c r="E274" s="21" t="s">
        <v>2438</v>
      </c>
      <c r="F274" s="21" t="s">
        <v>2452</v>
      </c>
      <c r="G274" s="21">
        <v>800</v>
      </c>
      <c r="H274" s="21" t="s">
        <v>2440</v>
      </c>
      <c r="I274" s="21">
        <v>25</v>
      </c>
      <c r="J274" s="21">
        <v>20000</v>
      </c>
      <c r="K274" s="21">
        <v>0.03</v>
      </c>
      <c r="L274" s="21">
        <v>19400</v>
      </c>
      <c r="M274" s="24">
        <v>43381</v>
      </c>
      <c r="N274" s="21">
        <f>MONTH(Продажи!$M274)</f>
        <v>10</v>
      </c>
      <c r="O274" s="21">
        <f>WEEKDAY(Продажи!$M274,2)</f>
        <v>1</v>
      </c>
      <c r="P274" s="21">
        <f>YEAR(Продажи!$M274)</f>
        <v>2018</v>
      </c>
      <c r="Q274" s="28">
        <f>WEEKNUM(Продажи!$M274,2)</f>
        <v>41</v>
      </c>
      <c r="R274" s="28">
        <f>IF((Продажи!$E274="Зеленый чай")*(Продажи!$Q274&gt;=7)*(Продажи!$Q274&lt;=42),Продажи!$K274,0)</f>
        <v>0.03</v>
      </c>
      <c r="S274" s="28" t="b">
        <f t="shared" si="0"/>
        <v>0</v>
      </c>
    </row>
    <row r="275" spans="3:19" ht="15.75" customHeight="1" x14ac:dyDescent="0.2">
      <c r="C275" s="26">
        <v>31</v>
      </c>
      <c r="D275" s="21" t="s">
        <v>2479</v>
      </c>
      <c r="E275" s="21" t="s">
        <v>2442</v>
      </c>
      <c r="F275" s="21" t="s">
        <v>2480</v>
      </c>
      <c r="G275" s="21">
        <v>1228</v>
      </c>
      <c r="H275" s="21" t="s">
        <v>2440</v>
      </c>
      <c r="I275" s="21">
        <v>45</v>
      </c>
      <c r="J275" s="21">
        <v>55260</v>
      </c>
      <c r="K275" s="21">
        <v>0.09</v>
      </c>
      <c r="L275" s="21">
        <v>50286.6</v>
      </c>
      <c r="M275" s="24">
        <v>43780</v>
      </c>
      <c r="N275" s="21">
        <f>MONTH(Продажи!$M275)</f>
        <v>11</v>
      </c>
      <c r="O275" s="21">
        <f>WEEKDAY(Продажи!$M275,2)</f>
        <v>1</v>
      </c>
      <c r="P275" s="21">
        <f>YEAR(Продажи!$M275)</f>
        <v>2019</v>
      </c>
      <c r="Q275" s="28">
        <f>WEEKNUM(Продажи!$M275,2)</f>
        <v>46</v>
      </c>
      <c r="R275" s="28">
        <f>IF((Продажи!$E275="Зеленый чай")*(Продажи!$Q275&gt;=7)*(Продажи!$Q275&lt;=42),Продажи!$K275,0)</f>
        <v>0</v>
      </c>
      <c r="S275" s="28" t="b">
        <f t="shared" si="0"/>
        <v>0</v>
      </c>
    </row>
    <row r="276" spans="3:19" ht="15.75" customHeight="1" x14ac:dyDescent="0.2">
      <c r="C276" s="26">
        <v>45</v>
      </c>
      <c r="D276" s="21" t="s">
        <v>2507</v>
      </c>
      <c r="E276" s="21" t="s">
        <v>2446</v>
      </c>
      <c r="F276" s="21" t="s">
        <v>2493</v>
      </c>
      <c r="G276" s="21">
        <v>759</v>
      </c>
      <c r="H276" s="21" t="s">
        <v>2444</v>
      </c>
      <c r="I276" s="21">
        <v>14</v>
      </c>
      <c r="J276" s="21">
        <v>10626</v>
      </c>
      <c r="K276" s="21">
        <v>0</v>
      </c>
      <c r="L276" s="21">
        <v>10626</v>
      </c>
      <c r="M276" s="24">
        <v>43404</v>
      </c>
      <c r="N276" s="21">
        <f>MONTH(Продажи!$M276)</f>
        <v>10</v>
      </c>
      <c r="O276" s="21">
        <f>WEEKDAY(Продажи!$M276,2)</f>
        <v>3</v>
      </c>
      <c r="P276" s="21">
        <f>YEAR(Продажи!$M276)</f>
        <v>2018</v>
      </c>
      <c r="Q276" s="28">
        <f>WEEKNUM(Продажи!$M276,2)</f>
        <v>44</v>
      </c>
      <c r="R276" s="28">
        <f>IF((Продажи!$E276="Зеленый чай")*(Продажи!$Q276&gt;=7)*(Продажи!$Q276&lt;=42),Продажи!$K276,0)</f>
        <v>0</v>
      </c>
      <c r="S276" s="28">
        <f t="shared" si="0"/>
        <v>10626</v>
      </c>
    </row>
    <row r="277" spans="3:19" ht="15.75" customHeight="1" x14ac:dyDescent="0.2">
      <c r="C277" s="26">
        <v>3</v>
      </c>
      <c r="D277" s="21" t="s">
        <v>2445</v>
      </c>
      <c r="E277" s="21" t="s">
        <v>2446</v>
      </c>
      <c r="F277" s="21" t="s">
        <v>2446</v>
      </c>
      <c r="G277" s="21">
        <v>807</v>
      </c>
      <c r="H277" s="21" t="s">
        <v>2440</v>
      </c>
      <c r="I277" s="21">
        <v>18</v>
      </c>
      <c r="J277" s="21">
        <v>14526</v>
      </c>
      <c r="K277" s="21">
        <v>0</v>
      </c>
      <c r="L277" s="21">
        <v>14526</v>
      </c>
      <c r="M277" s="24">
        <v>42713</v>
      </c>
      <c r="N277" s="21">
        <f>MONTH(Продажи!$M277)</f>
        <v>12</v>
      </c>
      <c r="O277" s="21">
        <f>WEEKDAY(Продажи!$M277,2)</f>
        <v>5</v>
      </c>
      <c r="P277" s="21">
        <f>YEAR(Продажи!$M277)</f>
        <v>2016</v>
      </c>
      <c r="Q277" s="28">
        <f>WEEKNUM(Продажи!$M277,2)</f>
        <v>50</v>
      </c>
      <c r="R277" s="28">
        <f>IF((Продажи!$E277="Зеленый чай")*(Продажи!$Q277&gt;=7)*(Продажи!$Q277&lt;=42),Продажи!$K277,0)</f>
        <v>0</v>
      </c>
      <c r="S277" s="28" t="b">
        <f t="shared" si="0"/>
        <v>0</v>
      </c>
    </row>
    <row r="278" spans="3:19" ht="15.75" customHeight="1" x14ac:dyDescent="0.2">
      <c r="C278" s="26">
        <v>51</v>
      </c>
      <c r="D278" s="21" t="s">
        <v>2449</v>
      </c>
      <c r="E278" s="21" t="s">
        <v>2448</v>
      </c>
      <c r="F278" s="21" t="s">
        <v>2450</v>
      </c>
      <c r="G278" s="21">
        <v>2211</v>
      </c>
      <c r="H278" s="21" t="s">
        <v>2444</v>
      </c>
      <c r="I278" s="21">
        <v>25</v>
      </c>
      <c r="J278" s="21">
        <v>55275</v>
      </c>
      <c r="K278" s="21">
        <v>0.09</v>
      </c>
      <c r="L278" s="21">
        <v>50300.25</v>
      </c>
      <c r="M278" s="24">
        <v>42673</v>
      </c>
      <c r="N278" s="21">
        <f>MONTH(Продажи!$M278)</f>
        <v>10</v>
      </c>
      <c r="O278" s="21">
        <f>WEEKDAY(Продажи!$M278,2)</f>
        <v>7</v>
      </c>
      <c r="P278" s="21">
        <f>YEAR(Продажи!$M278)</f>
        <v>2016</v>
      </c>
      <c r="Q278" s="28">
        <f>WEEKNUM(Продажи!$M278,2)</f>
        <v>44</v>
      </c>
      <c r="R278" s="28">
        <f>IF((Продажи!$E278="Зеленый чай")*(Продажи!$Q278&gt;=7)*(Продажи!$Q278&lt;=42),Продажи!$K278,0)</f>
        <v>0</v>
      </c>
      <c r="S278" s="28">
        <f t="shared" si="0"/>
        <v>50300.25</v>
      </c>
    </row>
    <row r="279" spans="3:19" ht="15.75" customHeight="1" x14ac:dyDescent="0.2">
      <c r="C279" s="26">
        <v>21</v>
      </c>
      <c r="D279" s="21" t="s">
        <v>2497</v>
      </c>
      <c r="E279" s="21" t="s">
        <v>2442</v>
      </c>
      <c r="F279" s="21" t="s">
        <v>2498</v>
      </c>
      <c r="G279" s="21">
        <v>887</v>
      </c>
      <c r="H279" s="21" t="s">
        <v>2444</v>
      </c>
      <c r="I279" s="21">
        <v>15</v>
      </c>
      <c r="J279" s="21">
        <v>13305</v>
      </c>
      <c r="K279" s="21">
        <v>0</v>
      </c>
      <c r="L279" s="21">
        <v>13305</v>
      </c>
      <c r="M279" s="24">
        <v>42352</v>
      </c>
      <c r="N279" s="21">
        <f>MONTH(Продажи!$M279)</f>
        <v>12</v>
      </c>
      <c r="O279" s="21">
        <f>WEEKDAY(Продажи!$M279,2)</f>
        <v>1</v>
      </c>
      <c r="P279" s="21">
        <f>YEAR(Продажи!$M279)</f>
        <v>2015</v>
      </c>
      <c r="Q279" s="28">
        <f>WEEKNUM(Продажи!$M279,2)</f>
        <v>51</v>
      </c>
      <c r="R279" s="28">
        <f>IF((Продажи!$E279="Зеленый чай")*(Продажи!$Q279&gt;=7)*(Продажи!$Q279&lt;=42),Продажи!$K279,0)</f>
        <v>0</v>
      </c>
      <c r="S279" s="28" t="b">
        <f t="shared" si="0"/>
        <v>0</v>
      </c>
    </row>
    <row r="280" spans="3:19" ht="15.75" customHeight="1" x14ac:dyDescent="0.2">
      <c r="C280" s="26">
        <v>27</v>
      </c>
      <c r="D280" s="21" t="s">
        <v>2499</v>
      </c>
      <c r="E280" s="21" t="s">
        <v>2462</v>
      </c>
      <c r="F280" s="21" t="s">
        <v>2463</v>
      </c>
      <c r="G280" s="21">
        <v>1994</v>
      </c>
      <c r="H280" s="21" t="s">
        <v>2444</v>
      </c>
      <c r="I280" s="21">
        <v>25</v>
      </c>
      <c r="J280" s="21">
        <v>49850</v>
      </c>
      <c r="K280" s="21">
        <v>0.06</v>
      </c>
      <c r="L280" s="21">
        <v>46859</v>
      </c>
      <c r="M280" s="24">
        <v>43724</v>
      </c>
      <c r="N280" s="21">
        <f>MONTH(Продажи!$M280)</f>
        <v>9</v>
      </c>
      <c r="O280" s="21">
        <f>WEEKDAY(Продажи!$M280,2)</f>
        <v>1</v>
      </c>
      <c r="P280" s="21">
        <f>YEAR(Продажи!$M280)</f>
        <v>2019</v>
      </c>
      <c r="Q280" s="28">
        <f>WEEKNUM(Продажи!$M280,2)</f>
        <v>38</v>
      </c>
      <c r="R280" s="28">
        <f>IF((Продажи!$E280="Зеленый чай")*(Продажи!$Q280&gt;=7)*(Продажи!$Q280&lt;=42),Продажи!$K280,0)</f>
        <v>0</v>
      </c>
      <c r="S280" s="28" t="b">
        <f t="shared" si="0"/>
        <v>0</v>
      </c>
    </row>
    <row r="281" spans="3:19" ht="15.75" customHeight="1" x14ac:dyDescent="0.2">
      <c r="C281" s="26">
        <v>24</v>
      </c>
      <c r="D281" s="21" t="s">
        <v>2456</v>
      </c>
      <c r="E281" s="21" t="s">
        <v>2457</v>
      </c>
      <c r="F281" s="21" t="s">
        <v>2458</v>
      </c>
      <c r="G281" s="21">
        <v>957</v>
      </c>
      <c r="H281" s="21" t="s">
        <v>2440</v>
      </c>
      <c r="I281" s="21">
        <v>25</v>
      </c>
      <c r="J281" s="21">
        <v>23925</v>
      </c>
      <c r="K281" s="21">
        <v>0.03</v>
      </c>
      <c r="L281" s="21">
        <v>23207.25</v>
      </c>
      <c r="M281" s="24">
        <v>42564</v>
      </c>
      <c r="N281" s="21">
        <f>MONTH(Продажи!$M281)</f>
        <v>7</v>
      </c>
      <c r="O281" s="21">
        <f>WEEKDAY(Продажи!$M281,2)</f>
        <v>3</v>
      </c>
      <c r="P281" s="21">
        <f>YEAR(Продажи!$M281)</f>
        <v>2016</v>
      </c>
      <c r="Q281" s="28">
        <f>WEEKNUM(Продажи!$M281,2)</f>
        <v>29</v>
      </c>
      <c r="R281" s="28">
        <f>IF((Продажи!$E281="Зеленый чай")*(Продажи!$Q281&gt;=7)*(Продажи!$Q281&lt;=42),Продажи!$K281,0)</f>
        <v>0</v>
      </c>
      <c r="S281" s="28" t="b">
        <f t="shared" si="0"/>
        <v>0</v>
      </c>
    </row>
    <row r="282" spans="3:19" ht="15.75" customHeight="1" x14ac:dyDescent="0.2">
      <c r="C282" s="26">
        <v>8</v>
      </c>
      <c r="D282" s="21" t="s">
        <v>2477</v>
      </c>
      <c r="E282" s="21" t="s">
        <v>2454</v>
      </c>
      <c r="F282" s="21" t="s">
        <v>2478</v>
      </c>
      <c r="G282" s="21">
        <v>847</v>
      </c>
      <c r="H282" s="21" t="s">
        <v>2440</v>
      </c>
      <c r="I282" s="21">
        <v>15</v>
      </c>
      <c r="J282" s="21">
        <v>12705</v>
      </c>
      <c r="K282" s="21">
        <v>0</v>
      </c>
      <c r="L282" s="21">
        <v>12705</v>
      </c>
      <c r="M282" s="24">
        <v>42014</v>
      </c>
      <c r="N282" s="21">
        <f>MONTH(Продажи!$M282)</f>
        <v>1</v>
      </c>
      <c r="O282" s="21">
        <f>WEEKDAY(Продажи!$M282,2)</f>
        <v>6</v>
      </c>
      <c r="P282" s="21">
        <f>YEAR(Продажи!$M282)</f>
        <v>2015</v>
      </c>
      <c r="Q282" s="28">
        <f>WEEKNUM(Продажи!$M282,2)</f>
        <v>2</v>
      </c>
      <c r="R282" s="28">
        <f>IF((Продажи!$E282="Зеленый чай")*(Продажи!$Q282&gt;=7)*(Продажи!$Q282&lt;=42),Продажи!$K282,0)</f>
        <v>0</v>
      </c>
      <c r="S282" s="28" t="b">
        <f t="shared" si="0"/>
        <v>0</v>
      </c>
    </row>
    <row r="283" spans="3:19" ht="15.75" customHeight="1" x14ac:dyDescent="0.2">
      <c r="C283" s="26">
        <v>25</v>
      </c>
      <c r="D283" s="21" t="s">
        <v>2490</v>
      </c>
      <c r="E283" s="21" t="s">
        <v>2462</v>
      </c>
      <c r="F283" s="21" t="s">
        <v>2491</v>
      </c>
      <c r="G283" s="21">
        <v>1994</v>
      </c>
      <c r="H283" s="21" t="s">
        <v>2444</v>
      </c>
      <c r="I283" s="21">
        <v>10</v>
      </c>
      <c r="J283" s="21">
        <v>19940</v>
      </c>
      <c r="K283" s="21">
        <v>0.03</v>
      </c>
      <c r="L283" s="21">
        <v>19341.8</v>
      </c>
      <c r="M283" s="24">
        <v>43435</v>
      </c>
      <c r="N283" s="21">
        <f>MONTH(Продажи!$M283)</f>
        <v>12</v>
      </c>
      <c r="O283" s="21">
        <f>WEEKDAY(Продажи!$M283,2)</f>
        <v>6</v>
      </c>
      <c r="P283" s="21">
        <f>YEAR(Продажи!$M283)</f>
        <v>2018</v>
      </c>
      <c r="Q283" s="28">
        <f>WEEKNUM(Продажи!$M283,2)</f>
        <v>48</v>
      </c>
      <c r="R283" s="28">
        <f>IF((Продажи!$E283="Зеленый чай")*(Продажи!$Q283&gt;=7)*(Продажи!$Q283&lt;=42),Продажи!$K283,0)</f>
        <v>0</v>
      </c>
      <c r="S283" s="28" t="b">
        <f t="shared" si="0"/>
        <v>0</v>
      </c>
    </row>
    <row r="284" spans="3:19" ht="15.75" customHeight="1" x14ac:dyDescent="0.2">
      <c r="C284" s="26">
        <v>15</v>
      </c>
      <c r="D284" s="21" t="s">
        <v>2512</v>
      </c>
      <c r="E284" s="21" t="s">
        <v>2462</v>
      </c>
      <c r="F284" s="21" t="s">
        <v>2513</v>
      </c>
      <c r="G284" s="21">
        <v>1994</v>
      </c>
      <c r="H284" s="21" t="s">
        <v>2444</v>
      </c>
      <c r="I284" s="21">
        <v>17</v>
      </c>
      <c r="J284" s="21">
        <v>33898</v>
      </c>
      <c r="K284" s="21">
        <v>0.06</v>
      </c>
      <c r="L284" s="21">
        <v>31864.12</v>
      </c>
      <c r="M284" s="24">
        <v>44180</v>
      </c>
      <c r="N284" s="21">
        <f>MONTH(Продажи!$M284)</f>
        <v>12</v>
      </c>
      <c r="O284" s="21">
        <f>WEEKDAY(Продажи!$M284,2)</f>
        <v>2</v>
      </c>
      <c r="P284" s="21">
        <f>YEAR(Продажи!$M284)</f>
        <v>2020</v>
      </c>
      <c r="Q284" s="28">
        <f>WEEKNUM(Продажи!$M284,2)</f>
        <v>51</v>
      </c>
      <c r="R284" s="28">
        <f>IF((Продажи!$E284="Зеленый чай")*(Продажи!$Q284&gt;=7)*(Продажи!$Q284&lt;=42),Продажи!$K284,0)</f>
        <v>0</v>
      </c>
      <c r="S284" s="28" t="b">
        <f t="shared" si="0"/>
        <v>0</v>
      </c>
    </row>
    <row r="285" spans="3:19" ht="15.75" customHeight="1" x14ac:dyDescent="0.2">
      <c r="C285" s="26">
        <v>55</v>
      </c>
      <c r="D285" s="21" t="s">
        <v>2447</v>
      </c>
      <c r="E285" s="21" t="s">
        <v>2448</v>
      </c>
      <c r="F285" s="21" t="s">
        <v>2448</v>
      </c>
      <c r="G285" s="21">
        <v>699</v>
      </c>
      <c r="H285" s="21" t="s">
        <v>2444</v>
      </c>
      <c r="I285" s="21">
        <v>10</v>
      </c>
      <c r="J285" s="21">
        <v>6990</v>
      </c>
      <c r="K285" s="21">
        <v>0</v>
      </c>
      <c r="L285" s="21">
        <v>6990</v>
      </c>
      <c r="M285" s="24">
        <v>42861</v>
      </c>
      <c r="N285" s="21">
        <f>MONTH(Продажи!$M285)</f>
        <v>5</v>
      </c>
      <c r="O285" s="21">
        <f>WEEKDAY(Продажи!$M285,2)</f>
        <v>6</v>
      </c>
      <c r="P285" s="21">
        <f>YEAR(Продажи!$M285)</f>
        <v>2017</v>
      </c>
      <c r="Q285" s="28">
        <f>WEEKNUM(Продажи!$M285,2)</f>
        <v>19</v>
      </c>
      <c r="R285" s="28">
        <f>IF((Продажи!$E285="Зеленый чай")*(Продажи!$Q285&gt;=7)*(Продажи!$Q285&lt;=42),Продажи!$K285,0)</f>
        <v>0</v>
      </c>
      <c r="S285" s="28" t="b">
        <f t="shared" si="0"/>
        <v>0</v>
      </c>
    </row>
    <row r="286" spans="3:19" ht="15.75" customHeight="1" x14ac:dyDescent="0.2">
      <c r="C286" s="26">
        <v>16</v>
      </c>
      <c r="D286" s="21" t="s">
        <v>2504</v>
      </c>
      <c r="E286" s="21" t="s">
        <v>2505</v>
      </c>
      <c r="F286" s="21" t="s">
        <v>2506</v>
      </c>
      <c r="G286" s="21">
        <v>843</v>
      </c>
      <c r="H286" s="21" t="s">
        <v>2444</v>
      </c>
      <c r="I286" s="21">
        <v>5</v>
      </c>
      <c r="J286" s="21">
        <v>4215</v>
      </c>
      <c r="K286" s="21">
        <v>0</v>
      </c>
      <c r="L286" s="21">
        <v>4215</v>
      </c>
      <c r="M286" s="24">
        <v>42736</v>
      </c>
      <c r="N286" s="21">
        <f>MONTH(Продажи!$M286)</f>
        <v>1</v>
      </c>
      <c r="O286" s="21">
        <f>WEEKDAY(Продажи!$M286,2)</f>
        <v>7</v>
      </c>
      <c r="P286" s="21">
        <f>YEAR(Продажи!$M286)</f>
        <v>2017</v>
      </c>
      <c r="Q286" s="28">
        <f>WEEKNUM(Продажи!$M286,2)</f>
        <v>1</v>
      </c>
      <c r="R286" s="28">
        <f>IF((Продажи!$E286="Зеленый чай")*(Продажи!$Q286&gt;=7)*(Продажи!$Q286&lt;=42),Продажи!$K286,0)</f>
        <v>0</v>
      </c>
      <c r="S286" s="28" t="b">
        <f t="shared" si="0"/>
        <v>0</v>
      </c>
    </row>
    <row r="287" spans="3:19" ht="15.75" customHeight="1" x14ac:dyDescent="0.2">
      <c r="C287" s="26">
        <v>25</v>
      </c>
      <c r="D287" s="21" t="s">
        <v>2490</v>
      </c>
      <c r="E287" s="21" t="s">
        <v>2462</v>
      </c>
      <c r="F287" s="21" t="s">
        <v>2491</v>
      </c>
      <c r="G287" s="21">
        <v>1994</v>
      </c>
      <c r="H287" s="21" t="s">
        <v>2444</v>
      </c>
      <c r="I287" s="21">
        <v>10</v>
      </c>
      <c r="J287" s="21">
        <v>19940</v>
      </c>
      <c r="K287" s="21">
        <v>0.03</v>
      </c>
      <c r="L287" s="21">
        <v>19341.8</v>
      </c>
      <c r="M287" s="24">
        <v>44099</v>
      </c>
      <c r="N287" s="21">
        <f>MONTH(Продажи!$M287)</f>
        <v>9</v>
      </c>
      <c r="O287" s="21">
        <f>WEEKDAY(Продажи!$M287,2)</f>
        <v>5</v>
      </c>
      <c r="P287" s="21">
        <f>YEAR(Продажи!$M287)</f>
        <v>2020</v>
      </c>
      <c r="Q287" s="28">
        <f>WEEKNUM(Продажи!$M287,2)</f>
        <v>39</v>
      </c>
      <c r="R287" s="28">
        <f>IF((Продажи!$E287="Зеленый чай")*(Продажи!$Q287&gt;=7)*(Продажи!$Q287&lt;=42),Продажи!$K287,0)</f>
        <v>0</v>
      </c>
      <c r="S287" s="28">
        <f t="shared" si="0"/>
        <v>19341.8</v>
      </c>
    </row>
    <row r="288" spans="3:19" ht="15.75" customHeight="1" x14ac:dyDescent="0.2">
      <c r="C288" s="26">
        <v>10</v>
      </c>
      <c r="D288" s="21" t="s">
        <v>2451</v>
      </c>
      <c r="E288" s="21" t="s">
        <v>2438</v>
      </c>
      <c r="F288" s="21" t="s">
        <v>2452</v>
      </c>
      <c r="G288" s="21">
        <v>800</v>
      </c>
      <c r="H288" s="21" t="s">
        <v>2440</v>
      </c>
      <c r="I288" s="21">
        <v>25</v>
      </c>
      <c r="J288" s="21">
        <v>20000</v>
      </c>
      <c r="K288" s="21">
        <v>0.03</v>
      </c>
      <c r="L288" s="21">
        <v>19400</v>
      </c>
      <c r="M288" s="24">
        <v>42183</v>
      </c>
      <c r="N288" s="21">
        <f>MONTH(Продажи!$M288)</f>
        <v>6</v>
      </c>
      <c r="O288" s="21">
        <f>WEEKDAY(Продажи!$M288,2)</f>
        <v>7</v>
      </c>
      <c r="P288" s="21">
        <f>YEAR(Продажи!$M288)</f>
        <v>2015</v>
      </c>
      <c r="Q288" s="28">
        <f>WEEKNUM(Продажи!$M288,2)</f>
        <v>26</v>
      </c>
      <c r="R288" s="28">
        <f>IF((Продажи!$E288="Зеленый чай")*(Продажи!$Q288&gt;=7)*(Продажи!$Q288&lt;=42),Продажи!$K288,0)</f>
        <v>0.03</v>
      </c>
      <c r="S288" s="28">
        <f t="shared" si="0"/>
        <v>19400</v>
      </c>
    </row>
    <row r="289" spans="3:19" ht="15.75" customHeight="1" x14ac:dyDescent="0.2">
      <c r="C289" s="26">
        <v>46</v>
      </c>
      <c r="D289" s="21" t="s">
        <v>2475</v>
      </c>
      <c r="E289" s="21" t="s">
        <v>2476</v>
      </c>
      <c r="F289" s="21" t="s">
        <v>2476</v>
      </c>
      <c r="G289" s="21">
        <v>770</v>
      </c>
      <c r="H289" s="21" t="s">
        <v>2440</v>
      </c>
      <c r="I289" s="21">
        <v>20</v>
      </c>
      <c r="J289" s="21">
        <v>15400</v>
      </c>
      <c r="K289" s="21">
        <v>0.03</v>
      </c>
      <c r="L289" s="21">
        <v>14938</v>
      </c>
      <c r="M289" s="24">
        <v>42893</v>
      </c>
      <c r="N289" s="21">
        <f>MONTH(Продажи!$M289)</f>
        <v>6</v>
      </c>
      <c r="O289" s="21">
        <f>WEEKDAY(Продажи!$M289,2)</f>
        <v>3</v>
      </c>
      <c r="P289" s="21">
        <f>YEAR(Продажи!$M289)</f>
        <v>2017</v>
      </c>
      <c r="Q289" s="28">
        <f>WEEKNUM(Продажи!$M289,2)</f>
        <v>24</v>
      </c>
      <c r="R289" s="28">
        <f>IF((Продажи!$E289="Зеленый чай")*(Продажи!$Q289&gt;=7)*(Продажи!$Q289&lt;=42),Продажи!$K289,0)</f>
        <v>0</v>
      </c>
      <c r="S289" s="28" t="b">
        <f t="shared" si="0"/>
        <v>0</v>
      </c>
    </row>
    <row r="290" spans="3:19" ht="15.75" customHeight="1" x14ac:dyDescent="0.2">
      <c r="C290" s="26">
        <v>6</v>
      </c>
      <c r="D290" s="21" t="s">
        <v>2502</v>
      </c>
      <c r="E290" s="21" t="s">
        <v>2446</v>
      </c>
      <c r="F290" s="21" t="s">
        <v>2503</v>
      </c>
      <c r="G290" s="21">
        <v>3197</v>
      </c>
      <c r="H290" s="21" t="s">
        <v>2444</v>
      </c>
      <c r="I290" s="21">
        <v>6</v>
      </c>
      <c r="J290" s="21">
        <v>19182</v>
      </c>
      <c r="K290" s="21">
        <v>0.03</v>
      </c>
      <c r="L290" s="21">
        <v>18606.54</v>
      </c>
      <c r="M290" s="24">
        <v>43839</v>
      </c>
      <c r="N290" s="21">
        <f>MONTH(Продажи!$M290)</f>
        <v>1</v>
      </c>
      <c r="O290" s="21">
        <f>WEEKDAY(Продажи!$M290,2)</f>
        <v>4</v>
      </c>
      <c r="P290" s="21">
        <f>YEAR(Продажи!$M290)</f>
        <v>2020</v>
      </c>
      <c r="Q290" s="28">
        <f>WEEKNUM(Продажи!$M290,2)</f>
        <v>2</v>
      </c>
      <c r="R290" s="28">
        <f>IF((Продажи!$E290="Зеленый чай")*(Продажи!$Q290&gt;=7)*(Продажи!$Q290&lt;=42),Продажи!$K290,0)</f>
        <v>0</v>
      </c>
      <c r="S290" s="28" t="b">
        <f t="shared" si="0"/>
        <v>0</v>
      </c>
    </row>
    <row r="291" spans="3:19" ht="15.75" customHeight="1" x14ac:dyDescent="0.2">
      <c r="C291" s="26">
        <v>15</v>
      </c>
      <c r="D291" s="21" t="s">
        <v>2512</v>
      </c>
      <c r="E291" s="21" t="s">
        <v>2462</v>
      </c>
      <c r="F291" s="21" t="s">
        <v>2513</v>
      </c>
      <c r="G291" s="21">
        <v>1994</v>
      </c>
      <c r="H291" s="21" t="s">
        <v>2444</v>
      </c>
      <c r="I291" s="21">
        <v>17</v>
      </c>
      <c r="J291" s="21">
        <v>33898</v>
      </c>
      <c r="K291" s="21">
        <v>0.06</v>
      </c>
      <c r="L291" s="21">
        <v>31864.12</v>
      </c>
      <c r="M291" s="24">
        <v>42081</v>
      </c>
      <c r="N291" s="21">
        <f>MONTH(Продажи!$M291)</f>
        <v>3</v>
      </c>
      <c r="O291" s="21">
        <f>WEEKDAY(Продажи!$M291,2)</f>
        <v>3</v>
      </c>
      <c r="P291" s="21">
        <f>YEAR(Продажи!$M291)</f>
        <v>2015</v>
      </c>
      <c r="Q291" s="28">
        <f>WEEKNUM(Продажи!$M291,2)</f>
        <v>12</v>
      </c>
      <c r="R291" s="28">
        <f>IF((Продажи!$E291="Зеленый чай")*(Продажи!$Q291&gt;=7)*(Продажи!$Q291&lt;=42),Продажи!$K291,0)</f>
        <v>0</v>
      </c>
      <c r="S291" s="28" t="b">
        <f t="shared" si="0"/>
        <v>0</v>
      </c>
    </row>
    <row r="292" spans="3:19" ht="15.75" customHeight="1" x14ac:dyDescent="0.2">
      <c r="C292" s="26">
        <v>15</v>
      </c>
      <c r="D292" s="21" t="s">
        <v>2512</v>
      </c>
      <c r="E292" s="21" t="s">
        <v>2462</v>
      </c>
      <c r="F292" s="21" t="s">
        <v>2513</v>
      </c>
      <c r="G292" s="21">
        <v>1994</v>
      </c>
      <c r="H292" s="21" t="s">
        <v>2444</v>
      </c>
      <c r="I292" s="21">
        <v>17</v>
      </c>
      <c r="J292" s="21">
        <v>33898</v>
      </c>
      <c r="K292" s="21">
        <v>0.06</v>
      </c>
      <c r="L292" s="21">
        <v>31864.12</v>
      </c>
      <c r="M292" s="24">
        <v>43984</v>
      </c>
      <c r="N292" s="21">
        <f>MONTH(Продажи!$M292)</f>
        <v>6</v>
      </c>
      <c r="O292" s="21">
        <f>WEEKDAY(Продажи!$M292,2)</f>
        <v>2</v>
      </c>
      <c r="P292" s="21">
        <f>YEAR(Продажи!$M292)</f>
        <v>2020</v>
      </c>
      <c r="Q292" s="28">
        <f>WEEKNUM(Продажи!$M292,2)</f>
        <v>23</v>
      </c>
      <c r="R292" s="28">
        <f>IF((Продажи!$E292="Зеленый чай")*(Продажи!$Q292&gt;=7)*(Продажи!$Q292&lt;=42),Продажи!$K292,0)</f>
        <v>0</v>
      </c>
      <c r="S292" s="28" t="b">
        <f t="shared" si="0"/>
        <v>0</v>
      </c>
    </row>
    <row r="293" spans="3:19" ht="15.75" customHeight="1" x14ac:dyDescent="0.2">
      <c r="C293" s="26">
        <v>56</v>
      </c>
      <c r="D293" s="21" t="s">
        <v>2451</v>
      </c>
      <c r="E293" s="21" t="s">
        <v>2438</v>
      </c>
      <c r="F293" s="21" t="s">
        <v>2452</v>
      </c>
      <c r="G293" s="21">
        <v>800</v>
      </c>
      <c r="H293" s="21" t="s">
        <v>2440</v>
      </c>
      <c r="I293" s="21">
        <v>40</v>
      </c>
      <c r="J293" s="21">
        <v>32000</v>
      </c>
      <c r="K293" s="21">
        <v>0.03</v>
      </c>
      <c r="L293" s="21">
        <v>31040</v>
      </c>
      <c r="M293" s="24">
        <v>43099</v>
      </c>
      <c r="N293" s="21">
        <f>MONTH(Продажи!$M293)</f>
        <v>12</v>
      </c>
      <c r="O293" s="21">
        <f>WEEKDAY(Продажи!$M293,2)</f>
        <v>6</v>
      </c>
      <c r="P293" s="21">
        <f>YEAR(Продажи!$M293)</f>
        <v>2017</v>
      </c>
      <c r="Q293" s="28">
        <f>WEEKNUM(Продажи!$M293,2)</f>
        <v>53</v>
      </c>
      <c r="R293" s="28">
        <f>IF((Продажи!$E293="Зеленый чай")*(Продажи!$Q293&gt;=7)*(Продажи!$Q293&lt;=42),Продажи!$K293,0)</f>
        <v>0</v>
      </c>
      <c r="S293" s="28">
        <f t="shared" si="0"/>
        <v>31040</v>
      </c>
    </row>
    <row r="294" spans="3:19" ht="15.75" customHeight="1" x14ac:dyDescent="0.2">
      <c r="C294" s="26">
        <v>25</v>
      </c>
      <c r="D294" s="21" t="s">
        <v>2490</v>
      </c>
      <c r="E294" s="21" t="s">
        <v>2462</v>
      </c>
      <c r="F294" s="21" t="s">
        <v>2491</v>
      </c>
      <c r="G294" s="21">
        <v>1994</v>
      </c>
      <c r="H294" s="21" t="s">
        <v>2444</v>
      </c>
      <c r="I294" s="21">
        <v>10</v>
      </c>
      <c r="J294" s="21">
        <v>19940</v>
      </c>
      <c r="K294" s="21">
        <v>0.03</v>
      </c>
      <c r="L294" s="21">
        <v>19341.8</v>
      </c>
      <c r="M294" s="24">
        <v>42605</v>
      </c>
      <c r="N294" s="21">
        <f>MONTH(Продажи!$M294)</f>
        <v>8</v>
      </c>
      <c r="O294" s="21">
        <f>WEEKDAY(Продажи!$M294,2)</f>
        <v>2</v>
      </c>
      <c r="P294" s="21">
        <f>YEAR(Продажи!$M294)</f>
        <v>2016</v>
      </c>
      <c r="Q294" s="28">
        <f>WEEKNUM(Продажи!$M294,2)</f>
        <v>35</v>
      </c>
      <c r="R294" s="28">
        <f>IF((Продажи!$E294="Зеленый чай")*(Продажи!$Q294&gt;=7)*(Продажи!$Q294&lt;=42),Продажи!$K294,0)</f>
        <v>0</v>
      </c>
      <c r="S294" s="28">
        <f t="shared" si="0"/>
        <v>19341.8</v>
      </c>
    </row>
    <row r="295" spans="3:19" ht="15.75" customHeight="1" x14ac:dyDescent="0.2">
      <c r="C295" s="26">
        <v>16</v>
      </c>
      <c r="D295" s="21" t="s">
        <v>2504</v>
      </c>
      <c r="E295" s="21" t="s">
        <v>2505</v>
      </c>
      <c r="F295" s="21" t="s">
        <v>2506</v>
      </c>
      <c r="G295" s="21">
        <v>843</v>
      </c>
      <c r="H295" s="21" t="s">
        <v>2444</v>
      </c>
      <c r="I295" s="21">
        <v>5</v>
      </c>
      <c r="J295" s="21">
        <v>4215</v>
      </c>
      <c r="K295" s="21">
        <v>0</v>
      </c>
      <c r="L295" s="21">
        <v>4215</v>
      </c>
      <c r="M295" s="24">
        <v>42022</v>
      </c>
      <c r="N295" s="21">
        <f>MONTH(Продажи!$M295)</f>
        <v>1</v>
      </c>
      <c r="O295" s="21">
        <f>WEEKDAY(Продажи!$M295,2)</f>
        <v>7</v>
      </c>
      <c r="P295" s="21">
        <f>YEAR(Продажи!$M295)</f>
        <v>2015</v>
      </c>
      <c r="Q295" s="28">
        <f>WEEKNUM(Продажи!$M295,2)</f>
        <v>3</v>
      </c>
      <c r="R295" s="28">
        <f>IF((Продажи!$E295="Зеленый чай")*(Продажи!$Q295&gt;=7)*(Продажи!$Q295&lt;=42),Продажи!$K295,0)</f>
        <v>0</v>
      </c>
      <c r="S295" s="28" t="b">
        <f t="shared" si="0"/>
        <v>0</v>
      </c>
    </row>
    <row r="296" spans="3:19" ht="15.75" customHeight="1" x14ac:dyDescent="0.2">
      <c r="C296" s="26">
        <v>7</v>
      </c>
      <c r="D296" s="21" t="s">
        <v>2437</v>
      </c>
      <c r="E296" s="21" t="s">
        <v>2438</v>
      </c>
      <c r="F296" s="21" t="s">
        <v>2439</v>
      </c>
      <c r="G296" s="21">
        <v>1923</v>
      </c>
      <c r="H296" s="21" t="s">
        <v>2440</v>
      </c>
      <c r="I296" s="21">
        <v>25</v>
      </c>
      <c r="J296" s="21">
        <v>48075</v>
      </c>
      <c r="K296" s="21">
        <v>0.06</v>
      </c>
      <c r="L296" s="21">
        <v>45190.5</v>
      </c>
      <c r="M296" s="24">
        <v>42353</v>
      </c>
      <c r="N296" s="21">
        <f>MONTH(Продажи!$M296)</f>
        <v>12</v>
      </c>
      <c r="O296" s="21">
        <f>WEEKDAY(Продажи!$M296,2)</f>
        <v>2</v>
      </c>
      <c r="P296" s="21">
        <f>YEAR(Продажи!$M296)</f>
        <v>2015</v>
      </c>
      <c r="Q296" s="28">
        <f>WEEKNUM(Продажи!$M296,2)</f>
        <v>51</v>
      </c>
      <c r="R296" s="28">
        <f>IF((Продажи!$E296="Зеленый чай")*(Продажи!$Q296&gt;=7)*(Продажи!$Q296&lt;=42),Продажи!$K296,0)</f>
        <v>0</v>
      </c>
      <c r="S296" s="28" t="b">
        <f t="shared" si="0"/>
        <v>0</v>
      </c>
    </row>
    <row r="297" spans="3:19" ht="15.75" customHeight="1" x14ac:dyDescent="0.2">
      <c r="C297" s="26">
        <v>32</v>
      </c>
      <c r="D297" s="21" t="s">
        <v>2496</v>
      </c>
      <c r="E297" s="21" t="s">
        <v>2446</v>
      </c>
      <c r="F297" s="21" t="s">
        <v>2466</v>
      </c>
      <c r="G297" s="21">
        <v>967</v>
      </c>
      <c r="H297" s="21" t="s">
        <v>2444</v>
      </c>
      <c r="I297" s="21">
        <v>8</v>
      </c>
      <c r="J297" s="21">
        <v>7736</v>
      </c>
      <c r="K297" s="21">
        <v>0</v>
      </c>
      <c r="L297" s="21">
        <v>7736</v>
      </c>
      <c r="M297" s="24">
        <v>43795</v>
      </c>
      <c r="N297" s="21">
        <f>MONTH(Продажи!$M297)</f>
        <v>11</v>
      </c>
      <c r="O297" s="21">
        <f>WEEKDAY(Продажи!$M297,2)</f>
        <v>2</v>
      </c>
      <c r="P297" s="21">
        <f>YEAR(Продажи!$M297)</f>
        <v>2019</v>
      </c>
      <c r="Q297" s="28">
        <f>WEEKNUM(Продажи!$M297,2)</f>
        <v>48</v>
      </c>
      <c r="R297" s="28">
        <f>IF((Продажи!$E297="Зеленый чай")*(Продажи!$Q297&gt;=7)*(Продажи!$Q297&lt;=42),Продажи!$K297,0)</f>
        <v>0</v>
      </c>
      <c r="S297" s="28">
        <f t="shared" si="0"/>
        <v>7736</v>
      </c>
    </row>
    <row r="298" spans="3:19" ht="15.75" customHeight="1" x14ac:dyDescent="0.2">
      <c r="C298" s="26">
        <v>35</v>
      </c>
      <c r="D298" s="21" t="s">
        <v>2441</v>
      </c>
      <c r="E298" s="21" t="s">
        <v>2442</v>
      </c>
      <c r="F298" s="21" t="s">
        <v>2443</v>
      </c>
      <c r="G298" s="21">
        <v>617</v>
      </c>
      <c r="H298" s="21" t="s">
        <v>2444</v>
      </c>
      <c r="I298" s="21">
        <v>10</v>
      </c>
      <c r="J298" s="21">
        <v>6170</v>
      </c>
      <c r="K298" s="21">
        <v>0</v>
      </c>
      <c r="L298" s="21">
        <v>6170</v>
      </c>
      <c r="M298" s="24">
        <v>42161</v>
      </c>
      <c r="N298" s="21">
        <f>MONTH(Продажи!$M298)</f>
        <v>6</v>
      </c>
      <c r="O298" s="21">
        <f>WEEKDAY(Продажи!$M298,2)</f>
        <v>6</v>
      </c>
      <c r="P298" s="21">
        <f>YEAR(Продажи!$M298)</f>
        <v>2015</v>
      </c>
      <c r="Q298" s="28">
        <f>WEEKNUM(Продажи!$M298,2)</f>
        <v>23</v>
      </c>
      <c r="R298" s="28">
        <f>IF((Продажи!$E298="Зеленый чай")*(Продажи!$Q298&gt;=7)*(Продажи!$Q298&lt;=42),Продажи!$K298,0)</f>
        <v>0</v>
      </c>
      <c r="S298" s="28" t="b">
        <f t="shared" si="0"/>
        <v>0</v>
      </c>
    </row>
    <row r="299" spans="3:19" ht="15.75" customHeight="1" x14ac:dyDescent="0.2">
      <c r="C299" s="26">
        <v>32</v>
      </c>
      <c r="D299" s="21" t="s">
        <v>2496</v>
      </c>
      <c r="E299" s="21" t="s">
        <v>2446</v>
      </c>
      <c r="F299" s="21" t="s">
        <v>2466</v>
      </c>
      <c r="G299" s="21">
        <v>967</v>
      </c>
      <c r="H299" s="21" t="s">
        <v>2444</v>
      </c>
      <c r="I299" s="21">
        <v>8</v>
      </c>
      <c r="J299" s="21">
        <v>7736</v>
      </c>
      <c r="K299" s="21">
        <v>0</v>
      </c>
      <c r="L299" s="21">
        <v>7736</v>
      </c>
      <c r="M299" s="24">
        <v>44020</v>
      </c>
      <c r="N299" s="21">
        <f>MONTH(Продажи!$M299)</f>
        <v>7</v>
      </c>
      <c r="O299" s="21">
        <f>WEEKDAY(Продажи!$M299,2)</f>
        <v>3</v>
      </c>
      <c r="P299" s="21">
        <f>YEAR(Продажи!$M299)</f>
        <v>2020</v>
      </c>
      <c r="Q299" s="28">
        <f>WEEKNUM(Продажи!$M299,2)</f>
        <v>28</v>
      </c>
      <c r="R299" s="28">
        <f>IF((Продажи!$E299="Зеленый чай")*(Продажи!$Q299&gt;=7)*(Продажи!$Q299&lt;=42),Продажи!$K299,0)</f>
        <v>0</v>
      </c>
      <c r="S299" s="28" t="b">
        <f t="shared" si="0"/>
        <v>0</v>
      </c>
    </row>
    <row r="300" spans="3:19" ht="15.75" customHeight="1" x14ac:dyDescent="0.2">
      <c r="C300" s="26">
        <v>27</v>
      </c>
      <c r="D300" s="21" t="s">
        <v>2499</v>
      </c>
      <c r="E300" s="21" t="s">
        <v>2462</v>
      </c>
      <c r="F300" s="21" t="s">
        <v>2463</v>
      </c>
      <c r="G300" s="21">
        <v>1994</v>
      </c>
      <c r="H300" s="21" t="s">
        <v>2444</v>
      </c>
      <c r="I300" s="21">
        <v>25</v>
      </c>
      <c r="J300" s="21">
        <v>49850</v>
      </c>
      <c r="K300" s="21">
        <v>0.06</v>
      </c>
      <c r="L300" s="21">
        <v>46859</v>
      </c>
      <c r="M300" s="24">
        <v>43949</v>
      </c>
      <c r="N300" s="21">
        <f>MONTH(Продажи!$M300)</f>
        <v>4</v>
      </c>
      <c r="O300" s="21">
        <f>WEEKDAY(Продажи!$M300,2)</f>
        <v>2</v>
      </c>
      <c r="P300" s="21">
        <f>YEAR(Продажи!$M300)</f>
        <v>2020</v>
      </c>
      <c r="Q300" s="28">
        <f>WEEKNUM(Продажи!$M300,2)</f>
        <v>18</v>
      </c>
      <c r="R300" s="28">
        <f>IF((Продажи!$E300="Зеленый чай")*(Продажи!$Q300&gt;=7)*(Продажи!$Q300&lt;=42),Продажи!$K300,0)</f>
        <v>0</v>
      </c>
      <c r="S300" s="28">
        <f t="shared" si="0"/>
        <v>46859</v>
      </c>
    </row>
    <row r="301" spans="3:19" ht="15.75" customHeight="1" x14ac:dyDescent="0.2">
      <c r="C301" s="26">
        <v>12</v>
      </c>
      <c r="D301" s="21" t="s">
        <v>2453</v>
      </c>
      <c r="E301" s="21" t="s">
        <v>2454</v>
      </c>
      <c r="F301" s="21" t="s">
        <v>2455</v>
      </c>
      <c r="G301" s="21">
        <v>1386</v>
      </c>
      <c r="H301" s="21" t="s">
        <v>2440</v>
      </c>
      <c r="I301" s="21">
        <v>20</v>
      </c>
      <c r="J301" s="21">
        <v>27720</v>
      </c>
      <c r="K301" s="21">
        <v>0.03</v>
      </c>
      <c r="L301" s="21">
        <v>26888.400000000001</v>
      </c>
      <c r="M301" s="24">
        <v>42258</v>
      </c>
      <c r="N301" s="21">
        <f>MONTH(Продажи!$M301)</f>
        <v>9</v>
      </c>
      <c r="O301" s="21">
        <f>WEEKDAY(Продажи!$M301,2)</f>
        <v>5</v>
      </c>
      <c r="P301" s="21">
        <f>YEAR(Продажи!$M301)</f>
        <v>2015</v>
      </c>
      <c r="Q301" s="28">
        <f>WEEKNUM(Продажи!$M301,2)</f>
        <v>37</v>
      </c>
      <c r="R301" s="28">
        <f>IF((Продажи!$E301="Зеленый чай")*(Продажи!$Q301&gt;=7)*(Продажи!$Q301&lt;=42),Продажи!$K301,0)</f>
        <v>0</v>
      </c>
      <c r="S301" s="28" t="b">
        <f t="shared" si="0"/>
        <v>0</v>
      </c>
    </row>
    <row r="302" spans="3:19" ht="15.75" customHeight="1" x14ac:dyDescent="0.2">
      <c r="C302" s="26">
        <v>17</v>
      </c>
      <c r="D302" s="21" t="s">
        <v>2465</v>
      </c>
      <c r="E302" s="21" t="s">
        <v>2446</v>
      </c>
      <c r="F302" s="21" t="s">
        <v>2466</v>
      </c>
      <c r="G302" s="21">
        <v>967</v>
      </c>
      <c r="H302" s="21" t="s">
        <v>2444</v>
      </c>
      <c r="I302" s="21">
        <v>12</v>
      </c>
      <c r="J302" s="21">
        <v>11604</v>
      </c>
      <c r="K302" s="21">
        <v>0</v>
      </c>
      <c r="L302" s="21">
        <v>11604</v>
      </c>
      <c r="M302" s="24">
        <v>42807</v>
      </c>
      <c r="N302" s="21">
        <f>MONTH(Продажи!$M302)</f>
        <v>3</v>
      </c>
      <c r="O302" s="21">
        <f>WEEKDAY(Продажи!$M302,2)</f>
        <v>1</v>
      </c>
      <c r="P302" s="21">
        <f>YEAR(Продажи!$M302)</f>
        <v>2017</v>
      </c>
      <c r="Q302" s="28">
        <f>WEEKNUM(Продажи!$M302,2)</f>
        <v>12</v>
      </c>
      <c r="R302" s="28">
        <f>IF((Продажи!$E302="Зеленый чай")*(Продажи!$Q302&gt;=7)*(Продажи!$Q302&lt;=42),Продажи!$K302,0)</f>
        <v>0</v>
      </c>
      <c r="S302" s="28" t="b">
        <f t="shared" si="0"/>
        <v>0</v>
      </c>
    </row>
    <row r="303" spans="3:19" ht="15.75" customHeight="1" x14ac:dyDescent="0.2">
      <c r="C303" s="26">
        <v>29</v>
      </c>
      <c r="D303" s="21" t="s">
        <v>2514</v>
      </c>
      <c r="E303" s="21" t="s">
        <v>2505</v>
      </c>
      <c r="F303" s="21" t="s">
        <v>2515</v>
      </c>
      <c r="G303" s="21">
        <v>843</v>
      </c>
      <c r="H303" s="21" t="s">
        <v>2444</v>
      </c>
      <c r="I303" s="21">
        <v>10</v>
      </c>
      <c r="J303" s="21">
        <v>8430</v>
      </c>
      <c r="K303" s="21">
        <v>0</v>
      </c>
      <c r="L303" s="21">
        <v>8430</v>
      </c>
      <c r="M303" s="24">
        <v>43682</v>
      </c>
      <c r="N303" s="21">
        <f>MONTH(Продажи!$M303)</f>
        <v>8</v>
      </c>
      <c r="O303" s="21">
        <f>WEEKDAY(Продажи!$M303,2)</f>
        <v>1</v>
      </c>
      <c r="P303" s="21">
        <f>YEAR(Продажи!$M303)</f>
        <v>2019</v>
      </c>
      <c r="Q303" s="28">
        <f>WEEKNUM(Продажи!$M303,2)</f>
        <v>32</v>
      </c>
      <c r="R303" s="28">
        <f>IF((Продажи!$E303="Зеленый чай")*(Продажи!$Q303&gt;=7)*(Продажи!$Q303&lt;=42),Продажи!$K303,0)</f>
        <v>0</v>
      </c>
      <c r="S303" s="28" t="b">
        <f t="shared" si="0"/>
        <v>0</v>
      </c>
    </row>
    <row r="304" spans="3:19" ht="15.75" customHeight="1" x14ac:dyDescent="0.2">
      <c r="C304" s="26">
        <v>33</v>
      </c>
      <c r="D304" s="21" t="s">
        <v>2461</v>
      </c>
      <c r="E304" s="21" t="s">
        <v>2462</v>
      </c>
      <c r="F304" s="21" t="s">
        <v>2463</v>
      </c>
      <c r="G304" s="21">
        <v>1994</v>
      </c>
      <c r="H304" s="21" t="s">
        <v>2444</v>
      </c>
      <c r="I304" s="21">
        <v>12</v>
      </c>
      <c r="J304" s="21">
        <v>23928</v>
      </c>
      <c r="K304" s="21">
        <v>0.03</v>
      </c>
      <c r="L304" s="21">
        <v>23210.16</v>
      </c>
      <c r="M304" s="24">
        <v>43613</v>
      </c>
      <c r="N304" s="21">
        <f>MONTH(Продажи!$M304)</f>
        <v>5</v>
      </c>
      <c r="O304" s="21">
        <f>WEEKDAY(Продажи!$M304,2)</f>
        <v>2</v>
      </c>
      <c r="P304" s="21">
        <f>YEAR(Продажи!$M304)</f>
        <v>2019</v>
      </c>
      <c r="Q304" s="28">
        <f>WEEKNUM(Продажи!$M304,2)</f>
        <v>22</v>
      </c>
      <c r="R304" s="28">
        <f>IF((Продажи!$E304="Зеленый чай")*(Продажи!$Q304&gt;=7)*(Продажи!$Q304&lt;=42),Продажи!$K304,0)</f>
        <v>0</v>
      </c>
      <c r="S304" s="28">
        <f t="shared" si="0"/>
        <v>23210.16</v>
      </c>
    </row>
    <row r="305" spans="3:19" ht="15.75" customHeight="1" x14ac:dyDescent="0.2">
      <c r="C305" s="26">
        <v>21</v>
      </c>
      <c r="D305" s="21" t="s">
        <v>2497</v>
      </c>
      <c r="E305" s="21" t="s">
        <v>2442</v>
      </c>
      <c r="F305" s="21" t="s">
        <v>2498</v>
      </c>
      <c r="G305" s="21">
        <v>887</v>
      </c>
      <c r="H305" s="21" t="s">
        <v>2444</v>
      </c>
      <c r="I305" s="21">
        <v>15</v>
      </c>
      <c r="J305" s="21">
        <v>13305</v>
      </c>
      <c r="K305" s="21">
        <v>0</v>
      </c>
      <c r="L305" s="21">
        <v>13305</v>
      </c>
      <c r="M305" s="24">
        <v>42158</v>
      </c>
      <c r="N305" s="21">
        <f>MONTH(Продажи!$M305)</f>
        <v>6</v>
      </c>
      <c r="O305" s="21">
        <f>WEEKDAY(Продажи!$M305,2)</f>
        <v>3</v>
      </c>
      <c r="P305" s="21">
        <f>YEAR(Продажи!$M305)</f>
        <v>2015</v>
      </c>
      <c r="Q305" s="28">
        <f>WEEKNUM(Продажи!$M305,2)</f>
        <v>23</v>
      </c>
      <c r="R305" s="28">
        <f>IF((Продажи!$E305="Зеленый чай")*(Продажи!$Q305&gt;=7)*(Продажи!$Q305&lt;=42),Продажи!$K305,0)</f>
        <v>0</v>
      </c>
      <c r="S305" s="28" t="b">
        <f t="shared" si="0"/>
        <v>0</v>
      </c>
    </row>
    <row r="306" spans="3:19" ht="15.75" customHeight="1" x14ac:dyDescent="0.2">
      <c r="C306" s="26">
        <v>49</v>
      </c>
      <c r="D306" s="21" t="s">
        <v>2441</v>
      </c>
      <c r="E306" s="21" t="s">
        <v>2442</v>
      </c>
      <c r="F306" s="21" t="s">
        <v>2443</v>
      </c>
      <c r="G306" s="21">
        <v>617</v>
      </c>
      <c r="H306" s="21" t="s">
        <v>2444</v>
      </c>
      <c r="I306" s="21">
        <v>25</v>
      </c>
      <c r="J306" s="21">
        <v>15425</v>
      </c>
      <c r="K306" s="21">
        <v>0</v>
      </c>
      <c r="L306" s="21">
        <v>15425</v>
      </c>
      <c r="M306" s="24">
        <v>42098</v>
      </c>
      <c r="N306" s="21">
        <f>MONTH(Продажи!$M306)</f>
        <v>4</v>
      </c>
      <c r="O306" s="21">
        <f>WEEKDAY(Продажи!$M306,2)</f>
        <v>6</v>
      </c>
      <c r="P306" s="21">
        <f>YEAR(Продажи!$M306)</f>
        <v>2015</v>
      </c>
      <c r="Q306" s="28">
        <f>WEEKNUM(Продажи!$M306,2)</f>
        <v>14</v>
      </c>
      <c r="R306" s="28">
        <f>IF((Продажи!$E306="Зеленый чай")*(Продажи!$Q306&gt;=7)*(Продажи!$Q306&lt;=42),Продажи!$K306,0)</f>
        <v>0</v>
      </c>
      <c r="S306" s="28" t="b">
        <f t="shared" si="0"/>
        <v>0</v>
      </c>
    </row>
    <row r="307" spans="3:19" ht="15.75" customHeight="1" x14ac:dyDescent="0.2">
      <c r="C307" s="26">
        <v>40</v>
      </c>
      <c r="D307" s="21" t="s">
        <v>2477</v>
      </c>
      <c r="E307" s="21" t="s">
        <v>2454</v>
      </c>
      <c r="F307" s="21" t="s">
        <v>2478</v>
      </c>
      <c r="G307" s="21">
        <v>847</v>
      </c>
      <c r="H307" s="21" t="s">
        <v>2440</v>
      </c>
      <c r="I307" s="21">
        <v>15</v>
      </c>
      <c r="J307" s="21">
        <v>12705</v>
      </c>
      <c r="K307" s="21">
        <v>0</v>
      </c>
      <c r="L307" s="21">
        <v>12705</v>
      </c>
      <c r="M307" s="24">
        <v>43704</v>
      </c>
      <c r="N307" s="21">
        <f>MONTH(Продажи!$M307)</f>
        <v>8</v>
      </c>
      <c r="O307" s="21">
        <f>WEEKDAY(Продажи!$M307,2)</f>
        <v>2</v>
      </c>
      <c r="P307" s="21">
        <f>YEAR(Продажи!$M307)</f>
        <v>2019</v>
      </c>
      <c r="Q307" s="28">
        <f>WEEKNUM(Продажи!$M307,2)</f>
        <v>35</v>
      </c>
      <c r="R307" s="28">
        <f>IF((Продажи!$E307="Зеленый чай")*(Продажи!$Q307&gt;=7)*(Продажи!$Q307&lt;=42),Продажи!$K307,0)</f>
        <v>0</v>
      </c>
      <c r="S307" s="28">
        <f t="shared" si="0"/>
        <v>12705</v>
      </c>
    </row>
    <row r="308" spans="3:19" ht="15.75" customHeight="1" x14ac:dyDescent="0.2">
      <c r="C308" s="26">
        <v>4</v>
      </c>
      <c r="D308" s="21" t="s">
        <v>2449</v>
      </c>
      <c r="E308" s="21" t="s">
        <v>2448</v>
      </c>
      <c r="F308" s="21" t="s">
        <v>2485</v>
      </c>
      <c r="G308" s="21">
        <v>2211</v>
      </c>
      <c r="H308" s="21" t="s">
        <v>2444</v>
      </c>
      <c r="I308" s="21">
        <v>25</v>
      </c>
      <c r="J308" s="21">
        <v>55275</v>
      </c>
      <c r="K308" s="21">
        <v>0.09</v>
      </c>
      <c r="L308" s="21">
        <v>50300.25</v>
      </c>
      <c r="M308" s="24">
        <v>43763</v>
      </c>
      <c r="N308" s="21">
        <f>MONTH(Продажи!$M308)</f>
        <v>10</v>
      </c>
      <c r="O308" s="21">
        <f>WEEKDAY(Продажи!$M308,2)</f>
        <v>5</v>
      </c>
      <c r="P308" s="21">
        <f>YEAR(Продажи!$M308)</f>
        <v>2019</v>
      </c>
      <c r="Q308" s="28">
        <f>WEEKNUM(Продажи!$M308,2)</f>
        <v>43</v>
      </c>
      <c r="R308" s="28">
        <f>IF((Продажи!$E308="Зеленый чай")*(Продажи!$Q308&gt;=7)*(Продажи!$Q308&lt;=42),Продажи!$K308,0)</f>
        <v>0</v>
      </c>
      <c r="S308" s="28">
        <f t="shared" si="0"/>
        <v>50300.25</v>
      </c>
    </row>
    <row r="309" spans="3:19" ht="15.75" customHeight="1" x14ac:dyDescent="0.2">
      <c r="C309" s="26">
        <v>47</v>
      </c>
      <c r="D309" s="21" t="s">
        <v>2461</v>
      </c>
      <c r="E309" s="21" t="s">
        <v>2462</v>
      </c>
      <c r="F309" s="21" t="s">
        <v>2463</v>
      </c>
      <c r="G309" s="21">
        <v>1994</v>
      </c>
      <c r="H309" s="21" t="s">
        <v>2444</v>
      </c>
      <c r="I309" s="21">
        <v>12</v>
      </c>
      <c r="J309" s="21">
        <v>23928</v>
      </c>
      <c r="K309" s="21">
        <v>0.03</v>
      </c>
      <c r="L309" s="21">
        <v>23210.16</v>
      </c>
      <c r="M309" s="24">
        <v>42897</v>
      </c>
      <c r="N309" s="21">
        <f>MONTH(Продажи!$M309)</f>
        <v>6</v>
      </c>
      <c r="O309" s="21">
        <f>WEEKDAY(Продажи!$M309,2)</f>
        <v>7</v>
      </c>
      <c r="P309" s="21">
        <f>YEAR(Продажи!$M309)</f>
        <v>2017</v>
      </c>
      <c r="Q309" s="28">
        <f>WEEKNUM(Продажи!$M309,2)</f>
        <v>24</v>
      </c>
      <c r="R309" s="28">
        <f>IF((Продажи!$E309="Зеленый чай")*(Продажи!$Q309&gt;=7)*(Продажи!$Q309&lt;=42),Продажи!$K309,0)</f>
        <v>0</v>
      </c>
      <c r="S309" s="28" t="b">
        <f t="shared" si="0"/>
        <v>0</v>
      </c>
    </row>
    <row r="310" spans="3:19" ht="15.75" customHeight="1" x14ac:dyDescent="0.2">
      <c r="C310" s="26">
        <v>52</v>
      </c>
      <c r="D310" s="21" t="s">
        <v>2483</v>
      </c>
      <c r="E310" s="21" t="s">
        <v>2446</v>
      </c>
      <c r="F310" s="21" t="s">
        <v>2484</v>
      </c>
      <c r="G310" s="21">
        <v>1182</v>
      </c>
      <c r="H310" s="21" t="s">
        <v>2440</v>
      </c>
      <c r="I310" s="21">
        <v>17</v>
      </c>
      <c r="J310" s="21">
        <v>20094</v>
      </c>
      <c r="K310" s="21">
        <v>0.03</v>
      </c>
      <c r="L310" s="21">
        <v>19491.18</v>
      </c>
      <c r="M310" s="24">
        <v>42985</v>
      </c>
      <c r="N310" s="21">
        <f>MONTH(Продажи!$M310)</f>
        <v>9</v>
      </c>
      <c r="O310" s="21">
        <f>WEEKDAY(Продажи!$M310,2)</f>
        <v>4</v>
      </c>
      <c r="P310" s="21">
        <f>YEAR(Продажи!$M310)</f>
        <v>2017</v>
      </c>
      <c r="Q310" s="28">
        <f>WEEKNUM(Продажи!$M310,2)</f>
        <v>37</v>
      </c>
      <c r="R310" s="28">
        <f>IF((Продажи!$E310="Зеленый чай")*(Продажи!$Q310&gt;=7)*(Продажи!$Q310&lt;=42),Продажи!$K310,0)</f>
        <v>0</v>
      </c>
      <c r="S310" s="28" t="b">
        <f t="shared" si="0"/>
        <v>0</v>
      </c>
    </row>
    <row r="311" spans="3:19" ht="15.75" customHeight="1" x14ac:dyDescent="0.2">
      <c r="C311" s="26">
        <v>53</v>
      </c>
      <c r="D311" s="21" t="s">
        <v>2437</v>
      </c>
      <c r="E311" s="21" t="s">
        <v>2438</v>
      </c>
      <c r="F311" s="21" t="s">
        <v>2439</v>
      </c>
      <c r="G311" s="21">
        <v>1923</v>
      </c>
      <c r="H311" s="21" t="s">
        <v>2440</v>
      </c>
      <c r="I311" s="21">
        <v>35</v>
      </c>
      <c r="J311" s="21">
        <v>67305</v>
      </c>
      <c r="K311" s="21">
        <v>0.06</v>
      </c>
      <c r="L311" s="21">
        <v>63266.7</v>
      </c>
      <c r="M311" s="24">
        <v>43619</v>
      </c>
      <c r="N311" s="21">
        <f>MONTH(Продажи!$M311)</f>
        <v>6</v>
      </c>
      <c r="O311" s="21">
        <f>WEEKDAY(Продажи!$M311,2)</f>
        <v>1</v>
      </c>
      <c r="P311" s="21">
        <f>YEAR(Продажи!$M311)</f>
        <v>2019</v>
      </c>
      <c r="Q311" s="28">
        <f>WEEKNUM(Продажи!$M311,2)</f>
        <v>23</v>
      </c>
      <c r="R311" s="28">
        <f>IF((Продажи!$E311="Зеленый чай")*(Продажи!$Q311&gt;=7)*(Продажи!$Q311&lt;=42),Продажи!$K311,0)</f>
        <v>0.06</v>
      </c>
      <c r="S311" s="28" t="b">
        <f t="shared" si="0"/>
        <v>0</v>
      </c>
    </row>
    <row r="312" spans="3:19" ht="15.75" customHeight="1" x14ac:dyDescent="0.2">
      <c r="C312" s="26">
        <v>38</v>
      </c>
      <c r="D312" s="21" t="s">
        <v>2483</v>
      </c>
      <c r="E312" s="21" t="s">
        <v>2446</v>
      </c>
      <c r="F312" s="21" t="s">
        <v>2484</v>
      </c>
      <c r="G312" s="21">
        <v>1182</v>
      </c>
      <c r="H312" s="21" t="s">
        <v>2440</v>
      </c>
      <c r="I312" s="21">
        <v>17</v>
      </c>
      <c r="J312" s="21">
        <v>20094</v>
      </c>
      <c r="K312" s="21">
        <v>0.03</v>
      </c>
      <c r="L312" s="21">
        <v>19491.18</v>
      </c>
      <c r="M312" s="24">
        <v>43546</v>
      </c>
      <c r="N312" s="21">
        <f>MONTH(Продажи!$M312)</f>
        <v>3</v>
      </c>
      <c r="O312" s="21">
        <f>WEEKDAY(Продажи!$M312,2)</f>
        <v>5</v>
      </c>
      <c r="P312" s="21">
        <f>YEAR(Продажи!$M312)</f>
        <v>2019</v>
      </c>
      <c r="Q312" s="28">
        <f>WEEKNUM(Продажи!$M312,2)</f>
        <v>12</v>
      </c>
      <c r="R312" s="28">
        <f>IF((Продажи!$E312="Зеленый чай")*(Продажи!$Q312&gt;=7)*(Продажи!$Q312&lt;=42),Продажи!$K312,0)</f>
        <v>0</v>
      </c>
      <c r="S312" s="28">
        <f t="shared" si="0"/>
        <v>19491.18</v>
      </c>
    </row>
    <row r="313" spans="3:19" ht="15.75" customHeight="1" x14ac:dyDescent="0.2">
      <c r="C313" s="26">
        <v>20</v>
      </c>
      <c r="D313" s="21" t="s">
        <v>2467</v>
      </c>
      <c r="E313" s="21" t="s">
        <v>2457</v>
      </c>
      <c r="F313" s="21" t="s">
        <v>2468</v>
      </c>
      <c r="G313" s="21">
        <v>2198</v>
      </c>
      <c r="H313" s="21" t="s">
        <v>2444</v>
      </c>
      <c r="I313" s="21">
        <v>35</v>
      </c>
      <c r="J313" s="21">
        <v>76930</v>
      </c>
      <c r="K313" s="21">
        <v>0.12</v>
      </c>
      <c r="L313" s="21">
        <v>67698.399999999994</v>
      </c>
      <c r="M313" s="24">
        <v>43116</v>
      </c>
      <c r="N313" s="21">
        <f>MONTH(Продажи!$M313)</f>
        <v>1</v>
      </c>
      <c r="O313" s="21">
        <f>WEEKDAY(Продажи!$M313,2)</f>
        <v>2</v>
      </c>
      <c r="P313" s="21">
        <f>YEAR(Продажи!$M313)</f>
        <v>2018</v>
      </c>
      <c r="Q313" s="28">
        <f>WEEKNUM(Продажи!$M313,2)</f>
        <v>3</v>
      </c>
      <c r="R313" s="28">
        <f>IF((Продажи!$E313="Зеленый чай")*(Продажи!$Q313&gt;=7)*(Продажи!$Q313&lt;=42),Продажи!$K313,0)</f>
        <v>0</v>
      </c>
      <c r="S313" s="28" t="b">
        <f t="shared" si="0"/>
        <v>0</v>
      </c>
    </row>
    <row r="314" spans="3:19" ht="15.75" customHeight="1" x14ac:dyDescent="0.2">
      <c r="C314" s="26">
        <v>23</v>
      </c>
      <c r="D314" s="21" t="s">
        <v>2473</v>
      </c>
      <c r="E314" s="21" t="s">
        <v>2448</v>
      </c>
      <c r="F314" s="21" t="s">
        <v>2474</v>
      </c>
      <c r="G314" s="21">
        <v>2645</v>
      </c>
      <c r="H314" s="21" t="s">
        <v>2444</v>
      </c>
      <c r="I314" s="21">
        <v>50</v>
      </c>
      <c r="J314" s="21">
        <v>132250</v>
      </c>
      <c r="K314" s="21">
        <v>0.15</v>
      </c>
      <c r="L314" s="21">
        <v>112412.5</v>
      </c>
      <c r="M314" s="24">
        <v>42345</v>
      </c>
      <c r="N314" s="21">
        <f>MONTH(Продажи!$M314)</f>
        <v>12</v>
      </c>
      <c r="O314" s="21">
        <f>WEEKDAY(Продажи!$M314,2)</f>
        <v>1</v>
      </c>
      <c r="P314" s="21">
        <f>YEAR(Продажи!$M314)</f>
        <v>2015</v>
      </c>
      <c r="Q314" s="28">
        <f>WEEKNUM(Продажи!$M314,2)</f>
        <v>50</v>
      </c>
      <c r="R314" s="28">
        <f>IF((Продажи!$E314="Зеленый чай")*(Продажи!$Q314&gt;=7)*(Продажи!$Q314&lt;=42),Продажи!$K314,0)</f>
        <v>0</v>
      </c>
      <c r="S314" s="28" t="b">
        <f t="shared" si="0"/>
        <v>0</v>
      </c>
    </row>
    <row r="315" spans="3:19" ht="15.75" customHeight="1" x14ac:dyDescent="0.2">
      <c r="C315" s="26">
        <v>16</v>
      </c>
      <c r="D315" s="21" t="s">
        <v>2504</v>
      </c>
      <c r="E315" s="21" t="s">
        <v>2505</v>
      </c>
      <c r="F315" s="21" t="s">
        <v>2506</v>
      </c>
      <c r="G315" s="21">
        <v>843</v>
      </c>
      <c r="H315" s="21" t="s">
        <v>2444</v>
      </c>
      <c r="I315" s="21">
        <v>5</v>
      </c>
      <c r="J315" s="21">
        <v>4215</v>
      </c>
      <c r="K315" s="21">
        <v>0</v>
      </c>
      <c r="L315" s="21">
        <v>4215</v>
      </c>
      <c r="M315" s="24">
        <v>44032</v>
      </c>
      <c r="N315" s="21">
        <f>MONTH(Продажи!$M315)</f>
        <v>7</v>
      </c>
      <c r="O315" s="21">
        <f>WEEKDAY(Продажи!$M315,2)</f>
        <v>1</v>
      </c>
      <c r="P315" s="21">
        <f>YEAR(Продажи!$M315)</f>
        <v>2020</v>
      </c>
      <c r="Q315" s="28">
        <f>WEEKNUM(Продажи!$M315,2)</f>
        <v>30</v>
      </c>
      <c r="R315" s="28">
        <f>IF((Продажи!$E315="Зеленый чай")*(Продажи!$Q315&gt;=7)*(Продажи!$Q315&lt;=42),Продажи!$K315,0)</f>
        <v>0</v>
      </c>
      <c r="S315" s="28" t="b">
        <f t="shared" si="0"/>
        <v>0</v>
      </c>
    </row>
    <row r="316" spans="3:19" ht="15.75" customHeight="1" x14ac:dyDescent="0.2">
      <c r="C316" s="26">
        <v>1</v>
      </c>
      <c r="D316" s="21" t="s">
        <v>2459</v>
      </c>
      <c r="E316" s="21" t="s">
        <v>2438</v>
      </c>
      <c r="F316" s="21" t="s">
        <v>2460</v>
      </c>
      <c r="G316" s="21">
        <v>876</v>
      </c>
      <c r="H316" s="21" t="s">
        <v>2444</v>
      </c>
      <c r="I316" s="21">
        <v>20</v>
      </c>
      <c r="J316" s="21">
        <v>17520</v>
      </c>
      <c r="K316" s="21">
        <v>0.03</v>
      </c>
      <c r="L316" s="21">
        <v>16994.400000000001</v>
      </c>
      <c r="M316" s="24">
        <v>44064</v>
      </c>
      <c r="N316" s="21">
        <f>MONTH(Продажи!$M316)</f>
        <v>8</v>
      </c>
      <c r="O316" s="21">
        <f>WEEKDAY(Продажи!$M316,2)</f>
        <v>5</v>
      </c>
      <c r="P316" s="21">
        <f>YEAR(Продажи!$M316)</f>
        <v>2020</v>
      </c>
      <c r="Q316" s="28">
        <f>WEEKNUM(Продажи!$M316,2)</f>
        <v>34</v>
      </c>
      <c r="R316" s="28">
        <f>IF((Продажи!$E316="Зеленый чай")*(Продажи!$Q316&gt;=7)*(Продажи!$Q316&lt;=42),Продажи!$K316,0)</f>
        <v>0.03</v>
      </c>
      <c r="S316" s="28">
        <f t="shared" si="0"/>
        <v>16994.400000000001</v>
      </c>
    </row>
    <row r="317" spans="3:19" ht="15.75" customHeight="1" x14ac:dyDescent="0.2">
      <c r="C317" s="26">
        <v>41</v>
      </c>
      <c r="D317" s="21" t="s">
        <v>2447</v>
      </c>
      <c r="E317" s="21" t="s">
        <v>2448</v>
      </c>
      <c r="F317" s="21" t="s">
        <v>2448</v>
      </c>
      <c r="G317" s="21">
        <v>699</v>
      </c>
      <c r="H317" s="21" t="s">
        <v>2444</v>
      </c>
      <c r="I317" s="21">
        <v>10</v>
      </c>
      <c r="J317" s="21">
        <v>6990</v>
      </c>
      <c r="K317" s="21">
        <v>0</v>
      </c>
      <c r="L317" s="21">
        <v>6990</v>
      </c>
      <c r="M317" s="24">
        <v>43428</v>
      </c>
      <c r="N317" s="21">
        <f>MONTH(Продажи!$M317)</f>
        <v>11</v>
      </c>
      <c r="O317" s="21">
        <f>WEEKDAY(Продажи!$M317,2)</f>
        <v>6</v>
      </c>
      <c r="P317" s="21">
        <f>YEAR(Продажи!$M317)</f>
        <v>2018</v>
      </c>
      <c r="Q317" s="28">
        <f>WEEKNUM(Продажи!$M317,2)</f>
        <v>47</v>
      </c>
      <c r="R317" s="28">
        <f>IF((Продажи!$E317="Зеленый чай")*(Продажи!$Q317&gt;=7)*(Продажи!$Q317&lt;=42),Продажи!$K317,0)</f>
        <v>0</v>
      </c>
      <c r="S317" s="28">
        <f t="shared" si="0"/>
        <v>6990</v>
      </c>
    </row>
    <row r="318" spans="3:19" ht="15.75" customHeight="1" x14ac:dyDescent="0.2">
      <c r="C318" s="26">
        <v>35</v>
      </c>
      <c r="D318" s="21" t="s">
        <v>2441</v>
      </c>
      <c r="E318" s="21" t="s">
        <v>2442</v>
      </c>
      <c r="F318" s="21" t="s">
        <v>2443</v>
      </c>
      <c r="G318" s="21">
        <v>617</v>
      </c>
      <c r="H318" s="21" t="s">
        <v>2444</v>
      </c>
      <c r="I318" s="21">
        <v>10</v>
      </c>
      <c r="J318" s="21">
        <v>6170</v>
      </c>
      <c r="K318" s="21">
        <v>0</v>
      </c>
      <c r="L318" s="21">
        <v>6170</v>
      </c>
      <c r="M318" s="24">
        <v>44193</v>
      </c>
      <c r="N318" s="21">
        <f>MONTH(Продажи!$M318)</f>
        <v>12</v>
      </c>
      <c r="O318" s="21">
        <f>WEEKDAY(Продажи!$M318,2)</f>
        <v>1</v>
      </c>
      <c r="P318" s="21">
        <f>YEAR(Продажи!$M318)</f>
        <v>2020</v>
      </c>
      <c r="Q318" s="28">
        <f>WEEKNUM(Продажи!$M318,2)</f>
        <v>53</v>
      </c>
      <c r="R318" s="28">
        <f>IF((Продажи!$E318="Зеленый чай")*(Продажи!$Q318&gt;=7)*(Продажи!$Q318&lt;=42),Продажи!$K318,0)</f>
        <v>0</v>
      </c>
      <c r="S318" s="28">
        <f t="shared" si="0"/>
        <v>6170</v>
      </c>
    </row>
    <row r="319" spans="3:19" ht="15.75" customHeight="1" x14ac:dyDescent="0.2">
      <c r="C319" s="26">
        <v>22</v>
      </c>
      <c r="D319" s="21" t="s">
        <v>2510</v>
      </c>
      <c r="E319" s="21" t="s">
        <v>2511</v>
      </c>
      <c r="F319" s="21" t="s">
        <v>2511</v>
      </c>
      <c r="G319" s="21">
        <v>4889</v>
      </c>
      <c r="H319" s="21" t="s">
        <v>2444</v>
      </c>
      <c r="I319" s="21">
        <v>18</v>
      </c>
      <c r="J319" s="21">
        <v>88002</v>
      </c>
      <c r="K319" s="21">
        <v>0.12</v>
      </c>
      <c r="L319" s="21">
        <v>77441.759999999995</v>
      </c>
      <c r="M319" s="24">
        <v>42963</v>
      </c>
      <c r="N319" s="21">
        <f>MONTH(Продажи!$M319)</f>
        <v>8</v>
      </c>
      <c r="O319" s="21">
        <f>WEEKDAY(Продажи!$M319,2)</f>
        <v>3</v>
      </c>
      <c r="P319" s="21">
        <f>YEAR(Продажи!$M319)</f>
        <v>2017</v>
      </c>
      <c r="Q319" s="28">
        <f>WEEKNUM(Продажи!$M319,2)</f>
        <v>34</v>
      </c>
      <c r="R319" s="28">
        <f>IF((Продажи!$E319="Зеленый чай")*(Продажи!$Q319&gt;=7)*(Продажи!$Q319&lt;=42),Продажи!$K319,0)</f>
        <v>0</v>
      </c>
      <c r="S319" s="28" t="b">
        <f t="shared" si="0"/>
        <v>0</v>
      </c>
    </row>
    <row r="320" spans="3:19" ht="15.75" customHeight="1" x14ac:dyDescent="0.2">
      <c r="C320" s="26">
        <v>19</v>
      </c>
      <c r="D320" s="21" t="s">
        <v>2488</v>
      </c>
      <c r="E320" s="21" t="s">
        <v>2454</v>
      </c>
      <c r="F320" s="21" t="s">
        <v>2489</v>
      </c>
      <c r="G320" s="21">
        <v>1879</v>
      </c>
      <c r="H320" s="21" t="s">
        <v>2440</v>
      </c>
      <c r="I320" s="21">
        <v>15</v>
      </c>
      <c r="J320" s="21">
        <v>28185</v>
      </c>
      <c r="K320" s="21">
        <v>0.03</v>
      </c>
      <c r="L320" s="21">
        <v>27339.45</v>
      </c>
      <c r="M320" s="24">
        <v>43609</v>
      </c>
      <c r="N320" s="21">
        <f>MONTH(Продажи!$M320)</f>
        <v>5</v>
      </c>
      <c r="O320" s="21">
        <f>WEEKDAY(Продажи!$M320,2)</f>
        <v>5</v>
      </c>
      <c r="P320" s="21">
        <f>YEAR(Продажи!$M320)</f>
        <v>2019</v>
      </c>
      <c r="Q320" s="28">
        <f>WEEKNUM(Продажи!$M320,2)</f>
        <v>21</v>
      </c>
      <c r="R320" s="28">
        <f>IF((Продажи!$E320="Зеленый чай")*(Продажи!$Q320&gt;=7)*(Продажи!$Q320&lt;=42),Продажи!$K320,0)</f>
        <v>0</v>
      </c>
      <c r="S320" s="28">
        <f t="shared" si="0"/>
        <v>27339.45</v>
      </c>
    </row>
    <row r="321" spans="3:19" ht="15.75" customHeight="1" x14ac:dyDescent="0.2">
      <c r="C321" s="26">
        <v>5</v>
      </c>
      <c r="D321" s="21" t="s">
        <v>2483</v>
      </c>
      <c r="E321" s="21" t="s">
        <v>2446</v>
      </c>
      <c r="F321" s="21" t="s">
        <v>2484</v>
      </c>
      <c r="G321" s="21">
        <v>1182</v>
      </c>
      <c r="H321" s="21" t="s">
        <v>2440</v>
      </c>
      <c r="I321" s="21">
        <v>17</v>
      </c>
      <c r="J321" s="21">
        <v>20094</v>
      </c>
      <c r="K321" s="21">
        <v>0.03</v>
      </c>
      <c r="L321" s="21">
        <v>19491.18</v>
      </c>
      <c r="M321" s="24">
        <v>42687</v>
      </c>
      <c r="N321" s="21">
        <f>MONTH(Продажи!$M321)</f>
        <v>11</v>
      </c>
      <c r="O321" s="21">
        <f>WEEKDAY(Продажи!$M321,2)</f>
        <v>7</v>
      </c>
      <c r="P321" s="21">
        <f>YEAR(Продажи!$M321)</f>
        <v>2016</v>
      </c>
      <c r="Q321" s="28">
        <f>WEEKNUM(Продажи!$M321,2)</f>
        <v>46</v>
      </c>
      <c r="R321" s="28">
        <f>IF((Продажи!$E321="Зеленый чай")*(Продажи!$Q321&gt;=7)*(Продажи!$Q321&lt;=42),Продажи!$K321,0)</f>
        <v>0</v>
      </c>
      <c r="S321" s="28" t="b">
        <f t="shared" si="0"/>
        <v>0</v>
      </c>
    </row>
    <row r="322" spans="3:19" ht="15.75" customHeight="1" x14ac:dyDescent="0.2">
      <c r="C322" s="26">
        <v>49</v>
      </c>
      <c r="D322" s="21" t="s">
        <v>2441</v>
      </c>
      <c r="E322" s="21" t="s">
        <v>2442</v>
      </c>
      <c r="F322" s="21" t="s">
        <v>2443</v>
      </c>
      <c r="G322" s="21">
        <v>617</v>
      </c>
      <c r="H322" s="21" t="s">
        <v>2444</v>
      </c>
      <c r="I322" s="21">
        <v>25</v>
      </c>
      <c r="J322" s="21">
        <v>15425</v>
      </c>
      <c r="K322" s="21">
        <v>0</v>
      </c>
      <c r="L322" s="21">
        <v>15425</v>
      </c>
      <c r="M322" s="24">
        <v>43056</v>
      </c>
      <c r="N322" s="21">
        <f>MONTH(Продажи!$M322)</f>
        <v>11</v>
      </c>
      <c r="O322" s="21">
        <f>WEEKDAY(Продажи!$M322,2)</f>
        <v>5</v>
      </c>
      <c r="P322" s="21">
        <f>YEAR(Продажи!$M322)</f>
        <v>2017</v>
      </c>
      <c r="Q322" s="28">
        <f>WEEKNUM(Продажи!$M322,2)</f>
        <v>47</v>
      </c>
      <c r="R322" s="28">
        <f>IF((Продажи!$E322="Зеленый чай")*(Продажи!$Q322&gt;=7)*(Продажи!$Q322&lt;=42),Продажи!$K322,0)</f>
        <v>0</v>
      </c>
      <c r="S322" s="28" t="b">
        <f t="shared" si="0"/>
        <v>0</v>
      </c>
    </row>
    <row r="323" spans="3:19" ht="15.75" customHeight="1" x14ac:dyDescent="0.2">
      <c r="C323" s="26">
        <v>37</v>
      </c>
      <c r="D323" s="21" t="s">
        <v>2449</v>
      </c>
      <c r="E323" s="21" t="s">
        <v>2448</v>
      </c>
      <c r="F323" s="21" t="s">
        <v>2450</v>
      </c>
      <c r="G323" s="21">
        <v>2211</v>
      </c>
      <c r="H323" s="21" t="s">
        <v>2444</v>
      </c>
      <c r="I323" s="21">
        <v>25</v>
      </c>
      <c r="J323" s="21">
        <v>55275</v>
      </c>
      <c r="K323" s="21">
        <v>0.09</v>
      </c>
      <c r="L323" s="21">
        <v>50300.25</v>
      </c>
      <c r="M323" s="24">
        <v>43551</v>
      </c>
      <c r="N323" s="21">
        <f>MONTH(Продажи!$M323)</f>
        <v>3</v>
      </c>
      <c r="O323" s="21">
        <f>WEEKDAY(Продажи!$M323,2)</f>
        <v>3</v>
      </c>
      <c r="P323" s="21">
        <f>YEAR(Продажи!$M323)</f>
        <v>2019</v>
      </c>
      <c r="Q323" s="28">
        <f>WEEKNUM(Продажи!$M323,2)</f>
        <v>13</v>
      </c>
      <c r="R323" s="28">
        <f>IF((Продажи!$E323="Зеленый чай")*(Продажи!$Q323&gt;=7)*(Продажи!$Q323&lt;=42),Продажи!$K323,0)</f>
        <v>0</v>
      </c>
      <c r="S323" s="28">
        <f t="shared" si="0"/>
        <v>50300.25</v>
      </c>
    </row>
    <row r="324" spans="3:19" ht="15.75" customHeight="1" x14ac:dyDescent="0.2">
      <c r="C324" s="26">
        <v>18</v>
      </c>
      <c r="D324" s="21" t="s">
        <v>2508</v>
      </c>
      <c r="E324" s="21" t="s">
        <v>2476</v>
      </c>
      <c r="F324" s="21" t="s">
        <v>2509</v>
      </c>
      <c r="G324" s="21">
        <v>1531</v>
      </c>
      <c r="H324" s="21" t="s">
        <v>2440</v>
      </c>
      <c r="I324" s="21">
        <v>15</v>
      </c>
      <c r="J324" s="21">
        <v>22965</v>
      </c>
      <c r="K324" s="21">
        <v>0.03</v>
      </c>
      <c r="L324" s="21">
        <v>22276.05</v>
      </c>
      <c r="M324" s="24">
        <v>42368</v>
      </c>
      <c r="N324" s="21">
        <f>MONTH(Продажи!$M324)</f>
        <v>12</v>
      </c>
      <c r="O324" s="21">
        <f>WEEKDAY(Продажи!$M324,2)</f>
        <v>3</v>
      </c>
      <c r="P324" s="21">
        <f>YEAR(Продажи!$M324)</f>
        <v>2015</v>
      </c>
      <c r="Q324" s="28">
        <f>WEEKNUM(Продажи!$M324,2)</f>
        <v>53</v>
      </c>
      <c r="R324" s="28">
        <f>IF((Продажи!$E324="Зеленый чай")*(Продажи!$Q324&gt;=7)*(Продажи!$Q324&lt;=42),Продажи!$K324,0)</f>
        <v>0</v>
      </c>
      <c r="S324" s="28">
        <f t="shared" si="0"/>
        <v>22276.05</v>
      </c>
    </row>
    <row r="325" spans="3:19" ht="15.75" customHeight="1" x14ac:dyDescent="0.2">
      <c r="C325" s="26">
        <v>31</v>
      </c>
      <c r="D325" s="21" t="s">
        <v>2479</v>
      </c>
      <c r="E325" s="21" t="s">
        <v>2442</v>
      </c>
      <c r="F325" s="21" t="s">
        <v>2480</v>
      </c>
      <c r="G325" s="21">
        <v>1228</v>
      </c>
      <c r="H325" s="21" t="s">
        <v>2440</v>
      </c>
      <c r="I325" s="21">
        <v>45</v>
      </c>
      <c r="J325" s="21">
        <v>55260</v>
      </c>
      <c r="K325" s="21">
        <v>0.09</v>
      </c>
      <c r="L325" s="21">
        <v>50286.6</v>
      </c>
      <c r="M325" s="24">
        <v>42294</v>
      </c>
      <c r="N325" s="21">
        <f>MONTH(Продажи!$M325)</f>
        <v>10</v>
      </c>
      <c r="O325" s="21">
        <f>WEEKDAY(Продажи!$M325,2)</f>
        <v>6</v>
      </c>
      <c r="P325" s="21">
        <f>YEAR(Продажи!$M325)</f>
        <v>2015</v>
      </c>
      <c r="Q325" s="28">
        <f>WEEKNUM(Продажи!$M325,2)</f>
        <v>42</v>
      </c>
      <c r="R325" s="28">
        <f>IF((Продажи!$E325="Зеленый чай")*(Продажи!$Q325&gt;=7)*(Продажи!$Q325&lt;=42),Продажи!$K325,0)</f>
        <v>0</v>
      </c>
      <c r="S325" s="28" t="b">
        <f t="shared" si="0"/>
        <v>0</v>
      </c>
    </row>
    <row r="326" spans="3:19" ht="15.75" customHeight="1" x14ac:dyDescent="0.2">
      <c r="C326" s="26">
        <v>43</v>
      </c>
      <c r="D326" s="21" t="s">
        <v>2492</v>
      </c>
      <c r="E326" s="21" t="s">
        <v>2446</v>
      </c>
      <c r="F326" s="21" t="s">
        <v>2493</v>
      </c>
      <c r="G326" s="21">
        <v>759</v>
      </c>
      <c r="H326" s="21" t="s">
        <v>2444</v>
      </c>
      <c r="I326" s="21">
        <v>10</v>
      </c>
      <c r="J326" s="21">
        <v>7590</v>
      </c>
      <c r="K326" s="21">
        <v>0</v>
      </c>
      <c r="L326" s="21">
        <v>7590</v>
      </c>
      <c r="M326" s="24">
        <v>42544</v>
      </c>
      <c r="N326" s="21">
        <f>MONTH(Продажи!$M326)</f>
        <v>6</v>
      </c>
      <c r="O326" s="21">
        <f>WEEKDAY(Продажи!$M326,2)</f>
        <v>4</v>
      </c>
      <c r="P326" s="21">
        <f>YEAR(Продажи!$M326)</f>
        <v>2016</v>
      </c>
      <c r="Q326" s="28">
        <f>WEEKNUM(Продажи!$M326,2)</f>
        <v>26</v>
      </c>
      <c r="R326" s="28">
        <f>IF((Продажи!$E326="Зеленый чай")*(Продажи!$Q326&gt;=7)*(Продажи!$Q326&lt;=42),Продажи!$K326,0)</f>
        <v>0</v>
      </c>
      <c r="S326" s="28">
        <f t="shared" si="0"/>
        <v>7590</v>
      </c>
    </row>
    <row r="327" spans="3:19" ht="15.75" customHeight="1" x14ac:dyDescent="0.2">
      <c r="C327" s="26">
        <v>31</v>
      </c>
      <c r="D327" s="21" t="s">
        <v>2479</v>
      </c>
      <c r="E327" s="21" t="s">
        <v>2442</v>
      </c>
      <c r="F327" s="21" t="s">
        <v>2480</v>
      </c>
      <c r="G327" s="21">
        <v>1228</v>
      </c>
      <c r="H327" s="21" t="s">
        <v>2440</v>
      </c>
      <c r="I327" s="21">
        <v>45</v>
      </c>
      <c r="J327" s="21">
        <v>55260</v>
      </c>
      <c r="K327" s="21">
        <v>0.09</v>
      </c>
      <c r="L327" s="21">
        <v>50286.6</v>
      </c>
      <c r="M327" s="24">
        <v>43329</v>
      </c>
      <c r="N327" s="21">
        <f>MONTH(Продажи!$M327)</f>
        <v>8</v>
      </c>
      <c r="O327" s="21">
        <f>WEEKDAY(Продажи!$M327,2)</f>
        <v>5</v>
      </c>
      <c r="P327" s="21">
        <f>YEAR(Продажи!$M327)</f>
        <v>2018</v>
      </c>
      <c r="Q327" s="28">
        <f>WEEKNUM(Продажи!$M327,2)</f>
        <v>33</v>
      </c>
      <c r="R327" s="28">
        <f>IF((Продажи!$E327="Зеленый чай")*(Продажи!$Q327&gt;=7)*(Продажи!$Q327&lt;=42),Продажи!$K327,0)</f>
        <v>0</v>
      </c>
      <c r="S327" s="28" t="b">
        <f t="shared" si="0"/>
        <v>0</v>
      </c>
    </row>
    <row r="328" spans="3:19" ht="15.75" customHeight="1" x14ac:dyDescent="0.2">
      <c r="C328" s="26">
        <v>18</v>
      </c>
      <c r="D328" s="21" t="s">
        <v>2508</v>
      </c>
      <c r="E328" s="21" t="s">
        <v>2476</v>
      </c>
      <c r="F328" s="21" t="s">
        <v>2509</v>
      </c>
      <c r="G328" s="21">
        <v>1531</v>
      </c>
      <c r="H328" s="21" t="s">
        <v>2440</v>
      </c>
      <c r="I328" s="21">
        <v>15</v>
      </c>
      <c r="J328" s="21">
        <v>22965</v>
      </c>
      <c r="K328" s="21">
        <v>0.03</v>
      </c>
      <c r="L328" s="21">
        <v>22276.05</v>
      </c>
      <c r="M328" s="24">
        <v>42797</v>
      </c>
      <c r="N328" s="21">
        <f>MONTH(Продажи!$M328)</f>
        <v>3</v>
      </c>
      <c r="O328" s="21">
        <f>WEEKDAY(Продажи!$M328,2)</f>
        <v>5</v>
      </c>
      <c r="P328" s="21">
        <f>YEAR(Продажи!$M328)</f>
        <v>2017</v>
      </c>
      <c r="Q328" s="28">
        <f>WEEKNUM(Продажи!$M328,2)</f>
        <v>10</v>
      </c>
      <c r="R328" s="28">
        <f>IF((Продажи!$E328="Зеленый чай")*(Продажи!$Q328&gt;=7)*(Продажи!$Q328&lt;=42),Продажи!$K328,0)</f>
        <v>0</v>
      </c>
      <c r="S328" s="28" t="b">
        <f t="shared" si="0"/>
        <v>0</v>
      </c>
    </row>
    <row r="329" spans="3:19" ht="15.75" customHeight="1" x14ac:dyDescent="0.2">
      <c r="C329" s="26">
        <v>24</v>
      </c>
      <c r="D329" s="21" t="s">
        <v>2456</v>
      </c>
      <c r="E329" s="21" t="s">
        <v>2457</v>
      </c>
      <c r="F329" s="21" t="s">
        <v>2458</v>
      </c>
      <c r="G329" s="21">
        <v>957</v>
      </c>
      <c r="H329" s="21" t="s">
        <v>2440</v>
      </c>
      <c r="I329" s="21">
        <v>25</v>
      </c>
      <c r="J329" s="21">
        <v>23925</v>
      </c>
      <c r="K329" s="21">
        <v>0.03</v>
      </c>
      <c r="L329" s="21">
        <v>23207.25</v>
      </c>
      <c r="M329" s="24">
        <v>44081</v>
      </c>
      <c r="N329" s="21">
        <f>MONTH(Продажи!$M329)</f>
        <v>9</v>
      </c>
      <c r="O329" s="21">
        <f>WEEKDAY(Продажи!$M329,2)</f>
        <v>1</v>
      </c>
      <c r="P329" s="21">
        <f>YEAR(Продажи!$M329)</f>
        <v>2020</v>
      </c>
      <c r="Q329" s="28">
        <f>WEEKNUM(Продажи!$M329,2)</f>
        <v>37</v>
      </c>
      <c r="R329" s="28">
        <f>IF((Продажи!$E329="Зеленый чай")*(Продажи!$Q329&gt;=7)*(Продажи!$Q329&lt;=42),Продажи!$K329,0)</f>
        <v>0</v>
      </c>
      <c r="S329" s="28" t="b">
        <f t="shared" si="0"/>
        <v>0</v>
      </c>
    </row>
    <row r="330" spans="3:19" ht="15.75" customHeight="1" x14ac:dyDescent="0.2">
      <c r="C330" s="26">
        <v>17</v>
      </c>
      <c r="D330" s="21" t="s">
        <v>2465</v>
      </c>
      <c r="E330" s="21" t="s">
        <v>2446</v>
      </c>
      <c r="F330" s="21" t="s">
        <v>2466</v>
      </c>
      <c r="G330" s="21">
        <v>967</v>
      </c>
      <c r="H330" s="21" t="s">
        <v>2444</v>
      </c>
      <c r="I330" s="21">
        <v>12</v>
      </c>
      <c r="J330" s="21">
        <v>11604</v>
      </c>
      <c r="K330" s="21">
        <v>0</v>
      </c>
      <c r="L330" s="21">
        <v>11604</v>
      </c>
      <c r="M330" s="24">
        <v>42777</v>
      </c>
      <c r="N330" s="21">
        <f>MONTH(Продажи!$M330)</f>
        <v>2</v>
      </c>
      <c r="O330" s="21">
        <f>WEEKDAY(Продажи!$M330,2)</f>
        <v>6</v>
      </c>
      <c r="P330" s="21">
        <f>YEAR(Продажи!$M330)</f>
        <v>2017</v>
      </c>
      <c r="Q330" s="28">
        <f>WEEKNUM(Продажи!$M330,2)</f>
        <v>7</v>
      </c>
      <c r="R330" s="28">
        <f>IF((Продажи!$E330="Зеленый чай")*(Продажи!$Q330&gt;=7)*(Продажи!$Q330&lt;=42),Продажи!$K330,0)</f>
        <v>0</v>
      </c>
      <c r="S330" s="28" t="b">
        <f t="shared" si="0"/>
        <v>0</v>
      </c>
    </row>
    <row r="331" spans="3:19" ht="15.75" customHeight="1" x14ac:dyDescent="0.2">
      <c r="C331" s="26">
        <v>50</v>
      </c>
      <c r="D331" s="21" t="s">
        <v>2481</v>
      </c>
      <c r="E331" s="21" t="s">
        <v>2454</v>
      </c>
      <c r="F331" s="21" t="s">
        <v>2482</v>
      </c>
      <c r="G331" s="21">
        <v>912</v>
      </c>
      <c r="H331" s="21" t="s">
        <v>2440</v>
      </c>
      <c r="I331" s="21">
        <v>20</v>
      </c>
      <c r="J331" s="21">
        <v>18240</v>
      </c>
      <c r="K331" s="21">
        <v>0</v>
      </c>
      <c r="L331" s="21">
        <v>18240</v>
      </c>
      <c r="M331" s="24">
        <v>43192</v>
      </c>
      <c r="N331" s="21">
        <f>MONTH(Продажи!$M331)</f>
        <v>4</v>
      </c>
      <c r="O331" s="21">
        <f>WEEKDAY(Продажи!$M331,2)</f>
        <v>1</v>
      </c>
      <c r="P331" s="21">
        <f>YEAR(Продажи!$M331)</f>
        <v>2018</v>
      </c>
      <c r="Q331" s="28">
        <f>WEEKNUM(Продажи!$M331,2)</f>
        <v>14</v>
      </c>
      <c r="R331" s="28">
        <f>IF((Продажи!$E331="Зеленый чай")*(Продажи!$Q331&gt;=7)*(Продажи!$Q331&lt;=42),Продажи!$K331,0)</f>
        <v>0</v>
      </c>
      <c r="S331" s="28" t="b">
        <f t="shared" si="0"/>
        <v>0</v>
      </c>
    </row>
    <row r="332" spans="3:19" ht="15.75" customHeight="1" x14ac:dyDescent="0.2">
      <c r="C332" s="26">
        <v>0</v>
      </c>
      <c r="D332" s="21" t="s">
        <v>2469</v>
      </c>
      <c r="E332" s="21" t="s">
        <v>2442</v>
      </c>
      <c r="F332" s="21" t="s">
        <v>2470</v>
      </c>
      <c r="G332" s="21">
        <v>620</v>
      </c>
      <c r="H332" s="21" t="s">
        <v>2444</v>
      </c>
      <c r="I332" s="21">
        <v>30</v>
      </c>
      <c r="J332" s="21">
        <v>18600</v>
      </c>
      <c r="K332" s="21">
        <v>0.03</v>
      </c>
      <c r="L332" s="21">
        <v>18042</v>
      </c>
      <c r="M332" s="24">
        <v>42631</v>
      </c>
      <c r="N332" s="21">
        <f>MONTH(Продажи!$M332)</f>
        <v>9</v>
      </c>
      <c r="O332" s="21">
        <f>WEEKDAY(Продажи!$M332,2)</f>
        <v>7</v>
      </c>
      <c r="P332" s="21">
        <f>YEAR(Продажи!$M332)</f>
        <v>2016</v>
      </c>
      <c r="Q332" s="28">
        <f>WEEKNUM(Продажи!$M332,2)</f>
        <v>38</v>
      </c>
      <c r="R332" s="28">
        <f>IF((Продажи!$E332="Зеленый чай")*(Продажи!$Q332&gt;=7)*(Продажи!$Q332&lt;=42),Продажи!$K332,0)</f>
        <v>0</v>
      </c>
      <c r="S332" s="28" t="b">
        <f t="shared" si="0"/>
        <v>0</v>
      </c>
    </row>
    <row r="333" spans="3:19" ht="15.75" customHeight="1" x14ac:dyDescent="0.2">
      <c r="C333" s="26">
        <v>45</v>
      </c>
      <c r="D333" s="21" t="s">
        <v>2507</v>
      </c>
      <c r="E333" s="21" t="s">
        <v>2446</v>
      </c>
      <c r="F333" s="21" t="s">
        <v>2493</v>
      </c>
      <c r="G333" s="21">
        <v>759</v>
      </c>
      <c r="H333" s="21" t="s">
        <v>2444</v>
      </c>
      <c r="I333" s="21">
        <v>14</v>
      </c>
      <c r="J333" s="21">
        <v>10626</v>
      </c>
      <c r="K333" s="21">
        <v>0</v>
      </c>
      <c r="L333" s="21">
        <v>10626</v>
      </c>
      <c r="M333" s="24">
        <v>42852</v>
      </c>
      <c r="N333" s="21">
        <f>MONTH(Продажи!$M333)</f>
        <v>4</v>
      </c>
      <c r="O333" s="21">
        <f>WEEKDAY(Продажи!$M333,2)</f>
        <v>4</v>
      </c>
      <c r="P333" s="21">
        <f>YEAR(Продажи!$M333)</f>
        <v>2017</v>
      </c>
      <c r="Q333" s="28">
        <f>WEEKNUM(Продажи!$M333,2)</f>
        <v>18</v>
      </c>
      <c r="R333" s="28">
        <f>IF((Продажи!$E333="Зеленый чай")*(Продажи!$Q333&gt;=7)*(Продажи!$Q333&lt;=42),Продажи!$K333,0)</f>
        <v>0</v>
      </c>
      <c r="S333" s="28">
        <f t="shared" si="0"/>
        <v>10626</v>
      </c>
    </row>
    <row r="334" spans="3:19" ht="15.75" customHeight="1" x14ac:dyDescent="0.2">
      <c r="C334" s="26">
        <v>45</v>
      </c>
      <c r="D334" s="21" t="s">
        <v>2507</v>
      </c>
      <c r="E334" s="21" t="s">
        <v>2446</v>
      </c>
      <c r="F334" s="21" t="s">
        <v>2493</v>
      </c>
      <c r="G334" s="21">
        <v>759</v>
      </c>
      <c r="H334" s="21" t="s">
        <v>2444</v>
      </c>
      <c r="I334" s="21">
        <v>14</v>
      </c>
      <c r="J334" s="21">
        <v>10626</v>
      </c>
      <c r="K334" s="21">
        <v>0</v>
      </c>
      <c r="L334" s="21">
        <v>10626</v>
      </c>
      <c r="M334" s="24">
        <v>43725</v>
      </c>
      <c r="N334" s="21">
        <f>MONTH(Продажи!$M334)</f>
        <v>9</v>
      </c>
      <c r="O334" s="21">
        <f>WEEKDAY(Продажи!$M334,2)</f>
        <v>2</v>
      </c>
      <c r="P334" s="21">
        <f>YEAR(Продажи!$M334)</f>
        <v>2019</v>
      </c>
      <c r="Q334" s="28">
        <f>WEEKNUM(Продажи!$M334,2)</f>
        <v>38</v>
      </c>
      <c r="R334" s="28">
        <f>IF((Продажи!$E334="Зеленый чай")*(Продажи!$Q334&gt;=7)*(Продажи!$Q334&lt;=42),Продажи!$K334,0)</f>
        <v>0</v>
      </c>
      <c r="S334" s="28" t="b">
        <f t="shared" si="0"/>
        <v>0</v>
      </c>
    </row>
    <row r="335" spans="3:19" ht="15.75" customHeight="1" x14ac:dyDescent="0.2">
      <c r="C335" s="26">
        <v>36</v>
      </c>
      <c r="D335" s="21" t="s">
        <v>2481</v>
      </c>
      <c r="E335" s="21" t="s">
        <v>2454</v>
      </c>
      <c r="F335" s="21" t="s">
        <v>2482</v>
      </c>
      <c r="G335" s="21">
        <v>912</v>
      </c>
      <c r="H335" s="21" t="s">
        <v>2440</v>
      </c>
      <c r="I335" s="21">
        <v>15</v>
      </c>
      <c r="J335" s="21">
        <v>13680</v>
      </c>
      <c r="K335" s="21">
        <v>0</v>
      </c>
      <c r="L335" s="21">
        <v>13680</v>
      </c>
      <c r="M335" s="24">
        <v>43828</v>
      </c>
      <c r="N335" s="21">
        <f>MONTH(Продажи!$M335)</f>
        <v>12</v>
      </c>
      <c r="O335" s="21">
        <f>WEEKDAY(Продажи!$M335,2)</f>
        <v>7</v>
      </c>
      <c r="P335" s="21">
        <f>YEAR(Продажи!$M335)</f>
        <v>2019</v>
      </c>
      <c r="Q335" s="28">
        <f>WEEKNUM(Продажи!$M335,2)</f>
        <v>52</v>
      </c>
      <c r="R335" s="28">
        <f>IF((Продажи!$E335="Зеленый чай")*(Продажи!$Q335&gt;=7)*(Продажи!$Q335&lt;=42),Продажи!$K335,0)</f>
        <v>0</v>
      </c>
      <c r="S335" s="28">
        <f t="shared" si="0"/>
        <v>13680</v>
      </c>
    </row>
    <row r="336" spans="3:19" ht="15.75" customHeight="1" x14ac:dyDescent="0.2">
      <c r="C336" s="26">
        <v>28</v>
      </c>
      <c r="D336" s="21" t="s">
        <v>2494</v>
      </c>
      <c r="E336" s="21" t="s">
        <v>2462</v>
      </c>
      <c r="F336" s="21" t="s">
        <v>2491</v>
      </c>
      <c r="G336" s="21">
        <v>1994</v>
      </c>
      <c r="H336" s="21" t="s">
        <v>2444</v>
      </c>
      <c r="I336" s="21">
        <v>40</v>
      </c>
      <c r="J336" s="21">
        <v>79760</v>
      </c>
      <c r="K336" s="21">
        <v>0.12</v>
      </c>
      <c r="L336" s="21">
        <v>70188.800000000003</v>
      </c>
      <c r="M336" s="24">
        <v>43070</v>
      </c>
      <c r="N336" s="21">
        <f>MONTH(Продажи!$M336)</f>
        <v>12</v>
      </c>
      <c r="O336" s="21">
        <f>WEEKDAY(Продажи!$M336,2)</f>
        <v>5</v>
      </c>
      <c r="P336" s="21">
        <f>YEAR(Продажи!$M336)</f>
        <v>2017</v>
      </c>
      <c r="Q336" s="28">
        <f>WEEKNUM(Продажи!$M336,2)</f>
        <v>49</v>
      </c>
      <c r="R336" s="28">
        <f>IF((Продажи!$E336="Зеленый чай")*(Продажи!$Q336&gt;=7)*(Продажи!$Q336&lt;=42),Продажи!$K336,0)</f>
        <v>0</v>
      </c>
      <c r="S336" s="28" t="b">
        <f t="shared" si="0"/>
        <v>0</v>
      </c>
    </row>
    <row r="337" spans="3:19" ht="15.75" customHeight="1" x14ac:dyDescent="0.2">
      <c r="C337" s="26">
        <v>47</v>
      </c>
      <c r="D337" s="21" t="s">
        <v>2461</v>
      </c>
      <c r="E337" s="21" t="s">
        <v>2462</v>
      </c>
      <c r="F337" s="21" t="s">
        <v>2463</v>
      </c>
      <c r="G337" s="21">
        <v>1994</v>
      </c>
      <c r="H337" s="21" t="s">
        <v>2444</v>
      </c>
      <c r="I337" s="21">
        <v>12</v>
      </c>
      <c r="J337" s="21">
        <v>23928</v>
      </c>
      <c r="K337" s="21">
        <v>0.03</v>
      </c>
      <c r="L337" s="21">
        <v>23210.16</v>
      </c>
      <c r="M337" s="24">
        <v>43937</v>
      </c>
      <c r="N337" s="21">
        <f>MONTH(Продажи!$M337)</f>
        <v>4</v>
      </c>
      <c r="O337" s="21">
        <f>WEEKDAY(Продажи!$M337,2)</f>
        <v>4</v>
      </c>
      <c r="P337" s="21">
        <f>YEAR(Продажи!$M337)</f>
        <v>2020</v>
      </c>
      <c r="Q337" s="28">
        <f>WEEKNUM(Продажи!$M337,2)</f>
        <v>16</v>
      </c>
      <c r="R337" s="28">
        <f>IF((Продажи!$E337="Зеленый чай")*(Продажи!$Q337&gt;=7)*(Продажи!$Q337&lt;=42),Продажи!$K337,0)</f>
        <v>0</v>
      </c>
      <c r="S337" s="28" t="b">
        <f t="shared" si="0"/>
        <v>0</v>
      </c>
    </row>
    <row r="338" spans="3:19" ht="15.75" customHeight="1" x14ac:dyDescent="0.2">
      <c r="C338" s="26">
        <v>12</v>
      </c>
      <c r="D338" s="21" t="s">
        <v>2453</v>
      </c>
      <c r="E338" s="21" t="s">
        <v>2454</v>
      </c>
      <c r="F338" s="21" t="s">
        <v>2455</v>
      </c>
      <c r="G338" s="21">
        <v>1386</v>
      </c>
      <c r="H338" s="21" t="s">
        <v>2440</v>
      </c>
      <c r="I338" s="21">
        <v>20</v>
      </c>
      <c r="J338" s="21">
        <v>27720</v>
      </c>
      <c r="K338" s="21">
        <v>0.03</v>
      </c>
      <c r="L338" s="21">
        <v>26888.400000000001</v>
      </c>
      <c r="M338" s="24">
        <v>43584</v>
      </c>
      <c r="N338" s="21">
        <f>MONTH(Продажи!$M338)</f>
        <v>4</v>
      </c>
      <c r="O338" s="21">
        <f>WEEKDAY(Продажи!$M338,2)</f>
        <v>1</v>
      </c>
      <c r="P338" s="21">
        <f>YEAR(Продажи!$M338)</f>
        <v>2019</v>
      </c>
      <c r="Q338" s="28">
        <f>WEEKNUM(Продажи!$M338,2)</f>
        <v>18</v>
      </c>
      <c r="R338" s="28">
        <f>IF((Продажи!$E338="Зеленый чай")*(Продажи!$Q338&gt;=7)*(Продажи!$Q338&lt;=42),Продажи!$K338,0)</f>
        <v>0</v>
      </c>
      <c r="S338" s="28">
        <f t="shared" si="0"/>
        <v>26888.400000000001</v>
      </c>
    </row>
    <row r="339" spans="3:19" ht="15.75" customHeight="1" x14ac:dyDescent="0.2">
      <c r="C339" s="26">
        <v>11</v>
      </c>
      <c r="D339" s="21" t="s">
        <v>2492</v>
      </c>
      <c r="E339" s="21" t="s">
        <v>2446</v>
      </c>
      <c r="F339" s="21" t="s">
        <v>2495</v>
      </c>
      <c r="G339" s="21">
        <v>3197</v>
      </c>
      <c r="H339" s="21" t="s">
        <v>2444</v>
      </c>
      <c r="I339" s="21">
        <v>10</v>
      </c>
      <c r="J339" s="21">
        <v>31970</v>
      </c>
      <c r="K339" s="21">
        <v>0</v>
      </c>
      <c r="L339" s="21">
        <v>31970</v>
      </c>
      <c r="M339" s="24">
        <v>42465</v>
      </c>
      <c r="N339" s="21">
        <f>MONTH(Продажи!$M339)</f>
        <v>4</v>
      </c>
      <c r="O339" s="21">
        <f>WEEKDAY(Продажи!$M339,2)</f>
        <v>2</v>
      </c>
      <c r="P339" s="21">
        <f>YEAR(Продажи!$M339)</f>
        <v>2016</v>
      </c>
      <c r="Q339" s="28">
        <f>WEEKNUM(Продажи!$M339,2)</f>
        <v>15</v>
      </c>
      <c r="R339" s="28">
        <f>IF((Продажи!$E339="Зеленый чай")*(Продажи!$Q339&gt;=7)*(Продажи!$Q339&lt;=42),Продажи!$K339,0)</f>
        <v>0</v>
      </c>
      <c r="S339" s="28" t="b">
        <f t="shared" si="0"/>
        <v>0</v>
      </c>
    </row>
    <row r="340" spans="3:19" ht="15.75" customHeight="1" x14ac:dyDescent="0.2">
      <c r="C340" s="26">
        <v>3</v>
      </c>
      <c r="D340" s="21" t="s">
        <v>2445</v>
      </c>
      <c r="E340" s="21" t="s">
        <v>2446</v>
      </c>
      <c r="F340" s="21" t="s">
        <v>2446</v>
      </c>
      <c r="G340" s="21">
        <v>807</v>
      </c>
      <c r="H340" s="21" t="s">
        <v>2440</v>
      </c>
      <c r="I340" s="21">
        <v>18</v>
      </c>
      <c r="J340" s="21">
        <v>14526</v>
      </c>
      <c r="K340" s="21">
        <v>0</v>
      </c>
      <c r="L340" s="21">
        <v>14526</v>
      </c>
      <c r="M340" s="24">
        <v>43159</v>
      </c>
      <c r="N340" s="21">
        <f>MONTH(Продажи!$M340)</f>
        <v>2</v>
      </c>
      <c r="O340" s="21">
        <f>WEEKDAY(Продажи!$M340,2)</f>
        <v>3</v>
      </c>
      <c r="P340" s="21">
        <f>YEAR(Продажи!$M340)</f>
        <v>2018</v>
      </c>
      <c r="Q340" s="28">
        <f>WEEKNUM(Продажи!$M340,2)</f>
        <v>9</v>
      </c>
      <c r="R340" s="28">
        <f>IF((Продажи!$E340="Зеленый чай")*(Продажи!$Q340&gt;=7)*(Продажи!$Q340&lt;=42),Продажи!$K340,0)</f>
        <v>0</v>
      </c>
      <c r="S340" s="28">
        <f t="shared" si="0"/>
        <v>14526</v>
      </c>
    </row>
    <row r="341" spans="3:19" ht="15.75" customHeight="1" x14ac:dyDescent="0.2">
      <c r="C341" s="26">
        <v>6</v>
      </c>
      <c r="D341" s="21" t="s">
        <v>2502</v>
      </c>
      <c r="E341" s="21" t="s">
        <v>2446</v>
      </c>
      <c r="F341" s="21" t="s">
        <v>2503</v>
      </c>
      <c r="G341" s="21">
        <v>3197</v>
      </c>
      <c r="H341" s="21" t="s">
        <v>2444</v>
      </c>
      <c r="I341" s="21">
        <v>6</v>
      </c>
      <c r="J341" s="21">
        <v>19182</v>
      </c>
      <c r="K341" s="21">
        <v>0.03</v>
      </c>
      <c r="L341" s="21">
        <v>18606.54</v>
      </c>
      <c r="M341" s="24">
        <v>44061</v>
      </c>
      <c r="N341" s="21">
        <f>MONTH(Продажи!$M341)</f>
        <v>8</v>
      </c>
      <c r="O341" s="21">
        <f>WEEKDAY(Продажи!$M341,2)</f>
        <v>2</v>
      </c>
      <c r="P341" s="21">
        <f>YEAR(Продажи!$M341)</f>
        <v>2020</v>
      </c>
      <c r="Q341" s="28">
        <f>WEEKNUM(Продажи!$M341,2)</f>
        <v>34</v>
      </c>
      <c r="R341" s="28">
        <f>IF((Продажи!$E341="Зеленый чай")*(Продажи!$Q341&gt;=7)*(Продажи!$Q341&lt;=42),Продажи!$K341,0)</f>
        <v>0</v>
      </c>
      <c r="S341" s="28" t="b">
        <f t="shared" si="0"/>
        <v>0</v>
      </c>
    </row>
    <row r="342" spans="3:19" ht="15.75" customHeight="1" x14ac:dyDescent="0.2">
      <c r="C342" s="26">
        <v>12</v>
      </c>
      <c r="D342" s="21" t="s">
        <v>2453</v>
      </c>
      <c r="E342" s="21" t="s">
        <v>2454</v>
      </c>
      <c r="F342" s="21" t="s">
        <v>2455</v>
      </c>
      <c r="G342" s="21">
        <v>1386</v>
      </c>
      <c r="H342" s="21" t="s">
        <v>2440</v>
      </c>
      <c r="I342" s="21">
        <v>20</v>
      </c>
      <c r="J342" s="21">
        <v>27720</v>
      </c>
      <c r="K342" s="21">
        <v>0.03</v>
      </c>
      <c r="L342" s="21">
        <v>26888.400000000001</v>
      </c>
      <c r="M342" s="24">
        <v>43952</v>
      </c>
      <c r="N342" s="21">
        <f>MONTH(Продажи!$M342)</f>
        <v>5</v>
      </c>
      <c r="O342" s="21">
        <f>WEEKDAY(Продажи!$M342,2)</f>
        <v>5</v>
      </c>
      <c r="P342" s="21">
        <f>YEAR(Продажи!$M342)</f>
        <v>2020</v>
      </c>
      <c r="Q342" s="28">
        <f>WEEKNUM(Продажи!$M342,2)</f>
        <v>18</v>
      </c>
      <c r="R342" s="28">
        <f>IF((Продажи!$E342="Зеленый чай")*(Продажи!$Q342&gt;=7)*(Продажи!$Q342&lt;=42),Продажи!$K342,0)</f>
        <v>0</v>
      </c>
      <c r="S342" s="28" t="b">
        <f t="shared" si="0"/>
        <v>0</v>
      </c>
    </row>
    <row r="343" spans="3:19" ht="15.75" customHeight="1" x14ac:dyDescent="0.2">
      <c r="C343" s="26">
        <v>38</v>
      </c>
      <c r="D343" s="21" t="s">
        <v>2483</v>
      </c>
      <c r="E343" s="21" t="s">
        <v>2446</v>
      </c>
      <c r="F343" s="21" t="s">
        <v>2484</v>
      </c>
      <c r="G343" s="21">
        <v>1182</v>
      </c>
      <c r="H343" s="21" t="s">
        <v>2440</v>
      </c>
      <c r="I343" s="21">
        <v>17</v>
      </c>
      <c r="J343" s="21">
        <v>20094</v>
      </c>
      <c r="K343" s="21">
        <v>0.03</v>
      </c>
      <c r="L343" s="21">
        <v>19491.18</v>
      </c>
      <c r="M343" s="24">
        <v>43596</v>
      </c>
      <c r="N343" s="21">
        <f>MONTH(Продажи!$M343)</f>
        <v>5</v>
      </c>
      <c r="O343" s="21">
        <f>WEEKDAY(Продажи!$M343,2)</f>
        <v>6</v>
      </c>
      <c r="P343" s="21">
        <f>YEAR(Продажи!$M343)</f>
        <v>2019</v>
      </c>
      <c r="Q343" s="28">
        <f>WEEKNUM(Продажи!$M343,2)</f>
        <v>19</v>
      </c>
      <c r="R343" s="28">
        <f>IF((Продажи!$E343="Зеленый чай")*(Продажи!$Q343&gt;=7)*(Продажи!$Q343&lt;=42),Продажи!$K343,0)</f>
        <v>0</v>
      </c>
      <c r="S343" s="28" t="b">
        <f t="shared" si="0"/>
        <v>0</v>
      </c>
    </row>
    <row r="344" spans="3:19" ht="15.75" customHeight="1" x14ac:dyDescent="0.2">
      <c r="C344" s="26">
        <v>56</v>
      </c>
      <c r="D344" s="21" t="s">
        <v>2451</v>
      </c>
      <c r="E344" s="21" t="s">
        <v>2438</v>
      </c>
      <c r="F344" s="21" t="s">
        <v>2452</v>
      </c>
      <c r="G344" s="21">
        <v>800</v>
      </c>
      <c r="H344" s="21" t="s">
        <v>2440</v>
      </c>
      <c r="I344" s="21">
        <v>40</v>
      </c>
      <c r="J344" s="21">
        <v>32000</v>
      </c>
      <c r="K344" s="21">
        <v>0.03</v>
      </c>
      <c r="L344" s="21">
        <v>31040</v>
      </c>
      <c r="M344" s="24">
        <v>42751</v>
      </c>
      <c r="N344" s="21">
        <f>MONTH(Продажи!$M344)</f>
        <v>1</v>
      </c>
      <c r="O344" s="21">
        <f>WEEKDAY(Продажи!$M344,2)</f>
        <v>1</v>
      </c>
      <c r="P344" s="21">
        <f>YEAR(Продажи!$M344)</f>
        <v>2017</v>
      </c>
      <c r="Q344" s="28">
        <f>WEEKNUM(Продажи!$M344,2)</f>
        <v>4</v>
      </c>
      <c r="R344" s="28">
        <f>IF((Продажи!$E344="Зеленый чай")*(Продажи!$Q344&gt;=7)*(Продажи!$Q344&lt;=42),Продажи!$K344,0)</f>
        <v>0</v>
      </c>
      <c r="S344" s="28" t="b">
        <f t="shared" si="0"/>
        <v>0</v>
      </c>
    </row>
    <row r="345" spans="3:19" ht="15.75" customHeight="1" x14ac:dyDescent="0.2">
      <c r="C345" s="26">
        <v>9</v>
      </c>
      <c r="D345" s="21" t="s">
        <v>2447</v>
      </c>
      <c r="E345" s="21" t="s">
        <v>2448</v>
      </c>
      <c r="F345" s="21" t="s">
        <v>2448</v>
      </c>
      <c r="G345" s="21">
        <v>699</v>
      </c>
      <c r="H345" s="21" t="s">
        <v>2444</v>
      </c>
      <c r="I345" s="21">
        <v>10</v>
      </c>
      <c r="J345" s="21">
        <v>6990</v>
      </c>
      <c r="K345" s="21">
        <v>0</v>
      </c>
      <c r="L345" s="21">
        <v>6990</v>
      </c>
      <c r="M345" s="24">
        <v>42085</v>
      </c>
      <c r="N345" s="21">
        <f>MONTH(Продажи!$M345)</f>
        <v>3</v>
      </c>
      <c r="O345" s="21">
        <f>WEEKDAY(Продажи!$M345,2)</f>
        <v>7</v>
      </c>
      <c r="P345" s="21">
        <f>YEAR(Продажи!$M345)</f>
        <v>2015</v>
      </c>
      <c r="Q345" s="28">
        <f>WEEKNUM(Продажи!$M345,2)</f>
        <v>12</v>
      </c>
      <c r="R345" s="28">
        <f>IF((Продажи!$E345="Зеленый чай")*(Продажи!$Q345&gt;=7)*(Продажи!$Q345&lt;=42),Продажи!$K345,0)</f>
        <v>0</v>
      </c>
      <c r="S345" s="28">
        <f t="shared" si="0"/>
        <v>6990</v>
      </c>
    </row>
    <row r="346" spans="3:19" ht="15.75" customHeight="1" x14ac:dyDescent="0.2">
      <c r="C346" s="26">
        <v>32</v>
      </c>
      <c r="D346" s="21" t="s">
        <v>2496</v>
      </c>
      <c r="E346" s="21" t="s">
        <v>2446</v>
      </c>
      <c r="F346" s="21" t="s">
        <v>2466</v>
      </c>
      <c r="G346" s="21">
        <v>967</v>
      </c>
      <c r="H346" s="21" t="s">
        <v>2444</v>
      </c>
      <c r="I346" s="21">
        <v>8</v>
      </c>
      <c r="J346" s="21">
        <v>7736</v>
      </c>
      <c r="K346" s="21">
        <v>0</v>
      </c>
      <c r="L346" s="21">
        <v>7736</v>
      </c>
      <c r="M346" s="24">
        <v>43035</v>
      </c>
      <c r="N346" s="21">
        <f>MONTH(Продажи!$M346)</f>
        <v>10</v>
      </c>
      <c r="O346" s="21">
        <f>WEEKDAY(Продажи!$M346,2)</f>
        <v>5</v>
      </c>
      <c r="P346" s="21">
        <f>YEAR(Продажи!$M346)</f>
        <v>2017</v>
      </c>
      <c r="Q346" s="28">
        <f>WEEKNUM(Продажи!$M346,2)</f>
        <v>44</v>
      </c>
      <c r="R346" s="28">
        <f>IF((Продажи!$E346="Зеленый чай")*(Продажи!$Q346&gt;=7)*(Продажи!$Q346&lt;=42),Продажи!$K346,0)</f>
        <v>0</v>
      </c>
      <c r="S346" s="28">
        <f t="shared" si="0"/>
        <v>7736</v>
      </c>
    </row>
    <row r="347" spans="3:19" ht="15.75" customHeight="1" x14ac:dyDescent="0.2">
      <c r="C347" s="26">
        <v>15</v>
      </c>
      <c r="D347" s="21" t="s">
        <v>2512</v>
      </c>
      <c r="E347" s="21" t="s">
        <v>2462</v>
      </c>
      <c r="F347" s="21" t="s">
        <v>2513</v>
      </c>
      <c r="G347" s="21">
        <v>1994</v>
      </c>
      <c r="H347" s="21" t="s">
        <v>2444</v>
      </c>
      <c r="I347" s="21">
        <v>17</v>
      </c>
      <c r="J347" s="21">
        <v>33898</v>
      </c>
      <c r="K347" s="21">
        <v>0.06</v>
      </c>
      <c r="L347" s="21">
        <v>31864.12</v>
      </c>
      <c r="M347" s="24">
        <v>43942</v>
      </c>
      <c r="N347" s="21">
        <f>MONTH(Продажи!$M347)</f>
        <v>4</v>
      </c>
      <c r="O347" s="21">
        <f>WEEKDAY(Продажи!$M347,2)</f>
        <v>2</v>
      </c>
      <c r="P347" s="21">
        <f>YEAR(Продажи!$M347)</f>
        <v>2020</v>
      </c>
      <c r="Q347" s="28">
        <f>WEEKNUM(Продажи!$M347,2)</f>
        <v>17</v>
      </c>
      <c r="R347" s="28">
        <f>IF((Продажи!$E347="Зеленый чай")*(Продажи!$Q347&gt;=7)*(Продажи!$Q347&lt;=42),Продажи!$K347,0)</f>
        <v>0</v>
      </c>
      <c r="S347" s="28">
        <f t="shared" si="0"/>
        <v>31864.12</v>
      </c>
    </row>
    <row r="348" spans="3:19" ht="15.75" customHeight="1" x14ac:dyDescent="0.2">
      <c r="C348" s="26">
        <v>4</v>
      </c>
      <c r="D348" s="21" t="s">
        <v>2449</v>
      </c>
      <c r="E348" s="21" t="s">
        <v>2448</v>
      </c>
      <c r="F348" s="21" t="s">
        <v>2485</v>
      </c>
      <c r="G348" s="21">
        <v>2211</v>
      </c>
      <c r="H348" s="21" t="s">
        <v>2444</v>
      </c>
      <c r="I348" s="21">
        <v>25</v>
      </c>
      <c r="J348" s="21">
        <v>55275</v>
      </c>
      <c r="K348" s="21">
        <v>0.09</v>
      </c>
      <c r="L348" s="21">
        <v>50300.25</v>
      </c>
      <c r="M348" s="24">
        <v>42926</v>
      </c>
      <c r="N348" s="21">
        <f>MONTH(Продажи!$M348)</f>
        <v>7</v>
      </c>
      <c r="O348" s="21">
        <f>WEEKDAY(Продажи!$M348,2)</f>
        <v>1</v>
      </c>
      <c r="P348" s="21">
        <f>YEAR(Продажи!$M348)</f>
        <v>2017</v>
      </c>
      <c r="Q348" s="28">
        <f>WEEKNUM(Продажи!$M348,2)</f>
        <v>29</v>
      </c>
      <c r="R348" s="28">
        <f>IF((Продажи!$E348="Зеленый чай")*(Продажи!$Q348&gt;=7)*(Продажи!$Q348&lt;=42),Продажи!$K348,0)</f>
        <v>0</v>
      </c>
      <c r="S348" s="28" t="b">
        <f t="shared" si="0"/>
        <v>0</v>
      </c>
    </row>
    <row r="349" spans="3:19" ht="15.75" customHeight="1" x14ac:dyDescent="0.2">
      <c r="C349" s="26">
        <v>32</v>
      </c>
      <c r="D349" s="21" t="s">
        <v>2496</v>
      </c>
      <c r="E349" s="21" t="s">
        <v>2446</v>
      </c>
      <c r="F349" s="21" t="s">
        <v>2466</v>
      </c>
      <c r="G349" s="21">
        <v>967</v>
      </c>
      <c r="H349" s="21" t="s">
        <v>2444</v>
      </c>
      <c r="I349" s="21">
        <v>8</v>
      </c>
      <c r="J349" s="21">
        <v>7736</v>
      </c>
      <c r="K349" s="21">
        <v>0</v>
      </c>
      <c r="L349" s="21">
        <v>7736</v>
      </c>
      <c r="M349" s="24">
        <v>42494</v>
      </c>
      <c r="N349" s="21">
        <f>MONTH(Продажи!$M349)</f>
        <v>5</v>
      </c>
      <c r="O349" s="21">
        <f>WEEKDAY(Продажи!$M349,2)</f>
        <v>3</v>
      </c>
      <c r="P349" s="21">
        <f>YEAR(Продажи!$M349)</f>
        <v>2016</v>
      </c>
      <c r="Q349" s="28">
        <f>WEEKNUM(Продажи!$M349,2)</f>
        <v>19</v>
      </c>
      <c r="R349" s="28">
        <f>IF((Продажи!$E349="Зеленый чай")*(Продажи!$Q349&gt;=7)*(Продажи!$Q349&lt;=42),Продажи!$K349,0)</f>
        <v>0</v>
      </c>
      <c r="S349" s="28" t="b">
        <f t="shared" si="0"/>
        <v>0</v>
      </c>
    </row>
    <row r="350" spans="3:19" ht="15.75" customHeight="1" x14ac:dyDescent="0.2">
      <c r="C350" s="26">
        <v>37</v>
      </c>
      <c r="D350" s="21" t="s">
        <v>2449</v>
      </c>
      <c r="E350" s="21" t="s">
        <v>2448</v>
      </c>
      <c r="F350" s="21" t="s">
        <v>2450</v>
      </c>
      <c r="G350" s="21">
        <v>2211</v>
      </c>
      <c r="H350" s="21" t="s">
        <v>2444</v>
      </c>
      <c r="I350" s="21">
        <v>25</v>
      </c>
      <c r="J350" s="21">
        <v>55275</v>
      </c>
      <c r="K350" s="21">
        <v>0.09</v>
      </c>
      <c r="L350" s="21">
        <v>50300.25</v>
      </c>
      <c r="M350" s="24">
        <v>43634</v>
      </c>
      <c r="N350" s="21">
        <f>MONTH(Продажи!$M350)</f>
        <v>6</v>
      </c>
      <c r="O350" s="21">
        <f>WEEKDAY(Продажи!$M350,2)</f>
        <v>2</v>
      </c>
      <c r="P350" s="21">
        <f>YEAR(Продажи!$M350)</f>
        <v>2019</v>
      </c>
      <c r="Q350" s="28">
        <f>WEEKNUM(Продажи!$M350,2)</f>
        <v>25</v>
      </c>
      <c r="R350" s="28">
        <f>IF((Продажи!$E350="Зеленый чай")*(Продажи!$Q350&gt;=7)*(Продажи!$Q350&lt;=42),Продажи!$K350,0)</f>
        <v>0</v>
      </c>
      <c r="S350" s="28" t="b">
        <f t="shared" si="0"/>
        <v>0</v>
      </c>
    </row>
    <row r="351" spans="3:19" ht="15.75" customHeight="1" x14ac:dyDescent="0.2">
      <c r="C351" s="26">
        <v>12</v>
      </c>
      <c r="D351" s="21" t="s">
        <v>2453</v>
      </c>
      <c r="E351" s="21" t="s">
        <v>2454</v>
      </c>
      <c r="F351" s="21" t="s">
        <v>2455</v>
      </c>
      <c r="G351" s="21">
        <v>1386</v>
      </c>
      <c r="H351" s="21" t="s">
        <v>2440</v>
      </c>
      <c r="I351" s="21">
        <v>20</v>
      </c>
      <c r="J351" s="21">
        <v>27720</v>
      </c>
      <c r="K351" s="21">
        <v>0.03</v>
      </c>
      <c r="L351" s="21">
        <v>26888.400000000001</v>
      </c>
      <c r="M351" s="24">
        <v>43385</v>
      </c>
      <c r="N351" s="21">
        <f>MONTH(Продажи!$M351)</f>
        <v>10</v>
      </c>
      <c r="O351" s="21">
        <f>WEEKDAY(Продажи!$M351,2)</f>
        <v>5</v>
      </c>
      <c r="P351" s="21">
        <f>YEAR(Продажи!$M351)</f>
        <v>2018</v>
      </c>
      <c r="Q351" s="28">
        <f>WEEKNUM(Продажи!$M351,2)</f>
        <v>41</v>
      </c>
      <c r="R351" s="28">
        <f>IF((Продажи!$E351="Зеленый чай")*(Продажи!$Q351&gt;=7)*(Продажи!$Q351&lt;=42),Продажи!$K351,0)</f>
        <v>0</v>
      </c>
      <c r="S351" s="28" t="b">
        <f t="shared" si="0"/>
        <v>0</v>
      </c>
    </row>
    <row r="352" spans="3:19" ht="15.75" customHeight="1" x14ac:dyDescent="0.2">
      <c r="C352" s="26">
        <v>27</v>
      </c>
      <c r="D352" s="21" t="s">
        <v>2499</v>
      </c>
      <c r="E352" s="21" t="s">
        <v>2462</v>
      </c>
      <c r="F352" s="21" t="s">
        <v>2463</v>
      </c>
      <c r="G352" s="21">
        <v>1994</v>
      </c>
      <c r="H352" s="21" t="s">
        <v>2444</v>
      </c>
      <c r="I352" s="21">
        <v>25</v>
      </c>
      <c r="J352" s="21">
        <v>49850</v>
      </c>
      <c r="K352" s="21">
        <v>0.06</v>
      </c>
      <c r="L352" s="21">
        <v>46859</v>
      </c>
      <c r="M352" s="24">
        <v>44150</v>
      </c>
      <c r="N352" s="21">
        <f>MONTH(Продажи!$M352)</f>
        <v>11</v>
      </c>
      <c r="O352" s="21">
        <f>WEEKDAY(Продажи!$M352,2)</f>
        <v>7</v>
      </c>
      <c r="P352" s="21">
        <f>YEAR(Продажи!$M352)</f>
        <v>2020</v>
      </c>
      <c r="Q352" s="28">
        <f>WEEKNUM(Продажи!$M352,2)</f>
        <v>46</v>
      </c>
      <c r="R352" s="28">
        <f>IF((Продажи!$E352="Зеленый чай")*(Продажи!$Q352&gt;=7)*(Продажи!$Q352&lt;=42),Продажи!$K352,0)</f>
        <v>0</v>
      </c>
      <c r="S352" s="28" t="b">
        <f t="shared" si="0"/>
        <v>0</v>
      </c>
    </row>
    <row r="353" spans="3:19" ht="15.75" customHeight="1" x14ac:dyDescent="0.2">
      <c r="C353" s="26">
        <v>4</v>
      </c>
      <c r="D353" s="21" t="s">
        <v>2449</v>
      </c>
      <c r="E353" s="21" t="s">
        <v>2448</v>
      </c>
      <c r="F353" s="21" t="s">
        <v>2485</v>
      </c>
      <c r="G353" s="21">
        <v>2211</v>
      </c>
      <c r="H353" s="21" t="s">
        <v>2444</v>
      </c>
      <c r="I353" s="21">
        <v>25</v>
      </c>
      <c r="J353" s="21">
        <v>55275</v>
      </c>
      <c r="K353" s="21">
        <v>0.09</v>
      </c>
      <c r="L353" s="21">
        <v>50300.25</v>
      </c>
      <c r="M353" s="24">
        <v>43097</v>
      </c>
      <c r="N353" s="21">
        <f>MONTH(Продажи!$M353)</f>
        <v>12</v>
      </c>
      <c r="O353" s="21">
        <f>WEEKDAY(Продажи!$M353,2)</f>
        <v>4</v>
      </c>
      <c r="P353" s="21">
        <f>YEAR(Продажи!$M353)</f>
        <v>2017</v>
      </c>
      <c r="Q353" s="28">
        <f>WEEKNUM(Продажи!$M353,2)</f>
        <v>53</v>
      </c>
      <c r="R353" s="28">
        <f>IF((Продажи!$E353="Зеленый чай")*(Продажи!$Q353&gt;=7)*(Продажи!$Q353&lt;=42),Продажи!$K353,0)</f>
        <v>0</v>
      </c>
      <c r="S353" s="28">
        <f t="shared" si="0"/>
        <v>50300.25</v>
      </c>
    </row>
    <row r="354" spans="3:19" ht="15.75" customHeight="1" x14ac:dyDescent="0.2">
      <c r="C354" s="26">
        <v>16</v>
      </c>
      <c r="D354" s="21" t="s">
        <v>2504</v>
      </c>
      <c r="E354" s="21" t="s">
        <v>2505</v>
      </c>
      <c r="F354" s="21" t="s">
        <v>2506</v>
      </c>
      <c r="G354" s="21">
        <v>843</v>
      </c>
      <c r="H354" s="21" t="s">
        <v>2444</v>
      </c>
      <c r="I354" s="21">
        <v>5</v>
      </c>
      <c r="J354" s="21">
        <v>4215</v>
      </c>
      <c r="K354" s="21">
        <v>0</v>
      </c>
      <c r="L354" s="21">
        <v>4215</v>
      </c>
      <c r="M354" s="24">
        <v>43931</v>
      </c>
      <c r="N354" s="21">
        <f>MONTH(Продажи!$M354)</f>
        <v>4</v>
      </c>
      <c r="O354" s="21">
        <f>WEEKDAY(Продажи!$M354,2)</f>
        <v>5</v>
      </c>
      <c r="P354" s="21">
        <f>YEAR(Продажи!$M354)</f>
        <v>2020</v>
      </c>
      <c r="Q354" s="28">
        <f>WEEKNUM(Продажи!$M354,2)</f>
        <v>15</v>
      </c>
      <c r="R354" s="28">
        <f>IF((Продажи!$E354="Зеленый чай")*(Продажи!$Q354&gt;=7)*(Продажи!$Q354&lt;=42),Продажи!$K354,0)</f>
        <v>0</v>
      </c>
      <c r="S354" s="28" t="b">
        <f t="shared" si="0"/>
        <v>0</v>
      </c>
    </row>
    <row r="355" spans="3:19" ht="15.75" customHeight="1" x14ac:dyDescent="0.2">
      <c r="C355" s="26">
        <v>13</v>
      </c>
      <c r="D355" s="21" t="s">
        <v>2507</v>
      </c>
      <c r="E355" s="21" t="s">
        <v>2446</v>
      </c>
      <c r="F355" s="21" t="s">
        <v>2493</v>
      </c>
      <c r="G355" s="21">
        <v>759</v>
      </c>
      <c r="H355" s="21" t="s">
        <v>2444</v>
      </c>
      <c r="I355" s="21">
        <v>14</v>
      </c>
      <c r="J355" s="21">
        <v>10626</v>
      </c>
      <c r="K355" s="21">
        <v>0</v>
      </c>
      <c r="L355" s="21">
        <v>10626</v>
      </c>
      <c r="M355" s="24">
        <v>43499</v>
      </c>
      <c r="N355" s="21">
        <f>MONTH(Продажи!$M355)</f>
        <v>2</v>
      </c>
      <c r="O355" s="21">
        <f>WEEKDAY(Продажи!$M355,2)</f>
        <v>7</v>
      </c>
      <c r="P355" s="21">
        <f>YEAR(Продажи!$M355)</f>
        <v>2019</v>
      </c>
      <c r="Q355" s="28">
        <f>WEEKNUM(Продажи!$M355,2)</f>
        <v>5</v>
      </c>
      <c r="R355" s="28">
        <f>IF((Продажи!$E355="Зеленый чай")*(Продажи!$Q355&gt;=7)*(Продажи!$Q355&lt;=42),Продажи!$K355,0)</f>
        <v>0</v>
      </c>
      <c r="S355" s="28" t="b">
        <f t="shared" si="0"/>
        <v>0</v>
      </c>
    </row>
    <row r="356" spans="3:19" ht="15.75" customHeight="1" x14ac:dyDescent="0.2">
      <c r="C356" s="26">
        <v>40</v>
      </c>
      <c r="D356" s="21" t="s">
        <v>2477</v>
      </c>
      <c r="E356" s="21" t="s">
        <v>2454</v>
      </c>
      <c r="F356" s="21" t="s">
        <v>2478</v>
      </c>
      <c r="G356" s="21">
        <v>847</v>
      </c>
      <c r="H356" s="21" t="s">
        <v>2440</v>
      </c>
      <c r="I356" s="21">
        <v>15</v>
      </c>
      <c r="J356" s="21">
        <v>12705</v>
      </c>
      <c r="K356" s="21">
        <v>0</v>
      </c>
      <c r="L356" s="21">
        <v>12705</v>
      </c>
      <c r="M356" s="24">
        <v>43913</v>
      </c>
      <c r="N356" s="21">
        <f>MONTH(Продажи!$M356)</f>
        <v>3</v>
      </c>
      <c r="O356" s="21">
        <f>WEEKDAY(Продажи!$M356,2)</f>
        <v>1</v>
      </c>
      <c r="P356" s="21">
        <f>YEAR(Продажи!$M356)</f>
        <v>2020</v>
      </c>
      <c r="Q356" s="28">
        <f>WEEKNUM(Продажи!$M356,2)</f>
        <v>13</v>
      </c>
      <c r="R356" s="28">
        <f>IF((Продажи!$E356="Зеленый чай")*(Продажи!$Q356&gt;=7)*(Продажи!$Q356&lt;=42),Продажи!$K356,0)</f>
        <v>0</v>
      </c>
      <c r="S356" s="28">
        <f t="shared" si="0"/>
        <v>12705</v>
      </c>
    </row>
    <row r="357" spans="3:19" ht="15.75" customHeight="1" x14ac:dyDescent="0.2">
      <c r="C357" s="26">
        <v>50</v>
      </c>
      <c r="D357" s="21" t="s">
        <v>2481</v>
      </c>
      <c r="E357" s="21" t="s">
        <v>2454</v>
      </c>
      <c r="F357" s="21" t="s">
        <v>2482</v>
      </c>
      <c r="G357" s="21">
        <v>912</v>
      </c>
      <c r="H357" s="21" t="s">
        <v>2440</v>
      </c>
      <c r="I357" s="21">
        <v>20</v>
      </c>
      <c r="J357" s="21">
        <v>18240</v>
      </c>
      <c r="K357" s="21">
        <v>0</v>
      </c>
      <c r="L357" s="21">
        <v>18240</v>
      </c>
      <c r="M357" s="24">
        <v>43994</v>
      </c>
      <c r="N357" s="21">
        <f>MONTH(Продажи!$M357)</f>
        <v>6</v>
      </c>
      <c r="O357" s="21">
        <f>WEEKDAY(Продажи!$M357,2)</f>
        <v>5</v>
      </c>
      <c r="P357" s="21">
        <f>YEAR(Продажи!$M357)</f>
        <v>2020</v>
      </c>
      <c r="Q357" s="28">
        <f>WEEKNUM(Продажи!$M357,2)</f>
        <v>24</v>
      </c>
      <c r="R357" s="28">
        <f>IF((Продажи!$E357="Зеленый чай")*(Продажи!$Q357&gt;=7)*(Продажи!$Q357&lt;=42),Продажи!$K357,0)</f>
        <v>0</v>
      </c>
      <c r="S357" s="28" t="b">
        <f t="shared" si="0"/>
        <v>0</v>
      </c>
    </row>
    <row r="358" spans="3:19" ht="15.75" customHeight="1" x14ac:dyDescent="0.2">
      <c r="C358" s="26">
        <v>49</v>
      </c>
      <c r="D358" s="21" t="s">
        <v>2441</v>
      </c>
      <c r="E358" s="21" t="s">
        <v>2442</v>
      </c>
      <c r="F358" s="21" t="s">
        <v>2443</v>
      </c>
      <c r="G358" s="21">
        <v>617</v>
      </c>
      <c r="H358" s="21" t="s">
        <v>2444</v>
      </c>
      <c r="I358" s="21">
        <v>25</v>
      </c>
      <c r="J358" s="21">
        <v>15425</v>
      </c>
      <c r="K358" s="21">
        <v>0</v>
      </c>
      <c r="L358" s="21">
        <v>15425</v>
      </c>
      <c r="M358" s="24">
        <v>42686</v>
      </c>
      <c r="N358" s="21">
        <f>MONTH(Продажи!$M358)</f>
        <v>11</v>
      </c>
      <c r="O358" s="21">
        <f>WEEKDAY(Продажи!$M358,2)</f>
        <v>6</v>
      </c>
      <c r="P358" s="21">
        <f>YEAR(Продажи!$M358)</f>
        <v>2016</v>
      </c>
      <c r="Q358" s="28">
        <f>WEEKNUM(Продажи!$M358,2)</f>
        <v>46</v>
      </c>
      <c r="R358" s="28">
        <f>IF((Продажи!$E358="Зеленый чай")*(Продажи!$Q358&gt;=7)*(Продажи!$Q358&lt;=42),Продажи!$K358,0)</f>
        <v>0</v>
      </c>
      <c r="S358" s="28" t="b">
        <f t="shared" si="0"/>
        <v>0</v>
      </c>
    </row>
    <row r="359" spans="3:19" ht="15.75" customHeight="1" x14ac:dyDescent="0.2">
      <c r="C359" s="26">
        <v>49</v>
      </c>
      <c r="D359" s="21" t="s">
        <v>2441</v>
      </c>
      <c r="E359" s="21" t="s">
        <v>2442</v>
      </c>
      <c r="F359" s="21" t="s">
        <v>2443</v>
      </c>
      <c r="G359" s="21">
        <v>617</v>
      </c>
      <c r="H359" s="21" t="s">
        <v>2444</v>
      </c>
      <c r="I359" s="21">
        <v>25</v>
      </c>
      <c r="J359" s="21">
        <v>15425</v>
      </c>
      <c r="K359" s="21">
        <v>0</v>
      </c>
      <c r="L359" s="21">
        <v>15425</v>
      </c>
      <c r="M359" s="24">
        <v>43238</v>
      </c>
      <c r="N359" s="21">
        <f>MONTH(Продажи!$M359)</f>
        <v>5</v>
      </c>
      <c r="O359" s="21">
        <f>WEEKDAY(Продажи!$M359,2)</f>
        <v>5</v>
      </c>
      <c r="P359" s="21">
        <f>YEAR(Продажи!$M359)</f>
        <v>2018</v>
      </c>
      <c r="Q359" s="28">
        <f>WEEKNUM(Продажи!$M359,2)</f>
        <v>20</v>
      </c>
      <c r="R359" s="28">
        <f>IF((Продажи!$E359="Зеленый чай")*(Продажи!$Q359&gt;=7)*(Продажи!$Q359&lt;=42),Продажи!$K359,0)</f>
        <v>0</v>
      </c>
      <c r="S359" s="28" t="b">
        <f t="shared" si="0"/>
        <v>0</v>
      </c>
    </row>
    <row r="360" spans="3:19" ht="15.75" customHeight="1" x14ac:dyDescent="0.2">
      <c r="C360" s="26">
        <v>16</v>
      </c>
      <c r="D360" s="21" t="s">
        <v>2504</v>
      </c>
      <c r="E360" s="21" t="s">
        <v>2505</v>
      </c>
      <c r="F360" s="21" t="s">
        <v>2506</v>
      </c>
      <c r="G360" s="21">
        <v>843</v>
      </c>
      <c r="H360" s="21" t="s">
        <v>2444</v>
      </c>
      <c r="I360" s="21">
        <v>5</v>
      </c>
      <c r="J360" s="21">
        <v>4215</v>
      </c>
      <c r="K360" s="21">
        <v>0</v>
      </c>
      <c r="L360" s="21">
        <v>4215</v>
      </c>
      <c r="M360" s="24">
        <v>43133</v>
      </c>
      <c r="N360" s="21">
        <f>MONTH(Продажи!$M360)</f>
        <v>2</v>
      </c>
      <c r="O360" s="21">
        <f>WEEKDAY(Продажи!$M360,2)</f>
        <v>5</v>
      </c>
      <c r="P360" s="21">
        <f>YEAR(Продажи!$M360)</f>
        <v>2018</v>
      </c>
      <c r="Q360" s="28">
        <f>WEEKNUM(Продажи!$M360,2)</f>
        <v>5</v>
      </c>
      <c r="R360" s="28">
        <f>IF((Продажи!$E360="Зеленый чай")*(Продажи!$Q360&gt;=7)*(Продажи!$Q360&lt;=42),Продажи!$K360,0)</f>
        <v>0</v>
      </c>
      <c r="S360" s="28" t="b">
        <f t="shared" si="0"/>
        <v>0</v>
      </c>
    </row>
    <row r="361" spans="3:19" ht="15.75" customHeight="1" x14ac:dyDescent="0.2">
      <c r="C361" s="26">
        <v>6</v>
      </c>
      <c r="D361" s="21" t="s">
        <v>2502</v>
      </c>
      <c r="E361" s="21" t="s">
        <v>2446</v>
      </c>
      <c r="F361" s="21" t="s">
        <v>2503</v>
      </c>
      <c r="G361" s="21">
        <v>3197</v>
      </c>
      <c r="H361" s="21" t="s">
        <v>2444</v>
      </c>
      <c r="I361" s="21">
        <v>6</v>
      </c>
      <c r="J361" s="21">
        <v>19182</v>
      </c>
      <c r="K361" s="21">
        <v>0.03</v>
      </c>
      <c r="L361" s="21">
        <v>18606.54</v>
      </c>
      <c r="M361" s="24">
        <v>43029</v>
      </c>
      <c r="N361" s="21">
        <f>MONTH(Продажи!$M361)</f>
        <v>10</v>
      </c>
      <c r="O361" s="21">
        <f>WEEKDAY(Продажи!$M361,2)</f>
        <v>6</v>
      </c>
      <c r="P361" s="21">
        <f>YEAR(Продажи!$M361)</f>
        <v>2017</v>
      </c>
      <c r="Q361" s="28">
        <f>WEEKNUM(Продажи!$M361,2)</f>
        <v>43</v>
      </c>
      <c r="R361" s="28">
        <f>IF((Продажи!$E361="Зеленый чай")*(Продажи!$Q361&gt;=7)*(Продажи!$Q361&lt;=42),Продажи!$K361,0)</f>
        <v>0</v>
      </c>
      <c r="S361" s="28">
        <f t="shared" si="0"/>
        <v>18606.54</v>
      </c>
    </row>
    <row r="362" spans="3:19" ht="15.75" customHeight="1" x14ac:dyDescent="0.2">
      <c r="C362" s="26">
        <v>10</v>
      </c>
      <c r="D362" s="21" t="s">
        <v>2451</v>
      </c>
      <c r="E362" s="21" t="s">
        <v>2438</v>
      </c>
      <c r="F362" s="21" t="s">
        <v>2452</v>
      </c>
      <c r="G362" s="21">
        <v>800</v>
      </c>
      <c r="H362" s="21" t="s">
        <v>2440</v>
      </c>
      <c r="I362" s="21">
        <v>25</v>
      </c>
      <c r="J362" s="21">
        <v>20000</v>
      </c>
      <c r="K362" s="21">
        <v>0.03</v>
      </c>
      <c r="L362" s="21">
        <v>19400</v>
      </c>
      <c r="M362" s="24">
        <v>42110</v>
      </c>
      <c r="N362" s="21">
        <f>MONTH(Продажи!$M362)</f>
        <v>4</v>
      </c>
      <c r="O362" s="21">
        <f>WEEKDAY(Продажи!$M362,2)</f>
        <v>4</v>
      </c>
      <c r="P362" s="21">
        <f>YEAR(Продажи!$M362)</f>
        <v>2015</v>
      </c>
      <c r="Q362" s="28">
        <f>WEEKNUM(Продажи!$M362,2)</f>
        <v>16</v>
      </c>
      <c r="R362" s="28">
        <f>IF((Продажи!$E362="Зеленый чай")*(Продажи!$Q362&gt;=7)*(Продажи!$Q362&lt;=42),Продажи!$K362,0)</f>
        <v>0.03</v>
      </c>
      <c r="S362" s="28" t="b">
        <f t="shared" si="0"/>
        <v>0</v>
      </c>
    </row>
    <row r="363" spans="3:19" ht="15.75" customHeight="1" x14ac:dyDescent="0.2">
      <c r="C363" s="26">
        <v>30</v>
      </c>
      <c r="D363" s="21" t="s">
        <v>2486</v>
      </c>
      <c r="E363" s="21" t="s">
        <v>2476</v>
      </c>
      <c r="F363" s="21" t="s">
        <v>2487</v>
      </c>
      <c r="G363" s="21">
        <v>1730</v>
      </c>
      <c r="H363" s="21" t="s">
        <v>2440</v>
      </c>
      <c r="I363" s="21">
        <v>5</v>
      </c>
      <c r="J363" s="21">
        <v>8650</v>
      </c>
      <c r="K363" s="21">
        <v>0</v>
      </c>
      <c r="L363" s="21">
        <v>8650</v>
      </c>
      <c r="M363" s="24">
        <v>42447</v>
      </c>
      <c r="N363" s="21">
        <f>MONTH(Продажи!$M363)</f>
        <v>3</v>
      </c>
      <c r="O363" s="21">
        <f>WEEKDAY(Продажи!$M363,2)</f>
        <v>5</v>
      </c>
      <c r="P363" s="21">
        <f>YEAR(Продажи!$M363)</f>
        <v>2016</v>
      </c>
      <c r="Q363" s="28">
        <f>WEEKNUM(Продажи!$M363,2)</f>
        <v>12</v>
      </c>
      <c r="R363" s="28">
        <f>IF((Продажи!$E363="Зеленый чай")*(Продажи!$Q363&gt;=7)*(Продажи!$Q363&lt;=42),Продажи!$K363,0)</f>
        <v>0</v>
      </c>
      <c r="S363" s="28" t="b">
        <f t="shared" si="0"/>
        <v>0</v>
      </c>
    </row>
    <row r="364" spans="3:19" ht="15.75" customHeight="1" x14ac:dyDescent="0.2">
      <c r="C364" s="26">
        <v>41</v>
      </c>
      <c r="D364" s="21" t="s">
        <v>2447</v>
      </c>
      <c r="E364" s="21" t="s">
        <v>2448</v>
      </c>
      <c r="F364" s="21" t="s">
        <v>2448</v>
      </c>
      <c r="G364" s="21">
        <v>699</v>
      </c>
      <c r="H364" s="21" t="s">
        <v>2444</v>
      </c>
      <c r="I364" s="21">
        <v>10</v>
      </c>
      <c r="J364" s="21">
        <v>6990</v>
      </c>
      <c r="K364" s="21">
        <v>0</v>
      </c>
      <c r="L364" s="21">
        <v>6990</v>
      </c>
      <c r="M364" s="24">
        <v>42597</v>
      </c>
      <c r="N364" s="21">
        <f>MONTH(Продажи!$M364)</f>
        <v>8</v>
      </c>
      <c r="O364" s="21">
        <f>WEEKDAY(Продажи!$M364,2)</f>
        <v>1</v>
      </c>
      <c r="P364" s="21">
        <f>YEAR(Продажи!$M364)</f>
        <v>2016</v>
      </c>
      <c r="Q364" s="28">
        <f>WEEKNUM(Продажи!$M364,2)</f>
        <v>34</v>
      </c>
      <c r="R364" s="28">
        <f>IF((Продажи!$E364="Зеленый чай")*(Продажи!$Q364&gt;=7)*(Продажи!$Q364&lt;=42),Продажи!$K364,0)</f>
        <v>0</v>
      </c>
      <c r="S364" s="28" t="b">
        <f t="shared" si="0"/>
        <v>0</v>
      </c>
    </row>
    <row r="365" spans="3:19" ht="15.75" customHeight="1" x14ac:dyDescent="0.2">
      <c r="C365" s="26">
        <v>47</v>
      </c>
      <c r="D365" s="21" t="s">
        <v>2461</v>
      </c>
      <c r="E365" s="21" t="s">
        <v>2462</v>
      </c>
      <c r="F365" s="21" t="s">
        <v>2463</v>
      </c>
      <c r="G365" s="21">
        <v>1994</v>
      </c>
      <c r="H365" s="21" t="s">
        <v>2444</v>
      </c>
      <c r="I365" s="21">
        <v>12</v>
      </c>
      <c r="J365" s="21">
        <v>23928</v>
      </c>
      <c r="K365" s="21">
        <v>0.03</v>
      </c>
      <c r="L365" s="21">
        <v>23210.16</v>
      </c>
      <c r="M365" s="24">
        <v>44175</v>
      </c>
      <c r="N365" s="21">
        <f>MONTH(Продажи!$M365)</f>
        <v>12</v>
      </c>
      <c r="O365" s="21">
        <f>WEEKDAY(Продажи!$M365,2)</f>
        <v>4</v>
      </c>
      <c r="P365" s="21">
        <f>YEAR(Продажи!$M365)</f>
        <v>2020</v>
      </c>
      <c r="Q365" s="28">
        <f>WEEKNUM(Продажи!$M365,2)</f>
        <v>50</v>
      </c>
      <c r="R365" s="28">
        <f>IF((Продажи!$E365="Зеленый чай")*(Продажи!$Q365&gt;=7)*(Продажи!$Q365&lt;=42),Продажи!$K365,0)</f>
        <v>0</v>
      </c>
      <c r="S365" s="28" t="b">
        <f t="shared" si="0"/>
        <v>0</v>
      </c>
    </row>
    <row r="366" spans="3:19" ht="15.75" customHeight="1" x14ac:dyDescent="0.2">
      <c r="C366" s="26">
        <v>30</v>
      </c>
      <c r="D366" s="21" t="s">
        <v>2486</v>
      </c>
      <c r="E366" s="21" t="s">
        <v>2476</v>
      </c>
      <c r="F366" s="21" t="s">
        <v>2487</v>
      </c>
      <c r="G366" s="21">
        <v>1730</v>
      </c>
      <c r="H366" s="21" t="s">
        <v>2440</v>
      </c>
      <c r="I366" s="21">
        <v>5</v>
      </c>
      <c r="J366" s="21">
        <v>8650</v>
      </c>
      <c r="K366" s="21">
        <v>0</v>
      </c>
      <c r="L366" s="21">
        <v>8650</v>
      </c>
      <c r="M366" s="24">
        <v>43204</v>
      </c>
      <c r="N366" s="21">
        <f>MONTH(Продажи!$M366)</f>
        <v>4</v>
      </c>
      <c r="O366" s="21">
        <f>WEEKDAY(Продажи!$M366,2)</f>
        <v>6</v>
      </c>
      <c r="P366" s="21">
        <f>YEAR(Продажи!$M366)</f>
        <v>2018</v>
      </c>
      <c r="Q366" s="28">
        <f>WEEKNUM(Продажи!$M366,2)</f>
        <v>15</v>
      </c>
      <c r="R366" s="28">
        <f>IF((Продажи!$E366="Зеленый чай")*(Продажи!$Q366&gt;=7)*(Продажи!$Q366&lt;=42),Продажи!$K366,0)</f>
        <v>0</v>
      </c>
      <c r="S366" s="28" t="b">
        <f t="shared" si="0"/>
        <v>0</v>
      </c>
    </row>
    <row r="367" spans="3:19" ht="15.75" customHeight="1" x14ac:dyDescent="0.2">
      <c r="C367" s="26">
        <v>2</v>
      </c>
      <c r="D367" s="21" t="s">
        <v>2500</v>
      </c>
      <c r="E367" s="21" t="s">
        <v>2446</v>
      </c>
      <c r="F367" s="21" t="s">
        <v>2501</v>
      </c>
      <c r="G367" s="21">
        <v>1178</v>
      </c>
      <c r="H367" s="21" t="s">
        <v>2444</v>
      </c>
      <c r="I367" s="21">
        <v>10</v>
      </c>
      <c r="J367" s="21">
        <v>11780</v>
      </c>
      <c r="K367" s="21">
        <v>0</v>
      </c>
      <c r="L367" s="21">
        <v>11780</v>
      </c>
      <c r="M367" s="24">
        <v>43582</v>
      </c>
      <c r="N367" s="21">
        <f>MONTH(Продажи!$M367)</f>
        <v>4</v>
      </c>
      <c r="O367" s="21">
        <f>WEEKDAY(Продажи!$M367,2)</f>
        <v>6</v>
      </c>
      <c r="P367" s="21">
        <f>YEAR(Продажи!$M367)</f>
        <v>2019</v>
      </c>
      <c r="Q367" s="28">
        <f>WEEKNUM(Продажи!$M367,2)</f>
        <v>17</v>
      </c>
      <c r="R367" s="28">
        <f>IF((Продажи!$E367="Зеленый чай")*(Продажи!$Q367&gt;=7)*(Продажи!$Q367&lt;=42),Продажи!$K367,0)</f>
        <v>0</v>
      </c>
      <c r="S367" s="28">
        <f t="shared" si="0"/>
        <v>11780</v>
      </c>
    </row>
    <row r="368" spans="3:19" ht="15.75" customHeight="1" x14ac:dyDescent="0.2">
      <c r="C368" s="26">
        <v>54</v>
      </c>
      <c r="D368" s="21" t="s">
        <v>2477</v>
      </c>
      <c r="E368" s="21" t="s">
        <v>2454</v>
      </c>
      <c r="F368" s="21" t="s">
        <v>2478</v>
      </c>
      <c r="G368" s="21">
        <v>847</v>
      </c>
      <c r="H368" s="21" t="s">
        <v>2440</v>
      </c>
      <c r="I368" s="21">
        <v>15</v>
      </c>
      <c r="J368" s="21">
        <v>12705</v>
      </c>
      <c r="K368" s="21">
        <v>0</v>
      </c>
      <c r="L368" s="21">
        <v>12705</v>
      </c>
      <c r="M368" s="24">
        <v>42664</v>
      </c>
      <c r="N368" s="21">
        <f>MONTH(Продажи!$M368)</f>
        <v>10</v>
      </c>
      <c r="O368" s="21">
        <f>WEEKDAY(Продажи!$M368,2)</f>
        <v>5</v>
      </c>
      <c r="P368" s="21">
        <f>YEAR(Продажи!$M368)</f>
        <v>2016</v>
      </c>
      <c r="Q368" s="28">
        <f>WEEKNUM(Продажи!$M368,2)</f>
        <v>43</v>
      </c>
      <c r="R368" s="28">
        <f>IF((Продажи!$E368="Зеленый чай")*(Продажи!$Q368&gt;=7)*(Продажи!$Q368&lt;=42),Продажи!$K368,0)</f>
        <v>0</v>
      </c>
      <c r="S368" s="28">
        <f t="shared" si="0"/>
        <v>12705</v>
      </c>
    </row>
    <row r="369" spans="3:19" ht="15.75" customHeight="1" x14ac:dyDescent="0.2">
      <c r="C369" s="26">
        <v>52</v>
      </c>
      <c r="D369" s="21" t="s">
        <v>2483</v>
      </c>
      <c r="E369" s="21" t="s">
        <v>2446</v>
      </c>
      <c r="F369" s="21" t="s">
        <v>2484</v>
      </c>
      <c r="G369" s="21">
        <v>1182</v>
      </c>
      <c r="H369" s="21" t="s">
        <v>2440</v>
      </c>
      <c r="I369" s="21">
        <v>17</v>
      </c>
      <c r="J369" s="21">
        <v>20094</v>
      </c>
      <c r="K369" s="21">
        <v>0.03</v>
      </c>
      <c r="L369" s="21">
        <v>19491.18</v>
      </c>
      <c r="M369" s="24">
        <v>43417</v>
      </c>
      <c r="N369" s="21">
        <f>MONTH(Продажи!$M369)</f>
        <v>11</v>
      </c>
      <c r="O369" s="21">
        <f>WEEKDAY(Продажи!$M369,2)</f>
        <v>2</v>
      </c>
      <c r="P369" s="21">
        <f>YEAR(Продажи!$M369)</f>
        <v>2018</v>
      </c>
      <c r="Q369" s="28">
        <f>WEEKNUM(Продажи!$M369,2)</f>
        <v>46</v>
      </c>
      <c r="R369" s="28">
        <f>IF((Продажи!$E369="Зеленый чай")*(Продажи!$Q369&gt;=7)*(Продажи!$Q369&lt;=42),Продажи!$K369,0)</f>
        <v>0</v>
      </c>
      <c r="S369" s="28" t="b">
        <f t="shared" si="0"/>
        <v>0</v>
      </c>
    </row>
    <row r="370" spans="3:19" ht="15.75" customHeight="1" x14ac:dyDescent="0.2">
      <c r="C370" s="26">
        <v>55</v>
      </c>
      <c r="D370" s="21" t="s">
        <v>2447</v>
      </c>
      <c r="E370" s="21" t="s">
        <v>2448</v>
      </c>
      <c r="F370" s="21" t="s">
        <v>2448</v>
      </c>
      <c r="G370" s="21">
        <v>699</v>
      </c>
      <c r="H370" s="21" t="s">
        <v>2444</v>
      </c>
      <c r="I370" s="21">
        <v>10</v>
      </c>
      <c r="J370" s="21">
        <v>6990</v>
      </c>
      <c r="K370" s="21">
        <v>0</v>
      </c>
      <c r="L370" s="21">
        <v>6990</v>
      </c>
      <c r="M370" s="24">
        <v>43590</v>
      </c>
      <c r="N370" s="21">
        <f>MONTH(Продажи!$M370)</f>
        <v>5</v>
      </c>
      <c r="O370" s="21">
        <f>WEEKDAY(Продажи!$M370,2)</f>
        <v>7</v>
      </c>
      <c r="P370" s="21">
        <f>YEAR(Продажи!$M370)</f>
        <v>2019</v>
      </c>
      <c r="Q370" s="28">
        <f>WEEKNUM(Продажи!$M370,2)</f>
        <v>18</v>
      </c>
      <c r="R370" s="28">
        <f>IF((Продажи!$E370="Зеленый чай")*(Продажи!$Q370&gt;=7)*(Продажи!$Q370&lt;=42),Продажи!$K370,0)</f>
        <v>0</v>
      </c>
      <c r="S370" s="28" t="b">
        <f t="shared" si="0"/>
        <v>0</v>
      </c>
    </row>
    <row r="371" spans="3:19" ht="15.75" customHeight="1" x14ac:dyDescent="0.2">
      <c r="C371" s="26">
        <v>33</v>
      </c>
      <c r="D371" s="21" t="s">
        <v>2461</v>
      </c>
      <c r="E371" s="21" t="s">
        <v>2462</v>
      </c>
      <c r="F371" s="21" t="s">
        <v>2463</v>
      </c>
      <c r="G371" s="21">
        <v>1994</v>
      </c>
      <c r="H371" s="21" t="s">
        <v>2444</v>
      </c>
      <c r="I371" s="21">
        <v>12</v>
      </c>
      <c r="J371" s="21">
        <v>23928</v>
      </c>
      <c r="K371" s="21">
        <v>0.03</v>
      </c>
      <c r="L371" s="21">
        <v>23210.16</v>
      </c>
      <c r="M371" s="24">
        <v>43341</v>
      </c>
      <c r="N371" s="21">
        <f>MONTH(Продажи!$M371)</f>
        <v>8</v>
      </c>
      <c r="O371" s="21">
        <f>WEEKDAY(Продажи!$M371,2)</f>
        <v>3</v>
      </c>
      <c r="P371" s="21">
        <f>YEAR(Продажи!$M371)</f>
        <v>2018</v>
      </c>
      <c r="Q371" s="28">
        <f>WEEKNUM(Продажи!$M371,2)</f>
        <v>35</v>
      </c>
      <c r="R371" s="28">
        <f>IF((Продажи!$E371="Зеленый чай")*(Продажи!$Q371&gt;=7)*(Продажи!$Q371&lt;=42),Продажи!$K371,0)</f>
        <v>0</v>
      </c>
      <c r="S371" s="28">
        <f t="shared" si="0"/>
        <v>23210.16</v>
      </c>
    </row>
    <row r="372" spans="3:19" ht="15.75" customHeight="1" x14ac:dyDescent="0.2">
      <c r="C372" s="26">
        <v>0</v>
      </c>
      <c r="D372" s="21" t="s">
        <v>2469</v>
      </c>
      <c r="E372" s="21" t="s">
        <v>2442</v>
      </c>
      <c r="F372" s="21" t="s">
        <v>2470</v>
      </c>
      <c r="G372" s="21">
        <v>620</v>
      </c>
      <c r="H372" s="21" t="s">
        <v>2444</v>
      </c>
      <c r="I372" s="21">
        <v>30</v>
      </c>
      <c r="J372" s="21">
        <v>18600</v>
      </c>
      <c r="K372" s="21">
        <v>0.03</v>
      </c>
      <c r="L372" s="21">
        <v>18042</v>
      </c>
      <c r="M372" s="24">
        <v>43462</v>
      </c>
      <c r="N372" s="21">
        <f>MONTH(Продажи!$M372)</f>
        <v>12</v>
      </c>
      <c r="O372" s="21">
        <f>WEEKDAY(Продажи!$M372,2)</f>
        <v>5</v>
      </c>
      <c r="P372" s="21">
        <f>YEAR(Продажи!$M372)</f>
        <v>2018</v>
      </c>
      <c r="Q372" s="28">
        <f>WEEKNUM(Продажи!$M372,2)</f>
        <v>52</v>
      </c>
      <c r="R372" s="28">
        <f>IF((Продажи!$E372="Зеленый чай")*(Продажи!$Q372&gt;=7)*(Продажи!$Q372&lt;=42),Продажи!$K372,0)</f>
        <v>0</v>
      </c>
      <c r="S372" s="28">
        <f t="shared" si="0"/>
        <v>18042</v>
      </c>
    </row>
    <row r="373" spans="3:19" ht="15.75" customHeight="1" x14ac:dyDescent="0.2">
      <c r="C373" s="26">
        <v>10</v>
      </c>
      <c r="D373" s="21" t="s">
        <v>2451</v>
      </c>
      <c r="E373" s="21" t="s">
        <v>2438</v>
      </c>
      <c r="F373" s="21" t="s">
        <v>2452</v>
      </c>
      <c r="G373" s="21">
        <v>800</v>
      </c>
      <c r="H373" s="21" t="s">
        <v>2440</v>
      </c>
      <c r="I373" s="21">
        <v>25</v>
      </c>
      <c r="J373" s="21">
        <v>20000</v>
      </c>
      <c r="K373" s="21">
        <v>0.03</v>
      </c>
      <c r="L373" s="21">
        <v>19400</v>
      </c>
      <c r="M373" s="24">
        <v>43441</v>
      </c>
      <c r="N373" s="21">
        <f>MONTH(Продажи!$M373)</f>
        <v>12</v>
      </c>
      <c r="O373" s="21">
        <f>WEEKDAY(Продажи!$M373,2)</f>
        <v>5</v>
      </c>
      <c r="P373" s="21">
        <f>YEAR(Продажи!$M373)</f>
        <v>2018</v>
      </c>
      <c r="Q373" s="28">
        <f>WEEKNUM(Продажи!$M373,2)</f>
        <v>49</v>
      </c>
      <c r="R373" s="28">
        <f>IF((Продажи!$E373="Зеленый чай")*(Продажи!$Q373&gt;=7)*(Продажи!$Q373&lt;=42),Продажи!$K373,0)</f>
        <v>0</v>
      </c>
      <c r="S373" s="28" t="b">
        <f t="shared" si="0"/>
        <v>0</v>
      </c>
    </row>
    <row r="374" spans="3:19" ht="15.75" customHeight="1" x14ac:dyDescent="0.2">
      <c r="C374" s="26">
        <v>33</v>
      </c>
      <c r="D374" s="21" t="s">
        <v>2461</v>
      </c>
      <c r="E374" s="21" t="s">
        <v>2462</v>
      </c>
      <c r="F374" s="21" t="s">
        <v>2463</v>
      </c>
      <c r="G374" s="21">
        <v>1994</v>
      </c>
      <c r="H374" s="21" t="s">
        <v>2444</v>
      </c>
      <c r="I374" s="21">
        <v>12</v>
      </c>
      <c r="J374" s="21">
        <v>23928</v>
      </c>
      <c r="K374" s="21">
        <v>0.03</v>
      </c>
      <c r="L374" s="21">
        <v>23210.16</v>
      </c>
      <c r="M374" s="24">
        <v>43593</v>
      </c>
      <c r="N374" s="21">
        <f>MONTH(Продажи!$M374)</f>
        <v>5</v>
      </c>
      <c r="O374" s="21">
        <f>WEEKDAY(Продажи!$M374,2)</f>
        <v>3</v>
      </c>
      <c r="P374" s="21">
        <f>YEAR(Продажи!$M374)</f>
        <v>2019</v>
      </c>
      <c r="Q374" s="28">
        <f>WEEKNUM(Продажи!$M374,2)</f>
        <v>19</v>
      </c>
      <c r="R374" s="28">
        <f>IF((Продажи!$E374="Зеленый чай")*(Продажи!$Q374&gt;=7)*(Продажи!$Q374&lt;=42),Продажи!$K374,0)</f>
        <v>0</v>
      </c>
      <c r="S374" s="28" t="b">
        <f t="shared" si="0"/>
        <v>0</v>
      </c>
    </row>
    <row r="375" spans="3:19" ht="15.75" customHeight="1" x14ac:dyDescent="0.2">
      <c r="C375" s="26">
        <v>50</v>
      </c>
      <c r="D375" s="21" t="s">
        <v>2481</v>
      </c>
      <c r="E375" s="21" t="s">
        <v>2454</v>
      </c>
      <c r="F375" s="21" t="s">
        <v>2482</v>
      </c>
      <c r="G375" s="21">
        <v>912</v>
      </c>
      <c r="H375" s="21" t="s">
        <v>2440</v>
      </c>
      <c r="I375" s="21">
        <v>20</v>
      </c>
      <c r="J375" s="21">
        <v>18240</v>
      </c>
      <c r="K375" s="21">
        <v>0</v>
      </c>
      <c r="L375" s="21">
        <v>18240</v>
      </c>
      <c r="M375" s="24">
        <v>43166</v>
      </c>
      <c r="N375" s="21">
        <f>MONTH(Продажи!$M375)</f>
        <v>3</v>
      </c>
      <c r="O375" s="21">
        <f>WEEKDAY(Продажи!$M375,2)</f>
        <v>3</v>
      </c>
      <c r="P375" s="21">
        <f>YEAR(Продажи!$M375)</f>
        <v>2018</v>
      </c>
      <c r="Q375" s="28">
        <f>WEEKNUM(Продажи!$M375,2)</f>
        <v>10</v>
      </c>
      <c r="R375" s="28">
        <f>IF((Продажи!$E375="Зеленый чай")*(Продажи!$Q375&gt;=7)*(Продажи!$Q375&lt;=42),Продажи!$K375,0)</f>
        <v>0</v>
      </c>
      <c r="S375" s="28" t="b">
        <f t="shared" si="0"/>
        <v>0</v>
      </c>
    </row>
    <row r="376" spans="3:19" ht="15.75" customHeight="1" x14ac:dyDescent="0.2">
      <c r="C376" s="26">
        <v>0</v>
      </c>
      <c r="D376" s="21" t="s">
        <v>2469</v>
      </c>
      <c r="E376" s="21" t="s">
        <v>2442</v>
      </c>
      <c r="F376" s="21" t="s">
        <v>2470</v>
      </c>
      <c r="G376" s="21">
        <v>620</v>
      </c>
      <c r="H376" s="21" t="s">
        <v>2444</v>
      </c>
      <c r="I376" s="21">
        <v>30</v>
      </c>
      <c r="J376" s="21">
        <v>18600</v>
      </c>
      <c r="K376" s="21">
        <v>0.03</v>
      </c>
      <c r="L376" s="21">
        <v>18042</v>
      </c>
      <c r="M376" s="24">
        <v>43721</v>
      </c>
      <c r="N376" s="21">
        <f>MONTH(Продажи!$M376)</f>
        <v>9</v>
      </c>
      <c r="O376" s="21">
        <f>WEEKDAY(Продажи!$M376,2)</f>
        <v>5</v>
      </c>
      <c r="P376" s="21">
        <f>YEAR(Продажи!$M376)</f>
        <v>2019</v>
      </c>
      <c r="Q376" s="28">
        <f>WEEKNUM(Продажи!$M376,2)</f>
        <v>37</v>
      </c>
      <c r="R376" s="28">
        <f>IF((Продажи!$E376="Зеленый чай")*(Продажи!$Q376&gt;=7)*(Продажи!$Q376&lt;=42),Продажи!$K376,0)</f>
        <v>0</v>
      </c>
      <c r="S376" s="28" t="b">
        <f t="shared" si="0"/>
        <v>0</v>
      </c>
    </row>
    <row r="377" spans="3:19" ht="15.75" customHeight="1" x14ac:dyDescent="0.2">
      <c r="C377" s="26">
        <v>9</v>
      </c>
      <c r="D377" s="21" t="s">
        <v>2447</v>
      </c>
      <c r="E377" s="21" t="s">
        <v>2448</v>
      </c>
      <c r="F377" s="21" t="s">
        <v>2448</v>
      </c>
      <c r="G377" s="21">
        <v>699</v>
      </c>
      <c r="H377" s="21" t="s">
        <v>2444</v>
      </c>
      <c r="I377" s="21">
        <v>10</v>
      </c>
      <c r="J377" s="21">
        <v>6990</v>
      </c>
      <c r="K377" s="21">
        <v>0</v>
      </c>
      <c r="L377" s="21">
        <v>6990</v>
      </c>
      <c r="M377" s="24">
        <v>43079</v>
      </c>
      <c r="N377" s="21">
        <f>MONTH(Продажи!$M377)</f>
        <v>12</v>
      </c>
      <c r="O377" s="21">
        <f>WEEKDAY(Продажи!$M377,2)</f>
        <v>7</v>
      </c>
      <c r="P377" s="21">
        <f>YEAR(Продажи!$M377)</f>
        <v>2017</v>
      </c>
      <c r="Q377" s="28">
        <f>WEEKNUM(Продажи!$M377,2)</f>
        <v>50</v>
      </c>
      <c r="R377" s="28">
        <f>IF((Продажи!$E377="Зеленый чай")*(Продажи!$Q377&gt;=7)*(Продажи!$Q377&lt;=42),Продажи!$K377,0)</f>
        <v>0</v>
      </c>
      <c r="S377" s="28" t="b">
        <f t="shared" si="0"/>
        <v>0</v>
      </c>
    </row>
    <row r="378" spans="3:19" ht="15.75" customHeight="1" x14ac:dyDescent="0.2">
      <c r="C378" s="26">
        <v>19</v>
      </c>
      <c r="D378" s="21" t="s">
        <v>2488</v>
      </c>
      <c r="E378" s="21" t="s">
        <v>2454</v>
      </c>
      <c r="F378" s="21" t="s">
        <v>2489</v>
      </c>
      <c r="G378" s="21">
        <v>1879</v>
      </c>
      <c r="H378" s="21" t="s">
        <v>2440</v>
      </c>
      <c r="I378" s="21">
        <v>15</v>
      </c>
      <c r="J378" s="21">
        <v>28185</v>
      </c>
      <c r="K378" s="21">
        <v>0.03</v>
      </c>
      <c r="L378" s="21">
        <v>27339.45</v>
      </c>
      <c r="M378" s="24">
        <v>42776</v>
      </c>
      <c r="N378" s="21">
        <f>MONTH(Продажи!$M378)</f>
        <v>2</v>
      </c>
      <c r="O378" s="21">
        <f>WEEKDAY(Продажи!$M378,2)</f>
        <v>5</v>
      </c>
      <c r="P378" s="21">
        <f>YEAR(Продажи!$M378)</f>
        <v>2017</v>
      </c>
      <c r="Q378" s="28">
        <f>WEEKNUM(Продажи!$M378,2)</f>
        <v>7</v>
      </c>
      <c r="R378" s="28">
        <f>IF((Продажи!$E378="Зеленый чай")*(Продажи!$Q378&gt;=7)*(Продажи!$Q378&lt;=42),Продажи!$K378,0)</f>
        <v>0</v>
      </c>
      <c r="S378" s="28" t="b">
        <f t="shared" si="0"/>
        <v>0</v>
      </c>
    </row>
    <row r="379" spans="3:19" ht="15.75" customHeight="1" x14ac:dyDescent="0.2">
      <c r="C379" s="26">
        <v>50</v>
      </c>
      <c r="D379" s="21" t="s">
        <v>2481</v>
      </c>
      <c r="E379" s="21" t="s">
        <v>2454</v>
      </c>
      <c r="F379" s="21" t="s">
        <v>2482</v>
      </c>
      <c r="G379" s="21">
        <v>912</v>
      </c>
      <c r="H379" s="21" t="s">
        <v>2440</v>
      </c>
      <c r="I379" s="21">
        <v>20</v>
      </c>
      <c r="J379" s="21">
        <v>18240</v>
      </c>
      <c r="K379" s="21">
        <v>0</v>
      </c>
      <c r="L379" s="21">
        <v>18240</v>
      </c>
      <c r="M379" s="24">
        <v>43993</v>
      </c>
      <c r="N379" s="21">
        <f>MONTH(Продажи!$M379)</f>
        <v>6</v>
      </c>
      <c r="O379" s="21">
        <f>WEEKDAY(Продажи!$M379,2)</f>
        <v>4</v>
      </c>
      <c r="P379" s="21">
        <f>YEAR(Продажи!$M379)</f>
        <v>2020</v>
      </c>
      <c r="Q379" s="28">
        <f>WEEKNUM(Продажи!$M379,2)</f>
        <v>24</v>
      </c>
      <c r="R379" s="28">
        <f>IF((Продажи!$E379="Зеленый чай")*(Продажи!$Q379&gt;=7)*(Продажи!$Q379&lt;=42),Продажи!$K379,0)</f>
        <v>0</v>
      </c>
      <c r="S379" s="28" t="b">
        <f t="shared" si="0"/>
        <v>0</v>
      </c>
    </row>
    <row r="380" spans="3:19" ht="15.75" customHeight="1" x14ac:dyDescent="0.2">
      <c r="C380" s="26">
        <v>56</v>
      </c>
      <c r="D380" s="21" t="s">
        <v>2451</v>
      </c>
      <c r="E380" s="21" t="s">
        <v>2438</v>
      </c>
      <c r="F380" s="21" t="s">
        <v>2452</v>
      </c>
      <c r="G380" s="21">
        <v>800</v>
      </c>
      <c r="H380" s="21" t="s">
        <v>2440</v>
      </c>
      <c r="I380" s="21">
        <v>40</v>
      </c>
      <c r="J380" s="21">
        <v>32000</v>
      </c>
      <c r="K380" s="21">
        <v>0.03</v>
      </c>
      <c r="L380" s="21">
        <v>31040</v>
      </c>
      <c r="M380" s="24">
        <v>44154</v>
      </c>
      <c r="N380" s="21">
        <f>MONTH(Продажи!$M380)</f>
        <v>11</v>
      </c>
      <c r="O380" s="21">
        <f>WEEKDAY(Продажи!$M380,2)</f>
        <v>4</v>
      </c>
      <c r="P380" s="21">
        <f>YEAR(Продажи!$M380)</f>
        <v>2020</v>
      </c>
      <c r="Q380" s="28">
        <f>WEEKNUM(Продажи!$M380,2)</f>
        <v>47</v>
      </c>
      <c r="R380" s="28">
        <f>IF((Продажи!$E380="Зеленый чай")*(Продажи!$Q380&gt;=7)*(Продажи!$Q380&lt;=42),Продажи!$K380,0)</f>
        <v>0</v>
      </c>
      <c r="S380" s="28" t="b">
        <f t="shared" si="0"/>
        <v>0</v>
      </c>
    </row>
    <row r="381" spans="3:19" ht="15.75" customHeight="1" x14ac:dyDescent="0.2">
      <c r="C381" s="26">
        <v>29</v>
      </c>
      <c r="D381" s="21" t="s">
        <v>2514</v>
      </c>
      <c r="E381" s="21" t="s">
        <v>2505</v>
      </c>
      <c r="F381" s="21" t="s">
        <v>2515</v>
      </c>
      <c r="G381" s="21">
        <v>843</v>
      </c>
      <c r="H381" s="21" t="s">
        <v>2444</v>
      </c>
      <c r="I381" s="21">
        <v>10</v>
      </c>
      <c r="J381" s="21">
        <v>8430</v>
      </c>
      <c r="K381" s="21">
        <v>0</v>
      </c>
      <c r="L381" s="21">
        <v>8430</v>
      </c>
      <c r="M381" s="24">
        <v>43328</v>
      </c>
      <c r="N381" s="21">
        <f>MONTH(Продажи!$M381)</f>
        <v>8</v>
      </c>
      <c r="O381" s="21">
        <f>WEEKDAY(Продажи!$M381,2)</f>
        <v>4</v>
      </c>
      <c r="P381" s="21">
        <f>YEAR(Продажи!$M381)</f>
        <v>2018</v>
      </c>
      <c r="Q381" s="28">
        <f>WEEKNUM(Продажи!$M381,2)</f>
        <v>33</v>
      </c>
      <c r="R381" s="28">
        <f>IF((Продажи!$E381="Зеленый чай")*(Продажи!$Q381&gt;=7)*(Продажи!$Q381&lt;=42),Продажи!$K381,0)</f>
        <v>0</v>
      </c>
      <c r="S381" s="28" t="b">
        <f t="shared" si="0"/>
        <v>0</v>
      </c>
    </row>
    <row r="382" spans="3:19" ht="15.75" customHeight="1" x14ac:dyDescent="0.2">
      <c r="C382" s="26">
        <v>43</v>
      </c>
      <c r="D382" s="21" t="s">
        <v>2492</v>
      </c>
      <c r="E382" s="21" t="s">
        <v>2446</v>
      </c>
      <c r="F382" s="21" t="s">
        <v>2493</v>
      </c>
      <c r="G382" s="21">
        <v>759</v>
      </c>
      <c r="H382" s="21" t="s">
        <v>2444</v>
      </c>
      <c r="I382" s="21">
        <v>10</v>
      </c>
      <c r="J382" s="21">
        <v>7590</v>
      </c>
      <c r="K382" s="21">
        <v>0</v>
      </c>
      <c r="L382" s="21">
        <v>7590</v>
      </c>
      <c r="M382" s="24">
        <v>43565</v>
      </c>
      <c r="N382" s="21">
        <f>MONTH(Продажи!$M382)</f>
        <v>4</v>
      </c>
      <c r="O382" s="21">
        <f>WEEKDAY(Продажи!$M382,2)</f>
        <v>3</v>
      </c>
      <c r="P382" s="21">
        <f>YEAR(Продажи!$M382)</f>
        <v>2019</v>
      </c>
      <c r="Q382" s="28">
        <f>WEEKNUM(Продажи!$M382,2)</f>
        <v>15</v>
      </c>
      <c r="R382" s="28">
        <f>IF((Продажи!$E382="Зеленый чай")*(Продажи!$Q382&gt;=7)*(Продажи!$Q382&lt;=42),Продажи!$K382,0)</f>
        <v>0</v>
      </c>
      <c r="S382" s="28" t="b">
        <f t="shared" si="0"/>
        <v>0</v>
      </c>
    </row>
    <row r="383" spans="3:19" ht="15.75" customHeight="1" x14ac:dyDescent="0.2">
      <c r="C383" s="26">
        <v>52</v>
      </c>
      <c r="D383" s="21" t="s">
        <v>2483</v>
      </c>
      <c r="E383" s="21" t="s">
        <v>2446</v>
      </c>
      <c r="F383" s="21" t="s">
        <v>2484</v>
      </c>
      <c r="G383" s="21">
        <v>1182</v>
      </c>
      <c r="H383" s="21" t="s">
        <v>2440</v>
      </c>
      <c r="I383" s="21">
        <v>17</v>
      </c>
      <c r="J383" s="21">
        <v>20094</v>
      </c>
      <c r="K383" s="21">
        <v>0.03</v>
      </c>
      <c r="L383" s="21">
        <v>19491.18</v>
      </c>
      <c r="M383" s="24">
        <v>44029</v>
      </c>
      <c r="N383" s="21">
        <f>MONTH(Продажи!$M383)</f>
        <v>7</v>
      </c>
      <c r="O383" s="21">
        <f>WEEKDAY(Продажи!$M383,2)</f>
        <v>5</v>
      </c>
      <c r="P383" s="21">
        <f>YEAR(Продажи!$M383)</f>
        <v>2020</v>
      </c>
      <c r="Q383" s="28">
        <f>WEEKNUM(Продажи!$M383,2)</f>
        <v>29</v>
      </c>
      <c r="R383" s="28">
        <f>IF((Продажи!$E383="Зеленый чай")*(Продажи!$Q383&gt;=7)*(Продажи!$Q383&lt;=42),Продажи!$K383,0)</f>
        <v>0</v>
      </c>
      <c r="S383" s="28" t="b">
        <f t="shared" si="0"/>
        <v>0</v>
      </c>
    </row>
    <row r="384" spans="3:19" ht="15.75" customHeight="1" x14ac:dyDescent="0.2">
      <c r="C384" s="26">
        <v>44</v>
      </c>
      <c r="D384" s="21" t="s">
        <v>2453</v>
      </c>
      <c r="E384" s="21" t="s">
        <v>2454</v>
      </c>
      <c r="F384" s="21" t="s">
        <v>2455</v>
      </c>
      <c r="G384" s="21">
        <v>1386</v>
      </c>
      <c r="H384" s="21" t="s">
        <v>2440</v>
      </c>
      <c r="I384" s="21">
        <v>20</v>
      </c>
      <c r="J384" s="21">
        <v>27720</v>
      </c>
      <c r="K384" s="21">
        <v>0.03</v>
      </c>
      <c r="L384" s="21">
        <v>26888.400000000001</v>
      </c>
      <c r="M384" s="24">
        <v>43687</v>
      </c>
      <c r="N384" s="21">
        <f>MONTH(Продажи!$M384)</f>
        <v>8</v>
      </c>
      <c r="O384" s="21">
        <f>WEEKDAY(Продажи!$M384,2)</f>
        <v>6</v>
      </c>
      <c r="P384" s="21">
        <f>YEAR(Продажи!$M384)</f>
        <v>2019</v>
      </c>
      <c r="Q384" s="28">
        <f>WEEKNUM(Продажи!$M384,2)</f>
        <v>32</v>
      </c>
      <c r="R384" s="28">
        <f>IF((Продажи!$E384="Зеленый чай")*(Продажи!$Q384&gt;=7)*(Продажи!$Q384&lt;=42),Продажи!$K384,0)</f>
        <v>0</v>
      </c>
      <c r="S384" s="28" t="b">
        <f t="shared" si="0"/>
        <v>0</v>
      </c>
    </row>
    <row r="385" spans="3:19" ht="15.75" customHeight="1" x14ac:dyDescent="0.2">
      <c r="C385" s="26">
        <v>11</v>
      </c>
      <c r="D385" s="21" t="s">
        <v>2492</v>
      </c>
      <c r="E385" s="21" t="s">
        <v>2446</v>
      </c>
      <c r="F385" s="21" t="s">
        <v>2495</v>
      </c>
      <c r="G385" s="21">
        <v>3197</v>
      </c>
      <c r="H385" s="21" t="s">
        <v>2444</v>
      </c>
      <c r="I385" s="21">
        <v>10</v>
      </c>
      <c r="J385" s="21">
        <v>31970</v>
      </c>
      <c r="K385" s="21">
        <v>0</v>
      </c>
      <c r="L385" s="21">
        <v>31970</v>
      </c>
      <c r="M385" s="24">
        <v>42921</v>
      </c>
      <c r="N385" s="21">
        <f>MONTH(Продажи!$M385)</f>
        <v>7</v>
      </c>
      <c r="O385" s="21">
        <f>WEEKDAY(Продажи!$M385,2)</f>
        <v>3</v>
      </c>
      <c r="P385" s="21">
        <f>YEAR(Продажи!$M385)</f>
        <v>2017</v>
      </c>
      <c r="Q385" s="28">
        <f>WEEKNUM(Продажи!$M385,2)</f>
        <v>28</v>
      </c>
      <c r="R385" s="28">
        <f>IF((Продажи!$E385="Зеленый чай")*(Продажи!$Q385&gt;=7)*(Продажи!$Q385&lt;=42),Продажи!$K385,0)</f>
        <v>0</v>
      </c>
      <c r="S385" s="28" t="b">
        <f t="shared" si="0"/>
        <v>0</v>
      </c>
    </row>
    <row r="386" spans="3:19" ht="15.75" customHeight="1" x14ac:dyDescent="0.2">
      <c r="C386" s="26">
        <v>51</v>
      </c>
      <c r="D386" s="21" t="s">
        <v>2449</v>
      </c>
      <c r="E386" s="21" t="s">
        <v>2448</v>
      </c>
      <c r="F386" s="21" t="s">
        <v>2450</v>
      </c>
      <c r="G386" s="21">
        <v>2211</v>
      </c>
      <c r="H386" s="21" t="s">
        <v>2444</v>
      </c>
      <c r="I386" s="21">
        <v>25</v>
      </c>
      <c r="J386" s="21">
        <v>55275</v>
      </c>
      <c r="K386" s="21">
        <v>0.09</v>
      </c>
      <c r="L386" s="21">
        <v>50300.25</v>
      </c>
      <c r="M386" s="24">
        <v>44129</v>
      </c>
      <c r="N386" s="21">
        <f>MONTH(Продажи!$M386)</f>
        <v>10</v>
      </c>
      <c r="O386" s="21">
        <f>WEEKDAY(Продажи!$M386,2)</f>
        <v>7</v>
      </c>
      <c r="P386" s="21">
        <f>YEAR(Продажи!$M386)</f>
        <v>2020</v>
      </c>
      <c r="Q386" s="28">
        <f>WEEKNUM(Продажи!$M386,2)</f>
        <v>43</v>
      </c>
      <c r="R386" s="28">
        <f>IF((Продажи!$E386="Зеленый чай")*(Продажи!$Q386&gt;=7)*(Продажи!$Q386&lt;=42),Продажи!$K386,0)</f>
        <v>0</v>
      </c>
      <c r="S386" s="28">
        <f t="shared" si="0"/>
        <v>50300.25</v>
      </c>
    </row>
    <row r="387" spans="3:19" ht="15.75" customHeight="1" x14ac:dyDescent="0.2">
      <c r="C387" s="26">
        <v>49</v>
      </c>
      <c r="D387" s="21" t="s">
        <v>2441</v>
      </c>
      <c r="E387" s="21" t="s">
        <v>2442</v>
      </c>
      <c r="F387" s="21" t="s">
        <v>2443</v>
      </c>
      <c r="G387" s="21">
        <v>617</v>
      </c>
      <c r="H387" s="21" t="s">
        <v>2444</v>
      </c>
      <c r="I387" s="21">
        <v>25</v>
      </c>
      <c r="J387" s="21">
        <v>15425</v>
      </c>
      <c r="K387" s="21">
        <v>0</v>
      </c>
      <c r="L387" s="21">
        <v>15425</v>
      </c>
      <c r="M387" s="24">
        <v>43911</v>
      </c>
      <c r="N387" s="21">
        <f>MONTH(Продажи!$M387)</f>
        <v>3</v>
      </c>
      <c r="O387" s="21">
        <f>WEEKDAY(Продажи!$M387,2)</f>
        <v>6</v>
      </c>
      <c r="P387" s="21">
        <f>YEAR(Продажи!$M387)</f>
        <v>2020</v>
      </c>
      <c r="Q387" s="28">
        <f>WEEKNUM(Продажи!$M387,2)</f>
        <v>12</v>
      </c>
      <c r="R387" s="28">
        <f>IF((Продажи!$E387="Зеленый чай")*(Продажи!$Q387&gt;=7)*(Продажи!$Q387&lt;=42),Продажи!$K387,0)</f>
        <v>0</v>
      </c>
      <c r="S387" s="28">
        <f t="shared" si="0"/>
        <v>15425</v>
      </c>
    </row>
    <row r="388" spans="3:19" ht="15.75" customHeight="1" x14ac:dyDescent="0.2">
      <c r="C388" s="26">
        <v>49</v>
      </c>
      <c r="D388" s="21" t="s">
        <v>2441</v>
      </c>
      <c r="E388" s="21" t="s">
        <v>2442</v>
      </c>
      <c r="F388" s="21" t="s">
        <v>2443</v>
      </c>
      <c r="G388" s="21">
        <v>617</v>
      </c>
      <c r="H388" s="21" t="s">
        <v>2444</v>
      </c>
      <c r="I388" s="21">
        <v>25</v>
      </c>
      <c r="J388" s="21">
        <v>15425</v>
      </c>
      <c r="K388" s="21">
        <v>0</v>
      </c>
      <c r="L388" s="21">
        <v>15425</v>
      </c>
      <c r="M388" s="24">
        <v>44004</v>
      </c>
      <c r="N388" s="21">
        <f>MONTH(Продажи!$M388)</f>
        <v>6</v>
      </c>
      <c r="O388" s="21">
        <f>WEEKDAY(Продажи!$M388,2)</f>
        <v>1</v>
      </c>
      <c r="P388" s="21">
        <f>YEAR(Продажи!$M388)</f>
        <v>2020</v>
      </c>
      <c r="Q388" s="28">
        <f>WEEKNUM(Продажи!$M388,2)</f>
        <v>26</v>
      </c>
      <c r="R388" s="28">
        <f>IF((Продажи!$E388="Зеленый чай")*(Продажи!$Q388&gt;=7)*(Продажи!$Q388&lt;=42),Продажи!$K388,0)</f>
        <v>0</v>
      </c>
      <c r="S388" s="28">
        <f t="shared" si="0"/>
        <v>15425</v>
      </c>
    </row>
    <row r="389" spans="3:19" ht="15.75" customHeight="1" x14ac:dyDescent="0.2">
      <c r="C389" s="26">
        <v>15</v>
      </c>
      <c r="D389" s="21" t="s">
        <v>2512</v>
      </c>
      <c r="E389" s="21" t="s">
        <v>2462</v>
      </c>
      <c r="F389" s="21" t="s">
        <v>2513</v>
      </c>
      <c r="G389" s="21">
        <v>1994</v>
      </c>
      <c r="H389" s="21" t="s">
        <v>2444</v>
      </c>
      <c r="I389" s="21">
        <v>17</v>
      </c>
      <c r="J389" s="21">
        <v>33898</v>
      </c>
      <c r="K389" s="21">
        <v>0.06</v>
      </c>
      <c r="L389" s="21">
        <v>31864.12</v>
      </c>
      <c r="M389" s="24">
        <v>44100</v>
      </c>
      <c r="N389" s="21">
        <f>MONTH(Продажи!$M389)</f>
        <v>9</v>
      </c>
      <c r="O389" s="21">
        <f>WEEKDAY(Продажи!$M389,2)</f>
        <v>6</v>
      </c>
      <c r="P389" s="21">
        <f>YEAR(Продажи!$M389)</f>
        <v>2020</v>
      </c>
      <c r="Q389" s="28">
        <f>WEEKNUM(Продажи!$M389,2)</f>
        <v>39</v>
      </c>
      <c r="R389" s="28">
        <f>IF((Продажи!$E389="Зеленый чай")*(Продажи!$Q389&gt;=7)*(Продажи!$Q389&lt;=42),Продажи!$K389,0)</f>
        <v>0</v>
      </c>
      <c r="S389" s="28">
        <f t="shared" si="0"/>
        <v>31864.12</v>
      </c>
    </row>
    <row r="390" spans="3:19" ht="15.75" customHeight="1" x14ac:dyDescent="0.2">
      <c r="C390" s="26">
        <v>16</v>
      </c>
      <c r="D390" s="21" t="s">
        <v>2504</v>
      </c>
      <c r="E390" s="21" t="s">
        <v>2505</v>
      </c>
      <c r="F390" s="21" t="s">
        <v>2506</v>
      </c>
      <c r="G390" s="21">
        <v>843</v>
      </c>
      <c r="H390" s="21" t="s">
        <v>2444</v>
      </c>
      <c r="I390" s="21">
        <v>5</v>
      </c>
      <c r="J390" s="21">
        <v>4215</v>
      </c>
      <c r="K390" s="21">
        <v>0</v>
      </c>
      <c r="L390" s="21">
        <v>4215</v>
      </c>
      <c r="M390" s="24">
        <v>42647</v>
      </c>
      <c r="N390" s="21">
        <f>MONTH(Продажи!$M390)</f>
        <v>10</v>
      </c>
      <c r="O390" s="21">
        <f>WEEKDAY(Продажи!$M390,2)</f>
        <v>2</v>
      </c>
      <c r="P390" s="21">
        <f>YEAR(Продажи!$M390)</f>
        <v>2016</v>
      </c>
      <c r="Q390" s="28">
        <f>WEEKNUM(Продажи!$M390,2)</f>
        <v>41</v>
      </c>
      <c r="R390" s="28">
        <f>IF((Продажи!$E390="Зеленый чай")*(Продажи!$Q390&gt;=7)*(Продажи!$Q390&lt;=42),Продажи!$K390,0)</f>
        <v>0</v>
      </c>
      <c r="S390" s="28" t="b">
        <f t="shared" si="0"/>
        <v>0</v>
      </c>
    </row>
    <row r="391" spans="3:19" ht="15.75" customHeight="1" x14ac:dyDescent="0.2">
      <c r="C391" s="26">
        <v>48</v>
      </c>
      <c r="D391" s="21" t="s">
        <v>2471</v>
      </c>
      <c r="E391" s="21" t="s">
        <v>2438</v>
      </c>
      <c r="F391" s="21" t="s">
        <v>2472</v>
      </c>
      <c r="G391" s="21">
        <v>2199</v>
      </c>
      <c r="H391" s="21" t="s">
        <v>2440</v>
      </c>
      <c r="I391" s="21">
        <v>55</v>
      </c>
      <c r="J391" s="21">
        <v>120945</v>
      </c>
      <c r="K391" s="21">
        <v>0.15</v>
      </c>
      <c r="L391" s="21">
        <v>102803.25</v>
      </c>
      <c r="M391" s="24">
        <v>43342</v>
      </c>
      <c r="N391" s="21">
        <f>MONTH(Продажи!$M391)</f>
        <v>8</v>
      </c>
      <c r="O391" s="21">
        <f>WEEKDAY(Продажи!$M391,2)</f>
        <v>4</v>
      </c>
      <c r="P391" s="21">
        <f>YEAR(Продажи!$M391)</f>
        <v>2018</v>
      </c>
      <c r="Q391" s="28">
        <f>WEEKNUM(Продажи!$M391,2)</f>
        <v>35</v>
      </c>
      <c r="R391" s="28">
        <f>IF((Продажи!$E391="Зеленый чай")*(Продажи!$Q391&gt;=7)*(Продажи!$Q391&lt;=42),Продажи!$K391,0)</f>
        <v>0.15</v>
      </c>
      <c r="S391" s="28">
        <f t="shared" si="0"/>
        <v>102803.25</v>
      </c>
    </row>
    <row r="392" spans="3:19" ht="15.75" customHeight="1" x14ac:dyDescent="0.2">
      <c r="C392" s="26">
        <v>26</v>
      </c>
      <c r="D392" s="21" t="s">
        <v>2464</v>
      </c>
      <c r="E392" s="21" t="s">
        <v>2442</v>
      </c>
      <c r="F392" s="21" t="s">
        <v>2443</v>
      </c>
      <c r="G392" s="21">
        <v>2197</v>
      </c>
      <c r="H392" s="21" t="s">
        <v>2440</v>
      </c>
      <c r="I392" s="21">
        <v>40</v>
      </c>
      <c r="J392" s="21">
        <v>87880</v>
      </c>
      <c r="K392" s="21">
        <v>0.12</v>
      </c>
      <c r="L392" s="21">
        <v>77334.399999999994</v>
      </c>
      <c r="M392" s="24">
        <v>42810</v>
      </c>
      <c r="N392" s="21">
        <f>MONTH(Продажи!$M392)</f>
        <v>3</v>
      </c>
      <c r="O392" s="21">
        <f>WEEKDAY(Продажи!$M392,2)</f>
        <v>4</v>
      </c>
      <c r="P392" s="21">
        <f>YEAR(Продажи!$M392)</f>
        <v>2017</v>
      </c>
      <c r="Q392" s="28">
        <f>WEEKNUM(Продажи!$M392,2)</f>
        <v>12</v>
      </c>
      <c r="R392" s="28">
        <f>IF((Продажи!$E392="Зеленый чай")*(Продажи!$Q392&gt;=7)*(Продажи!$Q392&lt;=42),Продажи!$K392,0)</f>
        <v>0</v>
      </c>
      <c r="S392" s="28" t="b">
        <f t="shared" si="0"/>
        <v>0</v>
      </c>
    </row>
    <row r="393" spans="3:19" ht="15.75" customHeight="1" x14ac:dyDescent="0.2">
      <c r="C393" s="26">
        <v>3</v>
      </c>
      <c r="D393" s="21" t="s">
        <v>2445</v>
      </c>
      <c r="E393" s="21" t="s">
        <v>2446</v>
      </c>
      <c r="F393" s="21" t="s">
        <v>2446</v>
      </c>
      <c r="G393" s="21">
        <v>807</v>
      </c>
      <c r="H393" s="21" t="s">
        <v>2440</v>
      </c>
      <c r="I393" s="21">
        <v>18</v>
      </c>
      <c r="J393" s="21">
        <v>14526</v>
      </c>
      <c r="K393" s="21">
        <v>0</v>
      </c>
      <c r="L393" s="21">
        <v>14526</v>
      </c>
      <c r="M393" s="24">
        <v>42317</v>
      </c>
      <c r="N393" s="21">
        <f>MONTH(Продажи!$M393)</f>
        <v>11</v>
      </c>
      <c r="O393" s="21">
        <f>WEEKDAY(Продажи!$M393,2)</f>
        <v>1</v>
      </c>
      <c r="P393" s="21">
        <f>YEAR(Продажи!$M393)</f>
        <v>2015</v>
      </c>
      <c r="Q393" s="28">
        <f>WEEKNUM(Продажи!$M393,2)</f>
        <v>46</v>
      </c>
      <c r="R393" s="28">
        <f>IF((Продажи!$E393="Зеленый чай")*(Продажи!$Q393&gt;=7)*(Продажи!$Q393&lt;=42),Продажи!$K393,0)</f>
        <v>0</v>
      </c>
      <c r="S393" s="28" t="b">
        <f t="shared" si="0"/>
        <v>0</v>
      </c>
    </row>
    <row r="394" spans="3:19" ht="15.75" customHeight="1" x14ac:dyDescent="0.2">
      <c r="C394" s="26">
        <v>17</v>
      </c>
      <c r="D394" s="21" t="s">
        <v>2465</v>
      </c>
      <c r="E394" s="21" t="s">
        <v>2446</v>
      </c>
      <c r="F394" s="21" t="s">
        <v>2466</v>
      </c>
      <c r="G394" s="21">
        <v>967</v>
      </c>
      <c r="H394" s="21" t="s">
        <v>2444</v>
      </c>
      <c r="I394" s="21">
        <v>12</v>
      </c>
      <c r="J394" s="21">
        <v>11604</v>
      </c>
      <c r="K394" s="21">
        <v>0</v>
      </c>
      <c r="L394" s="21">
        <v>11604</v>
      </c>
      <c r="M394" s="24">
        <v>44157</v>
      </c>
      <c r="N394" s="21">
        <f>MONTH(Продажи!$M394)</f>
        <v>11</v>
      </c>
      <c r="O394" s="21">
        <f>WEEKDAY(Продажи!$M394,2)</f>
        <v>7</v>
      </c>
      <c r="P394" s="21">
        <f>YEAR(Продажи!$M394)</f>
        <v>2020</v>
      </c>
      <c r="Q394" s="28">
        <f>WEEKNUM(Продажи!$M394,2)</f>
        <v>47</v>
      </c>
      <c r="R394" s="28">
        <f>IF((Продажи!$E394="Зеленый чай")*(Продажи!$Q394&gt;=7)*(Продажи!$Q394&lt;=42),Продажи!$K394,0)</f>
        <v>0</v>
      </c>
      <c r="S394" s="28">
        <f t="shared" si="0"/>
        <v>11604</v>
      </c>
    </row>
    <row r="395" spans="3:19" ht="15.75" customHeight="1" x14ac:dyDescent="0.2">
      <c r="C395" s="26">
        <v>17</v>
      </c>
      <c r="D395" s="21" t="s">
        <v>2465</v>
      </c>
      <c r="E395" s="21" t="s">
        <v>2446</v>
      </c>
      <c r="F395" s="21" t="s">
        <v>2466</v>
      </c>
      <c r="G395" s="21">
        <v>967</v>
      </c>
      <c r="H395" s="21" t="s">
        <v>2444</v>
      </c>
      <c r="I395" s="21">
        <v>12</v>
      </c>
      <c r="J395" s="21">
        <v>11604</v>
      </c>
      <c r="K395" s="21">
        <v>0</v>
      </c>
      <c r="L395" s="21">
        <v>11604</v>
      </c>
      <c r="M395" s="24">
        <v>43259</v>
      </c>
      <c r="N395" s="21">
        <f>MONTH(Продажи!$M395)</f>
        <v>6</v>
      </c>
      <c r="O395" s="21">
        <f>WEEKDAY(Продажи!$M395,2)</f>
        <v>5</v>
      </c>
      <c r="P395" s="21">
        <f>YEAR(Продажи!$M395)</f>
        <v>2018</v>
      </c>
      <c r="Q395" s="28">
        <f>WEEKNUM(Продажи!$M395,2)</f>
        <v>23</v>
      </c>
      <c r="R395" s="28">
        <f>IF((Продажи!$E395="Зеленый чай")*(Продажи!$Q395&gt;=7)*(Продажи!$Q395&lt;=42),Продажи!$K395,0)</f>
        <v>0</v>
      </c>
      <c r="S395" s="28" t="b">
        <f t="shared" si="0"/>
        <v>0</v>
      </c>
    </row>
    <row r="396" spans="3:19" ht="15.75" customHeight="1" x14ac:dyDescent="0.2">
      <c r="C396" s="26">
        <v>40</v>
      </c>
      <c r="D396" s="21" t="s">
        <v>2477</v>
      </c>
      <c r="E396" s="21" t="s">
        <v>2454</v>
      </c>
      <c r="F396" s="21" t="s">
        <v>2478</v>
      </c>
      <c r="G396" s="21">
        <v>847</v>
      </c>
      <c r="H396" s="21" t="s">
        <v>2440</v>
      </c>
      <c r="I396" s="21">
        <v>15</v>
      </c>
      <c r="J396" s="21">
        <v>12705</v>
      </c>
      <c r="K396" s="21">
        <v>0</v>
      </c>
      <c r="L396" s="21">
        <v>12705</v>
      </c>
      <c r="M396" s="24">
        <v>43084</v>
      </c>
      <c r="N396" s="21">
        <f>MONTH(Продажи!$M396)</f>
        <v>12</v>
      </c>
      <c r="O396" s="21">
        <f>WEEKDAY(Продажи!$M396,2)</f>
        <v>5</v>
      </c>
      <c r="P396" s="21">
        <f>YEAR(Продажи!$M396)</f>
        <v>2017</v>
      </c>
      <c r="Q396" s="28">
        <f>WEEKNUM(Продажи!$M396,2)</f>
        <v>51</v>
      </c>
      <c r="R396" s="28">
        <f>IF((Продажи!$E396="Зеленый чай")*(Продажи!$Q396&gt;=7)*(Продажи!$Q396&lt;=42),Продажи!$K396,0)</f>
        <v>0</v>
      </c>
      <c r="S396" s="28" t="b">
        <f t="shared" si="0"/>
        <v>0</v>
      </c>
    </row>
    <row r="397" spans="3:19" ht="15.75" customHeight="1" x14ac:dyDescent="0.2">
      <c r="C397" s="26">
        <v>1</v>
      </c>
      <c r="D397" s="21" t="s">
        <v>2459</v>
      </c>
      <c r="E397" s="21" t="s">
        <v>2438</v>
      </c>
      <c r="F397" s="21" t="s">
        <v>2460</v>
      </c>
      <c r="G397" s="21">
        <v>876</v>
      </c>
      <c r="H397" s="21" t="s">
        <v>2444</v>
      </c>
      <c r="I397" s="21">
        <v>20</v>
      </c>
      <c r="J397" s="21">
        <v>17520</v>
      </c>
      <c r="K397" s="21">
        <v>0.03</v>
      </c>
      <c r="L397" s="21">
        <v>16994.400000000001</v>
      </c>
      <c r="M397" s="24">
        <v>44167</v>
      </c>
      <c r="N397" s="21">
        <f>MONTH(Продажи!$M397)</f>
        <v>12</v>
      </c>
      <c r="O397" s="21">
        <f>WEEKDAY(Продажи!$M397,2)</f>
        <v>3</v>
      </c>
      <c r="P397" s="21">
        <f>YEAR(Продажи!$M397)</f>
        <v>2020</v>
      </c>
      <c r="Q397" s="28">
        <f>WEEKNUM(Продажи!$M397,2)</f>
        <v>49</v>
      </c>
      <c r="R397" s="28">
        <f>IF((Продажи!$E397="Зеленый чай")*(Продажи!$Q397&gt;=7)*(Продажи!$Q397&lt;=42),Продажи!$K397,0)</f>
        <v>0</v>
      </c>
      <c r="S397" s="28" t="b">
        <f t="shared" si="0"/>
        <v>0</v>
      </c>
    </row>
    <row r="398" spans="3:19" ht="15.75" customHeight="1" x14ac:dyDescent="0.2">
      <c r="C398" s="26">
        <v>47</v>
      </c>
      <c r="D398" s="21" t="s">
        <v>2461</v>
      </c>
      <c r="E398" s="21" t="s">
        <v>2462</v>
      </c>
      <c r="F398" s="21" t="s">
        <v>2463</v>
      </c>
      <c r="G398" s="21">
        <v>1994</v>
      </c>
      <c r="H398" s="21" t="s">
        <v>2444</v>
      </c>
      <c r="I398" s="21">
        <v>12</v>
      </c>
      <c r="J398" s="21">
        <v>23928</v>
      </c>
      <c r="K398" s="21">
        <v>0.03</v>
      </c>
      <c r="L398" s="21">
        <v>23210.16</v>
      </c>
      <c r="M398" s="24">
        <v>42346</v>
      </c>
      <c r="N398" s="21">
        <f>MONTH(Продажи!$M398)</f>
        <v>12</v>
      </c>
      <c r="O398" s="21">
        <f>WEEKDAY(Продажи!$M398,2)</f>
        <v>2</v>
      </c>
      <c r="P398" s="21">
        <f>YEAR(Продажи!$M398)</f>
        <v>2015</v>
      </c>
      <c r="Q398" s="28">
        <f>WEEKNUM(Продажи!$M398,2)</f>
        <v>50</v>
      </c>
      <c r="R398" s="28">
        <f>IF((Продажи!$E398="Зеленый чай")*(Продажи!$Q398&gt;=7)*(Продажи!$Q398&lt;=42),Продажи!$K398,0)</f>
        <v>0</v>
      </c>
      <c r="S398" s="28" t="b">
        <f t="shared" si="0"/>
        <v>0</v>
      </c>
    </row>
    <row r="399" spans="3:19" ht="15.75" customHeight="1" x14ac:dyDescent="0.2">
      <c r="C399" s="26">
        <v>17</v>
      </c>
      <c r="D399" s="21" t="s">
        <v>2465</v>
      </c>
      <c r="E399" s="21" t="s">
        <v>2446</v>
      </c>
      <c r="F399" s="21" t="s">
        <v>2466</v>
      </c>
      <c r="G399" s="21">
        <v>967</v>
      </c>
      <c r="H399" s="21" t="s">
        <v>2444</v>
      </c>
      <c r="I399" s="21">
        <v>12</v>
      </c>
      <c r="J399" s="21">
        <v>11604</v>
      </c>
      <c r="K399" s="21">
        <v>0</v>
      </c>
      <c r="L399" s="21">
        <v>11604</v>
      </c>
      <c r="M399" s="24">
        <v>42667</v>
      </c>
      <c r="N399" s="21">
        <f>MONTH(Продажи!$M399)</f>
        <v>10</v>
      </c>
      <c r="O399" s="21">
        <f>WEEKDAY(Продажи!$M399,2)</f>
        <v>1</v>
      </c>
      <c r="P399" s="21">
        <f>YEAR(Продажи!$M399)</f>
        <v>2016</v>
      </c>
      <c r="Q399" s="28">
        <f>WEEKNUM(Продажи!$M399,2)</f>
        <v>44</v>
      </c>
      <c r="R399" s="28">
        <f>IF((Продажи!$E399="Зеленый чай")*(Продажи!$Q399&gt;=7)*(Продажи!$Q399&lt;=42),Продажи!$K399,0)</f>
        <v>0</v>
      </c>
      <c r="S399" s="28">
        <f t="shared" si="0"/>
        <v>11604</v>
      </c>
    </row>
    <row r="400" spans="3:19" ht="15.75" customHeight="1" x14ac:dyDescent="0.2">
      <c r="C400" s="26">
        <v>14</v>
      </c>
      <c r="D400" s="21" t="s">
        <v>2475</v>
      </c>
      <c r="E400" s="21" t="s">
        <v>2476</v>
      </c>
      <c r="F400" s="21" t="s">
        <v>2476</v>
      </c>
      <c r="G400" s="21">
        <v>770</v>
      </c>
      <c r="H400" s="21" t="s">
        <v>2440</v>
      </c>
      <c r="I400" s="21">
        <v>20</v>
      </c>
      <c r="J400" s="21">
        <v>15400</v>
      </c>
      <c r="K400" s="21">
        <v>0.03</v>
      </c>
      <c r="L400" s="21">
        <v>14938</v>
      </c>
      <c r="M400" s="24">
        <v>43954</v>
      </c>
      <c r="N400" s="21">
        <f>MONTH(Продажи!$M400)</f>
        <v>5</v>
      </c>
      <c r="O400" s="21">
        <f>WEEKDAY(Продажи!$M400,2)</f>
        <v>7</v>
      </c>
      <c r="P400" s="21">
        <f>YEAR(Продажи!$M400)</f>
        <v>2020</v>
      </c>
      <c r="Q400" s="28">
        <f>WEEKNUM(Продажи!$M400,2)</f>
        <v>18</v>
      </c>
      <c r="R400" s="28">
        <f>IF((Продажи!$E400="Зеленый чай")*(Продажи!$Q400&gt;=7)*(Продажи!$Q400&lt;=42),Продажи!$K400,0)</f>
        <v>0</v>
      </c>
      <c r="S400" s="28" t="b">
        <f t="shared" si="0"/>
        <v>0</v>
      </c>
    </row>
    <row r="401" spans="3:19" ht="15.75" customHeight="1" x14ac:dyDescent="0.2">
      <c r="C401" s="26">
        <v>51</v>
      </c>
      <c r="D401" s="21" t="s">
        <v>2449</v>
      </c>
      <c r="E401" s="21" t="s">
        <v>2448</v>
      </c>
      <c r="F401" s="21" t="s">
        <v>2450</v>
      </c>
      <c r="G401" s="21">
        <v>2211</v>
      </c>
      <c r="H401" s="21" t="s">
        <v>2444</v>
      </c>
      <c r="I401" s="21">
        <v>25</v>
      </c>
      <c r="J401" s="21">
        <v>55275</v>
      </c>
      <c r="K401" s="21">
        <v>0.09</v>
      </c>
      <c r="L401" s="21">
        <v>50300.25</v>
      </c>
      <c r="M401" s="24">
        <v>42513</v>
      </c>
      <c r="N401" s="21">
        <f>MONTH(Продажи!$M401)</f>
        <v>5</v>
      </c>
      <c r="O401" s="21">
        <f>WEEKDAY(Продажи!$M401,2)</f>
        <v>1</v>
      </c>
      <c r="P401" s="21">
        <f>YEAR(Продажи!$M401)</f>
        <v>2016</v>
      </c>
      <c r="Q401" s="28">
        <f>WEEKNUM(Продажи!$M401,2)</f>
        <v>22</v>
      </c>
      <c r="R401" s="28">
        <f>IF((Продажи!$E401="Зеленый чай")*(Продажи!$Q401&gt;=7)*(Продажи!$Q401&lt;=42),Продажи!$K401,0)</f>
        <v>0</v>
      </c>
      <c r="S401" s="28">
        <f t="shared" si="0"/>
        <v>50300.25</v>
      </c>
    </row>
    <row r="402" spans="3:19" ht="15.75" customHeight="1" x14ac:dyDescent="0.2">
      <c r="C402" s="26">
        <v>42</v>
      </c>
      <c r="D402" s="21" t="s">
        <v>2451</v>
      </c>
      <c r="E402" s="21" t="s">
        <v>2438</v>
      </c>
      <c r="F402" s="21" t="s">
        <v>2452</v>
      </c>
      <c r="G402" s="21">
        <v>800</v>
      </c>
      <c r="H402" s="21" t="s">
        <v>2440</v>
      </c>
      <c r="I402" s="21">
        <v>25</v>
      </c>
      <c r="J402" s="21">
        <v>20000</v>
      </c>
      <c r="K402" s="21">
        <v>0.03</v>
      </c>
      <c r="L402" s="21">
        <v>19400</v>
      </c>
      <c r="M402" s="24">
        <v>44145</v>
      </c>
      <c r="N402" s="21">
        <f>MONTH(Продажи!$M402)</f>
        <v>11</v>
      </c>
      <c r="O402" s="21">
        <f>WEEKDAY(Продажи!$M402,2)</f>
        <v>2</v>
      </c>
      <c r="P402" s="21">
        <f>YEAR(Продажи!$M402)</f>
        <v>2020</v>
      </c>
      <c r="Q402" s="28">
        <f>WEEKNUM(Продажи!$M402,2)</f>
        <v>46</v>
      </c>
      <c r="R402" s="28">
        <f>IF((Продажи!$E402="Зеленый чай")*(Продажи!$Q402&gt;=7)*(Продажи!$Q402&lt;=42),Продажи!$K402,0)</f>
        <v>0</v>
      </c>
      <c r="S402" s="28" t="b">
        <f t="shared" si="0"/>
        <v>0</v>
      </c>
    </row>
    <row r="403" spans="3:19" ht="15.75" customHeight="1" x14ac:dyDescent="0.2">
      <c r="C403" s="26">
        <v>40</v>
      </c>
      <c r="D403" s="21" t="s">
        <v>2477</v>
      </c>
      <c r="E403" s="21" t="s">
        <v>2454</v>
      </c>
      <c r="F403" s="21" t="s">
        <v>2478</v>
      </c>
      <c r="G403" s="21">
        <v>847</v>
      </c>
      <c r="H403" s="21" t="s">
        <v>2440</v>
      </c>
      <c r="I403" s="21">
        <v>15</v>
      </c>
      <c r="J403" s="21">
        <v>12705</v>
      </c>
      <c r="K403" s="21">
        <v>0</v>
      </c>
      <c r="L403" s="21">
        <v>12705</v>
      </c>
      <c r="M403" s="24">
        <v>44070</v>
      </c>
      <c r="N403" s="21">
        <f>MONTH(Продажи!$M403)</f>
        <v>8</v>
      </c>
      <c r="O403" s="21">
        <f>WEEKDAY(Продажи!$M403,2)</f>
        <v>4</v>
      </c>
      <c r="P403" s="21">
        <f>YEAR(Продажи!$M403)</f>
        <v>2020</v>
      </c>
      <c r="Q403" s="28">
        <f>WEEKNUM(Продажи!$M403,2)</f>
        <v>35</v>
      </c>
      <c r="R403" s="28">
        <f>IF((Продажи!$E403="Зеленый чай")*(Продажи!$Q403&gt;=7)*(Продажи!$Q403&lt;=42),Продажи!$K403,0)</f>
        <v>0</v>
      </c>
      <c r="S403" s="28">
        <f t="shared" si="0"/>
        <v>12705</v>
      </c>
    </row>
    <row r="404" spans="3:19" ht="15.75" customHeight="1" x14ac:dyDescent="0.2">
      <c r="C404" s="26">
        <v>34</v>
      </c>
      <c r="D404" s="21" t="s">
        <v>2471</v>
      </c>
      <c r="E404" s="21" t="s">
        <v>2438</v>
      </c>
      <c r="F404" s="21" t="s">
        <v>2472</v>
      </c>
      <c r="G404" s="21">
        <v>2199</v>
      </c>
      <c r="H404" s="21" t="s">
        <v>2440</v>
      </c>
      <c r="I404" s="21">
        <v>60</v>
      </c>
      <c r="J404" s="21">
        <v>131940</v>
      </c>
      <c r="K404" s="21">
        <v>0.15</v>
      </c>
      <c r="L404" s="21">
        <v>112149</v>
      </c>
      <c r="M404" s="24">
        <v>44116</v>
      </c>
      <c r="N404" s="21">
        <f>MONTH(Продажи!$M404)</f>
        <v>10</v>
      </c>
      <c r="O404" s="21">
        <f>WEEKDAY(Продажи!$M404,2)</f>
        <v>1</v>
      </c>
      <c r="P404" s="21">
        <f>YEAR(Продажи!$M404)</f>
        <v>2020</v>
      </c>
      <c r="Q404" s="28">
        <f>WEEKNUM(Продажи!$M404,2)</f>
        <v>42</v>
      </c>
      <c r="R404" s="28">
        <f>IF((Продажи!$E404="Зеленый чай")*(Продажи!$Q404&gt;=7)*(Продажи!$Q404&lt;=42),Продажи!$K404,0)</f>
        <v>0.15</v>
      </c>
      <c r="S404" s="28" t="b">
        <f t="shared" si="0"/>
        <v>0</v>
      </c>
    </row>
    <row r="405" spans="3:19" ht="15.75" customHeight="1" x14ac:dyDescent="0.2">
      <c r="C405" s="26">
        <v>36</v>
      </c>
      <c r="D405" s="21" t="s">
        <v>2481</v>
      </c>
      <c r="E405" s="21" t="s">
        <v>2454</v>
      </c>
      <c r="F405" s="21" t="s">
        <v>2482</v>
      </c>
      <c r="G405" s="21">
        <v>912</v>
      </c>
      <c r="H405" s="21" t="s">
        <v>2440</v>
      </c>
      <c r="I405" s="21">
        <v>15</v>
      </c>
      <c r="J405" s="21">
        <v>13680</v>
      </c>
      <c r="K405" s="21">
        <v>0</v>
      </c>
      <c r="L405" s="21">
        <v>13680</v>
      </c>
      <c r="M405" s="24">
        <v>43609</v>
      </c>
      <c r="N405" s="21">
        <f>MONTH(Продажи!$M405)</f>
        <v>5</v>
      </c>
      <c r="O405" s="21">
        <f>WEEKDAY(Продажи!$M405,2)</f>
        <v>5</v>
      </c>
      <c r="P405" s="21">
        <f>YEAR(Продажи!$M405)</f>
        <v>2019</v>
      </c>
      <c r="Q405" s="28">
        <f>WEEKNUM(Продажи!$M405,2)</f>
        <v>21</v>
      </c>
      <c r="R405" s="28">
        <f>IF((Продажи!$E405="Зеленый чай")*(Продажи!$Q405&gt;=7)*(Продажи!$Q405&lt;=42),Продажи!$K405,0)</f>
        <v>0</v>
      </c>
      <c r="S405" s="28">
        <f t="shared" si="0"/>
        <v>13680</v>
      </c>
    </row>
    <row r="406" spans="3:19" ht="15.75" customHeight="1" x14ac:dyDescent="0.2">
      <c r="C406" s="26">
        <v>19</v>
      </c>
      <c r="D406" s="21" t="s">
        <v>2488</v>
      </c>
      <c r="E406" s="21" t="s">
        <v>2454</v>
      </c>
      <c r="F406" s="21" t="s">
        <v>2489</v>
      </c>
      <c r="G406" s="21">
        <v>1879</v>
      </c>
      <c r="H406" s="21" t="s">
        <v>2440</v>
      </c>
      <c r="I406" s="21">
        <v>15</v>
      </c>
      <c r="J406" s="21">
        <v>28185</v>
      </c>
      <c r="K406" s="21">
        <v>0.03</v>
      </c>
      <c r="L406" s="21">
        <v>27339.45</v>
      </c>
      <c r="M406" s="24">
        <v>43019</v>
      </c>
      <c r="N406" s="21">
        <f>MONTH(Продажи!$M406)</f>
        <v>10</v>
      </c>
      <c r="O406" s="21">
        <f>WEEKDAY(Продажи!$M406,2)</f>
        <v>3</v>
      </c>
      <c r="P406" s="21">
        <f>YEAR(Продажи!$M406)</f>
        <v>2017</v>
      </c>
      <c r="Q406" s="28">
        <f>WEEKNUM(Продажи!$M406,2)</f>
        <v>42</v>
      </c>
      <c r="R406" s="28">
        <f>IF((Продажи!$E406="Зеленый чай")*(Продажи!$Q406&gt;=7)*(Продажи!$Q406&lt;=42),Продажи!$K406,0)</f>
        <v>0</v>
      </c>
      <c r="S406" s="28" t="b">
        <f t="shared" si="0"/>
        <v>0</v>
      </c>
    </row>
    <row r="407" spans="3:19" ht="15.75" customHeight="1" x14ac:dyDescent="0.2">
      <c r="C407" s="26">
        <v>47</v>
      </c>
      <c r="D407" s="21" t="s">
        <v>2461</v>
      </c>
      <c r="E407" s="21" t="s">
        <v>2462</v>
      </c>
      <c r="F407" s="21" t="s">
        <v>2463</v>
      </c>
      <c r="G407" s="21">
        <v>1994</v>
      </c>
      <c r="H407" s="21" t="s">
        <v>2444</v>
      </c>
      <c r="I407" s="21">
        <v>12</v>
      </c>
      <c r="J407" s="21">
        <v>23928</v>
      </c>
      <c r="K407" s="21">
        <v>0.03</v>
      </c>
      <c r="L407" s="21">
        <v>23210.16</v>
      </c>
      <c r="M407" s="24">
        <v>43396</v>
      </c>
      <c r="N407" s="21">
        <f>MONTH(Продажи!$M407)</f>
        <v>10</v>
      </c>
      <c r="O407" s="21">
        <f>WEEKDAY(Продажи!$M407,2)</f>
        <v>2</v>
      </c>
      <c r="P407" s="21">
        <f>YEAR(Продажи!$M407)</f>
        <v>2018</v>
      </c>
      <c r="Q407" s="28">
        <f>WEEKNUM(Продажи!$M407,2)</f>
        <v>43</v>
      </c>
      <c r="R407" s="28">
        <f>IF((Продажи!$E407="Зеленый чай")*(Продажи!$Q407&gt;=7)*(Продажи!$Q407&lt;=42),Продажи!$K407,0)</f>
        <v>0</v>
      </c>
      <c r="S407" s="28">
        <f t="shared" si="0"/>
        <v>23210.16</v>
      </c>
    </row>
    <row r="408" spans="3:19" ht="15.75" customHeight="1" x14ac:dyDescent="0.2">
      <c r="C408" s="26">
        <v>43</v>
      </c>
      <c r="D408" s="21" t="s">
        <v>2492</v>
      </c>
      <c r="E408" s="21" t="s">
        <v>2446</v>
      </c>
      <c r="F408" s="21" t="s">
        <v>2493</v>
      </c>
      <c r="G408" s="21">
        <v>759</v>
      </c>
      <c r="H408" s="21" t="s">
        <v>2444</v>
      </c>
      <c r="I408" s="21">
        <v>10</v>
      </c>
      <c r="J408" s="21">
        <v>7590</v>
      </c>
      <c r="K408" s="21">
        <v>0</v>
      </c>
      <c r="L408" s="21">
        <v>7590</v>
      </c>
      <c r="M408" s="24">
        <v>42009</v>
      </c>
      <c r="N408" s="21">
        <f>MONTH(Продажи!$M408)</f>
        <v>1</v>
      </c>
      <c r="O408" s="21">
        <f>WEEKDAY(Продажи!$M408,2)</f>
        <v>1</v>
      </c>
      <c r="P408" s="21">
        <f>YEAR(Продажи!$M408)</f>
        <v>2015</v>
      </c>
      <c r="Q408" s="28">
        <f>WEEKNUM(Продажи!$M408,2)</f>
        <v>2</v>
      </c>
      <c r="R408" s="28">
        <f>IF((Продажи!$E408="Зеленый чай")*(Продажи!$Q408&gt;=7)*(Продажи!$Q408&lt;=42),Продажи!$K408,0)</f>
        <v>0</v>
      </c>
      <c r="S408" s="28" t="b">
        <f t="shared" si="0"/>
        <v>0</v>
      </c>
    </row>
    <row r="409" spans="3:19" ht="15.75" customHeight="1" x14ac:dyDescent="0.2">
      <c r="C409" s="26">
        <v>12</v>
      </c>
      <c r="D409" s="21" t="s">
        <v>2453</v>
      </c>
      <c r="E409" s="21" t="s">
        <v>2454</v>
      </c>
      <c r="F409" s="21" t="s">
        <v>2455</v>
      </c>
      <c r="G409" s="21">
        <v>1386</v>
      </c>
      <c r="H409" s="21" t="s">
        <v>2440</v>
      </c>
      <c r="I409" s="21">
        <v>20</v>
      </c>
      <c r="J409" s="21">
        <v>27720</v>
      </c>
      <c r="K409" s="21">
        <v>0.03</v>
      </c>
      <c r="L409" s="21">
        <v>26888.400000000001</v>
      </c>
      <c r="M409" s="24">
        <v>43587</v>
      </c>
      <c r="N409" s="21">
        <f>MONTH(Продажи!$M409)</f>
        <v>5</v>
      </c>
      <c r="O409" s="21">
        <f>WEEKDAY(Продажи!$M409,2)</f>
        <v>4</v>
      </c>
      <c r="P409" s="21">
        <f>YEAR(Продажи!$M409)</f>
        <v>2019</v>
      </c>
      <c r="Q409" s="28">
        <f>WEEKNUM(Продажи!$M409,2)</f>
        <v>18</v>
      </c>
      <c r="R409" s="28">
        <f>IF((Продажи!$E409="Зеленый чай")*(Продажи!$Q409&gt;=7)*(Продажи!$Q409&lt;=42),Продажи!$K409,0)</f>
        <v>0</v>
      </c>
      <c r="S409" s="28" t="b">
        <f t="shared" si="0"/>
        <v>0</v>
      </c>
    </row>
    <row r="410" spans="3:19" ht="15.75" customHeight="1" x14ac:dyDescent="0.2">
      <c r="C410" s="26">
        <v>20</v>
      </c>
      <c r="D410" s="21" t="s">
        <v>2467</v>
      </c>
      <c r="E410" s="21" t="s">
        <v>2457</v>
      </c>
      <c r="F410" s="21" t="s">
        <v>2468</v>
      </c>
      <c r="G410" s="21">
        <v>2198</v>
      </c>
      <c r="H410" s="21" t="s">
        <v>2444</v>
      </c>
      <c r="I410" s="21">
        <v>35</v>
      </c>
      <c r="J410" s="21">
        <v>76930</v>
      </c>
      <c r="K410" s="21">
        <v>0.12</v>
      </c>
      <c r="L410" s="21">
        <v>67698.399999999994</v>
      </c>
      <c r="M410" s="24">
        <v>43659</v>
      </c>
      <c r="N410" s="21">
        <f>MONTH(Продажи!$M410)</f>
        <v>7</v>
      </c>
      <c r="O410" s="21">
        <f>WEEKDAY(Продажи!$M410,2)</f>
        <v>6</v>
      </c>
      <c r="P410" s="21">
        <f>YEAR(Продажи!$M410)</f>
        <v>2019</v>
      </c>
      <c r="Q410" s="28">
        <f>WEEKNUM(Продажи!$M410,2)</f>
        <v>28</v>
      </c>
      <c r="R410" s="28">
        <f>IF((Продажи!$E410="Зеленый чай")*(Продажи!$Q410&gt;=7)*(Продажи!$Q410&lt;=42),Продажи!$K410,0)</f>
        <v>0</v>
      </c>
      <c r="S410" s="28" t="b">
        <f t="shared" si="0"/>
        <v>0</v>
      </c>
    </row>
    <row r="411" spans="3:19" ht="15.75" customHeight="1" x14ac:dyDescent="0.2">
      <c r="C411" s="26">
        <v>45</v>
      </c>
      <c r="D411" s="21" t="s">
        <v>2507</v>
      </c>
      <c r="E411" s="21" t="s">
        <v>2446</v>
      </c>
      <c r="F411" s="21" t="s">
        <v>2493</v>
      </c>
      <c r="G411" s="21">
        <v>759</v>
      </c>
      <c r="H411" s="21" t="s">
        <v>2444</v>
      </c>
      <c r="I411" s="21">
        <v>14</v>
      </c>
      <c r="J411" s="21">
        <v>10626</v>
      </c>
      <c r="K411" s="21">
        <v>0</v>
      </c>
      <c r="L411" s="21">
        <v>10626</v>
      </c>
      <c r="M411" s="24">
        <v>43669</v>
      </c>
      <c r="N411" s="21">
        <f>MONTH(Продажи!$M411)</f>
        <v>7</v>
      </c>
      <c r="O411" s="21">
        <f>WEEKDAY(Продажи!$M411,2)</f>
        <v>2</v>
      </c>
      <c r="P411" s="21">
        <f>YEAR(Продажи!$M411)</f>
        <v>2019</v>
      </c>
      <c r="Q411" s="28">
        <f>WEEKNUM(Продажи!$M411,2)</f>
        <v>30</v>
      </c>
      <c r="R411" s="28">
        <f>IF((Продажи!$E411="Зеленый чай")*(Продажи!$Q411&gt;=7)*(Продажи!$Q411&lt;=42),Продажи!$K411,0)</f>
        <v>0</v>
      </c>
      <c r="S411" s="28">
        <f t="shared" si="0"/>
        <v>10626</v>
      </c>
    </row>
    <row r="412" spans="3:19" ht="15.75" customHeight="1" x14ac:dyDescent="0.2">
      <c r="C412" s="26">
        <v>42</v>
      </c>
      <c r="D412" s="21" t="s">
        <v>2451</v>
      </c>
      <c r="E412" s="21" t="s">
        <v>2438</v>
      </c>
      <c r="F412" s="21" t="s">
        <v>2452</v>
      </c>
      <c r="G412" s="21">
        <v>800</v>
      </c>
      <c r="H412" s="21" t="s">
        <v>2440</v>
      </c>
      <c r="I412" s="21">
        <v>25</v>
      </c>
      <c r="J412" s="21">
        <v>20000</v>
      </c>
      <c r="K412" s="21">
        <v>0.03</v>
      </c>
      <c r="L412" s="21">
        <v>19400</v>
      </c>
      <c r="M412" s="24">
        <v>42961</v>
      </c>
      <c r="N412" s="21">
        <f>MONTH(Продажи!$M412)</f>
        <v>8</v>
      </c>
      <c r="O412" s="21">
        <f>WEEKDAY(Продажи!$M412,2)</f>
        <v>1</v>
      </c>
      <c r="P412" s="21">
        <f>YEAR(Продажи!$M412)</f>
        <v>2017</v>
      </c>
      <c r="Q412" s="28">
        <f>WEEKNUM(Продажи!$M412,2)</f>
        <v>34</v>
      </c>
      <c r="R412" s="28">
        <f>IF((Продажи!$E412="Зеленый чай")*(Продажи!$Q412&gt;=7)*(Продажи!$Q412&lt;=42),Продажи!$K412,0)</f>
        <v>0.03</v>
      </c>
      <c r="S412" s="28" t="b">
        <f t="shared" si="0"/>
        <v>0</v>
      </c>
    </row>
    <row r="413" spans="3:19" ht="15.75" customHeight="1" x14ac:dyDescent="0.2">
      <c r="C413" s="26">
        <v>10</v>
      </c>
      <c r="D413" s="21" t="s">
        <v>2451</v>
      </c>
      <c r="E413" s="21" t="s">
        <v>2438</v>
      </c>
      <c r="F413" s="21" t="s">
        <v>2452</v>
      </c>
      <c r="G413" s="21">
        <v>800</v>
      </c>
      <c r="H413" s="21" t="s">
        <v>2440</v>
      </c>
      <c r="I413" s="21">
        <v>25</v>
      </c>
      <c r="J413" s="21">
        <v>20000</v>
      </c>
      <c r="K413" s="21">
        <v>0.03</v>
      </c>
      <c r="L413" s="21">
        <v>19400</v>
      </c>
      <c r="M413" s="24">
        <v>43934</v>
      </c>
      <c r="N413" s="21">
        <f>MONTH(Продажи!$M413)</f>
        <v>4</v>
      </c>
      <c r="O413" s="21">
        <f>WEEKDAY(Продажи!$M413,2)</f>
        <v>1</v>
      </c>
      <c r="P413" s="21">
        <f>YEAR(Продажи!$M413)</f>
        <v>2020</v>
      </c>
      <c r="Q413" s="28">
        <f>WEEKNUM(Продажи!$M413,2)</f>
        <v>16</v>
      </c>
      <c r="R413" s="28">
        <f>IF((Продажи!$E413="Зеленый чай")*(Продажи!$Q413&gt;=7)*(Продажи!$Q413&lt;=42),Продажи!$K413,0)</f>
        <v>0.03</v>
      </c>
      <c r="S413" s="28" t="b">
        <f t="shared" si="0"/>
        <v>0</v>
      </c>
    </row>
    <row r="414" spans="3:19" ht="15.75" customHeight="1" x14ac:dyDescent="0.2">
      <c r="C414" s="26">
        <v>41</v>
      </c>
      <c r="D414" s="21" t="s">
        <v>2447</v>
      </c>
      <c r="E414" s="21" t="s">
        <v>2448</v>
      </c>
      <c r="F414" s="21" t="s">
        <v>2448</v>
      </c>
      <c r="G414" s="21">
        <v>699</v>
      </c>
      <c r="H414" s="21" t="s">
        <v>2444</v>
      </c>
      <c r="I414" s="21">
        <v>10</v>
      </c>
      <c r="J414" s="21">
        <v>6990</v>
      </c>
      <c r="K414" s="21">
        <v>0</v>
      </c>
      <c r="L414" s="21">
        <v>6990</v>
      </c>
      <c r="M414" s="24">
        <v>42532</v>
      </c>
      <c r="N414" s="21">
        <f>MONTH(Продажи!$M414)</f>
        <v>6</v>
      </c>
      <c r="O414" s="21">
        <f>WEEKDAY(Продажи!$M414,2)</f>
        <v>6</v>
      </c>
      <c r="P414" s="21">
        <f>YEAR(Продажи!$M414)</f>
        <v>2016</v>
      </c>
      <c r="Q414" s="28">
        <f>WEEKNUM(Продажи!$M414,2)</f>
        <v>24</v>
      </c>
      <c r="R414" s="28">
        <f>IF((Продажи!$E414="Зеленый чай")*(Продажи!$Q414&gt;=7)*(Продажи!$Q414&lt;=42),Продажи!$K414,0)</f>
        <v>0</v>
      </c>
      <c r="S414" s="28" t="b">
        <f t="shared" si="0"/>
        <v>0</v>
      </c>
    </row>
    <row r="415" spans="3:19" ht="15.75" customHeight="1" x14ac:dyDescent="0.15"/>
    <row r="416" spans="3:19"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8DFF-1D8E-614A-9D8D-701753307A1A}">
  <dimension ref="C1:AF1000"/>
  <sheetViews>
    <sheetView topLeftCell="O1" workbookViewId="0">
      <selection activeCell="U9" sqref="U9"/>
    </sheetView>
  </sheetViews>
  <sheetFormatPr baseColWidth="10" defaultColWidth="12.6640625" defaultRowHeight="15" customHeight="1" x14ac:dyDescent="0.15"/>
  <cols>
    <col min="1" max="2" width="7.6640625" customWidth="1"/>
    <col min="3" max="3" width="9.6640625" customWidth="1"/>
    <col min="4" max="4" width="8.6640625" customWidth="1"/>
    <col min="5" max="5" width="10" customWidth="1"/>
    <col min="6" max="6" width="13.5" customWidth="1"/>
    <col min="7" max="7" width="10.6640625" customWidth="1"/>
    <col min="8" max="8" width="13.83203125" customWidth="1"/>
    <col min="9" max="9" width="21.1640625" customWidth="1"/>
    <col min="10" max="10" width="7.6640625" customWidth="1"/>
    <col min="11" max="11" width="7.83203125" customWidth="1"/>
    <col min="12" max="12" width="14.83203125" customWidth="1"/>
    <col min="13" max="13" width="10.6640625" customWidth="1"/>
    <col min="14" max="14" width="9" customWidth="1"/>
    <col min="15" max="15" width="9.83203125" customWidth="1"/>
    <col min="16" max="17" width="7.6640625" customWidth="1"/>
    <col min="18" max="18" width="15.5" customWidth="1"/>
    <col min="19" max="19" width="7.6640625" customWidth="1"/>
    <col min="20" max="20" width="18.83203125" customWidth="1"/>
    <col min="21" max="21" width="11.5" customWidth="1"/>
    <col min="22" max="22" width="10" customWidth="1"/>
    <col min="23" max="23" width="11.1640625" customWidth="1"/>
    <col min="24" max="26" width="7.6640625" customWidth="1"/>
  </cols>
  <sheetData>
    <row r="1" spans="3:32" x14ac:dyDescent="0.2">
      <c r="V1" s="21" t="s">
        <v>2418</v>
      </c>
      <c r="W1" s="25">
        <v>42705</v>
      </c>
    </row>
    <row r="2" spans="3:32" x14ac:dyDescent="0.2">
      <c r="V2" s="21" t="s">
        <v>2419</v>
      </c>
      <c r="W2" s="25">
        <v>43973</v>
      </c>
    </row>
    <row r="3" spans="3:32" x14ac:dyDescent="0.2">
      <c r="C3" s="21" t="s">
        <v>2420</v>
      </c>
      <c r="D3" s="26" t="s">
        <v>2421</v>
      </c>
      <c r="E3" s="26" t="s">
        <v>2422</v>
      </c>
      <c r="F3" s="26" t="s">
        <v>2423</v>
      </c>
      <c r="G3" s="26" t="s">
        <v>2424</v>
      </c>
      <c r="H3" s="26" t="s">
        <v>2425</v>
      </c>
      <c r="I3" s="26" t="s">
        <v>2426</v>
      </c>
      <c r="J3" s="26" t="s">
        <v>2427</v>
      </c>
      <c r="K3" s="26" t="s">
        <v>2428</v>
      </c>
      <c r="L3" s="26" t="s">
        <v>2429</v>
      </c>
      <c r="M3" s="26" t="s">
        <v>2430</v>
      </c>
      <c r="N3" t="s">
        <v>2524</v>
      </c>
      <c r="O3" t="s">
        <v>2432</v>
      </c>
      <c r="P3" t="s">
        <v>2526</v>
      </c>
      <c r="Q3" t="s">
        <v>2527</v>
      </c>
      <c r="R3" t="s">
        <v>2528</v>
      </c>
      <c r="S3" t="s">
        <v>2523</v>
      </c>
      <c r="U3">
        <f>COUNTIF(Table_36[Месяц],5)</f>
        <v>29</v>
      </c>
      <c r="V3" s="21">
        <f>COUNTIF('Продажи (2)'!$N$4:$N$414,"5")</f>
        <v>29</v>
      </c>
      <c r="W3" s="17" t="s">
        <v>30</v>
      </c>
    </row>
    <row r="4" spans="3:32" x14ac:dyDescent="0.2">
      <c r="C4" s="26">
        <v>53</v>
      </c>
      <c r="D4" s="21" t="s">
        <v>2437</v>
      </c>
      <c r="E4" s="21" t="s">
        <v>2438</v>
      </c>
      <c r="F4" s="21" t="s">
        <v>2439</v>
      </c>
      <c r="G4" s="21">
        <v>1923</v>
      </c>
      <c r="H4" s="21" t="s">
        <v>2440</v>
      </c>
      <c r="I4" s="21">
        <v>35</v>
      </c>
      <c r="J4" s="21">
        <v>67305</v>
      </c>
      <c r="K4" s="21">
        <v>0.06</v>
      </c>
      <c r="L4" s="21">
        <v>63266.7</v>
      </c>
      <c r="M4" s="25">
        <v>43417</v>
      </c>
      <c r="N4">
        <f>MONTH(Table_36[[#This Row],[Дата заказа]])</f>
        <v>11</v>
      </c>
      <c r="O4">
        <f>WEEKDAY(Table_36[[#This Row],[Дата заказа]])</f>
        <v>3</v>
      </c>
      <c r="P4">
        <f>DAY(Table_36[[#This Row],[Дата заказа]])</f>
        <v>13</v>
      </c>
      <c r="Q4">
        <f>YEAR(Table_36[[#This Row],[Дата заказа]])</f>
        <v>2018</v>
      </c>
      <c r="R4">
        <f>_xlfn.ISOWEEKNUM(Table_36[[#This Row],[Дата заказа]])</f>
        <v>46</v>
      </c>
      <c r="U4">
        <f>COUNTIF(Table_36[День нед],6)/COUNT(Table_36[День нед])</f>
        <v>0.16301703163017031</v>
      </c>
      <c r="V4" s="21">
        <f>COUNTIF('Продажи (2)'!$O$4:$O$414,"6")/SUM('Продажи (2)'!$O$4:$O$414)</f>
        <v>4.092852779474649E-2</v>
      </c>
      <c r="W4" s="17" t="s">
        <v>31</v>
      </c>
    </row>
    <row r="5" spans="3:32" x14ac:dyDescent="0.2">
      <c r="C5" s="26">
        <v>49</v>
      </c>
      <c r="D5" s="21" t="s">
        <v>2441</v>
      </c>
      <c r="E5" s="21" t="s">
        <v>2442</v>
      </c>
      <c r="F5" s="21" t="s">
        <v>2443</v>
      </c>
      <c r="G5" s="21">
        <v>617</v>
      </c>
      <c r="H5" s="21" t="s">
        <v>2444</v>
      </c>
      <c r="I5" s="21">
        <v>25</v>
      </c>
      <c r="J5" s="21">
        <v>15425</v>
      </c>
      <c r="K5" s="21">
        <v>0</v>
      </c>
      <c r="L5" s="21">
        <v>15425</v>
      </c>
      <c r="M5" s="25">
        <v>43724</v>
      </c>
      <c r="N5">
        <f>MONTH(Table_36[[#This Row],[Дата заказа]])</f>
        <v>9</v>
      </c>
      <c r="O5">
        <f>WEEKDAY(Table_36[[#This Row],[Дата заказа]])</f>
        <v>2</v>
      </c>
      <c r="P5">
        <f>DAY(Table_36[[#This Row],[Дата заказа]])</f>
        <v>16</v>
      </c>
      <c r="Q5">
        <f>YEAR(Table_36[[#This Row],[Дата заказа]])</f>
        <v>2019</v>
      </c>
      <c r="R5">
        <f>_xlfn.ISOWEEKNUM(Table_36[[#This Row],[Дата заказа]])</f>
        <v>38</v>
      </c>
      <c r="U5">
        <f>SUMIFS(Table_36[Итого],Table_36[Дата заказа],"&gt;="&amp;W1,Table_36[Дата заказа],"&lt;="&amp;W2)</f>
        <v>7296066</v>
      </c>
      <c r="V5" s="21">
        <f>SUMIFS('Продажи (2)'!$J$4:$J$414,'Продажи (2)'!$M$4:$M$414,"&lt;="&amp;W2,'Продажи (2)'!$M$4:$M$414,"&gt;="&amp;W1)</f>
        <v>7296066</v>
      </c>
      <c r="W5" s="17" t="s">
        <v>32</v>
      </c>
    </row>
    <row r="6" spans="3:32" x14ac:dyDescent="0.2">
      <c r="C6" s="26">
        <v>3</v>
      </c>
      <c r="D6" s="21" t="s">
        <v>2445</v>
      </c>
      <c r="E6" s="21" t="s">
        <v>2446</v>
      </c>
      <c r="F6" s="21" t="s">
        <v>2446</v>
      </c>
      <c r="G6" s="21">
        <v>807</v>
      </c>
      <c r="H6" s="21" t="s">
        <v>2440</v>
      </c>
      <c r="I6" s="21">
        <v>18</v>
      </c>
      <c r="J6" s="21">
        <v>14526</v>
      </c>
      <c r="K6" s="21">
        <v>0</v>
      </c>
      <c r="L6" s="21">
        <v>14526</v>
      </c>
      <c r="M6" s="25">
        <v>42413</v>
      </c>
      <c r="N6">
        <f>MONTH(Table_36[[#This Row],[Дата заказа]])</f>
        <v>2</v>
      </c>
      <c r="O6">
        <f>WEEKDAY(Table_36[[#This Row],[Дата заказа]])</f>
        <v>7</v>
      </c>
      <c r="P6">
        <f>DAY(Table_36[[#This Row],[Дата заказа]])</f>
        <v>13</v>
      </c>
      <c r="Q6">
        <f>YEAR(Table_36[[#This Row],[Дата заказа]])</f>
        <v>2016</v>
      </c>
      <c r="R6">
        <f>_xlfn.ISOWEEKNUM(Table_36[[#This Row],[Дата заказа]])</f>
        <v>6</v>
      </c>
      <c r="U6">
        <f>AVERAGEIFS(Table_36[Итого со скидкой],Table_36[День],"&gt;=21",Table_36[День],"&lt;=30")</f>
        <v>26322.454496124035</v>
      </c>
      <c r="V6" s="21">
        <f>AVERAGE(Продажи!$S$4:$S$414)</f>
        <v>25877.877259259261</v>
      </c>
      <c r="W6" s="17" t="s">
        <v>33</v>
      </c>
      <c r="AF6" t="s">
        <v>2525</v>
      </c>
    </row>
    <row r="7" spans="3:32" x14ac:dyDescent="0.2">
      <c r="C7" s="26">
        <v>9</v>
      </c>
      <c r="D7" s="21" t="s">
        <v>2447</v>
      </c>
      <c r="E7" s="21" t="s">
        <v>2448</v>
      </c>
      <c r="F7" s="21" t="s">
        <v>2448</v>
      </c>
      <c r="G7" s="21">
        <v>699</v>
      </c>
      <c r="H7" s="21" t="s">
        <v>2444</v>
      </c>
      <c r="I7" s="21">
        <v>10</v>
      </c>
      <c r="J7" s="21">
        <v>6990</v>
      </c>
      <c r="K7" s="21">
        <v>0</v>
      </c>
      <c r="L7" s="21">
        <v>6990</v>
      </c>
      <c r="M7" s="25">
        <v>42673</v>
      </c>
      <c r="N7">
        <f>MONTH(Table_36[[#This Row],[Дата заказа]])</f>
        <v>10</v>
      </c>
      <c r="O7">
        <f>WEEKDAY(Table_36[[#This Row],[Дата заказа]])</f>
        <v>1</v>
      </c>
      <c r="P7">
        <f>DAY(Table_36[[#This Row],[Дата заказа]])</f>
        <v>30</v>
      </c>
      <c r="Q7">
        <f>YEAR(Table_36[[#This Row],[Дата заказа]])</f>
        <v>2016</v>
      </c>
      <c r="R7">
        <f>_xlfn.ISOWEEKNUM(Table_36[[#This Row],[Дата заказа]])</f>
        <v>43</v>
      </c>
      <c r="U7">
        <f>SUMIFS(Table_36[Заказанное количество, кг],Table_36[Наименование],"Белый чай",Table_36[Год],2020)</f>
        <v>20</v>
      </c>
      <c r="V7" s="21">
        <v>20</v>
      </c>
      <c r="W7" s="17" t="s">
        <v>34</v>
      </c>
    </row>
    <row r="8" spans="3:32" x14ac:dyDescent="0.2">
      <c r="C8" s="26">
        <v>37</v>
      </c>
      <c r="D8" s="21" t="s">
        <v>2449</v>
      </c>
      <c r="E8" s="21" t="s">
        <v>2448</v>
      </c>
      <c r="F8" s="21" t="s">
        <v>2450</v>
      </c>
      <c r="G8" s="21">
        <v>2211</v>
      </c>
      <c r="H8" s="21" t="s">
        <v>2444</v>
      </c>
      <c r="I8" s="21">
        <v>25</v>
      </c>
      <c r="J8" s="21">
        <v>55275</v>
      </c>
      <c r="K8" s="21">
        <v>0.09</v>
      </c>
      <c r="L8" s="21">
        <v>50300.25</v>
      </c>
      <c r="M8" s="25">
        <v>42683</v>
      </c>
      <c r="N8">
        <f>MONTH(Table_36[[#This Row],[Дата заказа]])</f>
        <v>11</v>
      </c>
      <c r="O8">
        <f>WEEKDAY(Table_36[[#This Row],[Дата заказа]])</f>
        <v>4</v>
      </c>
      <c r="P8">
        <f>DAY(Table_36[[#This Row],[Дата заказа]])</f>
        <v>9</v>
      </c>
      <c r="Q8">
        <f>YEAR(Table_36[[#This Row],[Дата заказа]])</f>
        <v>2016</v>
      </c>
      <c r="R8">
        <f>_xlfn.ISOWEEKNUM(Table_36[[#This Row],[Дата заказа]])</f>
        <v>45</v>
      </c>
      <c r="U8">
        <f>AVERAGEIFS(Table_36[Скидка],Table_36[Категория],"Зеленый чай",Table_36[Номер нед],"&gt;=7",Table_36[Номер нед],"&lt;=42")</f>
        <v>5.6571428571428592E-2</v>
      </c>
      <c r="V8" s="21">
        <f>AVERAGE('Продажи (2)'!$R$4:$R$414)</f>
        <v>27.885644768856448</v>
      </c>
      <c r="W8" s="17" t="s">
        <v>35</v>
      </c>
    </row>
    <row r="9" spans="3:32" x14ac:dyDescent="0.2">
      <c r="C9" s="26">
        <v>56</v>
      </c>
      <c r="D9" s="21" t="s">
        <v>2451</v>
      </c>
      <c r="E9" s="21" t="s">
        <v>2438</v>
      </c>
      <c r="F9" s="21" t="s">
        <v>2452</v>
      </c>
      <c r="G9" s="21">
        <v>800</v>
      </c>
      <c r="H9" s="21" t="s">
        <v>2440</v>
      </c>
      <c r="I9" s="21">
        <v>40</v>
      </c>
      <c r="J9" s="21">
        <v>32000</v>
      </c>
      <c r="K9" s="21">
        <v>0.03</v>
      </c>
      <c r="L9" s="21">
        <v>31040</v>
      </c>
      <c r="M9" s="25">
        <v>42608</v>
      </c>
      <c r="N9">
        <f>MONTH(Table_36[[#This Row],[Дата заказа]])</f>
        <v>8</v>
      </c>
      <c r="O9">
        <f>WEEKDAY(Table_36[[#This Row],[Дата заказа]])</f>
        <v>6</v>
      </c>
      <c r="P9">
        <f>DAY(Table_36[[#This Row],[Дата заказа]])</f>
        <v>26</v>
      </c>
      <c r="Q9">
        <f>YEAR(Table_36[[#This Row],[Дата заказа]])</f>
        <v>2016</v>
      </c>
      <c r="R9">
        <f>_xlfn.ISOWEEKNUM(Table_36[[#This Row],[Дата заказа]])</f>
        <v>34</v>
      </c>
    </row>
    <row r="10" spans="3:32" x14ac:dyDescent="0.2">
      <c r="C10" s="26">
        <v>44</v>
      </c>
      <c r="D10" s="21" t="s">
        <v>2453</v>
      </c>
      <c r="E10" s="21" t="s">
        <v>2454</v>
      </c>
      <c r="F10" s="21" t="s">
        <v>2455</v>
      </c>
      <c r="G10" s="21">
        <v>1386</v>
      </c>
      <c r="H10" s="21" t="s">
        <v>2440</v>
      </c>
      <c r="I10" s="21">
        <v>20</v>
      </c>
      <c r="J10" s="21">
        <v>27720</v>
      </c>
      <c r="K10" s="21">
        <v>0.03</v>
      </c>
      <c r="L10" s="21">
        <v>26888.400000000001</v>
      </c>
      <c r="M10" s="25">
        <v>42719</v>
      </c>
      <c r="N10">
        <f>MONTH(Table_36[[#This Row],[Дата заказа]])</f>
        <v>12</v>
      </c>
      <c r="O10">
        <f>WEEKDAY(Table_36[[#This Row],[Дата заказа]])</f>
        <v>5</v>
      </c>
      <c r="P10">
        <f>DAY(Table_36[[#This Row],[Дата заказа]])</f>
        <v>15</v>
      </c>
      <c r="Q10">
        <f>YEAR(Table_36[[#This Row],[Дата заказа]])</f>
        <v>2016</v>
      </c>
      <c r="R10">
        <f>_xlfn.ISOWEEKNUM(Table_36[[#This Row],[Дата заказа]])</f>
        <v>50</v>
      </c>
    </row>
    <row r="11" spans="3:32" x14ac:dyDescent="0.2">
      <c r="C11" s="26">
        <v>24</v>
      </c>
      <c r="D11" s="21" t="s">
        <v>2456</v>
      </c>
      <c r="E11" s="21" t="s">
        <v>2457</v>
      </c>
      <c r="F11" s="21" t="s">
        <v>2458</v>
      </c>
      <c r="G11" s="21">
        <v>957</v>
      </c>
      <c r="H11" s="21" t="s">
        <v>2440</v>
      </c>
      <c r="I11" s="21">
        <v>25</v>
      </c>
      <c r="J11" s="21">
        <v>23925</v>
      </c>
      <c r="K11" s="21">
        <v>0.03</v>
      </c>
      <c r="L11" s="21">
        <v>23207.25</v>
      </c>
      <c r="M11" s="25">
        <v>42605</v>
      </c>
      <c r="N11">
        <f>MONTH(Table_36[[#This Row],[Дата заказа]])</f>
        <v>8</v>
      </c>
      <c r="O11">
        <f>WEEKDAY(Table_36[[#This Row],[Дата заказа]])</f>
        <v>3</v>
      </c>
      <c r="P11">
        <f>DAY(Table_36[[#This Row],[Дата заказа]])</f>
        <v>23</v>
      </c>
      <c r="Q11">
        <f>YEAR(Table_36[[#This Row],[Дата заказа]])</f>
        <v>2016</v>
      </c>
      <c r="R11">
        <f>_xlfn.ISOWEEKNUM(Table_36[[#This Row],[Дата заказа]])</f>
        <v>34</v>
      </c>
    </row>
    <row r="12" spans="3:32" x14ac:dyDescent="0.2">
      <c r="C12" s="26">
        <v>1</v>
      </c>
      <c r="D12" s="21" t="s">
        <v>2459</v>
      </c>
      <c r="E12" s="21" t="s">
        <v>2438</v>
      </c>
      <c r="F12" s="21" t="s">
        <v>2460</v>
      </c>
      <c r="G12" s="21">
        <v>876</v>
      </c>
      <c r="H12" s="21" t="s">
        <v>2444</v>
      </c>
      <c r="I12" s="21">
        <v>20</v>
      </c>
      <c r="J12" s="21">
        <v>17520</v>
      </c>
      <c r="K12" s="21">
        <v>0.03</v>
      </c>
      <c r="L12" s="21">
        <v>16994.400000000001</v>
      </c>
      <c r="M12" s="25">
        <v>43125</v>
      </c>
      <c r="N12">
        <f>MONTH(Table_36[[#This Row],[Дата заказа]])</f>
        <v>1</v>
      </c>
      <c r="O12">
        <f>WEEKDAY(Table_36[[#This Row],[Дата заказа]])</f>
        <v>5</v>
      </c>
      <c r="P12">
        <f>DAY(Table_36[[#This Row],[Дата заказа]])</f>
        <v>25</v>
      </c>
      <c r="Q12">
        <f>YEAR(Table_36[[#This Row],[Дата заказа]])</f>
        <v>2018</v>
      </c>
      <c r="R12">
        <f>_xlfn.ISOWEEKNUM(Table_36[[#This Row],[Дата заказа]])</f>
        <v>4</v>
      </c>
    </row>
    <row r="13" spans="3:32" x14ac:dyDescent="0.2">
      <c r="C13" s="26">
        <v>33</v>
      </c>
      <c r="D13" s="21" t="s">
        <v>2461</v>
      </c>
      <c r="E13" s="21" t="s">
        <v>2462</v>
      </c>
      <c r="F13" s="21" t="s">
        <v>2463</v>
      </c>
      <c r="G13" s="21">
        <v>1994</v>
      </c>
      <c r="H13" s="21" t="s">
        <v>2444</v>
      </c>
      <c r="I13" s="21">
        <v>12</v>
      </c>
      <c r="J13" s="21">
        <v>23928</v>
      </c>
      <c r="K13" s="21">
        <v>0.03</v>
      </c>
      <c r="L13" s="21">
        <v>23210.16</v>
      </c>
      <c r="M13" s="25">
        <v>42682</v>
      </c>
      <c r="N13">
        <f>MONTH(Table_36[[#This Row],[Дата заказа]])</f>
        <v>11</v>
      </c>
      <c r="O13">
        <f>WEEKDAY(Table_36[[#This Row],[Дата заказа]])</f>
        <v>3</v>
      </c>
      <c r="P13">
        <f>DAY(Table_36[[#This Row],[Дата заказа]])</f>
        <v>8</v>
      </c>
      <c r="Q13">
        <f>YEAR(Table_36[[#This Row],[Дата заказа]])</f>
        <v>2016</v>
      </c>
      <c r="R13">
        <f>_xlfn.ISOWEEKNUM(Table_36[[#This Row],[Дата заказа]])</f>
        <v>45</v>
      </c>
    </row>
    <row r="14" spans="3:32" x14ac:dyDescent="0.2">
      <c r="C14" s="26">
        <v>7</v>
      </c>
      <c r="D14" s="21" t="s">
        <v>2437</v>
      </c>
      <c r="E14" s="21" t="s">
        <v>2438</v>
      </c>
      <c r="F14" s="21" t="s">
        <v>2439</v>
      </c>
      <c r="G14" s="21">
        <v>1923</v>
      </c>
      <c r="H14" s="21" t="s">
        <v>2440</v>
      </c>
      <c r="I14" s="21">
        <v>25</v>
      </c>
      <c r="J14" s="21">
        <v>48075</v>
      </c>
      <c r="K14" s="21">
        <v>0.06</v>
      </c>
      <c r="L14" s="21">
        <v>45190.5</v>
      </c>
      <c r="M14" s="25">
        <v>42432</v>
      </c>
      <c r="N14">
        <f>MONTH(Table_36[[#This Row],[Дата заказа]])</f>
        <v>3</v>
      </c>
      <c r="O14">
        <f>WEEKDAY(Table_36[[#This Row],[Дата заказа]])</f>
        <v>5</v>
      </c>
      <c r="P14">
        <f>DAY(Table_36[[#This Row],[Дата заказа]])</f>
        <v>3</v>
      </c>
      <c r="Q14">
        <f>YEAR(Table_36[[#This Row],[Дата заказа]])</f>
        <v>2016</v>
      </c>
      <c r="R14">
        <f>_xlfn.ISOWEEKNUM(Table_36[[#This Row],[Дата заказа]])</f>
        <v>9</v>
      </c>
    </row>
    <row r="15" spans="3:32" x14ac:dyDescent="0.2">
      <c r="C15" s="26">
        <v>26</v>
      </c>
      <c r="D15" s="21" t="s">
        <v>2464</v>
      </c>
      <c r="E15" s="21" t="s">
        <v>2442</v>
      </c>
      <c r="F15" s="21" t="s">
        <v>2443</v>
      </c>
      <c r="G15" s="21">
        <v>2197</v>
      </c>
      <c r="H15" s="21" t="s">
        <v>2440</v>
      </c>
      <c r="I15" s="21">
        <v>40</v>
      </c>
      <c r="J15" s="21">
        <v>87880</v>
      </c>
      <c r="K15" s="21">
        <v>0.12</v>
      </c>
      <c r="L15" s="21">
        <v>77334.399999999994</v>
      </c>
      <c r="M15" s="25">
        <v>42542</v>
      </c>
      <c r="N15">
        <f>MONTH(Table_36[[#This Row],[Дата заказа]])</f>
        <v>6</v>
      </c>
      <c r="O15">
        <f>WEEKDAY(Table_36[[#This Row],[Дата заказа]])</f>
        <v>3</v>
      </c>
      <c r="P15">
        <f>DAY(Table_36[[#This Row],[Дата заказа]])</f>
        <v>21</v>
      </c>
      <c r="Q15">
        <f>YEAR(Table_36[[#This Row],[Дата заказа]])</f>
        <v>2016</v>
      </c>
      <c r="R15">
        <f>_xlfn.ISOWEEKNUM(Table_36[[#This Row],[Дата заказа]])</f>
        <v>25</v>
      </c>
    </row>
    <row r="16" spans="3:32" x14ac:dyDescent="0.2">
      <c r="C16" s="26">
        <v>17</v>
      </c>
      <c r="D16" s="21" t="s">
        <v>2465</v>
      </c>
      <c r="E16" s="21" t="s">
        <v>2446</v>
      </c>
      <c r="F16" s="21" t="s">
        <v>2466</v>
      </c>
      <c r="G16" s="21">
        <v>967</v>
      </c>
      <c r="H16" s="21" t="s">
        <v>2444</v>
      </c>
      <c r="I16" s="21">
        <v>12</v>
      </c>
      <c r="J16" s="21">
        <v>11604</v>
      </c>
      <c r="K16" s="21">
        <v>0</v>
      </c>
      <c r="L16" s="21">
        <v>11604</v>
      </c>
      <c r="M16" s="25">
        <v>43123</v>
      </c>
      <c r="N16">
        <f>MONTH(Table_36[[#This Row],[Дата заказа]])</f>
        <v>1</v>
      </c>
      <c r="O16">
        <f>WEEKDAY(Table_36[[#This Row],[Дата заказа]])</f>
        <v>3</v>
      </c>
      <c r="P16">
        <f>DAY(Table_36[[#This Row],[Дата заказа]])</f>
        <v>23</v>
      </c>
      <c r="Q16">
        <f>YEAR(Table_36[[#This Row],[Дата заказа]])</f>
        <v>2018</v>
      </c>
      <c r="R16">
        <f>_xlfn.ISOWEEKNUM(Table_36[[#This Row],[Дата заказа]])</f>
        <v>4</v>
      </c>
    </row>
    <row r="17" spans="3:18" x14ac:dyDescent="0.2">
      <c r="C17" s="26">
        <v>20</v>
      </c>
      <c r="D17" s="21" t="s">
        <v>2467</v>
      </c>
      <c r="E17" s="21" t="s">
        <v>2457</v>
      </c>
      <c r="F17" s="21" t="s">
        <v>2468</v>
      </c>
      <c r="G17" s="21">
        <v>2198</v>
      </c>
      <c r="H17" s="21" t="s">
        <v>2444</v>
      </c>
      <c r="I17" s="21">
        <v>35</v>
      </c>
      <c r="J17" s="21">
        <v>76930</v>
      </c>
      <c r="K17" s="21">
        <v>0.12</v>
      </c>
      <c r="L17" s="21">
        <v>67698.399999999994</v>
      </c>
      <c r="M17" s="25">
        <v>43964</v>
      </c>
      <c r="N17">
        <f>MONTH(Table_36[[#This Row],[Дата заказа]])</f>
        <v>5</v>
      </c>
      <c r="O17">
        <f>WEEKDAY(Table_36[[#This Row],[Дата заказа]])</f>
        <v>4</v>
      </c>
      <c r="P17">
        <f>DAY(Table_36[[#This Row],[Дата заказа]])</f>
        <v>13</v>
      </c>
      <c r="Q17">
        <f>YEAR(Table_36[[#This Row],[Дата заказа]])</f>
        <v>2020</v>
      </c>
      <c r="R17">
        <f>_xlfn.ISOWEEKNUM(Table_36[[#This Row],[Дата заказа]])</f>
        <v>20</v>
      </c>
    </row>
    <row r="18" spans="3:18" x14ac:dyDescent="0.2">
      <c r="C18" s="26">
        <v>0</v>
      </c>
      <c r="D18" s="21" t="s">
        <v>2469</v>
      </c>
      <c r="E18" s="21" t="s">
        <v>2442</v>
      </c>
      <c r="F18" s="21" t="s">
        <v>2470</v>
      </c>
      <c r="G18" s="21">
        <v>620</v>
      </c>
      <c r="H18" s="21" t="s">
        <v>2444</v>
      </c>
      <c r="I18" s="21">
        <v>30</v>
      </c>
      <c r="J18" s="21">
        <v>18600</v>
      </c>
      <c r="K18" s="21">
        <v>0.03</v>
      </c>
      <c r="L18" s="21">
        <v>18042</v>
      </c>
      <c r="M18" s="25">
        <v>43531</v>
      </c>
      <c r="N18">
        <f>MONTH(Table_36[[#This Row],[Дата заказа]])</f>
        <v>3</v>
      </c>
      <c r="O18">
        <f>WEEKDAY(Table_36[[#This Row],[Дата заказа]])</f>
        <v>5</v>
      </c>
      <c r="P18">
        <f>DAY(Table_36[[#This Row],[Дата заказа]])</f>
        <v>7</v>
      </c>
      <c r="Q18">
        <f>YEAR(Table_36[[#This Row],[Дата заказа]])</f>
        <v>2019</v>
      </c>
      <c r="R18">
        <f>_xlfn.ISOWEEKNUM(Table_36[[#This Row],[Дата заказа]])</f>
        <v>10</v>
      </c>
    </row>
    <row r="19" spans="3:18" x14ac:dyDescent="0.2">
      <c r="C19" s="26">
        <v>48</v>
      </c>
      <c r="D19" s="21" t="s">
        <v>2471</v>
      </c>
      <c r="E19" s="21" t="s">
        <v>2438</v>
      </c>
      <c r="F19" s="21" t="s">
        <v>2472</v>
      </c>
      <c r="G19" s="21">
        <v>2199</v>
      </c>
      <c r="H19" s="21" t="s">
        <v>2440</v>
      </c>
      <c r="I19" s="21">
        <v>55</v>
      </c>
      <c r="J19" s="21">
        <v>120945</v>
      </c>
      <c r="K19" s="21">
        <v>0.15</v>
      </c>
      <c r="L19" s="21">
        <v>102803.25</v>
      </c>
      <c r="M19" s="25">
        <v>43376</v>
      </c>
      <c r="N19">
        <f>MONTH(Table_36[[#This Row],[Дата заказа]])</f>
        <v>10</v>
      </c>
      <c r="O19">
        <f>WEEKDAY(Table_36[[#This Row],[Дата заказа]])</f>
        <v>4</v>
      </c>
      <c r="P19">
        <f>DAY(Table_36[[#This Row],[Дата заказа]])</f>
        <v>3</v>
      </c>
      <c r="Q19">
        <f>YEAR(Table_36[[#This Row],[Дата заказа]])</f>
        <v>2018</v>
      </c>
      <c r="R19">
        <f>_xlfn.ISOWEEKNUM(Table_36[[#This Row],[Дата заказа]])</f>
        <v>40</v>
      </c>
    </row>
    <row r="20" spans="3:18" x14ac:dyDescent="0.2">
      <c r="C20" s="26">
        <v>23</v>
      </c>
      <c r="D20" s="21" t="s">
        <v>2473</v>
      </c>
      <c r="E20" s="21" t="s">
        <v>2448</v>
      </c>
      <c r="F20" s="21" t="s">
        <v>2474</v>
      </c>
      <c r="G20" s="21">
        <v>2645</v>
      </c>
      <c r="H20" s="21" t="s">
        <v>2444</v>
      </c>
      <c r="I20" s="21">
        <v>50</v>
      </c>
      <c r="J20" s="21">
        <v>132250</v>
      </c>
      <c r="K20" s="21">
        <v>0.15</v>
      </c>
      <c r="L20" s="21">
        <v>112412.5</v>
      </c>
      <c r="M20" s="25">
        <v>43293</v>
      </c>
      <c r="N20">
        <f>MONTH(Table_36[[#This Row],[Дата заказа]])</f>
        <v>7</v>
      </c>
      <c r="O20">
        <f>WEEKDAY(Table_36[[#This Row],[Дата заказа]])</f>
        <v>5</v>
      </c>
      <c r="P20">
        <f>DAY(Table_36[[#This Row],[Дата заказа]])</f>
        <v>12</v>
      </c>
      <c r="Q20">
        <f>YEAR(Table_36[[#This Row],[Дата заказа]])</f>
        <v>2018</v>
      </c>
      <c r="R20">
        <f>_xlfn.ISOWEEKNUM(Table_36[[#This Row],[Дата заказа]])</f>
        <v>28</v>
      </c>
    </row>
    <row r="21" spans="3:18" ht="15.75" customHeight="1" x14ac:dyDescent="0.2">
      <c r="C21" s="26">
        <v>46</v>
      </c>
      <c r="D21" s="21" t="s">
        <v>2475</v>
      </c>
      <c r="E21" s="21" t="s">
        <v>2476</v>
      </c>
      <c r="F21" s="21" t="s">
        <v>2476</v>
      </c>
      <c r="G21" s="21">
        <v>770</v>
      </c>
      <c r="H21" s="21" t="s">
        <v>2440</v>
      </c>
      <c r="I21" s="21">
        <v>20</v>
      </c>
      <c r="J21" s="21">
        <v>15400</v>
      </c>
      <c r="K21" s="21">
        <v>0.03</v>
      </c>
      <c r="L21" s="21">
        <v>14938</v>
      </c>
      <c r="M21" s="25">
        <v>42470</v>
      </c>
      <c r="N21">
        <f>MONTH(Table_36[[#This Row],[Дата заказа]])</f>
        <v>4</v>
      </c>
      <c r="O21">
        <f>WEEKDAY(Table_36[[#This Row],[Дата заказа]])</f>
        <v>1</v>
      </c>
      <c r="P21">
        <f>DAY(Table_36[[#This Row],[Дата заказа]])</f>
        <v>10</v>
      </c>
      <c r="Q21">
        <f>YEAR(Table_36[[#This Row],[Дата заказа]])</f>
        <v>2016</v>
      </c>
      <c r="R21">
        <f>_xlfn.ISOWEEKNUM(Table_36[[#This Row],[Дата заказа]])</f>
        <v>14</v>
      </c>
    </row>
    <row r="22" spans="3:18" ht="15.75" customHeight="1" x14ac:dyDescent="0.2">
      <c r="C22" s="26">
        <v>8</v>
      </c>
      <c r="D22" s="21" t="s">
        <v>2477</v>
      </c>
      <c r="E22" s="21" t="s">
        <v>2454</v>
      </c>
      <c r="F22" s="21" t="s">
        <v>2478</v>
      </c>
      <c r="G22" s="21">
        <v>847</v>
      </c>
      <c r="H22" s="21" t="s">
        <v>2440</v>
      </c>
      <c r="I22" s="21">
        <v>15</v>
      </c>
      <c r="J22" s="21">
        <v>12705</v>
      </c>
      <c r="K22" s="21">
        <v>0</v>
      </c>
      <c r="L22" s="21">
        <v>12705</v>
      </c>
      <c r="M22" s="25">
        <v>43436</v>
      </c>
      <c r="N22">
        <f>MONTH(Table_36[[#This Row],[Дата заказа]])</f>
        <v>12</v>
      </c>
      <c r="O22">
        <f>WEEKDAY(Table_36[[#This Row],[Дата заказа]])</f>
        <v>1</v>
      </c>
      <c r="P22">
        <f>DAY(Table_36[[#This Row],[Дата заказа]])</f>
        <v>2</v>
      </c>
      <c r="Q22">
        <f>YEAR(Table_36[[#This Row],[Дата заказа]])</f>
        <v>2018</v>
      </c>
      <c r="R22">
        <f>_xlfn.ISOWEEKNUM(Table_36[[#This Row],[Дата заказа]])</f>
        <v>48</v>
      </c>
    </row>
    <row r="23" spans="3:18" ht="15.75" customHeight="1" x14ac:dyDescent="0.2">
      <c r="C23" s="26">
        <v>24</v>
      </c>
      <c r="D23" s="21" t="s">
        <v>2456</v>
      </c>
      <c r="E23" s="21" t="s">
        <v>2457</v>
      </c>
      <c r="F23" s="21" t="s">
        <v>2458</v>
      </c>
      <c r="G23" s="21">
        <v>957</v>
      </c>
      <c r="H23" s="21" t="s">
        <v>2440</v>
      </c>
      <c r="I23" s="21">
        <v>25</v>
      </c>
      <c r="J23" s="21">
        <v>23925</v>
      </c>
      <c r="K23" s="21">
        <v>0.03</v>
      </c>
      <c r="L23" s="21">
        <v>23207.25</v>
      </c>
      <c r="M23" s="25">
        <v>44156</v>
      </c>
      <c r="N23">
        <f>MONTH(Table_36[[#This Row],[Дата заказа]])</f>
        <v>11</v>
      </c>
      <c r="O23">
        <f>WEEKDAY(Table_36[[#This Row],[Дата заказа]])</f>
        <v>7</v>
      </c>
      <c r="P23">
        <f>DAY(Table_36[[#This Row],[Дата заказа]])</f>
        <v>21</v>
      </c>
      <c r="Q23">
        <f>YEAR(Table_36[[#This Row],[Дата заказа]])</f>
        <v>2020</v>
      </c>
      <c r="R23">
        <f>_xlfn.ISOWEEKNUM(Table_36[[#This Row],[Дата заказа]])</f>
        <v>47</v>
      </c>
    </row>
    <row r="24" spans="3:18" ht="15.75" customHeight="1" x14ac:dyDescent="0.2">
      <c r="C24" s="26">
        <v>31</v>
      </c>
      <c r="D24" s="21" t="s">
        <v>2479</v>
      </c>
      <c r="E24" s="21" t="s">
        <v>2442</v>
      </c>
      <c r="F24" s="21" t="s">
        <v>2480</v>
      </c>
      <c r="G24" s="21">
        <v>1228</v>
      </c>
      <c r="H24" s="21" t="s">
        <v>2440</v>
      </c>
      <c r="I24" s="21">
        <v>45</v>
      </c>
      <c r="J24" s="21">
        <v>55260</v>
      </c>
      <c r="K24" s="21">
        <v>0.09</v>
      </c>
      <c r="L24" s="21">
        <v>50286.6</v>
      </c>
      <c r="M24" s="25">
        <v>42337</v>
      </c>
      <c r="N24">
        <f>MONTH(Table_36[[#This Row],[Дата заказа]])</f>
        <v>11</v>
      </c>
      <c r="O24">
        <f>WEEKDAY(Table_36[[#This Row],[Дата заказа]])</f>
        <v>1</v>
      </c>
      <c r="P24">
        <f>DAY(Table_36[[#This Row],[Дата заказа]])</f>
        <v>29</v>
      </c>
      <c r="Q24">
        <f>YEAR(Table_36[[#This Row],[Дата заказа]])</f>
        <v>2015</v>
      </c>
      <c r="R24">
        <f>_xlfn.ISOWEEKNUM(Table_36[[#This Row],[Дата заказа]])</f>
        <v>48</v>
      </c>
    </row>
    <row r="25" spans="3:18" ht="15.75" customHeight="1" x14ac:dyDescent="0.2">
      <c r="C25" s="26">
        <v>36</v>
      </c>
      <c r="D25" s="21" t="s">
        <v>2481</v>
      </c>
      <c r="E25" s="21" t="s">
        <v>2454</v>
      </c>
      <c r="F25" s="21" t="s">
        <v>2482</v>
      </c>
      <c r="G25" s="21">
        <v>912</v>
      </c>
      <c r="H25" s="21" t="s">
        <v>2440</v>
      </c>
      <c r="I25" s="21">
        <v>15</v>
      </c>
      <c r="J25" s="21">
        <v>13680</v>
      </c>
      <c r="K25" s="21">
        <v>0</v>
      </c>
      <c r="L25" s="21">
        <v>13680</v>
      </c>
      <c r="M25" s="25">
        <v>43357</v>
      </c>
      <c r="N25">
        <f>MONTH(Table_36[[#This Row],[Дата заказа]])</f>
        <v>9</v>
      </c>
      <c r="O25">
        <f>WEEKDAY(Table_36[[#This Row],[Дата заказа]])</f>
        <v>6</v>
      </c>
      <c r="P25">
        <f>DAY(Table_36[[#This Row],[Дата заказа]])</f>
        <v>14</v>
      </c>
      <c r="Q25">
        <f>YEAR(Table_36[[#This Row],[Дата заказа]])</f>
        <v>2018</v>
      </c>
      <c r="R25">
        <f>_xlfn.ISOWEEKNUM(Table_36[[#This Row],[Дата заказа]])</f>
        <v>37</v>
      </c>
    </row>
    <row r="26" spans="3:18" ht="15.75" customHeight="1" x14ac:dyDescent="0.2">
      <c r="C26" s="26">
        <v>38</v>
      </c>
      <c r="D26" s="21" t="s">
        <v>2483</v>
      </c>
      <c r="E26" s="21" t="s">
        <v>2446</v>
      </c>
      <c r="F26" s="21" t="s">
        <v>2484</v>
      </c>
      <c r="G26" s="21">
        <v>1182</v>
      </c>
      <c r="H26" s="21" t="s">
        <v>2440</v>
      </c>
      <c r="I26" s="21">
        <v>17</v>
      </c>
      <c r="J26" s="21">
        <v>20094</v>
      </c>
      <c r="K26" s="21">
        <v>0.03</v>
      </c>
      <c r="L26" s="21">
        <v>19491.18</v>
      </c>
      <c r="M26" s="25">
        <v>42108</v>
      </c>
      <c r="N26">
        <f>MONTH(Table_36[[#This Row],[Дата заказа]])</f>
        <v>4</v>
      </c>
      <c r="O26">
        <f>WEEKDAY(Table_36[[#This Row],[Дата заказа]])</f>
        <v>3</v>
      </c>
      <c r="P26">
        <f>DAY(Table_36[[#This Row],[Дата заказа]])</f>
        <v>14</v>
      </c>
      <c r="Q26">
        <f>YEAR(Table_36[[#This Row],[Дата заказа]])</f>
        <v>2015</v>
      </c>
      <c r="R26">
        <f>_xlfn.ISOWEEKNUM(Table_36[[#This Row],[Дата заказа]])</f>
        <v>16</v>
      </c>
    </row>
    <row r="27" spans="3:18" ht="15.75" customHeight="1" x14ac:dyDescent="0.2">
      <c r="C27" s="26">
        <v>4</v>
      </c>
      <c r="D27" s="21" t="s">
        <v>2449</v>
      </c>
      <c r="E27" s="21" t="s">
        <v>2448</v>
      </c>
      <c r="F27" s="21" t="s">
        <v>2485</v>
      </c>
      <c r="G27" s="21">
        <v>2211</v>
      </c>
      <c r="H27" s="21" t="s">
        <v>2444</v>
      </c>
      <c r="I27" s="21">
        <v>25</v>
      </c>
      <c r="J27" s="21">
        <v>55275</v>
      </c>
      <c r="K27" s="21">
        <v>0.09</v>
      </c>
      <c r="L27" s="21">
        <v>50300.25</v>
      </c>
      <c r="M27" s="25">
        <v>43516</v>
      </c>
      <c r="N27">
        <f>MONTH(Table_36[[#This Row],[Дата заказа]])</f>
        <v>2</v>
      </c>
      <c r="O27">
        <f>WEEKDAY(Table_36[[#This Row],[Дата заказа]])</f>
        <v>4</v>
      </c>
      <c r="P27">
        <f>DAY(Table_36[[#This Row],[Дата заказа]])</f>
        <v>20</v>
      </c>
      <c r="Q27">
        <f>YEAR(Table_36[[#This Row],[Дата заказа]])</f>
        <v>2019</v>
      </c>
      <c r="R27">
        <f>_xlfn.ISOWEEKNUM(Table_36[[#This Row],[Дата заказа]])</f>
        <v>8</v>
      </c>
    </row>
    <row r="28" spans="3:18" ht="15.75" customHeight="1" x14ac:dyDescent="0.2">
      <c r="C28" s="26">
        <v>38</v>
      </c>
      <c r="D28" s="21" t="s">
        <v>2483</v>
      </c>
      <c r="E28" s="21" t="s">
        <v>2446</v>
      </c>
      <c r="F28" s="21" t="s">
        <v>2484</v>
      </c>
      <c r="G28" s="21">
        <v>1182</v>
      </c>
      <c r="H28" s="21" t="s">
        <v>2440</v>
      </c>
      <c r="I28" s="21">
        <v>17</v>
      </c>
      <c r="J28" s="21">
        <v>20094</v>
      </c>
      <c r="K28" s="21">
        <v>0.03</v>
      </c>
      <c r="L28" s="21">
        <v>19491.18</v>
      </c>
      <c r="M28" s="25">
        <v>42044</v>
      </c>
      <c r="N28">
        <f>MONTH(Table_36[[#This Row],[Дата заказа]])</f>
        <v>2</v>
      </c>
      <c r="O28">
        <f>WEEKDAY(Table_36[[#This Row],[Дата заказа]])</f>
        <v>2</v>
      </c>
      <c r="P28">
        <f>DAY(Table_36[[#This Row],[Дата заказа]])</f>
        <v>9</v>
      </c>
      <c r="Q28">
        <f>YEAR(Table_36[[#This Row],[Дата заказа]])</f>
        <v>2015</v>
      </c>
      <c r="R28">
        <f>_xlfn.ISOWEEKNUM(Table_36[[#This Row],[Дата заказа]])</f>
        <v>7</v>
      </c>
    </row>
    <row r="29" spans="3:18" ht="15.75" customHeight="1" x14ac:dyDescent="0.2">
      <c r="C29" s="26">
        <v>36</v>
      </c>
      <c r="D29" s="21" t="s">
        <v>2481</v>
      </c>
      <c r="E29" s="21" t="s">
        <v>2454</v>
      </c>
      <c r="F29" s="21" t="s">
        <v>2482</v>
      </c>
      <c r="G29" s="21">
        <v>912</v>
      </c>
      <c r="H29" s="21" t="s">
        <v>2440</v>
      </c>
      <c r="I29" s="21">
        <v>15</v>
      </c>
      <c r="J29" s="21">
        <v>13680</v>
      </c>
      <c r="K29" s="21">
        <v>0</v>
      </c>
      <c r="L29" s="21">
        <v>13680</v>
      </c>
      <c r="M29" s="25">
        <v>43410</v>
      </c>
      <c r="N29">
        <f>MONTH(Table_36[[#This Row],[Дата заказа]])</f>
        <v>11</v>
      </c>
      <c r="O29">
        <f>WEEKDAY(Table_36[[#This Row],[Дата заказа]])</f>
        <v>3</v>
      </c>
      <c r="P29">
        <f>DAY(Table_36[[#This Row],[Дата заказа]])</f>
        <v>6</v>
      </c>
      <c r="Q29">
        <f>YEAR(Table_36[[#This Row],[Дата заказа]])</f>
        <v>2018</v>
      </c>
      <c r="R29">
        <f>_xlfn.ISOWEEKNUM(Table_36[[#This Row],[Дата заказа]])</f>
        <v>45</v>
      </c>
    </row>
    <row r="30" spans="3:18" ht="15.75" customHeight="1" x14ac:dyDescent="0.2">
      <c r="C30" s="26">
        <v>30</v>
      </c>
      <c r="D30" s="21" t="s">
        <v>2486</v>
      </c>
      <c r="E30" s="21" t="s">
        <v>2476</v>
      </c>
      <c r="F30" s="21" t="s">
        <v>2487</v>
      </c>
      <c r="G30" s="21">
        <v>1730</v>
      </c>
      <c r="H30" s="21" t="s">
        <v>2440</v>
      </c>
      <c r="I30" s="21">
        <v>5</v>
      </c>
      <c r="J30" s="21">
        <v>8650</v>
      </c>
      <c r="K30" s="21">
        <v>0</v>
      </c>
      <c r="L30" s="21">
        <v>8650</v>
      </c>
      <c r="M30" s="25">
        <v>43416</v>
      </c>
      <c r="N30">
        <f>MONTH(Table_36[[#This Row],[Дата заказа]])</f>
        <v>11</v>
      </c>
      <c r="O30">
        <f>WEEKDAY(Table_36[[#This Row],[Дата заказа]])</f>
        <v>2</v>
      </c>
      <c r="P30">
        <f>DAY(Table_36[[#This Row],[Дата заказа]])</f>
        <v>12</v>
      </c>
      <c r="Q30">
        <f>YEAR(Table_36[[#This Row],[Дата заказа]])</f>
        <v>2018</v>
      </c>
      <c r="R30">
        <f>_xlfn.ISOWEEKNUM(Table_36[[#This Row],[Дата заказа]])</f>
        <v>46</v>
      </c>
    </row>
    <row r="31" spans="3:18" ht="15.75" customHeight="1" x14ac:dyDescent="0.2">
      <c r="C31" s="26">
        <v>4</v>
      </c>
      <c r="D31" s="21" t="s">
        <v>2449</v>
      </c>
      <c r="E31" s="21" t="s">
        <v>2448</v>
      </c>
      <c r="F31" s="21" t="s">
        <v>2485</v>
      </c>
      <c r="G31" s="21">
        <v>2211</v>
      </c>
      <c r="H31" s="21" t="s">
        <v>2444</v>
      </c>
      <c r="I31" s="21">
        <v>25</v>
      </c>
      <c r="J31" s="21">
        <v>55275</v>
      </c>
      <c r="K31" s="21">
        <v>0.09</v>
      </c>
      <c r="L31" s="21">
        <v>50300.25</v>
      </c>
      <c r="M31" s="25">
        <v>42417</v>
      </c>
      <c r="N31">
        <f>MONTH(Table_36[[#This Row],[Дата заказа]])</f>
        <v>2</v>
      </c>
      <c r="O31">
        <f>WEEKDAY(Table_36[[#This Row],[Дата заказа]])</f>
        <v>4</v>
      </c>
      <c r="P31">
        <f>DAY(Table_36[[#This Row],[Дата заказа]])</f>
        <v>17</v>
      </c>
      <c r="Q31">
        <f>YEAR(Table_36[[#This Row],[Дата заказа]])</f>
        <v>2016</v>
      </c>
      <c r="R31">
        <f>_xlfn.ISOWEEKNUM(Table_36[[#This Row],[Дата заказа]])</f>
        <v>7</v>
      </c>
    </row>
    <row r="32" spans="3:18" ht="15.75" customHeight="1" x14ac:dyDescent="0.2">
      <c r="C32" s="26">
        <v>19</v>
      </c>
      <c r="D32" s="21" t="s">
        <v>2488</v>
      </c>
      <c r="E32" s="21" t="s">
        <v>2454</v>
      </c>
      <c r="F32" s="21" t="s">
        <v>2489</v>
      </c>
      <c r="G32" s="21">
        <v>1879</v>
      </c>
      <c r="H32" s="21" t="s">
        <v>2440</v>
      </c>
      <c r="I32" s="21">
        <v>15</v>
      </c>
      <c r="J32" s="21">
        <v>28185</v>
      </c>
      <c r="K32" s="21">
        <v>0.03</v>
      </c>
      <c r="L32" s="21">
        <v>27339.45</v>
      </c>
      <c r="M32" s="25">
        <v>42572</v>
      </c>
      <c r="N32">
        <f>MONTH(Table_36[[#This Row],[Дата заказа]])</f>
        <v>7</v>
      </c>
      <c r="O32">
        <f>WEEKDAY(Table_36[[#This Row],[Дата заказа]])</f>
        <v>5</v>
      </c>
      <c r="P32">
        <f>DAY(Table_36[[#This Row],[Дата заказа]])</f>
        <v>21</v>
      </c>
      <c r="Q32">
        <f>YEAR(Table_36[[#This Row],[Дата заказа]])</f>
        <v>2016</v>
      </c>
      <c r="R32">
        <f>_xlfn.ISOWEEKNUM(Table_36[[#This Row],[Дата заказа]])</f>
        <v>29</v>
      </c>
    </row>
    <row r="33" spans="3:18" ht="15.75" customHeight="1" x14ac:dyDescent="0.2">
      <c r="C33" s="26">
        <v>25</v>
      </c>
      <c r="D33" s="21" t="s">
        <v>2490</v>
      </c>
      <c r="E33" s="21" t="s">
        <v>2462</v>
      </c>
      <c r="F33" s="21" t="s">
        <v>2491</v>
      </c>
      <c r="G33" s="21">
        <v>1994</v>
      </c>
      <c r="H33" s="21" t="s">
        <v>2444</v>
      </c>
      <c r="I33" s="21">
        <v>10</v>
      </c>
      <c r="J33" s="21">
        <v>19940</v>
      </c>
      <c r="K33" s="21">
        <v>0.03</v>
      </c>
      <c r="L33" s="21">
        <v>19341.8</v>
      </c>
      <c r="M33" s="25">
        <v>43482</v>
      </c>
      <c r="N33">
        <f>MONTH(Table_36[[#This Row],[Дата заказа]])</f>
        <v>1</v>
      </c>
      <c r="O33">
        <f>WEEKDAY(Table_36[[#This Row],[Дата заказа]])</f>
        <v>5</v>
      </c>
      <c r="P33">
        <f>DAY(Table_36[[#This Row],[Дата заказа]])</f>
        <v>17</v>
      </c>
      <c r="Q33">
        <f>YEAR(Table_36[[#This Row],[Дата заказа]])</f>
        <v>2019</v>
      </c>
      <c r="R33">
        <f>_xlfn.ISOWEEKNUM(Table_36[[#This Row],[Дата заказа]])</f>
        <v>3</v>
      </c>
    </row>
    <row r="34" spans="3:18" ht="15.75" customHeight="1" x14ac:dyDescent="0.2">
      <c r="C34" s="26">
        <v>43</v>
      </c>
      <c r="D34" s="21" t="s">
        <v>2492</v>
      </c>
      <c r="E34" s="21" t="s">
        <v>2446</v>
      </c>
      <c r="F34" s="21" t="s">
        <v>2493</v>
      </c>
      <c r="G34" s="21">
        <v>759</v>
      </c>
      <c r="H34" s="21" t="s">
        <v>2444</v>
      </c>
      <c r="I34" s="21">
        <v>10</v>
      </c>
      <c r="J34" s="21">
        <v>7590</v>
      </c>
      <c r="K34" s="21">
        <v>0</v>
      </c>
      <c r="L34" s="21">
        <v>7590</v>
      </c>
      <c r="M34" s="25">
        <v>43724</v>
      </c>
      <c r="N34">
        <f>MONTH(Table_36[[#This Row],[Дата заказа]])</f>
        <v>9</v>
      </c>
      <c r="O34">
        <f>WEEKDAY(Table_36[[#This Row],[Дата заказа]])</f>
        <v>2</v>
      </c>
      <c r="P34">
        <f>DAY(Table_36[[#This Row],[Дата заказа]])</f>
        <v>16</v>
      </c>
      <c r="Q34">
        <f>YEAR(Table_36[[#This Row],[Дата заказа]])</f>
        <v>2019</v>
      </c>
      <c r="R34">
        <f>_xlfn.ISOWEEKNUM(Table_36[[#This Row],[Дата заказа]])</f>
        <v>38</v>
      </c>
    </row>
    <row r="35" spans="3:18" ht="15.75" customHeight="1" x14ac:dyDescent="0.2">
      <c r="C35" s="26">
        <v>14</v>
      </c>
      <c r="D35" s="21" t="s">
        <v>2475</v>
      </c>
      <c r="E35" s="21" t="s">
        <v>2476</v>
      </c>
      <c r="F35" s="21" t="s">
        <v>2476</v>
      </c>
      <c r="G35" s="21">
        <v>770</v>
      </c>
      <c r="H35" s="21" t="s">
        <v>2440</v>
      </c>
      <c r="I35" s="21">
        <v>20</v>
      </c>
      <c r="J35" s="21">
        <v>15400</v>
      </c>
      <c r="K35" s="21">
        <v>0.03</v>
      </c>
      <c r="L35" s="21">
        <v>14938</v>
      </c>
      <c r="M35" s="25">
        <v>43274</v>
      </c>
      <c r="N35">
        <f>MONTH(Table_36[[#This Row],[Дата заказа]])</f>
        <v>6</v>
      </c>
      <c r="O35">
        <f>WEEKDAY(Table_36[[#This Row],[Дата заказа]])</f>
        <v>7</v>
      </c>
      <c r="P35">
        <f>DAY(Table_36[[#This Row],[Дата заказа]])</f>
        <v>23</v>
      </c>
      <c r="Q35">
        <f>YEAR(Table_36[[#This Row],[Дата заказа]])</f>
        <v>2018</v>
      </c>
      <c r="R35">
        <f>_xlfn.ISOWEEKNUM(Table_36[[#This Row],[Дата заказа]])</f>
        <v>25</v>
      </c>
    </row>
    <row r="36" spans="3:18" ht="15.75" customHeight="1" x14ac:dyDescent="0.2">
      <c r="C36" s="26">
        <v>42</v>
      </c>
      <c r="D36" s="21" t="s">
        <v>2451</v>
      </c>
      <c r="E36" s="21" t="s">
        <v>2438</v>
      </c>
      <c r="F36" s="21" t="s">
        <v>2452</v>
      </c>
      <c r="G36" s="21">
        <v>800</v>
      </c>
      <c r="H36" s="21" t="s">
        <v>2440</v>
      </c>
      <c r="I36" s="21">
        <v>25</v>
      </c>
      <c r="J36" s="21">
        <v>20000</v>
      </c>
      <c r="K36" s="21">
        <v>0.03</v>
      </c>
      <c r="L36" s="21">
        <v>19400</v>
      </c>
      <c r="M36" s="25">
        <v>42139</v>
      </c>
      <c r="N36">
        <f>MONTH(Table_36[[#This Row],[Дата заказа]])</f>
        <v>5</v>
      </c>
      <c r="O36">
        <f>WEEKDAY(Table_36[[#This Row],[Дата заказа]])</f>
        <v>6</v>
      </c>
      <c r="P36">
        <f>DAY(Table_36[[#This Row],[Дата заказа]])</f>
        <v>15</v>
      </c>
      <c r="Q36">
        <f>YEAR(Table_36[[#This Row],[Дата заказа]])</f>
        <v>2015</v>
      </c>
      <c r="R36">
        <f>_xlfn.ISOWEEKNUM(Table_36[[#This Row],[Дата заказа]])</f>
        <v>20</v>
      </c>
    </row>
    <row r="37" spans="3:18" ht="15.75" customHeight="1" x14ac:dyDescent="0.2">
      <c r="C37" s="26">
        <v>28</v>
      </c>
      <c r="D37" s="21" t="s">
        <v>2494</v>
      </c>
      <c r="E37" s="21" t="s">
        <v>2462</v>
      </c>
      <c r="F37" s="21" t="s">
        <v>2491</v>
      </c>
      <c r="G37" s="21">
        <v>1994</v>
      </c>
      <c r="H37" s="21" t="s">
        <v>2444</v>
      </c>
      <c r="I37" s="21">
        <v>40</v>
      </c>
      <c r="J37" s="21">
        <v>79760</v>
      </c>
      <c r="K37" s="21">
        <v>0.12</v>
      </c>
      <c r="L37" s="21">
        <v>70188.800000000003</v>
      </c>
      <c r="M37" s="25">
        <v>42989</v>
      </c>
      <c r="N37">
        <f>MONTH(Table_36[[#This Row],[Дата заказа]])</f>
        <v>9</v>
      </c>
      <c r="O37">
        <f>WEEKDAY(Table_36[[#This Row],[Дата заказа]])</f>
        <v>2</v>
      </c>
      <c r="P37">
        <f>DAY(Table_36[[#This Row],[Дата заказа]])</f>
        <v>11</v>
      </c>
      <c r="Q37">
        <f>YEAR(Table_36[[#This Row],[Дата заказа]])</f>
        <v>2017</v>
      </c>
      <c r="R37">
        <f>_xlfn.ISOWEEKNUM(Table_36[[#This Row],[Дата заказа]])</f>
        <v>37</v>
      </c>
    </row>
    <row r="38" spans="3:18" ht="15.75" customHeight="1" x14ac:dyDescent="0.2">
      <c r="C38" s="26">
        <v>11</v>
      </c>
      <c r="D38" s="21" t="s">
        <v>2492</v>
      </c>
      <c r="E38" s="21" t="s">
        <v>2446</v>
      </c>
      <c r="F38" s="21" t="s">
        <v>2495</v>
      </c>
      <c r="G38" s="21">
        <v>3197</v>
      </c>
      <c r="H38" s="21" t="s">
        <v>2444</v>
      </c>
      <c r="I38" s="21">
        <v>10</v>
      </c>
      <c r="J38" s="21">
        <v>31970</v>
      </c>
      <c r="K38" s="21">
        <v>0</v>
      </c>
      <c r="L38" s="21">
        <v>31970</v>
      </c>
      <c r="M38" s="25">
        <v>42766</v>
      </c>
      <c r="N38">
        <f>MONTH(Table_36[[#This Row],[Дата заказа]])</f>
        <v>1</v>
      </c>
      <c r="O38">
        <f>WEEKDAY(Table_36[[#This Row],[Дата заказа]])</f>
        <v>3</v>
      </c>
      <c r="P38">
        <f>DAY(Table_36[[#This Row],[Дата заказа]])</f>
        <v>31</v>
      </c>
      <c r="Q38">
        <f>YEAR(Table_36[[#This Row],[Дата заказа]])</f>
        <v>2017</v>
      </c>
      <c r="R38">
        <f>_xlfn.ISOWEEKNUM(Table_36[[#This Row],[Дата заказа]])</f>
        <v>5</v>
      </c>
    </row>
    <row r="39" spans="3:18" ht="15.75" customHeight="1" x14ac:dyDescent="0.2">
      <c r="C39" s="26">
        <v>19</v>
      </c>
      <c r="D39" s="21" t="s">
        <v>2488</v>
      </c>
      <c r="E39" s="21" t="s">
        <v>2454</v>
      </c>
      <c r="F39" s="21" t="s">
        <v>2489</v>
      </c>
      <c r="G39" s="21">
        <v>1879</v>
      </c>
      <c r="H39" s="21" t="s">
        <v>2440</v>
      </c>
      <c r="I39" s="21">
        <v>15</v>
      </c>
      <c r="J39" s="21">
        <v>28185</v>
      </c>
      <c r="K39" s="21">
        <v>0.03</v>
      </c>
      <c r="L39" s="21">
        <v>27339.45</v>
      </c>
      <c r="M39" s="25">
        <v>43726</v>
      </c>
      <c r="N39">
        <f>MONTH(Table_36[[#This Row],[Дата заказа]])</f>
        <v>9</v>
      </c>
      <c r="O39">
        <f>WEEKDAY(Table_36[[#This Row],[Дата заказа]])</f>
        <v>4</v>
      </c>
      <c r="P39">
        <f>DAY(Table_36[[#This Row],[Дата заказа]])</f>
        <v>18</v>
      </c>
      <c r="Q39">
        <f>YEAR(Table_36[[#This Row],[Дата заказа]])</f>
        <v>2019</v>
      </c>
      <c r="R39">
        <f>_xlfn.ISOWEEKNUM(Table_36[[#This Row],[Дата заказа]])</f>
        <v>38</v>
      </c>
    </row>
    <row r="40" spans="3:18" ht="15.75" customHeight="1" x14ac:dyDescent="0.2">
      <c r="C40" s="26">
        <v>51</v>
      </c>
      <c r="D40" s="21" t="s">
        <v>2449</v>
      </c>
      <c r="E40" s="21" t="s">
        <v>2448</v>
      </c>
      <c r="F40" s="21" t="s">
        <v>2450</v>
      </c>
      <c r="G40" s="21">
        <v>2211</v>
      </c>
      <c r="H40" s="21" t="s">
        <v>2444</v>
      </c>
      <c r="I40" s="21">
        <v>25</v>
      </c>
      <c r="J40" s="21">
        <v>55275</v>
      </c>
      <c r="K40" s="21">
        <v>0.09</v>
      </c>
      <c r="L40" s="21">
        <v>50300.25</v>
      </c>
      <c r="M40" s="25">
        <v>42708</v>
      </c>
      <c r="N40">
        <f>MONTH(Table_36[[#This Row],[Дата заказа]])</f>
        <v>12</v>
      </c>
      <c r="O40">
        <f>WEEKDAY(Table_36[[#This Row],[Дата заказа]])</f>
        <v>1</v>
      </c>
      <c r="P40">
        <f>DAY(Table_36[[#This Row],[Дата заказа]])</f>
        <v>4</v>
      </c>
      <c r="Q40">
        <f>YEAR(Table_36[[#This Row],[Дата заказа]])</f>
        <v>2016</v>
      </c>
      <c r="R40">
        <f>_xlfn.ISOWEEKNUM(Table_36[[#This Row],[Дата заказа]])</f>
        <v>48</v>
      </c>
    </row>
    <row r="41" spans="3:18" ht="15.75" customHeight="1" x14ac:dyDescent="0.2">
      <c r="C41" s="26">
        <v>26</v>
      </c>
      <c r="D41" s="21" t="s">
        <v>2464</v>
      </c>
      <c r="E41" s="21" t="s">
        <v>2442</v>
      </c>
      <c r="F41" s="21" t="s">
        <v>2443</v>
      </c>
      <c r="G41" s="21">
        <v>2197</v>
      </c>
      <c r="H41" s="21" t="s">
        <v>2440</v>
      </c>
      <c r="I41" s="21">
        <v>40</v>
      </c>
      <c r="J41" s="21">
        <v>87880</v>
      </c>
      <c r="K41" s="21">
        <v>0.12</v>
      </c>
      <c r="L41" s="21">
        <v>77334.399999999994</v>
      </c>
      <c r="M41" s="25">
        <v>43417</v>
      </c>
      <c r="N41">
        <f>MONTH(Table_36[[#This Row],[Дата заказа]])</f>
        <v>11</v>
      </c>
      <c r="O41">
        <f>WEEKDAY(Table_36[[#This Row],[Дата заказа]])</f>
        <v>3</v>
      </c>
      <c r="P41">
        <f>DAY(Table_36[[#This Row],[Дата заказа]])</f>
        <v>13</v>
      </c>
      <c r="Q41">
        <f>YEAR(Table_36[[#This Row],[Дата заказа]])</f>
        <v>2018</v>
      </c>
      <c r="R41">
        <f>_xlfn.ISOWEEKNUM(Table_36[[#This Row],[Дата заказа]])</f>
        <v>46</v>
      </c>
    </row>
    <row r="42" spans="3:18" ht="15.75" customHeight="1" x14ac:dyDescent="0.2">
      <c r="C42" s="26">
        <v>26</v>
      </c>
      <c r="D42" s="21" t="s">
        <v>2464</v>
      </c>
      <c r="E42" s="21" t="s">
        <v>2442</v>
      </c>
      <c r="F42" s="21" t="s">
        <v>2443</v>
      </c>
      <c r="G42" s="21">
        <v>2197</v>
      </c>
      <c r="H42" s="21" t="s">
        <v>2440</v>
      </c>
      <c r="I42" s="21">
        <v>40</v>
      </c>
      <c r="J42" s="21">
        <v>87880</v>
      </c>
      <c r="K42" s="21">
        <v>0.12</v>
      </c>
      <c r="L42" s="21">
        <v>77334.399999999994</v>
      </c>
      <c r="M42" s="25">
        <v>43743</v>
      </c>
      <c r="N42">
        <f>MONTH(Table_36[[#This Row],[Дата заказа]])</f>
        <v>10</v>
      </c>
      <c r="O42">
        <f>WEEKDAY(Table_36[[#This Row],[Дата заказа]])</f>
        <v>7</v>
      </c>
      <c r="P42">
        <f>DAY(Table_36[[#This Row],[Дата заказа]])</f>
        <v>5</v>
      </c>
      <c r="Q42">
        <f>YEAR(Table_36[[#This Row],[Дата заказа]])</f>
        <v>2019</v>
      </c>
      <c r="R42">
        <f>_xlfn.ISOWEEKNUM(Table_36[[#This Row],[Дата заказа]])</f>
        <v>40</v>
      </c>
    </row>
    <row r="43" spans="3:18" ht="15.75" customHeight="1" x14ac:dyDescent="0.2">
      <c r="C43" s="26">
        <v>32</v>
      </c>
      <c r="D43" s="21" t="s">
        <v>2496</v>
      </c>
      <c r="E43" s="21" t="s">
        <v>2446</v>
      </c>
      <c r="F43" s="21" t="s">
        <v>2466</v>
      </c>
      <c r="G43" s="21">
        <v>967</v>
      </c>
      <c r="H43" s="21" t="s">
        <v>2444</v>
      </c>
      <c r="I43" s="21">
        <v>8</v>
      </c>
      <c r="J43" s="21">
        <v>7736</v>
      </c>
      <c r="K43" s="21">
        <v>0</v>
      </c>
      <c r="L43" s="21">
        <v>7736</v>
      </c>
      <c r="M43" s="25">
        <v>43800</v>
      </c>
      <c r="N43">
        <f>MONTH(Table_36[[#This Row],[Дата заказа]])</f>
        <v>12</v>
      </c>
      <c r="O43">
        <f>WEEKDAY(Table_36[[#This Row],[Дата заказа]])</f>
        <v>1</v>
      </c>
      <c r="P43">
        <f>DAY(Table_36[[#This Row],[Дата заказа]])</f>
        <v>1</v>
      </c>
      <c r="Q43">
        <f>YEAR(Table_36[[#This Row],[Дата заказа]])</f>
        <v>2019</v>
      </c>
      <c r="R43">
        <f>_xlfn.ISOWEEKNUM(Table_36[[#This Row],[Дата заказа]])</f>
        <v>48</v>
      </c>
    </row>
    <row r="44" spans="3:18" ht="15.75" customHeight="1" x14ac:dyDescent="0.2">
      <c r="C44" s="26">
        <v>12</v>
      </c>
      <c r="D44" s="21" t="s">
        <v>2453</v>
      </c>
      <c r="E44" s="21" t="s">
        <v>2454</v>
      </c>
      <c r="F44" s="21" t="s">
        <v>2455</v>
      </c>
      <c r="G44" s="21">
        <v>1386</v>
      </c>
      <c r="H44" s="21" t="s">
        <v>2440</v>
      </c>
      <c r="I44" s="21">
        <v>20</v>
      </c>
      <c r="J44" s="21">
        <v>27720</v>
      </c>
      <c r="K44" s="21">
        <v>0.03</v>
      </c>
      <c r="L44" s="21">
        <v>26888.400000000001</v>
      </c>
      <c r="M44" s="25">
        <v>43710</v>
      </c>
      <c r="N44">
        <f>MONTH(Table_36[[#This Row],[Дата заказа]])</f>
        <v>9</v>
      </c>
      <c r="O44">
        <f>WEEKDAY(Table_36[[#This Row],[Дата заказа]])</f>
        <v>2</v>
      </c>
      <c r="P44">
        <f>DAY(Table_36[[#This Row],[Дата заказа]])</f>
        <v>2</v>
      </c>
      <c r="Q44">
        <f>YEAR(Table_36[[#This Row],[Дата заказа]])</f>
        <v>2019</v>
      </c>
      <c r="R44">
        <f>_xlfn.ISOWEEKNUM(Table_36[[#This Row],[Дата заказа]])</f>
        <v>36</v>
      </c>
    </row>
    <row r="45" spans="3:18" ht="15.75" customHeight="1" x14ac:dyDescent="0.2">
      <c r="C45" s="26">
        <v>55</v>
      </c>
      <c r="D45" s="21" t="s">
        <v>2447</v>
      </c>
      <c r="E45" s="21" t="s">
        <v>2448</v>
      </c>
      <c r="F45" s="21" t="s">
        <v>2448</v>
      </c>
      <c r="G45" s="21">
        <v>699</v>
      </c>
      <c r="H45" s="21" t="s">
        <v>2444</v>
      </c>
      <c r="I45" s="21">
        <v>10</v>
      </c>
      <c r="J45" s="21">
        <v>6990</v>
      </c>
      <c r="K45" s="21">
        <v>0</v>
      </c>
      <c r="L45" s="21">
        <v>6990</v>
      </c>
      <c r="M45" s="25">
        <v>42401</v>
      </c>
      <c r="N45">
        <f>MONTH(Table_36[[#This Row],[Дата заказа]])</f>
        <v>2</v>
      </c>
      <c r="O45">
        <f>WEEKDAY(Table_36[[#This Row],[Дата заказа]])</f>
        <v>2</v>
      </c>
      <c r="P45">
        <f>DAY(Table_36[[#This Row],[Дата заказа]])</f>
        <v>1</v>
      </c>
      <c r="Q45">
        <f>YEAR(Table_36[[#This Row],[Дата заказа]])</f>
        <v>2016</v>
      </c>
      <c r="R45">
        <f>_xlfn.ISOWEEKNUM(Table_36[[#This Row],[Дата заказа]])</f>
        <v>5</v>
      </c>
    </row>
    <row r="46" spans="3:18" ht="15.75" customHeight="1" x14ac:dyDescent="0.2">
      <c r="C46" s="26">
        <v>12</v>
      </c>
      <c r="D46" s="21" t="s">
        <v>2453</v>
      </c>
      <c r="E46" s="21" t="s">
        <v>2454</v>
      </c>
      <c r="F46" s="21" t="s">
        <v>2455</v>
      </c>
      <c r="G46" s="21">
        <v>1386</v>
      </c>
      <c r="H46" s="21" t="s">
        <v>2440</v>
      </c>
      <c r="I46" s="21">
        <v>20</v>
      </c>
      <c r="J46" s="21">
        <v>27720</v>
      </c>
      <c r="K46" s="21">
        <v>0.03</v>
      </c>
      <c r="L46" s="21">
        <v>26888.400000000001</v>
      </c>
      <c r="M46" s="25">
        <v>42663</v>
      </c>
      <c r="N46">
        <f>MONTH(Table_36[[#This Row],[Дата заказа]])</f>
        <v>10</v>
      </c>
      <c r="O46">
        <f>WEEKDAY(Table_36[[#This Row],[Дата заказа]])</f>
        <v>5</v>
      </c>
      <c r="P46">
        <f>DAY(Table_36[[#This Row],[Дата заказа]])</f>
        <v>20</v>
      </c>
      <c r="Q46">
        <f>YEAR(Table_36[[#This Row],[Дата заказа]])</f>
        <v>2016</v>
      </c>
      <c r="R46">
        <f>_xlfn.ISOWEEKNUM(Table_36[[#This Row],[Дата заказа]])</f>
        <v>42</v>
      </c>
    </row>
    <row r="47" spans="3:18" ht="15.75" customHeight="1" x14ac:dyDescent="0.2">
      <c r="C47" s="26">
        <v>3</v>
      </c>
      <c r="D47" s="21" t="s">
        <v>2445</v>
      </c>
      <c r="E47" s="21" t="s">
        <v>2446</v>
      </c>
      <c r="F47" s="21" t="s">
        <v>2446</v>
      </c>
      <c r="G47" s="21">
        <v>807</v>
      </c>
      <c r="H47" s="21" t="s">
        <v>2440</v>
      </c>
      <c r="I47" s="21">
        <v>18</v>
      </c>
      <c r="J47" s="21">
        <v>14526</v>
      </c>
      <c r="K47" s="21">
        <v>0</v>
      </c>
      <c r="L47" s="21">
        <v>14526</v>
      </c>
      <c r="M47" s="25">
        <v>42425</v>
      </c>
      <c r="N47">
        <f>MONTH(Table_36[[#This Row],[Дата заказа]])</f>
        <v>2</v>
      </c>
      <c r="O47">
        <f>WEEKDAY(Table_36[[#This Row],[Дата заказа]])</f>
        <v>5</v>
      </c>
      <c r="P47">
        <f>DAY(Table_36[[#This Row],[Дата заказа]])</f>
        <v>25</v>
      </c>
      <c r="Q47">
        <f>YEAR(Table_36[[#This Row],[Дата заказа]])</f>
        <v>2016</v>
      </c>
      <c r="R47">
        <f>_xlfn.ISOWEEKNUM(Table_36[[#This Row],[Дата заказа]])</f>
        <v>8</v>
      </c>
    </row>
    <row r="48" spans="3:18" ht="15.75" customHeight="1" x14ac:dyDescent="0.2">
      <c r="C48" s="26">
        <v>17</v>
      </c>
      <c r="D48" s="21" t="s">
        <v>2465</v>
      </c>
      <c r="E48" s="21" t="s">
        <v>2446</v>
      </c>
      <c r="F48" s="21" t="s">
        <v>2466</v>
      </c>
      <c r="G48" s="21">
        <v>967</v>
      </c>
      <c r="H48" s="21" t="s">
        <v>2444</v>
      </c>
      <c r="I48" s="21">
        <v>12</v>
      </c>
      <c r="J48" s="21">
        <v>11604</v>
      </c>
      <c r="K48" s="21">
        <v>0</v>
      </c>
      <c r="L48" s="21">
        <v>11604</v>
      </c>
      <c r="M48" s="25">
        <v>43059</v>
      </c>
      <c r="N48">
        <f>MONTH(Table_36[[#This Row],[Дата заказа]])</f>
        <v>11</v>
      </c>
      <c r="O48">
        <f>WEEKDAY(Table_36[[#This Row],[Дата заказа]])</f>
        <v>2</v>
      </c>
      <c r="P48">
        <f>DAY(Table_36[[#This Row],[Дата заказа]])</f>
        <v>20</v>
      </c>
      <c r="Q48">
        <f>YEAR(Table_36[[#This Row],[Дата заказа]])</f>
        <v>2017</v>
      </c>
      <c r="R48">
        <f>_xlfn.ISOWEEKNUM(Table_36[[#This Row],[Дата заказа]])</f>
        <v>47</v>
      </c>
    </row>
    <row r="49" spans="3:18" ht="15.75" customHeight="1" x14ac:dyDescent="0.2">
      <c r="C49" s="26">
        <v>21</v>
      </c>
      <c r="D49" s="21" t="s">
        <v>2497</v>
      </c>
      <c r="E49" s="21" t="s">
        <v>2442</v>
      </c>
      <c r="F49" s="21" t="s">
        <v>2498</v>
      </c>
      <c r="G49" s="21">
        <v>887</v>
      </c>
      <c r="H49" s="21" t="s">
        <v>2444</v>
      </c>
      <c r="I49" s="21">
        <v>15</v>
      </c>
      <c r="J49" s="21">
        <v>13305</v>
      </c>
      <c r="K49" s="21">
        <v>0</v>
      </c>
      <c r="L49" s="21">
        <v>13305</v>
      </c>
      <c r="M49" s="25">
        <v>43828</v>
      </c>
      <c r="N49">
        <f>MONTH(Table_36[[#This Row],[Дата заказа]])</f>
        <v>12</v>
      </c>
      <c r="O49">
        <f>WEEKDAY(Table_36[[#This Row],[Дата заказа]])</f>
        <v>1</v>
      </c>
      <c r="P49">
        <f>DAY(Table_36[[#This Row],[Дата заказа]])</f>
        <v>29</v>
      </c>
      <c r="Q49">
        <f>YEAR(Table_36[[#This Row],[Дата заказа]])</f>
        <v>2019</v>
      </c>
      <c r="R49">
        <f>_xlfn.ISOWEEKNUM(Table_36[[#This Row],[Дата заказа]])</f>
        <v>52</v>
      </c>
    </row>
    <row r="50" spans="3:18" ht="15.75" customHeight="1" x14ac:dyDescent="0.2">
      <c r="C50" s="26">
        <v>21</v>
      </c>
      <c r="D50" s="21" t="s">
        <v>2497</v>
      </c>
      <c r="E50" s="21" t="s">
        <v>2442</v>
      </c>
      <c r="F50" s="21" t="s">
        <v>2498</v>
      </c>
      <c r="G50" s="21">
        <v>887</v>
      </c>
      <c r="H50" s="21" t="s">
        <v>2444</v>
      </c>
      <c r="I50" s="21">
        <v>15</v>
      </c>
      <c r="J50" s="21">
        <v>13305</v>
      </c>
      <c r="K50" s="21">
        <v>0</v>
      </c>
      <c r="L50" s="21">
        <v>13305</v>
      </c>
      <c r="M50" s="25">
        <v>43869</v>
      </c>
      <c r="N50">
        <f>MONTH(Table_36[[#This Row],[Дата заказа]])</f>
        <v>2</v>
      </c>
      <c r="O50">
        <f>WEEKDAY(Table_36[[#This Row],[Дата заказа]])</f>
        <v>7</v>
      </c>
      <c r="P50">
        <f>DAY(Table_36[[#This Row],[Дата заказа]])</f>
        <v>8</v>
      </c>
      <c r="Q50">
        <f>YEAR(Table_36[[#This Row],[Дата заказа]])</f>
        <v>2020</v>
      </c>
      <c r="R50">
        <f>_xlfn.ISOWEEKNUM(Table_36[[#This Row],[Дата заказа]])</f>
        <v>6</v>
      </c>
    </row>
    <row r="51" spans="3:18" ht="15.75" customHeight="1" x14ac:dyDescent="0.2">
      <c r="C51" s="26">
        <v>27</v>
      </c>
      <c r="D51" s="21" t="s">
        <v>2499</v>
      </c>
      <c r="E51" s="21" t="s">
        <v>2462</v>
      </c>
      <c r="F51" s="21" t="s">
        <v>2463</v>
      </c>
      <c r="G51" s="21">
        <v>1994</v>
      </c>
      <c r="H51" s="21" t="s">
        <v>2444</v>
      </c>
      <c r="I51" s="21">
        <v>25</v>
      </c>
      <c r="J51" s="21">
        <v>49850</v>
      </c>
      <c r="K51" s="21">
        <v>0.06</v>
      </c>
      <c r="L51" s="21">
        <v>46859</v>
      </c>
      <c r="M51" s="25">
        <v>42961</v>
      </c>
      <c r="N51">
        <f>MONTH(Table_36[[#This Row],[Дата заказа]])</f>
        <v>8</v>
      </c>
      <c r="O51">
        <f>WEEKDAY(Table_36[[#This Row],[Дата заказа]])</f>
        <v>2</v>
      </c>
      <c r="P51">
        <f>DAY(Table_36[[#This Row],[Дата заказа]])</f>
        <v>14</v>
      </c>
      <c r="Q51">
        <f>YEAR(Table_36[[#This Row],[Дата заказа]])</f>
        <v>2017</v>
      </c>
      <c r="R51">
        <f>_xlfn.ISOWEEKNUM(Table_36[[#This Row],[Дата заказа]])</f>
        <v>33</v>
      </c>
    </row>
    <row r="52" spans="3:18" ht="15.75" customHeight="1" x14ac:dyDescent="0.2">
      <c r="C52" s="26">
        <v>54</v>
      </c>
      <c r="D52" s="21" t="s">
        <v>2477</v>
      </c>
      <c r="E52" s="21" t="s">
        <v>2454</v>
      </c>
      <c r="F52" s="21" t="s">
        <v>2478</v>
      </c>
      <c r="G52" s="21">
        <v>847</v>
      </c>
      <c r="H52" s="21" t="s">
        <v>2440</v>
      </c>
      <c r="I52" s="21">
        <v>15</v>
      </c>
      <c r="J52" s="21">
        <v>12705</v>
      </c>
      <c r="K52" s="21">
        <v>0</v>
      </c>
      <c r="L52" s="21">
        <v>12705</v>
      </c>
      <c r="M52" s="25">
        <v>43415</v>
      </c>
      <c r="N52">
        <f>MONTH(Table_36[[#This Row],[Дата заказа]])</f>
        <v>11</v>
      </c>
      <c r="O52">
        <f>WEEKDAY(Table_36[[#This Row],[Дата заказа]])</f>
        <v>1</v>
      </c>
      <c r="P52">
        <f>DAY(Table_36[[#This Row],[Дата заказа]])</f>
        <v>11</v>
      </c>
      <c r="Q52">
        <f>YEAR(Table_36[[#This Row],[Дата заказа]])</f>
        <v>2018</v>
      </c>
      <c r="R52">
        <f>_xlfn.ISOWEEKNUM(Table_36[[#This Row],[Дата заказа]])</f>
        <v>45</v>
      </c>
    </row>
    <row r="53" spans="3:18" ht="15.75" customHeight="1" x14ac:dyDescent="0.2">
      <c r="C53" s="26">
        <v>2</v>
      </c>
      <c r="D53" s="21" t="s">
        <v>2500</v>
      </c>
      <c r="E53" s="21" t="s">
        <v>2446</v>
      </c>
      <c r="F53" s="21" t="s">
        <v>2501</v>
      </c>
      <c r="G53" s="21">
        <v>1178</v>
      </c>
      <c r="H53" s="21" t="s">
        <v>2444</v>
      </c>
      <c r="I53" s="21">
        <v>10</v>
      </c>
      <c r="J53" s="21">
        <v>11780</v>
      </c>
      <c r="K53" s="21">
        <v>0</v>
      </c>
      <c r="L53" s="21">
        <v>11780</v>
      </c>
      <c r="M53" s="25">
        <v>43028</v>
      </c>
      <c r="N53">
        <f>MONTH(Table_36[[#This Row],[Дата заказа]])</f>
        <v>10</v>
      </c>
      <c r="O53">
        <f>WEEKDAY(Table_36[[#This Row],[Дата заказа]])</f>
        <v>6</v>
      </c>
      <c r="P53">
        <f>DAY(Table_36[[#This Row],[Дата заказа]])</f>
        <v>20</v>
      </c>
      <c r="Q53">
        <f>YEAR(Table_36[[#This Row],[Дата заказа]])</f>
        <v>2017</v>
      </c>
      <c r="R53">
        <f>_xlfn.ISOWEEKNUM(Table_36[[#This Row],[Дата заказа]])</f>
        <v>42</v>
      </c>
    </row>
    <row r="54" spans="3:18" ht="15.75" customHeight="1" x14ac:dyDescent="0.2">
      <c r="C54" s="26">
        <v>33</v>
      </c>
      <c r="D54" s="21" t="s">
        <v>2461</v>
      </c>
      <c r="E54" s="21" t="s">
        <v>2462</v>
      </c>
      <c r="F54" s="21" t="s">
        <v>2463</v>
      </c>
      <c r="G54" s="21">
        <v>1994</v>
      </c>
      <c r="H54" s="21" t="s">
        <v>2444</v>
      </c>
      <c r="I54" s="21">
        <v>12</v>
      </c>
      <c r="J54" s="21">
        <v>23928</v>
      </c>
      <c r="K54" s="21">
        <v>0.03</v>
      </c>
      <c r="L54" s="21">
        <v>23210.16</v>
      </c>
      <c r="M54" s="25">
        <v>43817</v>
      </c>
      <c r="N54">
        <f>MONTH(Table_36[[#This Row],[Дата заказа]])</f>
        <v>12</v>
      </c>
      <c r="O54">
        <f>WEEKDAY(Table_36[[#This Row],[Дата заказа]])</f>
        <v>4</v>
      </c>
      <c r="P54">
        <f>DAY(Table_36[[#This Row],[Дата заказа]])</f>
        <v>18</v>
      </c>
      <c r="Q54">
        <f>YEAR(Table_36[[#This Row],[Дата заказа]])</f>
        <v>2019</v>
      </c>
      <c r="R54">
        <f>_xlfn.ISOWEEKNUM(Table_36[[#This Row],[Дата заказа]])</f>
        <v>51</v>
      </c>
    </row>
    <row r="55" spans="3:18" ht="15.75" customHeight="1" x14ac:dyDescent="0.2">
      <c r="C55" s="26">
        <v>6</v>
      </c>
      <c r="D55" s="21" t="s">
        <v>2502</v>
      </c>
      <c r="E55" s="21" t="s">
        <v>2446</v>
      </c>
      <c r="F55" s="21" t="s">
        <v>2503</v>
      </c>
      <c r="G55" s="21">
        <v>3197</v>
      </c>
      <c r="H55" s="21" t="s">
        <v>2444</v>
      </c>
      <c r="I55" s="21">
        <v>6</v>
      </c>
      <c r="J55" s="21">
        <v>19182</v>
      </c>
      <c r="K55" s="21">
        <v>0.03</v>
      </c>
      <c r="L55" s="21">
        <v>18606.54</v>
      </c>
      <c r="M55" s="25">
        <v>42014</v>
      </c>
      <c r="N55">
        <f>MONTH(Table_36[[#This Row],[Дата заказа]])</f>
        <v>1</v>
      </c>
      <c r="O55">
        <f>WEEKDAY(Table_36[[#This Row],[Дата заказа]])</f>
        <v>7</v>
      </c>
      <c r="P55">
        <f>DAY(Table_36[[#This Row],[Дата заказа]])</f>
        <v>10</v>
      </c>
      <c r="Q55">
        <f>YEAR(Table_36[[#This Row],[Дата заказа]])</f>
        <v>2015</v>
      </c>
      <c r="R55">
        <f>_xlfn.ISOWEEKNUM(Table_36[[#This Row],[Дата заказа]])</f>
        <v>2</v>
      </c>
    </row>
    <row r="56" spans="3:18" ht="15.75" customHeight="1" x14ac:dyDescent="0.2">
      <c r="C56" s="26">
        <v>16</v>
      </c>
      <c r="D56" s="21" t="s">
        <v>2504</v>
      </c>
      <c r="E56" s="21" t="s">
        <v>2505</v>
      </c>
      <c r="F56" s="21" t="s">
        <v>2506</v>
      </c>
      <c r="G56" s="21">
        <v>843</v>
      </c>
      <c r="H56" s="21" t="s">
        <v>2444</v>
      </c>
      <c r="I56" s="21">
        <v>5</v>
      </c>
      <c r="J56" s="21">
        <v>4215</v>
      </c>
      <c r="K56" s="21">
        <v>0</v>
      </c>
      <c r="L56" s="21">
        <v>4215</v>
      </c>
      <c r="M56" s="25">
        <v>42791</v>
      </c>
      <c r="N56">
        <f>MONTH(Table_36[[#This Row],[Дата заказа]])</f>
        <v>2</v>
      </c>
      <c r="O56">
        <f>WEEKDAY(Table_36[[#This Row],[Дата заказа]])</f>
        <v>7</v>
      </c>
      <c r="P56">
        <f>DAY(Table_36[[#This Row],[Дата заказа]])</f>
        <v>25</v>
      </c>
      <c r="Q56">
        <f>YEAR(Table_36[[#This Row],[Дата заказа]])</f>
        <v>2017</v>
      </c>
      <c r="R56">
        <f>_xlfn.ISOWEEKNUM(Table_36[[#This Row],[Дата заказа]])</f>
        <v>8</v>
      </c>
    </row>
    <row r="57" spans="3:18" ht="15.75" customHeight="1" x14ac:dyDescent="0.2">
      <c r="C57" s="26">
        <v>3</v>
      </c>
      <c r="D57" s="21" t="s">
        <v>2445</v>
      </c>
      <c r="E57" s="21" t="s">
        <v>2446</v>
      </c>
      <c r="F57" s="21" t="s">
        <v>2446</v>
      </c>
      <c r="G57" s="21">
        <v>807</v>
      </c>
      <c r="H57" s="21" t="s">
        <v>2440</v>
      </c>
      <c r="I57" s="21">
        <v>18</v>
      </c>
      <c r="J57" s="21">
        <v>14526</v>
      </c>
      <c r="K57" s="21">
        <v>0</v>
      </c>
      <c r="L57" s="21">
        <v>14526</v>
      </c>
      <c r="M57" s="25">
        <v>42865</v>
      </c>
      <c r="N57">
        <f>MONTH(Table_36[[#This Row],[Дата заказа]])</f>
        <v>5</v>
      </c>
      <c r="O57">
        <f>WEEKDAY(Table_36[[#This Row],[Дата заказа]])</f>
        <v>4</v>
      </c>
      <c r="P57">
        <f>DAY(Table_36[[#This Row],[Дата заказа]])</f>
        <v>10</v>
      </c>
      <c r="Q57">
        <f>YEAR(Table_36[[#This Row],[Дата заказа]])</f>
        <v>2017</v>
      </c>
      <c r="R57">
        <f>_xlfn.ISOWEEKNUM(Table_36[[#This Row],[Дата заказа]])</f>
        <v>19</v>
      </c>
    </row>
    <row r="58" spans="3:18" ht="15.75" customHeight="1" x14ac:dyDescent="0.2">
      <c r="C58" s="26">
        <v>28</v>
      </c>
      <c r="D58" s="21" t="s">
        <v>2494</v>
      </c>
      <c r="E58" s="21" t="s">
        <v>2462</v>
      </c>
      <c r="F58" s="21" t="s">
        <v>2491</v>
      </c>
      <c r="G58" s="21">
        <v>1994</v>
      </c>
      <c r="H58" s="21" t="s">
        <v>2444</v>
      </c>
      <c r="I58" s="21">
        <v>40</v>
      </c>
      <c r="J58" s="21">
        <v>79760</v>
      </c>
      <c r="K58" s="21">
        <v>0.12</v>
      </c>
      <c r="L58" s="21">
        <v>70188.800000000003</v>
      </c>
      <c r="M58" s="25">
        <v>43337</v>
      </c>
      <c r="N58">
        <f>MONTH(Table_36[[#This Row],[Дата заказа]])</f>
        <v>8</v>
      </c>
      <c r="O58">
        <f>WEEKDAY(Table_36[[#This Row],[Дата заказа]])</f>
        <v>7</v>
      </c>
      <c r="P58">
        <f>DAY(Table_36[[#This Row],[Дата заказа]])</f>
        <v>25</v>
      </c>
      <c r="Q58">
        <f>YEAR(Table_36[[#This Row],[Дата заказа]])</f>
        <v>2018</v>
      </c>
      <c r="R58">
        <f>_xlfn.ISOWEEKNUM(Table_36[[#This Row],[Дата заказа]])</f>
        <v>34</v>
      </c>
    </row>
    <row r="59" spans="3:18" ht="15.75" customHeight="1" x14ac:dyDescent="0.2">
      <c r="C59" s="26">
        <v>2</v>
      </c>
      <c r="D59" s="21" t="s">
        <v>2500</v>
      </c>
      <c r="E59" s="21" t="s">
        <v>2446</v>
      </c>
      <c r="F59" s="21" t="s">
        <v>2501</v>
      </c>
      <c r="G59" s="21">
        <v>1178</v>
      </c>
      <c r="H59" s="21" t="s">
        <v>2444</v>
      </c>
      <c r="I59" s="21">
        <v>10</v>
      </c>
      <c r="J59" s="21">
        <v>11780</v>
      </c>
      <c r="K59" s="21">
        <v>0</v>
      </c>
      <c r="L59" s="21">
        <v>11780</v>
      </c>
      <c r="M59" s="25">
        <v>43646</v>
      </c>
      <c r="N59">
        <f>MONTH(Table_36[[#This Row],[Дата заказа]])</f>
        <v>6</v>
      </c>
      <c r="O59">
        <f>WEEKDAY(Table_36[[#This Row],[Дата заказа]])</f>
        <v>1</v>
      </c>
      <c r="P59">
        <f>DAY(Table_36[[#This Row],[Дата заказа]])</f>
        <v>30</v>
      </c>
      <c r="Q59">
        <f>YEAR(Table_36[[#This Row],[Дата заказа]])</f>
        <v>2019</v>
      </c>
      <c r="R59">
        <f>_xlfn.ISOWEEKNUM(Table_36[[#This Row],[Дата заказа]])</f>
        <v>26</v>
      </c>
    </row>
    <row r="60" spans="3:18" ht="15.75" customHeight="1" x14ac:dyDescent="0.2">
      <c r="C60" s="26">
        <v>26</v>
      </c>
      <c r="D60" s="21" t="s">
        <v>2464</v>
      </c>
      <c r="E60" s="21" t="s">
        <v>2442</v>
      </c>
      <c r="F60" s="21" t="s">
        <v>2443</v>
      </c>
      <c r="G60" s="21">
        <v>2197</v>
      </c>
      <c r="H60" s="21" t="s">
        <v>2440</v>
      </c>
      <c r="I60" s="21">
        <v>40</v>
      </c>
      <c r="J60" s="21">
        <v>87880</v>
      </c>
      <c r="K60" s="21">
        <v>0.12</v>
      </c>
      <c r="L60" s="21">
        <v>77334.399999999994</v>
      </c>
      <c r="M60" s="25">
        <v>43937</v>
      </c>
      <c r="N60">
        <f>MONTH(Table_36[[#This Row],[Дата заказа]])</f>
        <v>4</v>
      </c>
      <c r="O60">
        <f>WEEKDAY(Table_36[[#This Row],[Дата заказа]])</f>
        <v>5</v>
      </c>
      <c r="P60">
        <f>DAY(Table_36[[#This Row],[Дата заказа]])</f>
        <v>16</v>
      </c>
      <c r="Q60">
        <f>YEAR(Table_36[[#This Row],[Дата заказа]])</f>
        <v>2020</v>
      </c>
      <c r="R60">
        <f>_xlfn.ISOWEEKNUM(Table_36[[#This Row],[Дата заказа]])</f>
        <v>16</v>
      </c>
    </row>
    <row r="61" spans="3:18" ht="15.75" customHeight="1" x14ac:dyDescent="0.2">
      <c r="C61" s="26">
        <v>19</v>
      </c>
      <c r="D61" s="21" t="s">
        <v>2488</v>
      </c>
      <c r="E61" s="21" t="s">
        <v>2454</v>
      </c>
      <c r="F61" s="21" t="s">
        <v>2489</v>
      </c>
      <c r="G61" s="21">
        <v>1879</v>
      </c>
      <c r="H61" s="21" t="s">
        <v>2440</v>
      </c>
      <c r="I61" s="21">
        <v>15</v>
      </c>
      <c r="J61" s="21">
        <v>28185</v>
      </c>
      <c r="K61" s="21">
        <v>0.03</v>
      </c>
      <c r="L61" s="21">
        <v>27339.45</v>
      </c>
      <c r="M61" s="25">
        <v>43416</v>
      </c>
      <c r="N61">
        <f>MONTH(Table_36[[#This Row],[Дата заказа]])</f>
        <v>11</v>
      </c>
      <c r="O61">
        <f>WEEKDAY(Table_36[[#This Row],[Дата заказа]])</f>
        <v>2</v>
      </c>
      <c r="P61">
        <f>DAY(Table_36[[#This Row],[Дата заказа]])</f>
        <v>12</v>
      </c>
      <c r="Q61">
        <f>YEAR(Table_36[[#This Row],[Дата заказа]])</f>
        <v>2018</v>
      </c>
      <c r="R61">
        <f>_xlfn.ISOWEEKNUM(Table_36[[#This Row],[Дата заказа]])</f>
        <v>46</v>
      </c>
    </row>
    <row r="62" spans="3:18" ht="15.75" customHeight="1" x14ac:dyDescent="0.2">
      <c r="C62" s="26">
        <v>40</v>
      </c>
      <c r="D62" s="21" t="s">
        <v>2477</v>
      </c>
      <c r="E62" s="21" t="s">
        <v>2454</v>
      </c>
      <c r="F62" s="21" t="s">
        <v>2478</v>
      </c>
      <c r="G62" s="21">
        <v>847</v>
      </c>
      <c r="H62" s="21" t="s">
        <v>2440</v>
      </c>
      <c r="I62" s="21">
        <v>15</v>
      </c>
      <c r="J62" s="21">
        <v>12705</v>
      </c>
      <c r="K62" s="21">
        <v>0</v>
      </c>
      <c r="L62" s="21">
        <v>12705</v>
      </c>
      <c r="M62" s="25">
        <v>43298</v>
      </c>
      <c r="N62">
        <f>MONTH(Table_36[[#This Row],[Дата заказа]])</f>
        <v>7</v>
      </c>
      <c r="O62">
        <f>WEEKDAY(Table_36[[#This Row],[Дата заказа]])</f>
        <v>3</v>
      </c>
      <c r="P62">
        <f>DAY(Table_36[[#This Row],[Дата заказа]])</f>
        <v>17</v>
      </c>
      <c r="Q62">
        <f>YEAR(Table_36[[#This Row],[Дата заказа]])</f>
        <v>2018</v>
      </c>
      <c r="R62">
        <f>_xlfn.ISOWEEKNUM(Table_36[[#This Row],[Дата заказа]])</f>
        <v>29</v>
      </c>
    </row>
    <row r="63" spans="3:18" ht="15.75" customHeight="1" x14ac:dyDescent="0.2">
      <c r="C63" s="26">
        <v>12</v>
      </c>
      <c r="D63" s="21" t="s">
        <v>2453</v>
      </c>
      <c r="E63" s="21" t="s">
        <v>2454</v>
      </c>
      <c r="F63" s="21" t="s">
        <v>2455</v>
      </c>
      <c r="G63" s="21">
        <v>1386</v>
      </c>
      <c r="H63" s="21" t="s">
        <v>2440</v>
      </c>
      <c r="I63" s="21">
        <v>20</v>
      </c>
      <c r="J63" s="21">
        <v>27720</v>
      </c>
      <c r="K63" s="21">
        <v>0.03</v>
      </c>
      <c r="L63" s="21">
        <v>26888.400000000001</v>
      </c>
      <c r="M63" s="25">
        <v>42366</v>
      </c>
      <c r="N63">
        <f>MONTH(Table_36[[#This Row],[Дата заказа]])</f>
        <v>12</v>
      </c>
      <c r="O63">
        <f>WEEKDAY(Table_36[[#This Row],[Дата заказа]])</f>
        <v>2</v>
      </c>
      <c r="P63">
        <f>DAY(Table_36[[#This Row],[Дата заказа]])</f>
        <v>28</v>
      </c>
      <c r="Q63">
        <f>YEAR(Table_36[[#This Row],[Дата заказа]])</f>
        <v>2015</v>
      </c>
      <c r="R63">
        <f>_xlfn.ISOWEEKNUM(Table_36[[#This Row],[Дата заказа]])</f>
        <v>53</v>
      </c>
    </row>
    <row r="64" spans="3:18" ht="15.75" customHeight="1" x14ac:dyDescent="0.2">
      <c r="C64" s="26">
        <v>49</v>
      </c>
      <c r="D64" s="21" t="s">
        <v>2441</v>
      </c>
      <c r="E64" s="21" t="s">
        <v>2442</v>
      </c>
      <c r="F64" s="21" t="s">
        <v>2443</v>
      </c>
      <c r="G64" s="21">
        <v>617</v>
      </c>
      <c r="H64" s="21" t="s">
        <v>2444</v>
      </c>
      <c r="I64" s="21">
        <v>25</v>
      </c>
      <c r="J64" s="21">
        <v>15425</v>
      </c>
      <c r="K64" s="21">
        <v>0</v>
      </c>
      <c r="L64" s="21">
        <v>15425</v>
      </c>
      <c r="M64" s="25">
        <v>43517</v>
      </c>
      <c r="N64">
        <f>MONTH(Table_36[[#This Row],[Дата заказа]])</f>
        <v>2</v>
      </c>
      <c r="O64">
        <f>WEEKDAY(Table_36[[#This Row],[Дата заказа]])</f>
        <v>5</v>
      </c>
      <c r="P64">
        <f>DAY(Table_36[[#This Row],[Дата заказа]])</f>
        <v>21</v>
      </c>
      <c r="Q64">
        <f>YEAR(Table_36[[#This Row],[Дата заказа]])</f>
        <v>2019</v>
      </c>
      <c r="R64">
        <f>_xlfn.ISOWEEKNUM(Table_36[[#This Row],[Дата заказа]])</f>
        <v>8</v>
      </c>
    </row>
    <row r="65" spans="3:18" ht="15.75" customHeight="1" x14ac:dyDescent="0.2">
      <c r="C65" s="26">
        <v>1</v>
      </c>
      <c r="D65" s="21" t="s">
        <v>2459</v>
      </c>
      <c r="E65" s="21" t="s">
        <v>2438</v>
      </c>
      <c r="F65" s="21" t="s">
        <v>2460</v>
      </c>
      <c r="G65" s="21">
        <v>876</v>
      </c>
      <c r="H65" s="21" t="s">
        <v>2444</v>
      </c>
      <c r="I65" s="21">
        <v>20</v>
      </c>
      <c r="J65" s="21">
        <v>17520</v>
      </c>
      <c r="K65" s="21">
        <v>0.03</v>
      </c>
      <c r="L65" s="21">
        <v>16994.400000000001</v>
      </c>
      <c r="M65" s="25">
        <v>42142</v>
      </c>
      <c r="N65">
        <f>MONTH(Table_36[[#This Row],[Дата заказа]])</f>
        <v>5</v>
      </c>
      <c r="O65">
        <f>WEEKDAY(Table_36[[#This Row],[Дата заказа]])</f>
        <v>2</v>
      </c>
      <c r="P65">
        <f>DAY(Table_36[[#This Row],[Дата заказа]])</f>
        <v>18</v>
      </c>
      <c r="Q65">
        <f>YEAR(Table_36[[#This Row],[Дата заказа]])</f>
        <v>2015</v>
      </c>
      <c r="R65">
        <f>_xlfn.ISOWEEKNUM(Table_36[[#This Row],[Дата заказа]])</f>
        <v>21</v>
      </c>
    </row>
    <row r="66" spans="3:18" ht="15.75" customHeight="1" x14ac:dyDescent="0.2">
      <c r="C66" s="26">
        <v>32</v>
      </c>
      <c r="D66" s="21" t="s">
        <v>2496</v>
      </c>
      <c r="E66" s="21" t="s">
        <v>2446</v>
      </c>
      <c r="F66" s="21" t="s">
        <v>2466</v>
      </c>
      <c r="G66" s="21">
        <v>967</v>
      </c>
      <c r="H66" s="21" t="s">
        <v>2444</v>
      </c>
      <c r="I66" s="21">
        <v>8</v>
      </c>
      <c r="J66" s="21">
        <v>7736</v>
      </c>
      <c r="K66" s="21">
        <v>0</v>
      </c>
      <c r="L66" s="21">
        <v>7736</v>
      </c>
      <c r="M66" s="25">
        <v>43496</v>
      </c>
      <c r="N66">
        <f>MONTH(Table_36[[#This Row],[Дата заказа]])</f>
        <v>1</v>
      </c>
      <c r="O66">
        <f>WEEKDAY(Table_36[[#This Row],[Дата заказа]])</f>
        <v>5</v>
      </c>
      <c r="P66">
        <f>DAY(Table_36[[#This Row],[Дата заказа]])</f>
        <v>31</v>
      </c>
      <c r="Q66">
        <f>YEAR(Table_36[[#This Row],[Дата заказа]])</f>
        <v>2019</v>
      </c>
      <c r="R66">
        <f>_xlfn.ISOWEEKNUM(Table_36[[#This Row],[Дата заказа]])</f>
        <v>5</v>
      </c>
    </row>
    <row r="67" spans="3:18" ht="15.75" customHeight="1" x14ac:dyDescent="0.2">
      <c r="C67" s="26">
        <v>26</v>
      </c>
      <c r="D67" s="21" t="s">
        <v>2464</v>
      </c>
      <c r="E67" s="21" t="s">
        <v>2442</v>
      </c>
      <c r="F67" s="21" t="s">
        <v>2443</v>
      </c>
      <c r="G67" s="21">
        <v>2197</v>
      </c>
      <c r="H67" s="21" t="s">
        <v>2440</v>
      </c>
      <c r="I67" s="21">
        <v>40</v>
      </c>
      <c r="J67" s="21">
        <v>87880</v>
      </c>
      <c r="K67" s="21">
        <v>0.12</v>
      </c>
      <c r="L67" s="21">
        <v>77334.399999999994</v>
      </c>
      <c r="M67" s="25">
        <v>43990</v>
      </c>
      <c r="N67">
        <f>MONTH(Table_36[[#This Row],[Дата заказа]])</f>
        <v>6</v>
      </c>
      <c r="O67">
        <f>WEEKDAY(Table_36[[#This Row],[Дата заказа]])</f>
        <v>2</v>
      </c>
      <c r="P67">
        <f>DAY(Table_36[[#This Row],[Дата заказа]])</f>
        <v>8</v>
      </c>
      <c r="Q67">
        <f>YEAR(Table_36[[#This Row],[Дата заказа]])</f>
        <v>2020</v>
      </c>
      <c r="R67">
        <f>_xlfn.ISOWEEKNUM(Table_36[[#This Row],[Дата заказа]])</f>
        <v>24</v>
      </c>
    </row>
    <row r="68" spans="3:18" ht="15.75" customHeight="1" x14ac:dyDescent="0.2">
      <c r="C68" s="26">
        <v>38</v>
      </c>
      <c r="D68" s="21" t="s">
        <v>2483</v>
      </c>
      <c r="E68" s="21" t="s">
        <v>2446</v>
      </c>
      <c r="F68" s="21" t="s">
        <v>2484</v>
      </c>
      <c r="G68" s="21">
        <v>1182</v>
      </c>
      <c r="H68" s="21" t="s">
        <v>2440</v>
      </c>
      <c r="I68" s="21">
        <v>17</v>
      </c>
      <c r="J68" s="21">
        <v>20094</v>
      </c>
      <c r="K68" s="21">
        <v>0.03</v>
      </c>
      <c r="L68" s="21">
        <v>19491.18</v>
      </c>
      <c r="M68" s="25">
        <v>42339</v>
      </c>
      <c r="N68">
        <f>MONTH(Table_36[[#This Row],[Дата заказа]])</f>
        <v>12</v>
      </c>
      <c r="O68">
        <f>WEEKDAY(Table_36[[#This Row],[Дата заказа]])</f>
        <v>3</v>
      </c>
      <c r="P68">
        <f>DAY(Table_36[[#This Row],[Дата заказа]])</f>
        <v>1</v>
      </c>
      <c r="Q68">
        <f>YEAR(Table_36[[#This Row],[Дата заказа]])</f>
        <v>2015</v>
      </c>
      <c r="R68">
        <f>_xlfn.ISOWEEKNUM(Table_36[[#This Row],[Дата заказа]])</f>
        <v>49</v>
      </c>
    </row>
    <row r="69" spans="3:18" ht="15.75" customHeight="1" x14ac:dyDescent="0.2">
      <c r="C69" s="26">
        <v>4</v>
      </c>
      <c r="D69" s="21" t="s">
        <v>2449</v>
      </c>
      <c r="E69" s="21" t="s">
        <v>2448</v>
      </c>
      <c r="F69" s="21" t="s">
        <v>2485</v>
      </c>
      <c r="G69" s="21">
        <v>2211</v>
      </c>
      <c r="H69" s="21" t="s">
        <v>2444</v>
      </c>
      <c r="I69" s="21">
        <v>25</v>
      </c>
      <c r="J69" s="21">
        <v>55275</v>
      </c>
      <c r="K69" s="21">
        <v>0.09</v>
      </c>
      <c r="L69" s="21">
        <v>50300.25</v>
      </c>
      <c r="M69" s="25">
        <v>43843</v>
      </c>
      <c r="N69">
        <f>MONTH(Table_36[[#This Row],[Дата заказа]])</f>
        <v>1</v>
      </c>
      <c r="O69">
        <f>WEEKDAY(Table_36[[#This Row],[Дата заказа]])</f>
        <v>2</v>
      </c>
      <c r="P69">
        <f>DAY(Table_36[[#This Row],[Дата заказа]])</f>
        <v>13</v>
      </c>
      <c r="Q69">
        <f>YEAR(Table_36[[#This Row],[Дата заказа]])</f>
        <v>2020</v>
      </c>
      <c r="R69">
        <f>_xlfn.ISOWEEKNUM(Table_36[[#This Row],[Дата заказа]])</f>
        <v>3</v>
      </c>
    </row>
    <row r="70" spans="3:18" ht="15.75" customHeight="1" x14ac:dyDescent="0.2">
      <c r="C70" s="26">
        <v>10</v>
      </c>
      <c r="D70" s="21" t="s">
        <v>2451</v>
      </c>
      <c r="E70" s="21" t="s">
        <v>2438</v>
      </c>
      <c r="F70" s="21" t="s">
        <v>2452</v>
      </c>
      <c r="G70" s="21">
        <v>800</v>
      </c>
      <c r="H70" s="21" t="s">
        <v>2440</v>
      </c>
      <c r="I70" s="21">
        <v>25</v>
      </c>
      <c r="J70" s="21">
        <v>20000</v>
      </c>
      <c r="K70" s="21">
        <v>0.03</v>
      </c>
      <c r="L70" s="21">
        <v>19400</v>
      </c>
      <c r="M70" s="25">
        <v>43788</v>
      </c>
      <c r="N70">
        <f>MONTH(Table_36[[#This Row],[Дата заказа]])</f>
        <v>11</v>
      </c>
      <c r="O70">
        <f>WEEKDAY(Table_36[[#This Row],[Дата заказа]])</f>
        <v>3</v>
      </c>
      <c r="P70">
        <f>DAY(Table_36[[#This Row],[Дата заказа]])</f>
        <v>19</v>
      </c>
      <c r="Q70">
        <f>YEAR(Table_36[[#This Row],[Дата заказа]])</f>
        <v>2019</v>
      </c>
      <c r="R70">
        <f>_xlfn.ISOWEEKNUM(Table_36[[#This Row],[Дата заказа]])</f>
        <v>47</v>
      </c>
    </row>
    <row r="71" spans="3:18" ht="15.75" customHeight="1" x14ac:dyDescent="0.2">
      <c r="C71" s="26">
        <v>42</v>
      </c>
      <c r="D71" s="21" t="s">
        <v>2451</v>
      </c>
      <c r="E71" s="21" t="s">
        <v>2438</v>
      </c>
      <c r="F71" s="21" t="s">
        <v>2452</v>
      </c>
      <c r="G71" s="21">
        <v>800</v>
      </c>
      <c r="H71" s="21" t="s">
        <v>2440</v>
      </c>
      <c r="I71" s="21">
        <v>25</v>
      </c>
      <c r="J71" s="21">
        <v>20000</v>
      </c>
      <c r="K71" s="21">
        <v>0.03</v>
      </c>
      <c r="L71" s="21">
        <v>19400</v>
      </c>
      <c r="M71" s="25">
        <v>42032</v>
      </c>
      <c r="N71">
        <f>MONTH(Table_36[[#This Row],[Дата заказа]])</f>
        <v>1</v>
      </c>
      <c r="O71">
        <f>WEEKDAY(Table_36[[#This Row],[Дата заказа]])</f>
        <v>4</v>
      </c>
      <c r="P71">
        <f>DAY(Table_36[[#This Row],[Дата заказа]])</f>
        <v>28</v>
      </c>
      <c r="Q71">
        <f>YEAR(Table_36[[#This Row],[Дата заказа]])</f>
        <v>2015</v>
      </c>
      <c r="R71">
        <f>_xlfn.ISOWEEKNUM(Table_36[[#This Row],[Дата заказа]])</f>
        <v>5</v>
      </c>
    </row>
    <row r="72" spans="3:18" ht="15.75" customHeight="1" x14ac:dyDescent="0.2">
      <c r="C72" s="26">
        <v>31</v>
      </c>
      <c r="D72" s="21" t="s">
        <v>2479</v>
      </c>
      <c r="E72" s="21" t="s">
        <v>2442</v>
      </c>
      <c r="F72" s="21" t="s">
        <v>2480</v>
      </c>
      <c r="G72" s="21">
        <v>1228</v>
      </c>
      <c r="H72" s="21" t="s">
        <v>2440</v>
      </c>
      <c r="I72" s="21">
        <v>45</v>
      </c>
      <c r="J72" s="21">
        <v>55260</v>
      </c>
      <c r="K72" s="21">
        <v>0.09</v>
      </c>
      <c r="L72" s="21">
        <v>50286.6</v>
      </c>
      <c r="M72" s="25">
        <v>42130</v>
      </c>
      <c r="N72">
        <f>MONTH(Table_36[[#This Row],[Дата заказа]])</f>
        <v>5</v>
      </c>
      <c r="O72">
        <f>WEEKDAY(Table_36[[#This Row],[Дата заказа]])</f>
        <v>4</v>
      </c>
      <c r="P72">
        <f>DAY(Table_36[[#This Row],[Дата заказа]])</f>
        <v>6</v>
      </c>
      <c r="Q72">
        <f>YEAR(Table_36[[#This Row],[Дата заказа]])</f>
        <v>2015</v>
      </c>
      <c r="R72">
        <f>_xlfn.ISOWEEKNUM(Table_36[[#This Row],[Дата заказа]])</f>
        <v>19</v>
      </c>
    </row>
    <row r="73" spans="3:18" ht="15.75" customHeight="1" x14ac:dyDescent="0.2">
      <c r="C73" s="26">
        <v>3</v>
      </c>
      <c r="D73" s="21" t="s">
        <v>2445</v>
      </c>
      <c r="E73" s="21" t="s">
        <v>2446</v>
      </c>
      <c r="F73" s="21" t="s">
        <v>2446</v>
      </c>
      <c r="G73" s="21">
        <v>807</v>
      </c>
      <c r="H73" s="21" t="s">
        <v>2440</v>
      </c>
      <c r="I73" s="21">
        <v>18</v>
      </c>
      <c r="J73" s="21">
        <v>14526</v>
      </c>
      <c r="K73" s="21">
        <v>0</v>
      </c>
      <c r="L73" s="21">
        <v>14526</v>
      </c>
      <c r="M73" s="25">
        <v>42793</v>
      </c>
      <c r="N73">
        <f>MONTH(Table_36[[#This Row],[Дата заказа]])</f>
        <v>2</v>
      </c>
      <c r="O73">
        <f>WEEKDAY(Table_36[[#This Row],[Дата заказа]])</f>
        <v>2</v>
      </c>
      <c r="P73">
        <f>DAY(Table_36[[#This Row],[Дата заказа]])</f>
        <v>27</v>
      </c>
      <c r="Q73">
        <f>YEAR(Table_36[[#This Row],[Дата заказа]])</f>
        <v>2017</v>
      </c>
      <c r="R73">
        <f>_xlfn.ISOWEEKNUM(Table_36[[#This Row],[Дата заказа]])</f>
        <v>9</v>
      </c>
    </row>
    <row r="74" spans="3:18" ht="15.75" customHeight="1" x14ac:dyDescent="0.2">
      <c r="C74" s="26">
        <v>8</v>
      </c>
      <c r="D74" s="21" t="s">
        <v>2477</v>
      </c>
      <c r="E74" s="21" t="s">
        <v>2454</v>
      </c>
      <c r="F74" s="21" t="s">
        <v>2478</v>
      </c>
      <c r="G74" s="21">
        <v>847</v>
      </c>
      <c r="H74" s="21" t="s">
        <v>2440</v>
      </c>
      <c r="I74" s="21">
        <v>15</v>
      </c>
      <c r="J74" s="21">
        <v>12705</v>
      </c>
      <c r="K74" s="21">
        <v>0</v>
      </c>
      <c r="L74" s="21">
        <v>12705</v>
      </c>
      <c r="M74" s="25">
        <v>42991</v>
      </c>
      <c r="N74">
        <f>MONTH(Table_36[[#This Row],[Дата заказа]])</f>
        <v>9</v>
      </c>
      <c r="O74">
        <f>WEEKDAY(Table_36[[#This Row],[Дата заказа]])</f>
        <v>4</v>
      </c>
      <c r="P74">
        <f>DAY(Table_36[[#This Row],[Дата заказа]])</f>
        <v>13</v>
      </c>
      <c r="Q74">
        <f>YEAR(Table_36[[#This Row],[Дата заказа]])</f>
        <v>2017</v>
      </c>
      <c r="R74">
        <f>_xlfn.ISOWEEKNUM(Table_36[[#This Row],[Дата заказа]])</f>
        <v>37</v>
      </c>
    </row>
    <row r="75" spans="3:18" ht="15.75" customHeight="1" x14ac:dyDescent="0.2">
      <c r="C75" s="26">
        <v>45</v>
      </c>
      <c r="D75" s="21" t="s">
        <v>2507</v>
      </c>
      <c r="E75" s="21" t="s">
        <v>2446</v>
      </c>
      <c r="F75" s="21" t="s">
        <v>2493</v>
      </c>
      <c r="G75" s="21">
        <v>759</v>
      </c>
      <c r="H75" s="21" t="s">
        <v>2444</v>
      </c>
      <c r="I75" s="21">
        <v>14</v>
      </c>
      <c r="J75" s="21">
        <v>10626</v>
      </c>
      <c r="K75" s="21">
        <v>0</v>
      </c>
      <c r="L75" s="21">
        <v>10626</v>
      </c>
      <c r="M75" s="25">
        <v>42743</v>
      </c>
      <c r="N75">
        <f>MONTH(Table_36[[#This Row],[Дата заказа]])</f>
        <v>1</v>
      </c>
      <c r="O75">
        <f>WEEKDAY(Table_36[[#This Row],[Дата заказа]])</f>
        <v>1</v>
      </c>
      <c r="P75">
        <f>DAY(Table_36[[#This Row],[Дата заказа]])</f>
        <v>8</v>
      </c>
      <c r="Q75">
        <f>YEAR(Table_36[[#This Row],[Дата заказа]])</f>
        <v>2017</v>
      </c>
      <c r="R75">
        <f>_xlfn.ISOWEEKNUM(Table_36[[#This Row],[Дата заказа]])</f>
        <v>1</v>
      </c>
    </row>
    <row r="76" spans="3:18" ht="15.75" customHeight="1" x14ac:dyDescent="0.2">
      <c r="C76" s="26">
        <v>25</v>
      </c>
      <c r="D76" s="21" t="s">
        <v>2490</v>
      </c>
      <c r="E76" s="21" t="s">
        <v>2462</v>
      </c>
      <c r="F76" s="21" t="s">
        <v>2491</v>
      </c>
      <c r="G76" s="21">
        <v>1994</v>
      </c>
      <c r="H76" s="21" t="s">
        <v>2444</v>
      </c>
      <c r="I76" s="21">
        <v>10</v>
      </c>
      <c r="J76" s="21">
        <v>19940</v>
      </c>
      <c r="K76" s="21">
        <v>0.03</v>
      </c>
      <c r="L76" s="21">
        <v>19341.8</v>
      </c>
      <c r="M76" s="25">
        <v>42193</v>
      </c>
      <c r="N76">
        <f>MONTH(Table_36[[#This Row],[Дата заказа]])</f>
        <v>7</v>
      </c>
      <c r="O76">
        <f>WEEKDAY(Table_36[[#This Row],[Дата заказа]])</f>
        <v>4</v>
      </c>
      <c r="P76">
        <f>DAY(Table_36[[#This Row],[Дата заказа]])</f>
        <v>8</v>
      </c>
      <c r="Q76">
        <f>YEAR(Table_36[[#This Row],[Дата заказа]])</f>
        <v>2015</v>
      </c>
      <c r="R76">
        <f>_xlfn.ISOWEEKNUM(Table_36[[#This Row],[Дата заказа]])</f>
        <v>28</v>
      </c>
    </row>
    <row r="77" spans="3:18" ht="15.75" customHeight="1" x14ac:dyDescent="0.2">
      <c r="C77" s="26">
        <v>31</v>
      </c>
      <c r="D77" s="21" t="s">
        <v>2479</v>
      </c>
      <c r="E77" s="21" t="s">
        <v>2442</v>
      </c>
      <c r="F77" s="21" t="s">
        <v>2480</v>
      </c>
      <c r="G77" s="21">
        <v>1228</v>
      </c>
      <c r="H77" s="21" t="s">
        <v>2440</v>
      </c>
      <c r="I77" s="21">
        <v>45</v>
      </c>
      <c r="J77" s="21">
        <v>55260</v>
      </c>
      <c r="K77" s="21">
        <v>0.09</v>
      </c>
      <c r="L77" s="21">
        <v>50286.6</v>
      </c>
      <c r="M77" s="25">
        <v>42894</v>
      </c>
      <c r="N77">
        <f>MONTH(Table_36[[#This Row],[Дата заказа]])</f>
        <v>6</v>
      </c>
      <c r="O77">
        <f>WEEKDAY(Table_36[[#This Row],[Дата заказа]])</f>
        <v>5</v>
      </c>
      <c r="P77">
        <f>DAY(Table_36[[#This Row],[Дата заказа]])</f>
        <v>8</v>
      </c>
      <c r="Q77">
        <f>YEAR(Table_36[[#This Row],[Дата заказа]])</f>
        <v>2017</v>
      </c>
      <c r="R77">
        <f>_xlfn.ISOWEEKNUM(Table_36[[#This Row],[Дата заказа]])</f>
        <v>23</v>
      </c>
    </row>
    <row r="78" spans="3:18" ht="15.75" customHeight="1" x14ac:dyDescent="0.2">
      <c r="C78" s="26">
        <v>25</v>
      </c>
      <c r="D78" s="21" t="s">
        <v>2490</v>
      </c>
      <c r="E78" s="21" t="s">
        <v>2462</v>
      </c>
      <c r="F78" s="21" t="s">
        <v>2491</v>
      </c>
      <c r="G78" s="21">
        <v>1994</v>
      </c>
      <c r="H78" s="21" t="s">
        <v>2444</v>
      </c>
      <c r="I78" s="21">
        <v>10</v>
      </c>
      <c r="J78" s="21">
        <v>19940</v>
      </c>
      <c r="K78" s="21">
        <v>0.03</v>
      </c>
      <c r="L78" s="21">
        <v>19341.8</v>
      </c>
      <c r="M78" s="25">
        <v>43769</v>
      </c>
      <c r="N78">
        <f>MONTH(Table_36[[#This Row],[Дата заказа]])</f>
        <v>10</v>
      </c>
      <c r="O78">
        <f>WEEKDAY(Table_36[[#This Row],[Дата заказа]])</f>
        <v>5</v>
      </c>
      <c r="P78">
        <f>DAY(Table_36[[#This Row],[Дата заказа]])</f>
        <v>31</v>
      </c>
      <c r="Q78">
        <f>YEAR(Table_36[[#This Row],[Дата заказа]])</f>
        <v>2019</v>
      </c>
      <c r="R78">
        <f>_xlfn.ISOWEEKNUM(Table_36[[#This Row],[Дата заказа]])</f>
        <v>44</v>
      </c>
    </row>
    <row r="79" spans="3:18" ht="15.75" customHeight="1" x14ac:dyDescent="0.2">
      <c r="C79" s="26">
        <v>46</v>
      </c>
      <c r="D79" s="21" t="s">
        <v>2475</v>
      </c>
      <c r="E79" s="21" t="s">
        <v>2476</v>
      </c>
      <c r="F79" s="21" t="s">
        <v>2476</v>
      </c>
      <c r="G79" s="21">
        <v>770</v>
      </c>
      <c r="H79" s="21" t="s">
        <v>2440</v>
      </c>
      <c r="I79" s="21">
        <v>20</v>
      </c>
      <c r="J79" s="21">
        <v>15400</v>
      </c>
      <c r="K79" s="21">
        <v>0.03</v>
      </c>
      <c r="L79" s="21">
        <v>14938</v>
      </c>
      <c r="M79" s="25">
        <v>43675</v>
      </c>
      <c r="N79">
        <f>MONTH(Table_36[[#This Row],[Дата заказа]])</f>
        <v>7</v>
      </c>
      <c r="O79">
        <f>WEEKDAY(Table_36[[#This Row],[Дата заказа]])</f>
        <v>2</v>
      </c>
      <c r="P79">
        <f>DAY(Table_36[[#This Row],[Дата заказа]])</f>
        <v>29</v>
      </c>
      <c r="Q79">
        <f>YEAR(Table_36[[#This Row],[Дата заказа]])</f>
        <v>2019</v>
      </c>
      <c r="R79">
        <f>_xlfn.ISOWEEKNUM(Table_36[[#This Row],[Дата заказа]])</f>
        <v>31</v>
      </c>
    </row>
    <row r="80" spans="3:18" ht="15.75" customHeight="1" x14ac:dyDescent="0.2">
      <c r="C80" s="26">
        <v>25</v>
      </c>
      <c r="D80" s="21" t="s">
        <v>2490</v>
      </c>
      <c r="E80" s="21" t="s">
        <v>2462</v>
      </c>
      <c r="F80" s="21" t="s">
        <v>2491</v>
      </c>
      <c r="G80" s="21">
        <v>1994</v>
      </c>
      <c r="H80" s="21" t="s">
        <v>2444</v>
      </c>
      <c r="I80" s="21">
        <v>10</v>
      </c>
      <c r="J80" s="21">
        <v>19940</v>
      </c>
      <c r="K80" s="21">
        <v>0.03</v>
      </c>
      <c r="L80" s="21">
        <v>19341.8</v>
      </c>
      <c r="M80" s="25">
        <v>44004</v>
      </c>
      <c r="N80">
        <f>MONTH(Table_36[[#This Row],[Дата заказа]])</f>
        <v>6</v>
      </c>
      <c r="O80">
        <f>WEEKDAY(Table_36[[#This Row],[Дата заказа]])</f>
        <v>2</v>
      </c>
      <c r="P80">
        <f>DAY(Table_36[[#This Row],[Дата заказа]])</f>
        <v>22</v>
      </c>
      <c r="Q80">
        <f>YEAR(Table_36[[#This Row],[Дата заказа]])</f>
        <v>2020</v>
      </c>
      <c r="R80">
        <f>_xlfn.ISOWEEKNUM(Table_36[[#This Row],[Дата заказа]])</f>
        <v>26</v>
      </c>
    </row>
    <row r="81" spans="3:18" ht="15.75" customHeight="1" x14ac:dyDescent="0.2">
      <c r="C81" s="26">
        <v>16</v>
      </c>
      <c r="D81" s="21" t="s">
        <v>2504</v>
      </c>
      <c r="E81" s="21" t="s">
        <v>2505</v>
      </c>
      <c r="F81" s="21" t="s">
        <v>2506</v>
      </c>
      <c r="G81" s="21">
        <v>843</v>
      </c>
      <c r="H81" s="21" t="s">
        <v>2444</v>
      </c>
      <c r="I81" s="21">
        <v>5</v>
      </c>
      <c r="J81" s="21">
        <v>4215</v>
      </c>
      <c r="K81" s="21">
        <v>0</v>
      </c>
      <c r="L81" s="21">
        <v>4215</v>
      </c>
      <c r="M81" s="25">
        <v>42445</v>
      </c>
      <c r="N81">
        <f>MONTH(Table_36[[#This Row],[Дата заказа]])</f>
        <v>3</v>
      </c>
      <c r="O81">
        <f>WEEKDAY(Table_36[[#This Row],[Дата заказа]])</f>
        <v>4</v>
      </c>
      <c r="P81">
        <f>DAY(Table_36[[#This Row],[Дата заказа]])</f>
        <v>16</v>
      </c>
      <c r="Q81">
        <f>YEAR(Table_36[[#This Row],[Дата заказа]])</f>
        <v>2016</v>
      </c>
      <c r="R81">
        <f>_xlfn.ISOWEEKNUM(Table_36[[#This Row],[Дата заказа]])</f>
        <v>11</v>
      </c>
    </row>
    <row r="82" spans="3:18" ht="15.75" customHeight="1" x14ac:dyDescent="0.2">
      <c r="C82" s="26">
        <v>45</v>
      </c>
      <c r="D82" s="21" t="s">
        <v>2507</v>
      </c>
      <c r="E82" s="21" t="s">
        <v>2446</v>
      </c>
      <c r="F82" s="21" t="s">
        <v>2493</v>
      </c>
      <c r="G82" s="21">
        <v>759</v>
      </c>
      <c r="H82" s="21" t="s">
        <v>2444</v>
      </c>
      <c r="I82" s="21">
        <v>14</v>
      </c>
      <c r="J82" s="21">
        <v>10626</v>
      </c>
      <c r="K82" s="21">
        <v>0</v>
      </c>
      <c r="L82" s="21">
        <v>10626</v>
      </c>
      <c r="M82" s="25">
        <v>42470</v>
      </c>
      <c r="N82">
        <f>MONTH(Table_36[[#This Row],[Дата заказа]])</f>
        <v>4</v>
      </c>
      <c r="O82">
        <f>WEEKDAY(Table_36[[#This Row],[Дата заказа]])</f>
        <v>1</v>
      </c>
      <c r="P82">
        <f>DAY(Table_36[[#This Row],[Дата заказа]])</f>
        <v>10</v>
      </c>
      <c r="Q82">
        <f>YEAR(Table_36[[#This Row],[Дата заказа]])</f>
        <v>2016</v>
      </c>
      <c r="R82">
        <f>_xlfn.ISOWEEKNUM(Table_36[[#This Row],[Дата заказа]])</f>
        <v>14</v>
      </c>
    </row>
    <row r="83" spans="3:18" ht="15.75" customHeight="1" x14ac:dyDescent="0.2">
      <c r="C83" s="26">
        <v>21</v>
      </c>
      <c r="D83" s="21" t="s">
        <v>2497</v>
      </c>
      <c r="E83" s="21" t="s">
        <v>2442</v>
      </c>
      <c r="F83" s="21" t="s">
        <v>2498</v>
      </c>
      <c r="G83" s="21">
        <v>887</v>
      </c>
      <c r="H83" s="21" t="s">
        <v>2444</v>
      </c>
      <c r="I83" s="21">
        <v>15</v>
      </c>
      <c r="J83" s="21">
        <v>13305</v>
      </c>
      <c r="K83" s="21">
        <v>0</v>
      </c>
      <c r="L83" s="21">
        <v>13305</v>
      </c>
      <c r="M83" s="25">
        <v>43966</v>
      </c>
      <c r="N83">
        <f>MONTH(Table_36[[#This Row],[Дата заказа]])</f>
        <v>5</v>
      </c>
      <c r="O83">
        <f>WEEKDAY(Table_36[[#This Row],[Дата заказа]])</f>
        <v>6</v>
      </c>
      <c r="P83">
        <f>DAY(Table_36[[#This Row],[Дата заказа]])</f>
        <v>15</v>
      </c>
      <c r="Q83">
        <f>YEAR(Table_36[[#This Row],[Дата заказа]])</f>
        <v>2020</v>
      </c>
      <c r="R83">
        <f>_xlfn.ISOWEEKNUM(Table_36[[#This Row],[Дата заказа]])</f>
        <v>20</v>
      </c>
    </row>
    <row r="84" spans="3:18" ht="15.75" customHeight="1" x14ac:dyDescent="0.2">
      <c r="C84" s="26">
        <v>34</v>
      </c>
      <c r="D84" s="21" t="s">
        <v>2471</v>
      </c>
      <c r="E84" s="21" t="s">
        <v>2438</v>
      </c>
      <c r="F84" s="21" t="s">
        <v>2472</v>
      </c>
      <c r="G84" s="21">
        <v>2199</v>
      </c>
      <c r="H84" s="21" t="s">
        <v>2440</v>
      </c>
      <c r="I84" s="21">
        <v>60</v>
      </c>
      <c r="J84" s="21">
        <v>131940</v>
      </c>
      <c r="K84" s="21">
        <v>0.15</v>
      </c>
      <c r="L84" s="21">
        <v>112149</v>
      </c>
      <c r="M84" s="25">
        <v>42756</v>
      </c>
      <c r="N84">
        <f>MONTH(Table_36[[#This Row],[Дата заказа]])</f>
        <v>1</v>
      </c>
      <c r="O84">
        <f>WEEKDAY(Table_36[[#This Row],[Дата заказа]])</f>
        <v>7</v>
      </c>
      <c r="P84">
        <f>DAY(Table_36[[#This Row],[Дата заказа]])</f>
        <v>21</v>
      </c>
      <c r="Q84">
        <f>YEAR(Table_36[[#This Row],[Дата заказа]])</f>
        <v>2017</v>
      </c>
      <c r="R84">
        <f>_xlfn.ISOWEEKNUM(Table_36[[#This Row],[Дата заказа]])</f>
        <v>3</v>
      </c>
    </row>
    <row r="85" spans="3:18" ht="15.75" customHeight="1" x14ac:dyDescent="0.2">
      <c r="C85" s="26">
        <v>3</v>
      </c>
      <c r="D85" s="21" t="s">
        <v>2445</v>
      </c>
      <c r="E85" s="21" t="s">
        <v>2446</v>
      </c>
      <c r="F85" s="21" t="s">
        <v>2446</v>
      </c>
      <c r="G85" s="21">
        <v>807</v>
      </c>
      <c r="H85" s="21" t="s">
        <v>2440</v>
      </c>
      <c r="I85" s="21">
        <v>18</v>
      </c>
      <c r="J85" s="21">
        <v>14526</v>
      </c>
      <c r="K85" s="21">
        <v>0</v>
      </c>
      <c r="L85" s="21">
        <v>14526</v>
      </c>
      <c r="M85" s="25">
        <v>43172</v>
      </c>
      <c r="N85">
        <f>MONTH(Table_36[[#This Row],[Дата заказа]])</f>
        <v>3</v>
      </c>
      <c r="O85">
        <f>WEEKDAY(Table_36[[#This Row],[Дата заказа]])</f>
        <v>3</v>
      </c>
      <c r="P85">
        <f>DAY(Table_36[[#This Row],[Дата заказа]])</f>
        <v>13</v>
      </c>
      <c r="Q85">
        <f>YEAR(Table_36[[#This Row],[Дата заказа]])</f>
        <v>2018</v>
      </c>
      <c r="R85">
        <f>_xlfn.ISOWEEKNUM(Table_36[[#This Row],[Дата заказа]])</f>
        <v>11</v>
      </c>
    </row>
    <row r="86" spans="3:18" ht="15.75" customHeight="1" x14ac:dyDescent="0.2">
      <c r="C86" s="26">
        <v>25</v>
      </c>
      <c r="D86" s="21" t="s">
        <v>2490</v>
      </c>
      <c r="E86" s="21" t="s">
        <v>2462</v>
      </c>
      <c r="F86" s="21" t="s">
        <v>2491</v>
      </c>
      <c r="G86" s="21">
        <v>1994</v>
      </c>
      <c r="H86" s="21" t="s">
        <v>2444</v>
      </c>
      <c r="I86" s="21">
        <v>10</v>
      </c>
      <c r="J86" s="21">
        <v>19940</v>
      </c>
      <c r="K86" s="21">
        <v>0.03</v>
      </c>
      <c r="L86" s="21">
        <v>19341.8</v>
      </c>
      <c r="M86" s="25">
        <v>44195</v>
      </c>
      <c r="N86">
        <f>MONTH(Table_36[[#This Row],[Дата заказа]])</f>
        <v>12</v>
      </c>
      <c r="O86">
        <f>WEEKDAY(Table_36[[#This Row],[Дата заказа]])</f>
        <v>4</v>
      </c>
      <c r="P86">
        <f>DAY(Table_36[[#This Row],[Дата заказа]])</f>
        <v>30</v>
      </c>
      <c r="Q86">
        <f>YEAR(Table_36[[#This Row],[Дата заказа]])</f>
        <v>2020</v>
      </c>
      <c r="R86">
        <f>_xlfn.ISOWEEKNUM(Table_36[[#This Row],[Дата заказа]])</f>
        <v>53</v>
      </c>
    </row>
    <row r="87" spans="3:18" ht="15.75" customHeight="1" x14ac:dyDescent="0.2">
      <c r="C87" s="26">
        <v>56</v>
      </c>
      <c r="D87" s="21" t="s">
        <v>2451</v>
      </c>
      <c r="E87" s="21" t="s">
        <v>2438</v>
      </c>
      <c r="F87" s="21" t="s">
        <v>2452</v>
      </c>
      <c r="G87" s="21">
        <v>800</v>
      </c>
      <c r="H87" s="21" t="s">
        <v>2440</v>
      </c>
      <c r="I87" s="21">
        <v>40</v>
      </c>
      <c r="J87" s="21">
        <v>32000</v>
      </c>
      <c r="K87" s="21">
        <v>0.03</v>
      </c>
      <c r="L87" s="21">
        <v>31040</v>
      </c>
      <c r="M87" s="25">
        <v>43673</v>
      </c>
      <c r="N87">
        <f>MONTH(Table_36[[#This Row],[Дата заказа]])</f>
        <v>7</v>
      </c>
      <c r="O87">
        <f>WEEKDAY(Table_36[[#This Row],[Дата заказа]])</f>
        <v>7</v>
      </c>
      <c r="P87">
        <f>DAY(Table_36[[#This Row],[Дата заказа]])</f>
        <v>27</v>
      </c>
      <c r="Q87">
        <f>YEAR(Table_36[[#This Row],[Дата заказа]])</f>
        <v>2019</v>
      </c>
      <c r="R87">
        <f>_xlfn.ISOWEEKNUM(Table_36[[#This Row],[Дата заказа]])</f>
        <v>30</v>
      </c>
    </row>
    <row r="88" spans="3:18" ht="15.75" customHeight="1" x14ac:dyDescent="0.2">
      <c r="C88" s="26">
        <v>47</v>
      </c>
      <c r="D88" s="21" t="s">
        <v>2461</v>
      </c>
      <c r="E88" s="21" t="s">
        <v>2462</v>
      </c>
      <c r="F88" s="21" t="s">
        <v>2463</v>
      </c>
      <c r="G88" s="21">
        <v>1994</v>
      </c>
      <c r="H88" s="21" t="s">
        <v>2444</v>
      </c>
      <c r="I88" s="21">
        <v>12</v>
      </c>
      <c r="J88" s="21">
        <v>23928</v>
      </c>
      <c r="K88" s="21">
        <v>0.03</v>
      </c>
      <c r="L88" s="21">
        <v>23210.16</v>
      </c>
      <c r="M88" s="25">
        <v>43016</v>
      </c>
      <c r="N88">
        <f>MONTH(Table_36[[#This Row],[Дата заказа]])</f>
        <v>10</v>
      </c>
      <c r="O88">
        <f>WEEKDAY(Table_36[[#This Row],[Дата заказа]])</f>
        <v>1</v>
      </c>
      <c r="P88">
        <f>DAY(Table_36[[#This Row],[Дата заказа]])</f>
        <v>8</v>
      </c>
      <c r="Q88">
        <f>YEAR(Table_36[[#This Row],[Дата заказа]])</f>
        <v>2017</v>
      </c>
      <c r="R88">
        <f>_xlfn.ISOWEEKNUM(Table_36[[#This Row],[Дата заказа]])</f>
        <v>40</v>
      </c>
    </row>
    <row r="89" spans="3:18" ht="15.75" customHeight="1" x14ac:dyDescent="0.2">
      <c r="C89" s="26">
        <v>37</v>
      </c>
      <c r="D89" s="21" t="s">
        <v>2449</v>
      </c>
      <c r="E89" s="21" t="s">
        <v>2448</v>
      </c>
      <c r="F89" s="21" t="s">
        <v>2450</v>
      </c>
      <c r="G89" s="21">
        <v>2211</v>
      </c>
      <c r="H89" s="21" t="s">
        <v>2444</v>
      </c>
      <c r="I89" s="21">
        <v>25</v>
      </c>
      <c r="J89" s="21">
        <v>55275</v>
      </c>
      <c r="K89" s="21">
        <v>0.09</v>
      </c>
      <c r="L89" s="21">
        <v>50300.25</v>
      </c>
      <c r="M89" s="25">
        <v>43492</v>
      </c>
      <c r="N89">
        <f>MONTH(Table_36[[#This Row],[Дата заказа]])</f>
        <v>1</v>
      </c>
      <c r="O89">
        <f>WEEKDAY(Table_36[[#This Row],[Дата заказа]])</f>
        <v>1</v>
      </c>
      <c r="P89">
        <f>DAY(Table_36[[#This Row],[Дата заказа]])</f>
        <v>27</v>
      </c>
      <c r="Q89">
        <f>YEAR(Table_36[[#This Row],[Дата заказа]])</f>
        <v>2019</v>
      </c>
      <c r="R89">
        <f>_xlfn.ISOWEEKNUM(Table_36[[#This Row],[Дата заказа]])</f>
        <v>4</v>
      </c>
    </row>
    <row r="90" spans="3:18" ht="15.75" customHeight="1" x14ac:dyDescent="0.2">
      <c r="C90" s="26">
        <v>33</v>
      </c>
      <c r="D90" s="21" t="s">
        <v>2461</v>
      </c>
      <c r="E90" s="21" t="s">
        <v>2462</v>
      </c>
      <c r="F90" s="21" t="s">
        <v>2463</v>
      </c>
      <c r="G90" s="21">
        <v>1994</v>
      </c>
      <c r="H90" s="21" t="s">
        <v>2444</v>
      </c>
      <c r="I90" s="21">
        <v>12</v>
      </c>
      <c r="J90" s="21">
        <v>23928</v>
      </c>
      <c r="K90" s="21">
        <v>0.03</v>
      </c>
      <c r="L90" s="21">
        <v>23210.16</v>
      </c>
      <c r="M90" s="25">
        <v>43016</v>
      </c>
      <c r="N90">
        <f>MONTH(Table_36[[#This Row],[Дата заказа]])</f>
        <v>10</v>
      </c>
      <c r="O90">
        <f>WEEKDAY(Table_36[[#This Row],[Дата заказа]])</f>
        <v>1</v>
      </c>
      <c r="P90">
        <f>DAY(Table_36[[#This Row],[Дата заказа]])</f>
        <v>8</v>
      </c>
      <c r="Q90">
        <f>YEAR(Table_36[[#This Row],[Дата заказа]])</f>
        <v>2017</v>
      </c>
      <c r="R90">
        <f>_xlfn.ISOWEEKNUM(Table_36[[#This Row],[Дата заказа]])</f>
        <v>40</v>
      </c>
    </row>
    <row r="91" spans="3:18" ht="15.75" customHeight="1" x14ac:dyDescent="0.2">
      <c r="C91" s="26">
        <v>1</v>
      </c>
      <c r="D91" s="21" t="s">
        <v>2459</v>
      </c>
      <c r="E91" s="21" t="s">
        <v>2438</v>
      </c>
      <c r="F91" s="21" t="s">
        <v>2460</v>
      </c>
      <c r="G91" s="21">
        <v>876</v>
      </c>
      <c r="H91" s="21" t="s">
        <v>2444</v>
      </c>
      <c r="I91" s="21">
        <v>20</v>
      </c>
      <c r="J91" s="21">
        <v>17520</v>
      </c>
      <c r="K91" s="21">
        <v>0.03</v>
      </c>
      <c r="L91" s="21">
        <v>16994.400000000001</v>
      </c>
      <c r="M91" s="25">
        <v>43706</v>
      </c>
      <c r="N91">
        <f>MONTH(Table_36[[#This Row],[Дата заказа]])</f>
        <v>8</v>
      </c>
      <c r="O91">
        <f>WEEKDAY(Table_36[[#This Row],[Дата заказа]])</f>
        <v>5</v>
      </c>
      <c r="P91">
        <f>DAY(Table_36[[#This Row],[Дата заказа]])</f>
        <v>29</v>
      </c>
      <c r="Q91">
        <f>YEAR(Table_36[[#This Row],[Дата заказа]])</f>
        <v>2019</v>
      </c>
      <c r="R91">
        <f>_xlfn.ISOWEEKNUM(Table_36[[#This Row],[Дата заказа]])</f>
        <v>35</v>
      </c>
    </row>
    <row r="92" spans="3:18" ht="15.75" customHeight="1" x14ac:dyDescent="0.2">
      <c r="C92" s="26">
        <v>45</v>
      </c>
      <c r="D92" s="21" t="s">
        <v>2507</v>
      </c>
      <c r="E92" s="21" t="s">
        <v>2446</v>
      </c>
      <c r="F92" s="21" t="s">
        <v>2493</v>
      </c>
      <c r="G92" s="21">
        <v>759</v>
      </c>
      <c r="H92" s="21" t="s">
        <v>2444</v>
      </c>
      <c r="I92" s="21">
        <v>14</v>
      </c>
      <c r="J92" s="21">
        <v>10626</v>
      </c>
      <c r="K92" s="21">
        <v>0</v>
      </c>
      <c r="L92" s="21">
        <v>10626</v>
      </c>
      <c r="M92" s="25">
        <v>42872</v>
      </c>
      <c r="N92">
        <f>MONTH(Table_36[[#This Row],[Дата заказа]])</f>
        <v>5</v>
      </c>
      <c r="O92">
        <f>WEEKDAY(Table_36[[#This Row],[Дата заказа]])</f>
        <v>4</v>
      </c>
      <c r="P92">
        <f>DAY(Table_36[[#This Row],[Дата заказа]])</f>
        <v>17</v>
      </c>
      <c r="Q92">
        <f>YEAR(Table_36[[#This Row],[Дата заказа]])</f>
        <v>2017</v>
      </c>
      <c r="R92">
        <f>_xlfn.ISOWEEKNUM(Table_36[[#This Row],[Дата заказа]])</f>
        <v>20</v>
      </c>
    </row>
    <row r="93" spans="3:18" ht="15.75" customHeight="1" x14ac:dyDescent="0.2">
      <c r="C93" s="26">
        <v>21</v>
      </c>
      <c r="D93" s="21" t="s">
        <v>2497</v>
      </c>
      <c r="E93" s="21" t="s">
        <v>2442</v>
      </c>
      <c r="F93" s="21" t="s">
        <v>2498</v>
      </c>
      <c r="G93" s="21">
        <v>887</v>
      </c>
      <c r="H93" s="21" t="s">
        <v>2444</v>
      </c>
      <c r="I93" s="21">
        <v>15</v>
      </c>
      <c r="J93" s="21">
        <v>13305</v>
      </c>
      <c r="K93" s="21">
        <v>0</v>
      </c>
      <c r="L93" s="21">
        <v>13305</v>
      </c>
      <c r="M93" s="25">
        <v>43251</v>
      </c>
      <c r="N93">
        <f>MONTH(Table_36[[#This Row],[Дата заказа]])</f>
        <v>5</v>
      </c>
      <c r="O93">
        <f>WEEKDAY(Table_36[[#This Row],[Дата заказа]])</f>
        <v>5</v>
      </c>
      <c r="P93">
        <f>DAY(Table_36[[#This Row],[Дата заказа]])</f>
        <v>31</v>
      </c>
      <c r="Q93">
        <f>YEAR(Table_36[[#This Row],[Дата заказа]])</f>
        <v>2018</v>
      </c>
      <c r="R93">
        <f>_xlfn.ISOWEEKNUM(Table_36[[#This Row],[Дата заказа]])</f>
        <v>22</v>
      </c>
    </row>
    <row r="94" spans="3:18" ht="15.75" customHeight="1" x14ac:dyDescent="0.2">
      <c r="C94" s="26">
        <v>18</v>
      </c>
      <c r="D94" s="21" t="s">
        <v>2508</v>
      </c>
      <c r="E94" s="21" t="s">
        <v>2476</v>
      </c>
      <c r="F94" s="21" t="s">
        <v>2509</v>
      </c>
      <c r="G94" s="21">
        <v>1531</v>
      </c>
      <c r="H94" s="21" t="s">
        <v>2440</v>
      </c>
      <c r="I94" s="21">
        <v>15</v>
      </c>
      <c r="J94" s="21">
        <v>22965</v>
      </c>
      <c r="K94" s="21">
        <v>0.03</v>
      </c>
      <c r="L94" s="21">
        <v>22276.05</v>
      </c>
      <c r="M94" s="25">
        <v>42242</v>
      </c>
      <c r="N94">
        <f>MONTH(Table_36[[#This Row],[Дата заказа]])</f>
        <v>8</v>
      </c>
      <c r="O94">
        <f>WEEKDAY(Table_36[[#This Row],[Дата заказа]])</f>
        <v>4</v>
      </c>
      <c r="P94">
        <f>DAY(Table_36[[#This Row],[Дата заказа]])</f>
        <v>26</v>
      </c>
      <c r="Q94">
        <f>YEAR(Table_36[[#This Row],[Дата заказа]])</f>
        <v>2015</v>
      </c>
      <c r="R94">
        <f>_xlfn.ISOWEEKNUM(Table_36[[#This Row],[Дата заказа]])</f>
        <v>35</v>
      </c>
    </row>
    <row r="95" spans="3:18" ht="15.75" customHeight="1" x14ac:dyDescent="0.2">
      <c r="C95" s="26">
        <v>33</v>
      </c>
      <c r="D95" s="21" t="s">
        <v>2461</v>
      </c>
      <c r="E95" s="21" t="s">
        <v>2462</v>
      </c>
      <c r="F95" s="21" t="s">
        <v>2463</v>
      </c>
      <c r="G95" s="21">
        <v>1994</v>
      </c>
      <c r="H95" s="21" t="s">
        <v>2444</v>
      </c>
      <c r="I95" s="21">
        <v>12</v>
      </c>
      <c r="J95" s="21">
        <v>23928</v>
      </c>
      <c r="K95" s="21">
        <v>0.03</v>
      </c>
      <c r="L95" s="21">
        <v>23210.16</v>
      </c>
      <c r="M95" s="25">
        <v>43303</v>
      </c>
      <c r="N95">
        <f>MONTH(Table_36[[#This Row],[Дата заказа]])</f>
        <v>7</v>
      </c>
      <c r="O95">
        <f>WEEKDAY(Table_36[[#This Row],[Дата заказа]])</f>
        <v>1</v>
      </c>
      <c r="P95">
        <f>DAY(Table_36[[#This Row],[Дата заказа]])</f>
        <v>22</v>
      </c>
      <c r="Q95">
        <f>YEAR(Table_36[[#This Row],[Дата заказа]])</f>
        <v>2018</v>
      </c>
      <c r="R95">
        <f>_xlfn.ISOWEEKNUM(Table_36[[#This Row],[Дата заказа]])</f>
        <v>29</v>
      </c>
    </row>
    <row r="96" spans="3:18" ht="15.75" customHeight="1" x14ac:dyDescent="0.2">
      <c r="C96" s="26">
        <v>40</v>
      </c>
      <c r="D96" s="21" t="s">
        <v>2477</v>
      </c>
      <c r="E96" s="21" t="s">
        <v>2454</v>
      </c>
      <c r="F96" s="21" t="s">
        <v>2478</v>
      </c>
      <c r="G96" s="21">
        <v>847</v>
      </c>
      <c r="H96" s="21" t="s">
        <v>2440</v>
      </c>
      <c r="I96" s="21">
        <v>15</v>
      </c>
      <c r="J96" s="21">
        <v>12705</v>
      </c>
      <c r="K96" s="21">
        <v>0</v>
      </c>
      <c r="L96" s="21">
        <v>12705</v>
      </c>
      <c r="M96" s="25">
        <v>42881</v>
      </c>
      <c r="N96">
        <f>MONTH(Table_36[[#This Row],[Дата заказа]])</f>
        <v>5</v>
      </c>
      <c r="O96">
        <f>WEEKDAY(Table_36[[#This Row],[Дата заказа]])</f>
        <v>6</v>
      </c>
      <c r="P96">
        <f>DAY(Table_36[[#This Row],[Дата заказа]])</f>
        <v>26</v>
      </c>
      <c r="Q96">
        <f>YEAR(Table_36[[#This Row],[Дата заказа]])</f>
        <v>2017</v>
      </c>
      <c r="R96">
        <f>_xlfn.ISOWEEKNUM(Table_36[[#This Row],[Дата заказа]])</f>
        <v>21</v>
      </c>
    </row>
    <row r="97" spans="3:18" ht="15.75" customHeight="1" x14ac:dyDescent="0.2">
      <c r="C97" s="26">
        <v>22</v>
      </c>
      <c r="D97" s="21" t="s">
        <v>2510</v>
      </c>
      <c r="E97" s="21" t="s">
        <v>2511</v>
      </c>
      <c r="F97" s="21" t="s">
        <v>2511</v>
      </c>
      <c r="G97" s="21">
        <v>4889</v>
      </c>
      <c r="H97" s="21" t="s">
        <v>2444</v>
      </c>
      <c r="I97" s="21">
        <v>18</v>
      </c>
      <c r="J97" s="21">
        <v>88002</v>
      </c>
      <c r="K97" s="21">
        <v>0.12</v>
      </c>
      <c r="L97" s="21">
        <v>77441.759999999995</v>
      </c>
      <c r="M97" s="25">
        <v>43411</v>
      </c>
      <c r="N97">
        <f>MONTH(Table_36[[#This Row],[Дата заказа]])</f>
        <v>11</v>
      </c>
      <c r="O97">
        <f>WEEKDAY(Table_36[[#This Row],[Дата заказа]])</f>
        <v>4</v>
      </c>
      <c r="P97">
        <f>DAY(Table_36[[#This Row],[Дата заказа]])</f>
        <v>7</v>
      </c>
      <c r="Q97">
        <f>YEAR(Table_36[[#This Row],[Дата заказа]])</f>
        <v>2018</v>
      </c>
      <c r="R97">
        <f>_xlfn.ISOWEEKNUM(Table_36[[#This Row],[Дата заказа]])</f>
        <v>45</v>
      </c>
    </row>
    <row r="98" spans="3:18" ht="15.75" customHeight="1" x14ac:dyDescent="0.2">
      <c r="C98" s="26">
        <v>25</v>
      </c>
      <c r="D98" s="21" t="s">
        <v>2490</v>
      </c>
      <c r="E98" s="21" t="s">
        <v>2462</v>
      </c>
      <c r="F98" s="21" t="s">
        <v>2491</v>
      </c>
      <c r="G98" s="21">
        <v>1994</v>
      </c>
      <c r="H98" s="21" t="s">
        <v>2444</v>
      </c>
      <c r="I98" s="21">
        <v>10</v>
      </c>
      <c r="J98" s="21">
        <v>19940</v>
      </c>
      <c r="K98" s="21">
        <v>0.03</v>
      </c>
      <c r="L98" s="21">
        <v>19341.8</v>
      </c>
      <c r="M98" s="25">
        <v>42125</v>
      </c>
      <c r="N98">
        <f>MONTH(Table_36[[#This Row],[Дата заказа]])</f>
        <v>5</v>
      </c>
      <c r="O98">
        <f>WEEKDAY(Table_36[[#This Row],[Дата заказа]])</f>
        <v>6</v>
      </c>
      <c r="P98">
        <f>DAY(Table_36[[#This Row],[Дата заказа]])</f>
        <v>1</v>
      </c>
      <c r="Q98">
        <f>YEAR(Table_36[[#This Row],[Дата заказа]])</f>
        <v>2015</v>
      </c>
      <c r="R98">
        <f>_xlfn.ISOWEEKNUM(Table_36[[#This Row],[Дата заказа]])</f>
        <v>18</v>
      </c>
    </row>
    <row r="99" spans="3:18" ht="15.75" customHeight="1" x14ac:dyDescent="0.2">
      <c r="C99" s="26">
        <v>8</v>
      </c>
      <c r="D99" s="21" t="s">
        <v>2477</v>
      </c>
      <c r="E99" s="21" t="s">
        <v>2454</v>
      </c>
      <c r="F99" s="21" t="s">
        <v>2478</v>
      </c>
      <c r="G99" s="21">
        <v>847</v>
      </c>
      <c r="H99" s="21" t="s">
        <v>2440</v>
      </c>
      <c r="I99" s="21">
        <v>15</v>
      </c>
      <c r="J99" s="21">
        <v>12705</v>
      </c>
      <c r="K99" s="21">
        <v>0</v>
      </c>
      <c r="L99" s="21">
        <v>12705</v>
      </c>
      <c r="M99" s="25">
        <v>42355</v>
      </c>
      <c r="N99">
        <f>MONTH(Table_36[[#This Row],[Дата заказа]])</f>
        <v>12</v>
      </c>
      <c r="O99">
        <f>WEEKDAY(Table_36[[#This Row],[Дата заказа]])</f>
        <v>5</v>
      </c>
      <c r="P99">
        <f>DAY(Table_36[[#This Row],[Дата заказа]])</f>
        <v>17</v>
      </c>
      <c r="Q99">
        <f>YEAR(Table_36[[#This Row],[Дата заказа]])</f>
        <v>2015</v>
      </c>
      <c r="R99">
        <f>_xlfn.ISOWEEKNUM(Table_36[[#This Row],[Дата заказа]])</f>
        <v>51</v>
      </c>
    </row>
    <row r="100" spans="3:18" ht="15.75" customHeight="1" x14ac:dyDescent="0.2">
      <c r="C100" s="26">
        <v>7</v>
      </c>
      <c r="D100" s="21" t="s">
        <v>2437</v>
      </c>
      <c r="E100" s="21" t="s">
        <v>2438</v>
      </c>
      <c r="F100" s="21" t="s">
        <v>2439</v>
      </c>
      <c r="G100" s="21">
        <v>1923</v>
      </c>
      <c r="H100" s="21" t="s">
        <v>2440</v>
      </c>
      <c r="I100" s="21">
        <v>25</v>
      </c>
      <c r="J100" s="21">
        <v>48075</v>
      </c>
      <c r="K100" s="21">
        <v>0.06</v>
      </c>
      <c r="L100" s="21">
        <v>45190.5</v>
      </c>
      <c r="M100" s="25">
        <v>43596</v>
      </c>
      <c r="N100">
        <f>MONTH(Table_36[[#This Row],[Дата заказа]])</f>
        <v>5</v>
      </c>
      <c r="O100">
        <f>WEEKDAY(Table_36[[#This Row],[Дата заказа]])</f>
        <v>7</v>
      </c>
      <c r="P100">
        <f>DAY(Table_36[[#This Row],[Дата заказа]])</f>
        <v>11</v>
      </c>
      <c r="Q100">
        <f>YEAR(Table_36[[#This Row],[Дата заказа]])</f>
        <v>2019</v>
      </c>
      <c r="R100">
        <f>_xlfn.ISOWEEKNUM(Table_36[[#This Row],[Дата заказа]])</f>
        <v>19</v>
      </c>
    </row>
    <row r="101" spans="3:18" ht="15.75" customHeight="1" x14ac:dyDescent="0.2">
      <c r="C101" s="26">
        <v>44</v>
      </c>
      <c r="D101" s="21" t="s">
        <v>2453</v>
      </c>
      <c r="E101" s="21" t="s">
        <v>2454</v>
      </c>
      <c r="F101" s="21" t="s">
        <v>2455</v>
      </c>
      <c r="G101" s="21">
        <v>1386</v>
      </c>
      <c r="H101" s="21" t="s">
        <v>2440</v>
      </c>
      <c r="I101" s="21">
        <v>20</v>
      </c>
      <c r="J101" s="21">
        <v>27720</v>
      </c>
      <c r="K101" s="21">
        <v>0.03</v>
      </c>
      <c r="L101" s="21">
        <v>26888.400000000001</v>
      </c>
      <c r="M101" s="25">
        <v>42182</v>
      </c>
      <c r="N101">
        <f>MONTH(Table_36[[#This Row],[Дата заказа]])</f>
        <v>6</v>
      </c>
      <c r="O101">
        <f>WEEKDAY(Table_36[[#This Row],[Дата заказа]])</f>
        <v>7</v>
      </c>
      <c r="P101">
        <f>DAY(Table_36[[#This Row],[Дата заказа]])</f>
        <v>27</v>
      </c>
      <c r="Q101">
        <f>YEAR(Table_36[[#This Row],[Дата заказа]])</f>
        <v>2015</v>
      </c>
      <c r="R101">
        <f>_xlfn.ISOWEEKNUM(Table_36[[#This Row],[Дата заказа]])</f>
        <v>26</v>
      </c>
    </row>
    <row r="102" spans="3:18" ht="15.75" customHeight="1" x14ac:dyDescent="0.2">
      <c r="C102" s="26">
        <v>17</v>
      </c>
      <c r="D102" s="21" t="s">
        <v>2465</v>
      </c>
      <c r="E102" s="21" t="s">
        <v>2446</v>
      </c>
      <c r="F102" s="21" t="s">
        <v>2466</v>
      </c>
      <c r="G102" s="21">
        <v>967</v>
      </c>
      <c r="H102" s="21" t="s">
        <v>2444</v>
      </c>
      <c r="I102" s="21">
        <v>12</v>
      </c>
      <c r="J102" s="21">
        <v>11604</v>
      </c>
      <c r="K102" s="21">
        <v>0</v>
      </c>
      <c r="L102" s="21">
        <v>11604</v>
      </c>
      <c r="M102" s="25">
        <v>43421</v>
      </c>
      <c r="N102">
        <f>MONTH(Table_36[[#This Row],[Дата заказа]])</f>
        <v>11</v>
      </c>
      <c r="O102">
        <f>WEEKDAY(Table_36[[#This Row],[Дата заказа]])</f>
        <v>7</v>
      </c>
      <c r="P102">
        <f>DAY(Table_36[[#This Row],[Дата заказа]])</f>
        <v>17</v>
      </c>
      <c r="Q102">
        <f>YEAR(Table_36[[#This Row],[Дата заказа]])</f>
        <v>2018</v>
      </c>
      <c r="R102">
        <f>_xlfn.ISOWEEKNUM(Table_36[[#This Row],[Дата заказа]])</f>
        <v>46</v>
      </c>
    </row>
    <row r="103" spans="3:18" ht="15.75" customHeight="1" x14ac:dyDescent="0.2">
      <c r="C103" s="26">
        <v>31</v>
      </c>
      <c r="D103" s="21" t="s">
        <v>2479</v>
      </c>
      <c r="E103" s="21" t="s">
        <v>2442</v>
      </c>
      <c r="F103" s="21" t="s">
        <v>2480</v>
      </c>
      <c r="G103" s="21">
        <v>1228</v>
      </c>
      <c r="H103" s="21" t="s">
        <v>2440</v>
      </c>
      <c r="I103" s="21">
        <v>45</v>
      </c>
      <c r="J103" s="21">
        <v>55260</v>
      </c>
      <c r="K103" s="21">
        <v>0.09</v>
      </c>
      <c r="L103" s="21">
        <v>50286.6</v>
      </c>
      <c r="M103" s="25">
        <v>43505</v>
      </c>
      <c r="N103">
        <f>MONTH(Table_36[[#This Row],[Дата заказа]])</f>
        <v>2</v>
      </c>
      <c r="O103">
        <f>WEEKDAY(Table_36[[#This Row],[Дата заказа]])</f>
        <v>7</v>
      </c>
      <c r="P103">
        <f>DAY(Table_36[[#This Row],[Дата заказа]])</f>
        <v>9</v>
      </c>
      <c r="Q103">
        <f>YEAR(Table_36[[#This Row],[Дата заказа]])</f>
        <v>2019</v>
      </c>
      <c r="R103">
        <f>_xlfn.ISOWEEKNUM(Table_36[[#This Row],[Дата заказа]])</f>
        <v>6</v>
      </c>
    </row>
    <row r="104" spans="3:18" ht="15.75" customHeight="1" x14ac:dyDescent="0.2">
      <c r="C104" s="26">
        <v>1</v>
      </c>
      <c r="D104" s="21" t="s">
        <v>2459</v>
      </c>
      <c r="E104" s="21" t="s">
        <v>2438</v>
      </c>
      <c r="F104" s="21" t="s">
        <v>2460</v>
      </c>
      <c r="G104" s="21">
        <v>876</v>
      </c>
      <c r="H104" s="21" t="s">
        <v>2444</v>
      </c>
      <c r="I104" s="21">
        <v>20</v>
      </c>
      <c r="J104" s="21">
        <v>17520</v>
      </c>
      <c r="K104" s="21">
        <v>0.03</v>
      </c>
      <c r="L104" s="21">
        <v>16994.400000000001</v>
      </c>
      <c r="M104" s="25">
        <v>43544</v>
      </c>
      <c r="N104">
        <f>MONTH(Table_36[[#This Row],[Дата заказа]])</f>
        <v>3</v>
      </c>
      <c r="O104">
        <f>WEEKDAY(Table_36[[#This Row],[Дата заказа]])</f>
        <v>4</v>
      </c>
      <c r="P104">
        <f>DAY(Table_36[[#This Row],[Дата заказа]])</f>
        <v>20</v>
      </c>
      <c r="Q104">
        <f>YEAR(Table_36[[#This Row],[Дата заказа]])</f>
        <v>2019</v>
      </c>
      <c r="R104">
        <f>_xlfn.ISOWEEKNUM(Table_36[[#This Row],[Дата заказа]])</f>
        <v>12</v>
      </c>
    </row>
    <row r="105" spans="3:18" ht="15.75" customHeight="1" x14ac:dyDescent="0.2">
      <c r="C105" s="26">
        <v>2</v>
      </c>
      <c r="D105" s="21" t="s">
        <v>2500</v>
      </c>
      <c r="E105" s="21" t="s">
        <v>2446</v>
      </c>
      <c r="F105" s="21" t="s">
        <v>2501</v>
      </c>
      <c r="G105" s="21">
        <v>1178</v>
      </c>
      <c r="H105" s="21" t="s">
        <v>2444</v>
      </c>
      <c r="I105" s="21">
        <v>10</v>
      </c>
      <c r="J105" s="21">
        <v>11780</v>
      </c>
      <c r="K105" s="21">
        <v>0</v>
      </c>
      <c r="L105" s="21">
        <v>11780</v>
      </c>
      <c r="M105" s="25">
        <v>42836</v>
      </c>
      <c r="N105">
        <f>MONTH(Table_36[[#This Row],[Дата заказа]])</f>
        <v>4</v>
      </c>
      <c r="O105">
        <f>WEEKDAY(Table_36[[#This Row],[Дата заказа]])</f>
        <v>3</v>
      </c>
      <c r="P105">
        <f>DAY(Table_36[[#This Row],[Дата заказа]])</f>
        <v>11</v>
      </c>
      <c r="Q105">
        <f>YEAR(Table_36[[#This Row],[Дата заказа]])</f>
        <v>2017</v>
      </c>
      <c r="R105">
        <f>_xlfn.ISOWEEKNUM(Table_36[[#This Row],[Дата заказа]])</f>
        <v>15</v>
      </c>
    </row>
    <row r="106" spans="3:18" ht="15.75" customHeight="1" x14ac:dyDescent="0.2">
      <c r="C106" s="26">
        <v>38</v>
      </c>
      <c r="D106" s="21" t="s">
        <v>2483</v>
      </c>
      <c r="E106" s="21" t="s">
        <v>2446</v>
      </c>
      <c r="F106" s="21" t="s">
        <v>2484</v>
      </c>
      <c r="G106" s="21">
        <v>1182</v>
      </c>
      <c r="H106" s="21" t="s">
        <v>2440</v>
      </c>
      <c r="I106" s="21">
        <v>17</v>
      </c>
      <c r="J106" s="21">
        <v>20094</v>
      </c>
      <c r="K106" s="21">
        <v>0.03</v>
      </c>
      <c r="L106" s="21">
        <v>19491.18</v>
      </c>
      <c r="M106" s="25">
        <v>43902</v>
      </c>
      <c r="N106">
        <f>MONTH(Table_36[[#This Row],[Дата заказа]])</f>
        <v>3</v>
      </c>
      <c r="O106">
        <f>WEEKDAY(Table_36[[#This Row],[Дата заказа]])</f>
        <v>5</v>
      </c>
      <c r="P106">
        <f>DAY(Table_36[[#This Row],[Дата заказа]])</f>
        <v>12</v>
      </c>
      <c r="Q106">
        <f>YEAR(Table_36[[#This Row],[Дата заказа]])</f>
        <v>2020</v>
      </c>
      <c r="R106">
        <f>_xlfn.ISOWEEKNUM(Table_36[[#This Row],[Дата заказа]])</f>
        <v>11</v>
      </c>
    </row>
    <row r="107" spans="3:18" ht="15.75" customHeight="1" x14ac:dyDescent="0.2">
      <c r="C107" s="26">
        <v>37</v>
      </c>
      <c r="D107" s="21" t="s">
        <v>2449</v>
      </c>
      <c r="E107" s="21" t="s">
        <v>2448</v>
      </c>
      <c r="F107" s="21" t="s">
        <v>2450</v>
      </c>
      <c r="G107" s="21">
        <v>2211</v>
      </c>
      <c r="H107" s="21" t="s">
        <v>2444</v>
      </c>
      <c r="I107" s="21">
        <v>25</v>
      </c>
      <c r="J107" s="21">
        <v>55275</v>
      </c>
      <c r="K107" s="21">
        <v>0.09</v>
      </c>
      <c r="L107" s="21">
        <v>50300.25</v>
      </c>
      <c r="M107" s="25">
        <v>42662</v>
      </c>
      <c r="N107">
        <f>MONTH(Table_36[[#This Row],[Дата заказа]])</f>
        <v>10</v>
      </c>
      <c r="O107">
        <f>WEEKDAY(Table_36[[#This Row],[Дата заказа]])</f>
        <v>4</v>
      </c>
      <c r="P107">
        <f>DAY(Table_36[[#This Row],[Дата заказа]])</f>
        <v>19</v>
      </c>
      <c r="Q107">
        <f>YEAR(Table_36[[#This Row],[Дата заказа]])</f>
        <v>2016</v>
      </c>
      <c r="R107">
        <f>_xlfn.ISOWEEKNUM(Table_36[[#This Row],[Дата заказа]])</f>
        <v>42</v>
      </c>
    </row>
    <row r="108" spans="3:18" ht="15.75" customHeight="1" x14ac:dyDescent="0.2">
      <c r="C108" s="26">
        <v>15</v>
      </c>
      <c r="D108" s="21" t="s">
        <v>2512</v>
      </c>
      <c r="E108" s="21" t="s">
        <v>2462</v>
      </c>
      <c r="F108" s="21" t="s">
        <v>2513</v>
      </c>
      <c r="G108" s="21">
        <v>1994</v>
      </c>
      <c r="H108" s="21" t="s">
        <v>2444</v>
      </c>
      <c r="I108" s="21">
        <v>17</v>
      </c>
      <c r="J108" s="21">
        <v>33898</v>
      </c>
      <c r="K108" s="21">
        <v>0.06</v>
      </c>
      <c r="L108" s="21">
        <v>31864.12</v>
      </c>
      <c r="M108" s="25">
        <v>42592</v>
      </c>
      <c r="N108">
        <f>MONTH(Table_36[[#This Row],[Дата заказа]])</f>
        <v>8</v>
      </c>
      <c r="O108">
        <f>WEEKDAY(Table_36[[#This Row],[Дата заказа]])</f>
        <v>4</v>
      </c>
      <c r="P108">
        <f>DAY(Table_36[[#This Row],[Дата заказа]])</f>
        <v>10</v>
      </c>
      <c r="Q108">
        <f>YEAR(Table_36[[#This Row],[Дата заказа]])</f>
        <v>2016</v>
      </c>
      <c r="R108">
        <f>_xlfn.ISOWEEKNUM(Table_36[[#This Row],[Дата заказа]])</f>
        <v>32</v>
      </c>
    </row>
    <row r="109" spans="3:18" ht="15.75" customHeight="1" x14ac:dyDescent="0.2">
      <c r="C109" s="26">
        <v>11</v>
      </c>
      <c r="D109" s="21" t="s">
        <v>2492</v>
      </c>
      <c r="E109" s="21" t="s">
        <v>2446</v>
      </c>
      <c r="F109" s="21" t="s">
        <v>2495</v>
      </c>
      <c r="G109" s="21">
        <v>3197</v>
      </c>
      <c r="H109" s="21" t="s">
        <v>2444</v>
      </c>
      <c r="I109" s="21">
        <v>10</v>
      </c>
      <c r="J109" s="21">
        <v>31970</v>
      </c>
      <c r="K109" s="21">
        <v>0</v>
      </c>
      <c r="L109" s="21">
        <v>31970</v>
      </c>
      <c r="M109" s="25">
        <v>43783</v>
      </c>
      <c r="N109">
        <f>MONTH(Table_36[[#This Row],[Дата заказа]])</f>
        <v>11</v>
      </c>
      <c r="O109">
        <f>WEEKDAY(Table_36[[#This Row],[Дата заказа]])</f>
        <v>5</v>
      </c>
      <c r="P109">
        <f>DAY(Table_36[[#This Row],[Дата заказа]])</f>
        <v>14</v>
      </c>
      <c r="Q109">
        <f>YEAR(Table_36[[#This Row],[Дата заказа]])</f>
        <v>2019</v>
      </c>
      <c r="R109">
        <f>_xlfn.ISOWEEKNUM(Table_36[[#This Row],[Дата заказа]])</f>
        <v>46</v>
      </c>
    </row>
    <row r="110" spans="3:18" ht="15.75" customHeight="1" x14ac:dyDescent="0.2">
      <c r="C110" s="26">
        <v>44</v>
      </c>
      <c r="D110" s="21" t="s">
        <v>2453</v>
      </c>
      <c r="E110" s="21" t="s">
        <v>2454</v>
      </c>
      <c r="F110" s="21" t="s">
        <v>2455</v>
      </c>
      <c r="G110" s="21">
        <v>1386</v>
      </c>
      <c r="H110" s="21" t="s">
        <v>2440</v>
      </c>
      <c r="I110" s="21">
        <v>20</v>
      </c>
      <c r="J110" s="21">
        <v>27720</v>
      </c>
      <c r="K110" s="21">
        <v>0.03</v>
      </c>
      <c r="L110" s="21">
        <v>26888.400000000001</v>
      </c>
      <c r="M110" s="25">
        <v>42890</v>
      </c>
      <c r="N110">
        <f>MONTH(Table_36[[#This Row],[Дата заказа]])</f>
        <v>6</v>
      </c>
      <c r="O110">
        <f>WEEKDAY(Table_36[[#This Row],[Дата заказа]])</f>
        <v>1</v>
      </c>
      <c r="P110">
        <f>DAY(Table_36[[#This Row],[Дата заказа]])</f>
        <v>4</v>
      </c>
      <c r="Q110">
        <f>YEAR(Table_36[[#This Row],[Дата заказа]])</f>
        <v>2017</v>
      </c>
      <c r="R110">
        <f>_xlfn.ISOWEEKNUM(Table_36[[#This Row],[Дата заказа]])</f>
        <v>22</v>
      </c>
    </row>
    <row r="111" spans="3:18" ht="15.75" customHeight="1" x14ac:dyDescent="0.2">
      <c r="C111" s="26">
        <v>17</v>
      </c>
      <c r="D111" s="21" t="s">
        <v>2465</v>
      </c>
      <c r="E111" s="21" t="s">
        <v>2446</v>
      </c>
      <c r="F111" s="21" t="s">
        <v>2466</v>
      </c>
      <c r="G111" s="21">
        <v>967</v>
      </c>
      <c r="H111" s="21" t="s">
        <v>2444</v>
      </c>
      <c r="I111" s="21">
        <v>12</v>
      </c>
      <c r="J111" s="21">
        <v>11604</v>
      </c>
      <c r="K111" s="21">
        <v>0</v>
      </c>
      <c r="L111" s="21">
        <v>11604</v>
      </c>
      <c r="M111" s="25">
        <v>42566</v>
      </c>
      <c r="N111">
        <f>MONTH(Table_36[[#This Row],[Дата заказа]])</f>
        <v>7</v>
      </c>
      <c r="O111">
        <f>WEEKDAY(Table_36[[#This Row],[Дата заказа]])</f>
        <v>6</v>
      </c>
      <c r="P111">
        <f>DAY(Table_36[[#This Row],[Дата заказа]])</f>
        <v>15</v>
      </c>
      <c r="Q111">
        <f>YEAR(Table_36[[#This Row],[Дата заказа]])</f>
        <v>2016</v>
      </c>
      <c r="R111">
        <f>_xlfn.ISOWEEKNUM(Table_36[[#This Row],[Дата заказа]])</f>
        <v>28</v>
      </c>
    </row>
    <row r="112" spans="3:18" ht="15.75" customHeight="1" x14ac:dyDescent="0.2">
      <c r="C112" s="26">
        <v>51</v>
      </c>
      <c r="D112" s="21" t="s">
        <v>2449</v>
      </c>
      <c r="E112" s="21" t="s">
        <v>2448</v>
      </c>
      <c r="F112" s="21" t="s">
        <v>2450</v>
      </c>
      <c r="G112" s="21">
        <v>2211</v>
      </c>
      <c r="H112" s="21" t="s">
        <v>2444</v>
      </c>
      <c r="I112" s="21">
        <v>25</v>
      </c>
      <c r="J112" s="21">
        <v>55275</v>
      </c>
      <c r="K112" s="21">
        <v>0.09</v>
      </c>
      <c r="L112" s="21">
        <v>50300.25</v>
      </c>
      <c r="M112" s="25">
        <v>43650</v>
      </c>
      <c r="N112">
        <f>MONTH(Table_36[[#This Row],[Дата заказа]])</f>
        <v>7</v>
      </c>
      <c r="O112">
        <f>WEEKDAY(Table_36[[#This Row],[Дата заказа]])</f>
        <v>5</v>
      </c>
      <c r="P112">
        <f>DAY(Table_36[[#This Row],[Дата заказа]])</f>
        <v>4</v>
      </c>
      <c r="Q112">
        <f>YEAR(Table_36[[#This Row],[Дата заказа]])</f>
        <v>2019</v>
      </c>
      <c r="R112">
        <f>_xlfn.ISOWEEKNUM(Table_36[[#This Row],[Дата заказа]])</f>
        <v>27</v>
      </c>
    </row>
    <row r="113" spans="3:18" ht="15.75" customHeight="1" x14ac:dyDescent="0.2">
      <c r="C113" s="26">
        <v>29</v>
      </c>
      <c r="D113" s="21" t="s">
        <v>2514</v>
      </c>
      <c r="E113" s="21" t="s">
        <v>2505</v>
      </c>
      <c r="F113" s="21" t="s">
        <v>2515</v>
      </c>
      <c r="G113" s="21">
        <v>843</v>
      </c>
      <c r="H113" s="21" t="s">
        <v>2444</v>
      </c>
      <c r="I113" s="21">
        <v>10</v>
      </c>
      <c r="J113" s="21">
        <v>8430</v>
      </c>
      <c r="K113" s="21">
        <v>0</v>
      </c>
      <c r="L113" s="21">
        <v>8430</v>
      </c>
      <c r="M113" s="25">
        <v>43505</v>
      </c>
      <c r="N113">
        <f>MONTH(Table_36[[#This Row],[Дата заказа]])</f>
        <v>2</v>
      </c>
      <c r="O113">
        <f>WEEKDAY(Table_36[[#This Row],[Дата заказа]])</f>
        <v>7</v>
      </c>
      <c r="P113">
        <f>DAY(Table_36[[#This Row],[Дата заказа]])</f>
        <v>9</v>
      </c>
      <c r="Q113">
        <f>YEAR(Table_36[[#This Row],[Дата заказа]])</f>
        <v>2019</v>
      </c>
      <c r="R113">
        <f>_xlfn.ISOWEEKNUM(Table_36[[#This Row],[Дата заказа]])</f>
        <v>6</v>
      </c>
    </row>
    <row r="114" spans="3:18" ht="15.75" customHeight="1" x14ac:dyDescent="0.2">
      <c r="C114" s="26">
        <v>40</v>
      </c>
      <c r="D114" s="21" t="s">
        <v>2477</v>
      </c>
      <c r="E114" s="21" t="s">
        <v>2454</v>
      </c>
      <c r="F114" s="21" t="s">
        <v>2478</v>
      </c>
      <c r="G114" s="21">
        <v>847</v>
      </c>
      <c r="H114" s="21" t="s">
        <v>2440</v>
      </c>
      <c r="I114" s="21">
        <v>15</v>
      </c>
      <c r="J114" s="21">
        <v>12705</v>
      </c>
      <c r="K114" s="21">
        <v>0</v>
      </c>
      <c r="L114" s="21">
        <v>12705</v>
      </c>
      <c r="M114" s="25">
        <v>42710</v>
      </c>
      <c r="N114">
        <f>MONTH(Table_36[[#This Row],[Дата заказа]])</f>
        <v>12</v>
      </c>
      <c r="O114">
        <f>WEEKDAY(Table_36[[#This Row],[Дата заказа]])</f>
        <v>3</v>
      </c>
      <c r="P114">
        <f>DAY(Table_36[[#This Row],[Дата заказа]])</f>
        <v>6</v>
      </c>
      <c r="Q114">
        <f>YEAR(Table_36[[#This Row],[Дата заказа]])</f>
        <v>2016</v>
      </c>
      <c r="R114">
        <f>_xlfn.ISOWEEKNUM(Table_36[[#This Row],[Дата заказа]])</f>
        <v>49</v>
      </c>
    </row>
    <row r="115" spans="3:18" ht="15.75" customHeight="1" x14ac:dyDescent="0.2">
      <c r="C115" s="26">
        <v>31</v>
      </c>
      <c r="D115" s="21" t="s">
        <v>2479</v>
      </c>
      <c r="E115" s="21" t="s">
        <v>2442</v>
      </c>
      <c r="F115" s="21" t="s">
        <v>2480</v>
      </c>
      <c r="G115" s="21">
        <v>1228</v>
      </c>
      <c r="H115" s="21" t="s">
        <v>2440</v>
      </c>
      <c r="I115" s="21">
        <v>45</v>
      </c>
      <c r="J115" s="21">
        <v>55260</v>
      </c>
      <c r="K115" s="21">
        <v>0.09</v>
      </c>
      <c r="L115" s="21">
        <v>50286.6</v>
      </c>
      <c r="M115" s="25">
        <v>44134</v>
      </c>
      <c r="N115">
        <f>MONTH(Table_36[[#This Row],[Дата заказа]])</f>
        <v>10</v>
      </c>
      <c r="O115">
        <f>WEEKDAY(Table_36[[#This Row],[Дата заказа]])</f>
        <v>6</v>
      </c>
      <c r="P115">
        <f>DAY(Table_36[[#This Row],[Дата заказа]])</f>
        <v>30</v>
      </c>
      <c r="Q115">
        <f>YEAR(Table_36[[#This Row],[Дата заказа]])</f>
        <v>2020</v>
      </c>
      <c r="R115">
        <f>_xlfn.ISOWEEKNUM(Table_36[[#This Row],[Дата заказа]])</f>
        <v>44</v>
      </c>
    </row>
    <row r="116" spans="3:18" ht="15.75" customHeight="1" x14ac:dyDescent="0.2">
      <c r="C116" s="26">
        <v>8</v>
      </c>
      <c r="D116" s="21" t="s">
        <v>2477</v>
      </c>
      <c r="E116" s="21" t="s">
        <v>2454</v>
      </c>
      <c r="F116" s="21" t="s">
        <v>2478</v>
      </c>
      <c r="G116" s="21">
        <v>847</v>
      </c>
      <c r="H116" s="21" t="s">
        <v>2440</v>
      </c>
      <c r="I116" s="21">
        <v>15</v>
      </c>
      <c r="J116" s="21">
        <v>12705</v>
      </c>
      <c r="K116" s="21">
        <v>0</v>
      </c>
      <c r="L116" s="21">
        <v>12705</v>
      </c>
      <c r="M116" s="25">
        <v>43983</v>
      </c>
      <c r="N116">
        <f>MONTH(Table_36[[#This Row],[Дата заказа]])</f>
        <v>6</v>
      </c>
      <c r="O116">
        <f>WEEKDAY(Table_36[[#This Row],[Дата заказа]])</f>
        <v>2</v>
      </c>
      <c r="P116">
        <f>DAY(Table_36[[#This Row],[Дата заказа]])</f>
        <v>1</v>
      </c>
      <c r="Q116">
        <f>YEAR(Table_36[[#This Row],[Дата заказа]])</f>
        <v>2020</v>
      </c>
      <c r="R116">
        <f>_xlfn.ISOWEEKNUM(Table_36[[#This Row],[Дата заказа]])</f>
        <v>23</v>
      </c>
    </row>
    <row r="117" spans="3:18" ht="15.75" customHeight="1" x14ac:dyDescent="0.2">
      <c r="C117" s="26">
        <v>51</v>
      </c>
      <c r="D117" s="21" t="s">
        <v>2449</v>
      </c>
      <c r="E117" s="21" t="s">
        <v>2448</v>
      </c>
      <c r="F117" s="21" t="s">
        <v>2450</v>
      </c>
      <c r="G117" s="21">
        <v>2211</v>
      </c>
      <c r="H117" s="21" t="s">
        <v>2444</v>
      </c>
      <c r="I117" s="21">
        <v>25</v>
      </c>
      <c r="J117" s="21">
        <v>55275</v>
      </c>
      <c r="K117" s="21">
        <v>0.09</v>
      </c>
      <c r="L117" s="21">
        <v>50300.25</v>
      </c>
      <c r="M117" s="25">
        <v>43053</v>
      </c>
      <c r="N117">
        <f>MONTH(Table_36[[#This Row],[Дата заказа]])</f>
        <v>11</v>
      </c>
      <c r="O117">
        <f>WEEKDAY(Table_36[[#This Row],[Дата заказа]])</f>
        <v>3</v>
      </c>
      <c r="P117">
        <f>DAY(Table_36[[#This Row],[Дата заказа]])</f>
        <v>14</v>
      </c>
      <c r="Q117">
        <f>YEAR(Table_36[[#This Row],[Дата заказа]])</f>
        <v>2017</v>
      </c>
      <c r="R117">
        <f>_xlfn.ISOWEEKNUM(Table_36[[#This Row],[Дата заказа]])</f>
        <v>46</v>
      </c>
    </row>
    <row r="118" spans="3:18" ht="15.75" customHeight="1" x14ac:dyDescent="0.2">
      <c r="C118" s="26">
        <v>9</v>
      </c>
      <c r="D118" s="21" t="s">
        <v>2447</v>
      </c>
      <c r="E118" s="21" t="s">
        <v>2448</v>
      </c>
      <c r="F118" s="21" t="s">
        <v>2448</v>
      </c>
      <c r="G118" s="21">
        <v>699</v>
      </c>
      <c r="H118" s="21" t="s">
        <v>2444</v>
      </c>
      <c r="I118" s="21">
        <v>10</v>
      </c>
      <c r="J118" s="21">
        <v>6990</v>
      </c>
      <c r="K118" s="21">
        <v>0</v>
      </c>
      <c r="L118" s="21">
        <v>6990</v>
      </c>
      <c r="M118" s="25">
        <v>42957</v>
      </c>
      <c r="N118">
        <f>MONTH(Table_36[[#This Row],[Дата заказа]])</f>
        <v>8</v>
      </c>
      <c r="O118">
        <f>WEEKDAY(Table_36[[#This Row],[Дата заказа]])</f>
        <v>5</v>
      </c>
      <c r="P118">
        <f>DAY(Table_36[[#This Row],[Дата заказа]])</f>
        <v>10</v>
      </c>
      <c r="Q118">
        <f>YEAR(Table_36[[#This Row],[Дата заказа]])</f>
        <v>2017</v>
      </c>
      <c r="R118">
        <f>_xlfn.ISOWEEKNUM(Table_36[[#This Row],[Дата заказа]])</f>
        <v>32</v>
      </c>
    </row>
    <row r="119" spans="3:18" ht="15.75" customHeight="1" x14ac:dyDescent="0.2">
      <c r="C119" s="26">
        <v>27</v>
      </c>
      <c r="D119" s="21" t="s">
        <v>2499</v>
      </c>
      <c r="E119" s="21" t="s">
        <v>2462</v>
      </c>
      <c r="F119" s="21" t="s">
        <v>2463</v>
      </c>
      <c r="G119" s="21">
        <v>1994</v>
      </c>
      <c r="H119" s="21" t="s">
        <v>2444</v>
      </c>
      <c r="I119" s="21">
        <v>25</v>
      </c>
      <c r="J119" s="21">
        <v>49850</v>
      </c>
      <c r="K119" s="21">
        <v>0.06</v>
      </c>
      <c r="L119" s="21">
        <v>46859</v>
      </c>
      <c r="M119" s="25">
        <v>43545</v>
      </c>
      <c r="N119">
        <f>MONTH(Table_36[[#This Row],[Дата заказа]])</f>
        <v>3</v>
      </c>
      <c r="O119">
        <f>WEEKDAY(Table_36[[#This Row],[Дата заказа]])</f>
        <v>5</v>
      </c>
      <c r="P119">
        <f>DAY(Table_36[[#This Row],[Дата заказа]])</f>
        <v>21</v>
      </c>
      <c r="Q119">
        <f>YEAR(Table_36[[#This Row],[Дата заказа]])</f>
        <v>2019</v>
      </c>
      <c r="R119">
        <f>_xlfn.ISOWEEKNUM(Table_36[[#This Row],[Дата заказа]])</f>
        <v>12</v>
      </c>
    </row>
    <row r="120" spans="3:18" ht="15.75" customHeight="1" x14ac:dyDescent="0.2">
      <c r="C120" s="26">
        <v>16</v>
      </c>
      <c r="D120" s="21" t="s">
        <v>2504</v>
      </c>
      <c r="E120" s="21" t="s">
        <v>2505</v>
      </c>
      <c r="F120" s="21" t="s">
        <v>2506</v>
      </c>
      <c r="G120" s="21">
        <v>843</v>
      </c>
      <c r="H120" s="21" t="s">
        <v>2444</v>
      </c>
      <c r="I120" s="21">
        <v>5</v>
      </c>
      <c r="J120" s="21">
        <v>4215</v>
      </c>
      <c r="K120" s="21">
        <v>0</v>
      </c>
      <c r="L120" s="21">
        <v>4215</v>
      </c>
      <c r="M120" s="25">
        <v>42474</v>
      </c>
      <c r="N120">
        <f>MONTH(Table_36[[#This Row],[Дата заказа]])</f>
        <v>4</v>
      </c>
      <c r="O120">
        <f>WEEKDAY(Table_36[[#This Row],[Дата заказа]])</f>
        <v>5</v>
      </c>
      <c r="P120">
        <f>DAY(Table_36[[#This Row],[Дата заказа]])</f>
        <v>14</v>
      </c>
      <c r="Q120">
        <f>YEAR(Table_36[[#This Row],[Дата заказа]])</f>
        <v>2016</v>
      </c>
      <c r="R120">
        <f>_xlfn.ISOWEEKNUM(Table_36[[#This Row],[Дата заказа]])</f>
        <v>15</v>
      </c>
    </row>
    <row r="121" spans="3:18" ht="15.75" customHeight="1" x14ac:dyDescent="0.2">
      <c r="C121" s="26">
        <v>39</v>
      </c>
      <c r="D121" s="21" t="s">
        <v>2437</v>
      </c>
      <c r="E121" s="21" t="s">
        <v>2438</v>
      </c>
      <c r="F121" s="21" t="s">
        <v>2439</v>
      </c>
      <c r="G121" s="21">
        <v>1923</v>
      </c>
      <c r="H121" s="21" t="s">
        <v>2440</v>
      </c>
      <c r="I121" s="21">
        <v>25</v>
      </c>
      <c r="J121" s="21">
        <v>48075</v>
      </c>
      <c r="K121" s="21">
        <v>0.06</v>
      </c>
      <c r="L121" s="21">
        <v>45190.5</v>
      </c>
      <c r="M121" s="25">
        <v>43464</v>
      </c>
      <c r="N121">
        <f>MONTH(Table_36[[#This Row],[Дата заказа]])</f>
        <v>12</v>
      </c>
      <c r="O121">
        <f>WEEKDAY(Table_36[[#This Row],[Дата заказа]])</f>
        <v>1</v>
      </c>
      <c r="P121">
        <f>DAY(Table_36[[#This Row],[Дата заказа]])</f>
        <v>30</v>
      </c>
      <c r="Q121">
        <f>YEAR(Table_36[[#This Row],[Дата заказа]])</f>
        <v>2018</v>
      </c>
      <c r="R121">
        <f>_xlfn.ISOWEEKNUM(Table_36[[#This Row],[Дата заказа]])</f>
        <v>52</v>
      </c>
    </row>
    <row r="122" spans="3:18" ht="15.75" customHeight="1" x14ac:dyDescent="0.2">
      <c r="C122" s="26">
        <v>46</v>
      </c>
      <c r="D122" s="21" t="s">
        <v>2475</v>
      </c>
      <c r="E122" s="21" t="s">
        <v>2476</v>
      </c>
      <c r="F122" s="21" t="s">
        <v>2476</v>
      </c>
      <c r="G122" s="21">
        <v>770</v>
      </c>
      <c r="H122" s="21" t="s">
        <v>2440</v>
      </c>
      <c r="I122" s="21">
        <v>20</v>
      </c>
      <c r="J122" s="21">
        <v>15400</v>
      </c>
      <c r="K122" s="21">
        <v>0.03</v>
      </c>
      <c r="L122" s="21">
        <v>14938</v>
      </c>
      <c r="M122" s="25">
        <v>43257</v>
      </c>
      <c r="N122">
        <f>MONTH(Table_36[[#This Row],[Дата заказа]])</f>
        <v>6</v>
      </c>
      <c r="O122">
        <f>WEEKDAY(Table_36[[#This Row],[Дата заказа]])</f>
        <v>4</v>
      </c>
      <c r="P122">
        <f>DAY(Table_36[[#This Row],[Дата заказа]])</f>
        <v>6</v>
      </c>
      <c r="Q122">
        <f>YEAR(Table_36[[#This Row],[Дата заказа]])</f>
        <v>2018</v>
      </c>
      <c r="R122">
        <f>_xlfn.ISOWEEKNUM(Table_36[[#This Row],[Дата заказа]])</f>
        <v>23</v>
      </c>
    </row>
    <row r="123" spans="3:18" ht="15.75" customHeight="1" x14ac:dyDescent="0.2">
      <c r="C123" s="26">
        <v>28</v>
      </c>
      <c r="D123" s="21" t="s">
        <v>2494</v>
      </c>
      <c r="E123" s="21" t="s">
        <v>2462</v>
      </c>
      <c r="F123" s="21" t="s">
        <v>2491</v>
      </c>
      <c r="G123" s="21">
        <v>1994</v>
      </c>
      <c r="H123" s="21" t="s">
        <v>2444</v>
      </c>
      <c r="I123" s="21">
        <v>40</v>
      </c>
      <c r="J123" s="21">
        <v>79760</v>
      </c>
      <c r="K123" s="21">
        <v>0.12</v>
      </c>
      <c r="L123" s="21">
        <v>70188.800000000003</v>
      </c>
      <c r="M123" s="25">
        <v>44094</v>
      </c>
      <c r="N123">
        <f>MONTH(Table_36[[#This Row],[Дата заказа]])</f>
        <v>9</v>
      </c>
      <c r="O123">
        <f>WEEKDAY(Table_36[[#This Row],[Дата заказа]])</f>
        <v>1</v>
      </c>
      <c r="P123">
        <f>DAY(Table_36[[#This Row],[Дата заказа]])</f>
        <v>20</v>
      </c>
      <c r="Q123">
        <f>YEAR(Table_36[[#This Row],[Дата заказа]])</f>
        <v>2020</v>
      </c>
      <c r="R123">
        <f>_xlfn.ISOWEEKNUM(Table_36[[#This Row],[Дата заказа]])</f>
        <v>38</v>
      </c>
    </row>
    <row r="124" spans="3:18" ht="15.75" customHeight="1" x14ac:dyDescent="0.2">
      <c r="C124" s="26">
        <v>0</v>
      </c>
      <c r="D124" s="21" t="s">
        <v>2469</v>
      </c>
      <c r="E124" s="21" t="s">
        <v>2442</v>
      </c>
      <c r="F124" s="21" t="s">
        <v>2470</v>
      </c>
      <c r="G124" s="21">
        <v>620</v>
      </c>
      <c r="H124" s="21" t="s">
        <v>2444</v>
      </c>
      <c r="I124" s="21">
        <v>30</v>
      </c>
      <c r="J124" s="21">
        <v>18600</v>
      </c>
      <c r="K124" s="21">
        <v>0.03</v>
      </c>
      <c r="L124" s="21">
        <v>18042</v>
      </c>
      <c r="M124" s="25">
        <v>43618</v>
      </c>
      <c r="N124">
        <f>MONTH(Table_36[[#This Row],[Дата заказа]])</f>
        <v>6</v>
      </c>
      <c r="O124">
        <f>WEEKDAY(Table_36[[#This Row],[Дата заказа]])</f>
        <v>1</v>
      </c>
      <c r="P124">
        <f>DAY(Table_36[[#This Row],[Дата заказа]])</f>
        <v>2</v>
      </c>
      <c r="Q124">
        <f>YEAR(Table_36[[#This Row],[Дата заказа]])</f>
        <v>2019</v>
      </c>
      <c r="R124">
        <f>_xlfn.ISOWEEKNUM(Table_36[[#This Row],[Дата заказа]])</f>
        <v>22</v>
      </c>
    </row>
    <row r="125" spans="3:18" ht="15.75" customHeight="1" x14ac:dyDescent="0.2">
      <c r="C125" s="26">
        <v>34</v>
      </c>
      <c r="D125" s="21" t="s">
        <v>2471</v>
      </c>
      <c r="E125" s="21" t="s">
        <v>2438</v>
      </c>
      <c r="F125" s="21" t="s">
        <v>2472</v>
      </c>
      <c r="G125" s="21">
        <v>2199</v>
      </c>
      <c r="H125" s="21" t="s">
        <v>2440</v>
      </c>
      <c r="I125" s="21">
        <v>60</v>
      </c>
      <c r="J125" s="21">
        <v>131940</v>
      </c>
      <c r="K125" s="21">
        <v>0.15</v>
      </c>
      <c r="L125" s="21">
        <v>112149</v>
      </c>
      <c r="M125" s="25">
        <v>42605</v>
      </c>
      <c r="N125">
        <f>MONTH(Table_36[[#This Row],[Дата заказа]])</f>
        <v>8</v>
      </c>
      <c r="O125">
        <f>WEEKDAY(Table_36[[#This Row],[Дата заказа]])</f>
        <v>3</v>
      </c>
      <c r="P125">
        <f>DAY(Table_36[[#This Row],[Дата заказа]])</f>
        <v>23</v>
      </c>
      <c r="Q125">
        <f>YEAR(Table_36[[#This Row],[Дата заказа]])</f>
        <v>2016</v>
      </c>
      <c r="R125">
        <f>_xlfn.ISOWEEKNUM(Table_36[[#This Row],[Дата заказа]])</f>
        <v>34</v>
      </c>
    </row>
    <row r="126" spans="3:18" ht="15.75" customHeight="1" x14ac:dyDescent="0.2">
      <c r="C126" s="26">
        <v>47</v>
      </c>
      <c r="D126" s="21" t="s">
        <v>2461</v>
      </c>
      <c r="E126" s="21" t="s">
        <v>2462</v>
      </c>
      <c r="F126" s="21" t="s">
        <v>2463</v>
      </c>
      <c r="G126" s="21">
        <v>1994</v>
      </c>
      <c r="H126" s="21" t="s">
        <v>2444</v>
      </c>
      <c r="I126" s="21">
        <v>12</v>
      </c>
      <c r="J126" s="21">
        <v>23928</v>
      </c>
      <c r="K126" s="21">
        <v>0.03</v>
      </c>
      <c r="L126" s="21">
        <v>23210.16</v>
      </c>
      <c r="M126" s="25">
        <v>42208</v>
      </c>
      <c r="N126">
        <f>MONTH(Table_36[[#This Row],[Дата заказа]])</f>
        <v>7</v>
      </c>
      <c r="O126">
        <f>WEEKDAY(Table_36[[#This Row],[Дата заказа]])</f>
        <v>5</v>
      </c>
      <c r="P126">
        <f>DAY(Table_36[[#This Row],[Дата заказа]])</f>
        <v>23</v>
      </c>
      <c r="Q126">
        <f>YEAR(Table_36[[#This Row],[Дата заказа]])</f>
        <v>2015</v>
      </c>
      <c r="R126">
        <f>_xlfn.ISOWEEKNUM(Table_36[[#This Row],[Дата заказа]])</f>
        <v>30</v>
      </c>
    </row>
    <row r="127" spans="3:18" ht="15.75" customHeight="1" x14ac:dyDescent="0.2">
      <c r="C127" s="26">
        <v>23</v>
      </c>
      <c r="D127" s="21" t="s">
        <v>2473</v>
      </c>
      <c r="E127" s="21" t="s">
        <v>2448</v>
      </c>
      <c r="F127" s="21" t="s">
        <v>2474</v>
      </c>
      <c r="G127" s="21">
        <v>2645</v>
      </c>
      <c r="H127" s="21" t="s">
        <v>2444</v>
      </c>
      <c r="I127" s="21">
        <v>50</v>
      </c>
      <c r="J127" s="21">
        <v>132250</v>
      </c>
      <c r="K127" s="21">
        <v>0.15</v>
      </c>
      <c r="L127" s="21">
        <v>112412.5</v>
      </c>
      <c r="M127" s="25">
        <v>43851</v>
      </c>
      <c r="N127">
        <f>MONTH(Table_36[[#This Row],[Дата заказа]])</f>
        <v>1</v>
      </c>
      <c r="O127">
        <f>WEEKDAY(Table_36[[#This Row],[Дата заказа]])</f>
        <v>3</v>
      </c>
      <c r="P127">
        <f>DAY(Table_36[[#This Row],[Дата заказа]])</f>
        <v>21</v>
      </c>
      <c r="Q127">
        <f>YEAR(Table_36[[#This Row],[Дата заказа]])</f>
        <v>2020</v>
      </c>
      <c r="R127">
        <f>_xlfn.ISOWEEKNUM(Table_36[[#This Row],[Дата заказа]])</f>
        <v>4</v>
      </c>
    </row>
    <row r="128" spans="3:18" ht="15.75" customHeight="1" x14ac:dyDescent="0.2">
      <c r="C128" s="26">
        <v>35</v>
      </c>
      <c r="D128" s="21" t="s">
        <v>2441</v>
      </c>
      <c r="E128" s="21" t="s">
        <v>2442</v>
      </c>
      <c r="F128" s="21" t="s">
        <v>2443</v>
      </c>
      <c r="G128" s="21">
        <v>617</v>
      </c>
      <c r="H128" s="21" t="s">
        <v>2444</v>
      </c>
      <c r="I128" s="21">
        <v>10</v>
      </c>
      <c r="J128" s="21">
        <v>6170</v>
      </c>
      <c r="K128" s="21">
        <v>0</v>
      </c>
      <c r="L128" s="21">
        <v>6170</v>
      </c>
      <c r="M128" s="25">
        <v>42621</v>
      </c>
      <c r="N128">
        <f>MONTH(Table_36[[#This Row],[Дата заказа]])</f>
        <v>9</v>
      </c>
      <c r="O128">
        <f>WEEKDAY(Table_36[[#This Row],[Дата заказа]])</f>
        <v>5</v>
      </c>
      <c r="P128">
        <f>DAY(Table_36[[#This Row],[Дата заказа]])</f>
        <v>8</v>
      </c>
      <c r="Q128">
        <f>YEAR(Table_36[[#This Row],[Дата заказа]])</f>
        <v>2016</v>
      </c>
      <c r="R128">
        <f>_xlfn.ISOWEEKNUM(Table_36[[#This Row],[Дата заказа]])</f>
        <v>36</v>
      </c>
    </row>
    <row r="129" spans="3:18" ht="15.75" customHeight="1" x14ac:dyDescent="0.2">
      <c r="C129" s="26">
        <v>48</v>
      </c>
      <c r="D129" s="21" t="s">
        <v>2471</v>
      </c>
      <c r="E129" s="21" t="s">
        <v>2438</v>
      </c>
      <c r="F129" s="21" t="s">
        <v>2472</v>
      </c>
      <c r="G129" s="21">
        <v>2199</v>
      </c>
      <c r="H129" s="21" t="s">
        <v>2440</v>
      </c>
      <c r="I129" s="21">
        <v>55</v>
      </c>
      <c r="J129" s="21">
        <v>120945</v>
      </c>
      <c r="K129" s="21">
        <v>0.15</v>
      </c>
      <c r="L129" s="21">
        <v>102803.25</v>
      </c>
      <c r="M129" s="25">
        <v>43107</v>
      </c>
      <c r="N129">
        <f>MONTH(Table_36[[#This Row],[Дата заказа]])</f>
        <v>1</v>
      </c>
      <c r="O129">
        <f>WEEKDAY(Table_36[[#This Row],[Дата заказа]])</f>
        <v>1</v>
      </c>
      <c r="P129">
        <f>DAY(Table_36[[#This Row],[Дата заказа]])</f>
        <v>7</v>
      </c>
      <c r="Q129">
        <f>YEAR(Table_36[[#This Row],[Дата заказа]])</f>
        <v>2018</v>
      </c>
      <c r="R129">
        <f>_xlfn.ISOWEEKNUM(Table_36[[#This Row],[Дата заказа]])</f>
        <v>1</v>
      </c>
    </row>
    <row r="130" spans="3:18" ht="15.75" customHeight="1" x14ac:dyDescent="0.2">
      <c r="C130" s="26">
        <v>2</v>
      </c>
      <c r="D130" s="21" t="s">
        <v>2500</v>
      </c>
      <c r="E130" s="21" t="s">
        <v>2446</v>
      </c>
      <c r="F130" s="21" t="s">
        <v>2501</v>
      </c>
      <c r="G130" s="21">
        <v>1178</v>
      </c>
      <c r="H130" s="21" t="s">
        <v>2444</v>
      </c>
      <c r="I130" s="21">
        <v>10</v>
      </c>
      <c r="J130" s="21">
        <v>11780</v>
      </c>
      <c r="K130" s="21">
        <v>0</v>
      </c>
      <c r="L130" s="21">
        <v>11780</v>
      </c>
      <c r="M130" s="25">
        <v>42327</v>
      </c>
      <c r="N130">
        <f>MONTH(Table_36[[#This Row],[Дата заказа]])</f>
        <v>11</v>
      </c>
      <c r="O130">
        <f>WEEKDAY(Table_36[[#This Row],[Дата заказа]])</f>
        <v>5</v>
      </c>
      <c r="P130">
        <f>DAY(Table_36[[#This Row],[Дата заказа]])</f>
        <v>19</v>
      </c>
      <c r="Q130">
        <f>YEAR(Table_36[[#This Row],[Дата заказа]])</f>
        <v>2015</v>
      </c>
      <c r="R130">
        <f>_xlfn.ISOWEEKNUM(Table_36[[#This Row],[Дата заказа]])</f>
        <v>47</v>
      </c>
    </row>
    <row r="131" spans="3:18" ht="15.75" customHeight="1" x14ac:dyDescent="0.2">
      <c r="C131" s="26">
        <v>15</v>
      </c>
      <c r="D131" s="21" t="s">
        <v>2512</v>
      </c>
      <c r="E131" s="21" t="s">
        <v>2462</v>
      </c>
      <c r="F131" s="21" t="s">
        <v>2513</v>
      </c>
      <c r="G131" s="21">
        <v>1994</v>
      </c>
      <c r="H131" s="21" t="s">
        <v>2444</v>
      </c>
      <c r="I131" s="21">
        <v>17</v>
      </c>
      <c r="J131" s="21">
        <v>33898</v>
      </c>
      <c r="K131" s="21">
        <v>0.06</v>
      </c>
      <c r="L131" s="21">
        <v>31864.12</v>
      </c>
      <c r="M131" s="25">
        <v>43359</v>
      </c>
      <c r="N131">
        <f>MONTH(Table_36[[#This Row],[Дата заказа]])</f>
        <v>9</v>
      </c>
      <c r="O131">
        <f>WEEKDAY(Table_36[[#This Row],[Дата заказа]])</f>
        <v>1</v>
      </c>
      <c r="P131">
        <f>DAY(Table_36[[#This Row],[Дата заказа]])</f>
        <v>16</v>
      </c>
      <c r="Q131">
        <f>YEAR(Table_36[[#This Row],[Дата заказа]])</f>
        <v>2018</v>
      </c>
      <c r="R131">
        <f>_xlfn.ISOWEEKNUM(Table_36[[#This Row],[Дата заказа]])</f>
        <v>37</v>
      </c>
    </row>
    <row r="132" spans="3:18" ht="15.75" customHeight="1" x14ac:dyDescent="0.2">
      <c r="C132" s="26">
        <v>49</v>
      </c>
      <c r="D132" s="21" t="s">
        <v>2441</v>
      </c>
      <c r="E132" s="21" t="s">
        <v>2442</v>
      </c>
      <c r="F132" s="21" t="s">
        <v>2443</v>
      </c>
      <c r="G132" s="21">
        <v>617</v>
      </c>
      <c r="H132" s="21" t="s">
        <v>2444</v>
      </c>
      <c r="I132" s="21">
        <v>25</v>
      </c>
      <c r="J132" s="21">
        <v>15425</v>
      </c>
      <c r="K132" s="21">
        <v>0</v>
      </c>
      <c r="L132" s="21">
        <v>15425</v>
      </c>
      <c r="M132" s="25">
        <v>43974</v>
      </c>
      <c r="N132">
        <f>MONTH(Table_36[[#This Row],[Дата заказа]])</f>
        <v>5</v>
      </c>
      <c r="O132">
        <f>WEEKDAY(Table_36[[#This Row],[Дата заказа]])</f>
        <v>7</v>
      </c>
      <c r="P132">
        <f>DAY(Table_36[[#This Row],[Дата заказа]])</f>
        <v>23</v>
      </c>
      <c r="Q132">
        <f>YEAR(Table_36[[#This Row],[Дата заказа]])</f>
        <v>2020</v>
      </c>
      <c r="R132">
        <f>_xlfn.ISOWEEKNUM(Table_36[[#This Row],[Дата заказа]])</f>
        <v>21</v>
      </c>
    </row>
    <row r="133" spans="3:18" ht="15.75" customHeight="1" x14ac:dyDescent="0.2">
      <c r="C133" s="26">
        <v>27</v>
      </c>
      <c r="D133" s="21" t="s">
        <v>2499</v>
      </c>
      <c r="E133" s="21" t="s">
        <v>2462</v>
      </c>
      <c r="F133" s="21" t="s">
        <v>2463</v>
      </c>
      <c r="G133" s="21">
        <v>1994</v>
      </c>
      <c r="H133" s="21" t="s">
        <v>2444</v>
      </c>
      <c r="I133" s="21">
        <v>25</v>
      </c>
      <c r="J133" s="21">
        <v>49850</v>
      </c>
      <c r="K133" s="21">
        <v>0.06</v>
      </c>
      <c r="L133" s="21">
        <v>46859</v>
      </c>
      <c r="M133" s="25">
        <v>44095</v>
      </c>
      <c r="N133">
        <f>MONTH(Table_36[[#This Row],[Дата заказа]])</f>
        <v>9</v>
      </c>
      <c r="O133">
        <f>WEEKDAY(Table_36[[#This Row],[Дата заказа]])</f>
        <v>2</v>
      </c>
      <c r="P133">
        <f>DAY(Table_36[[#This Row],[Дата заказа]])</f>
        <v>21</v>
      </c>
      <c r="Q133">
        <f>YEAR(Table_36[[#This Row],[Дата заказа]])</f>
        <v>2020</v>
      </c>
      <c r="R133">
        <f>_xlfn.ISOWEEKNUM(Table_36[[#This Row],[Дата заказа]])</f>
        <v>39</v>
      </c>
    </row>
    <row r="134" spans="3:18" ht="15.75" customHeight="1" x14ac:dyDescent="0.2">
      <c r="C134" s="26">
        <v>4</v>
      </c>
      <c r="D134" s="21" t="s">
        <v>2449</v>
      </c>
      <c r="E134" s="21" t="s">
        <v>2448</v>
      </c>
      <c r="F134" s="21" t="s">
        <v>2485</v>
      </c>
      <c r="G134" s="21">
        <v>2211</v>
      </c>
      <c r="H134" s="21" t="s">
        <v>2444</v>
      </c>
      <c r="I134" s="21">
        <v>25</v>
      </c>
      <c r="J134" s="21">
        <v>55275</v>
      </c>
      <c r="K134" s="21">
        <v>0.09</v>
      </c>
      <c r="L134" s="21">
        <v>50300.25</v>
      </c>
      <c r="M134" s="25">
        <v>43341</v>
      </c>
      <c r="N134">
        <f>MONTH(Table_36[[#This Row],[Дата заказа]])</f>
        <v>8</v>
      </c>
      <c r="O134">
        <f>WEEKDAY(Table_36[[#This Row],[Дата заказа]])</f>
        <v>4</v>
      </c>
      <c r="P134">
        <f>DAY(Table_36[[#This Row],[Дата заказа]])</f>
        <v>29</v>
      </c>
      <c r="Q134">
        <f>YEAR(Table_36[[#This Row],[Дата заказа]])</f>
        <v>2018</v>
      </c>
      <c r="R134">
        <f>_xlfn.ISOWEEKNUM(Table_36[[#This Row],[Дата заказа]])</f>
        <v>35</v>
      </c>
    </row>
    <row r="135" spans="3:18" ht="15.75" customHeight="1" x14ac:dyDescent="0.2">
      <c r="C135" s="26">
        <v>21</v>
      </c>
      <c r="D135" s="21" t="s">
        <v>2497</v>
      </c>
      <c r="E135" s="21" t="s">
        <v>2442</v>
      </c>
      <c r="F135" s="21" t="s">
        <v>2498</v>
      </c>
      <c r="G135" s="21">
        <v>887</v>
      </c>
      <c r="H135" s="21" t="s">
        <v>2444</v>
      </c>
      <c r="I135" s="21">
        <v>15</v>
      </c>
      <c r="J135" s="21">
        <v>13305</v>
      </c>
      <c r="K135" s="21">
        <v>0</v>
      </c>
      <c r="L135" s="21">
        <v>13305</v>
      </c>
      <c r="M135" s="25">
        <v>43885</v>
      </c>
      <c r="N135">
        <f>MONTH(Table_36[[#This Row],[Дата заказа]])</f>
        <v>2</v>
      </c>
      <c r="O135">
        <f>WEEKDAY(Table_36[[#This Row],[Дата заказа]])</f>
        <v>2</v>
      </c>
      <c r="P135">
        <f>DAY(Table_36[[#This Row],[Дата заказа]])</f>
        <v>24</v>
      </c>
      <c r="Q135">
        <f>YEAR(Table_36[[#This Row],[Дата заказа]])</f>
        <v>2020</v>
      </c>
      <c r="R135">
        <f>_xlfn.ISOWEEKNUM(Table_36[[#This Row],[Дата заказа]])</f>
        <v>9</v>
      </c>
    </row>
    <row r="136" spans="3:18" ht="15.75" customHeight="1" x14ac:dyDescent="0.2">
      <c r="C136" s="26">
        <v>46</v>
      </c>
      <c r="D136" s="21" t="s">
        <v>2475</v>
      </c>
      <c r="E136" s="21" t="s">
        <v>2476</v>
      </c>
      <c r="F136" s="21" t="s">
        <v>2476</v>
      </c>
      <c r="G136" s="21">
        <v>770</v>
      </c>
      <c r="H136" s="21" t="s">
        <v>2440</v>
      </c>
      <c r="I136" s="21">
        <v>20</v>
      </c>
      <c r="J136" s="21">
        <v>15400</v>
      </c>
      <c r="K136" s="21">
        <v>0.03</v>
      </c>
      <c r="L136" s="21">
        <v>14938</v>
      </c>
      <c r="M136" s="25">
        <v>42429</v>
      </c>
      <c r="N136">
        <f>MONTH(Table_36[[#This Row],[Дата заказа]])</f>
        <v>2</v>
      </c>
      <c r="O136">
        <f>WEEKDAY(Table_36[[#This Row],[Дата заказа]])</f>
        <v>2</v>
      </c>
      <c r="P136">
        <f>DAY(Table_36[[#This Row],[Дата заказа]])</f>
        <v>29</v>
      </c>
      <c r="Q136">
        <f>YEAR(Table_36[[#This Row],[Дата заказа]])</f>
        <v>2016</v>
      </c>
      <c r="R136">
        <f>_xlfn.ISOWEEKNUM(Table_36[[#This Row],[Дата заказа]])</f>
        <v>9</v>
      </c>
    </row>
    <row r="137" spans="3:18" ht="15.75" customHeight="1" x14ac:dyDescent="0.2">
      <c r="C137" s="26">
        <v>15</v>
      </c>
      <c r="D137" s="21" t="s">
        <v>2512</v>
      </c>
      <c r="E137" s="21" t="s">
        <v>2462</v>
      </c>
      <c r="F137" s="21" t="s">
        <v>2513</v>
      </c>
      <c r="G137" s="21">
        <v>1994</v>
      </c>
      <c r="H137" s="21" t="s">
        <v>2444</v>
      </c>
      <c r="I137" s="21">
        <v>17</v>
      </c>
      <c r="J137" s="21">
        <v>33898</v>
      </c>
      <c r="K137" s="21">
        <v>0.06</v>
      </c>
      <c r="L137" s="21">
        <v>31864.12</v>
      </c>
      <c r="M137" s="25">
        <v>42486</v>
      </c>
      <c r="N137">
        <f>MONTH(Table_36[[#This Row],[Дата заказа]])</f>
        <v>4</v>
      </c>
      <c r="O137">
        <f>WEEKDAY(Table_36[[#This Row],[Дата заказа]])</f>
        <v>3</v>
      </c>
      <c r="P137">
        <f>DAY(Table_36[[#This Row],[Дата заказа]])</f>
        <v>26</v>
      </c>
      <c r="Q137">
        <f>YEAR(Table_36[[#This Row],[Дата заказа]])</f>
        <v>2016</v>
      </c>
      <c r="R137">
        <f>_xlfn.ISOWEEKNUM(Table_36[[#This Row],[Дата заказа]])</f>
        <v>17</v>
      </c>
    </row>
    <row r="138" spans="3:18" ht="15.75" customHeight="1" x14ac:dyDescent="0.2">
      <c r="C138" s="26">
        <v>35</v>
      </c>
      <c r="D138" s="21" t="s">
        <v>2441</v>
      </c>
      <c r="E138" s="21" t="s">
        <v>2442</v>
      </c>
      <c r="F138" s="21" t="s">
        <v>2443</v>
      </c>
      <c r="G138" s="21">
        <v>617</v>
      </c>
      <c r="H138" s="21" t="s">
        <v>2444</v>
      </c>
      <c r="I138" s="21">
        <v>10</v>
      </c>
      <c r="J138" s="21">
        <v>6170</v>
      </c>
      <c r="K138" s="21">
        <v>0</v>
      </c>
      <c r="L138" s="21">
        <v>6170</v>
      </c>
      <c r="M138" s="25">
        <v>43003</v>
      </c>
      <c r="N138">
        <f>MONTH(Table_36[[#This Row],[Дата заказа]])</f>
        <v>9</v>
      </c>
      <c r="O138">
        <f>WEEKDAY(Table_36[[#This Row],[Дата заказа]])</f>
        <v>2</v>
      </c>
      <c r="P138">
        <f>DAY(Table_36[[#This Row],[Дата заказа]])</f>
        <v>25</v>
      </c>
      <c r="Q138">
        <f>YEAR(Table_36[[#This Row],[Дата заказа]])</f>
        <v>2017</v>
      </c>
      <c r="R138">
        <f>_xlfn.ISOWEEKNUM(Table_36[[#This Row],[Дата заказа]])</f>
        <v>39</v>
      </c>
    </row>
    <row r="139" spans="3:18" ht="15.75" customHeight="1" x14ac:dyDescent="0.2">
      <c r="C139" s="26">
        <v>30</v>
      </c>
      <c r="D139" s="21" t="s">
        <v>2486</v>
      </c>
      <c r="E139" s="21" t="s">
        <v>2476</v>
      </c>
      <c r="F139" s="21" t="s">
        <v>2487</v>
      </c>
      <c r="G139" s="21">
        <v>1730</v>
      </c>
      <c r="H139" s="21" t="s">
        <v>2440</v>
      </c>
      <c r="I139" s="21">
        <v>5</v>
      </c>
      <c r="J139" s="21">
        <v>8650</v>
      </c>
      <c r="K139" s="21">
        <v>0</v>
      </c>
      <c r="L139" s="21">
        <v>8650</v>
      </c>
      <c r="M139" s="25">
        <v>44189</v>
      </c>
      <c r="N139">
        <f>MONTH(Table_36[[#This Row],[Дата заказа]])</f>
        <v>12</v>
      </c>
      <c r="O139">
        <f>WEEKDAY(Table_36[[#This Row],[Дата заказа]])</f>
        <v>5</v>
      </c>
      <c r="P139">
        <f>DAY(Table_36[[#This Row],[Дата заказа]])</f>
        <v>24</v>
      </c>
      <c r="Q139">
        <f>YEAR(Table_36[[#This Row],[Дата заказа]])</f>
        <v>2020</v>
      </c>
      <c r="R139">
        <f>_xlfn.ISOWEEKNUM(Table_36[[#This Row],[Дата заказа]])</f>
        <v>52</v>
      </c>
    </row>
    <row r="140" spans="3:18" ht="15.75" customHeight="1" x14ac:dyDescent="0.2">
      <c r="C140" s="26">
        <v>35</v>
      </c>
      <c r="D140" s="21" t="s">
        <v>2441</v>
      </c>
      <c r="E140" s="21" t="s">
        <v>2442</v>
      </c>
      <c r="F140" s="21" t="s">
        <v>2443</v>
      </c>
      <c r="G140" s="21">
        <v>617</v>
      </c>
      <c r="H140" s="21" t="s">
        <v>2444</v>
      </c>
      <c r="I140" s="21">
        <v>10</v>
      </c>
      <c r="J140" s="21">
        <v>6170</v>
      </c>
      <c r="K140" s="21">
        <v>0</v>
      </c>
      <c r="L140" s="21">
        <v>6170</v>
      </c>
      <c r="M140" s="25">
        <v>42783</v>
      </c>
      <c r="N140">
        <f>MONTH(Table_36[[#This Row],[Дата заказа]])</f>
        <v>2</v>
      </c>
      <c r="O140">
        <f>WEEKDAY(Table_36[[#This Row],[Дата заказа]])</f>
        <v>6</v>
      </c>
      <c r="P140">
        <f>DAY(Table_36[[#This Row],[Дата заказа]])</f>
        <v>17</v>
      </c>
      <c r="Q140">
        <f>YEAR(Table_36[[#This Row],[Дата заказа]])</f>
        <v>2017</v>
      </c>
      <c r="R140">
        <f>_xlfn.ISOWEEKNUM(Table_36[[#This Row],[Дата заказа]])</f>
        <v>7</v>
      </c>
    </row>
    <row r="141" spans="3:18" ht="15.75" customHeight="1" x14ac:dyDescent="0.2">
      <c r="C141" s="26">
        <v>43</v>
      </c>
      <c r="D141" s="21" t="s">
        <v>2492</v>
      </c>
      <c r="E141" s="21" t="s">
        <v>2446</v>
      </c>
      <c r="F141" s="21" t="s">
        <v>2493</v>
      </c>
      <c r="G141" s="21">
        <v>759</v>
      </c>
      <c r="H141" s="21" t="s">
        <v>2444</v>
      </c>
      <c r="I141" s="21">
        <v>10</v>
      </c>
      <c r="J141" s="21">
        <v>7590</v>
      </c>
      <c r="K141" s="21">
        <v>0</v>
      </c>
      <c r="L141" s="21">
        <v>7590</v>
      </c>
      <c r="M141" s="25">
        <v>43158</v>
      </c>
      <c r="N141">
        <f>MONTH(Table_36[[#This Row],[Дата заказа]])</f>
        <v>2</v>
      </c>
      <c r="O141">
        <f>WEEKDAY(Table_36[[#This Row],[Дата заказа]])</f>
        <v>3</v>
      </c>
      <c r="P141">
        <f>DAY(Table_36[[#This Row],[Дата заказа]])</f>
        <v>27</v>
      </c>
      <c r="Q141">
        <f>YEAR(Table_36[[#This Row],[Дата заказа]])</f>
        <v>2018</v>
      </c>
      <c r="R141">
        <f>_xlfn.ISOWEEKNUM(Table_36[[#This Row],[Дата заказа]])</f>
        <v>9</v>
      </c>
    </row>
    <row r="142" spans="3:18" ht="15.75" customHeight="1" x14ac:dyDescent="0.2">
      <c r="C142" s="26">
        <v>50</v>
      </c>
      <c r="D142" s="21" t="s">
        <v>2481</v>
      </c>
      <c r="E142" s="21" t="s">
        <v>2454</v>
      </c>
      <c r="F142" s="21" t="s">
        <v>2482</v>
      </c>
      <c r="G142" s="21">
        <v>912</v>
      </c>
      <c r="H142" s="21" t="s">
        <v>2440</v>
      </c>
      <c r="I142" s="21">
        <v>20</v>
      </c>
      <c r="J142" s="21">
        <v>18240</v>
      </c>
      <c r="K142" s="21">
        <v>0</v>
      </c>
      <c r="L142" s="21">
        <v>18240</v>
      </c>
      <c r="M142" s="25">
        <v>43637</v>
      </c>
      <c r="N142">
        <f>MONTH(Table_36[[#This Row],[Дата заказа]])</f>
        <v>6</v>
      </c>
      <c r="O142">
        <f>WEEKDAY(Table_36[[#This Row],[Дата заказа]])</f>
        <v>6</v>
      </c>
      <c r="P142">
        <f>DAY(Table_36[[#This Row],[Дата заказа]])</f>
        <v>21</v>
      </c>
      <c r="Q142">
        <f>YEAR(Table_36[[#This Row],[Дата заказа]])</f>
        <v>2019</v>
      </c>
      <c r="R142">
        <f>_xlfn.ISOWEEKNUM(Table_36[[#This Row],[Дата заказа]])</f>
        <v>25</v>
      </c>
    </row>
    <row r="143" spans="3:18" ht="15.75" customHeight="1" x14ac:dyDescent="0.2">
      <c r="C143" s="26">
        <v>17</v>
      </c>
      <c r="D143" s="21" t="s">
        <v>2465</v>
      </c>
      <c r="E143" s="21" t="s">
        <v>2446</v>
      </c>
      <c r="F143" s="21" t="s">
        <v>2466</v>
      </c>
      <c r="G143" s="21">
        <v>967</v>
      </c>
      <c r="H143" s="21" t="s">
        <v>2444</v>
      </c>
      <c r="I143" s="21">
        <v>12</v>
      </c>
      <c r="J143" s="21">
        <v>11604</v>
      </c>
      <c r="K143" s="21">
        <v>0</v>
      </c>
      <c r="L143" s="21">
        <v>11604</v>
      </c>
      <c r="M143" s="25">
        <v>43737</v>
      </c>
      <c r="N143">
        <f>MONTH(Table_36[[#This Row],[Дата заказа]])</f>
        <v>9</v>
      </c>
      <c r="O143">
        <f>WEEKDAY(Table_36[[#This Row],[Дата заказа]])</f>
        <v>1</v>
      </c>
      <c r="P143">
        <f>DAY(Table_36[[#This Row],[Дата заказа]])</f>
        <v>29</v>
      </c>
      <c r="Q143">
        <f>YEAR(Table_36[[#This Row],[Дата заказа]])</f>
        <v>2019</v>
      </c>
      <c r="R143">
        <f>_xlfn.ISOWEEKNUM(Table_36[[#This Row],[Дата заказа]])</f>
        <v>39</v>
      </c>
    </row>
    <row r="144" spans="3:18" ht="15.75" customHeight="1" x14ac:dyDescent="0.2">
      <c r="C144" s="26">
        <v>7</v>
      </c>
      <c r="D144" s="21" t="s">
        <v>2437</v>
      </c>
      <c r="E144" s="21" t="s">
        <v>2438</v>
      </c>
      <c r="F144" s="21" t="s">
        <v>2439</v>
      </c>
      <c r="G144" s="21">
        <v>1923</v>
      </c>
      <c r="H144" s="21" t="s">
        <v>2440</v>
      </c>
      <c r="I144" s="21">
        <v>25</v>
      </c>
      <c r="J144" s="21">
        <v>48075</v>
      </c>
      <c r="K144" s="21">
        <v>0.06</v>
      </c>
      <c r="L144" s="21">
        <v>45190.5</v>
      </c>
      <c r="M144" s="25">
        <v>42447</v>
      </c>
      <c r="N144">
        <f>MONTH(Table_36[[#This Row],[Дата заказа]])</f>
        <v>3</v>
      </c>
      <c r="O144">
        <f>WEEKDAY(Table_36[[#This Row],[Дата заказа]])</f>
        <v>6</v>
      </c>
      <c r="P144">
        <f>DAY(Table_36[[#This Row],[Дата заказа]])</f>
        <v>18</v>
      </c>
      <c r="Q144">
        <f>YEAR(Table_36[[#This Row],[Дата заказа]])</f>
        <v>2016</v>
      </c>
      <c r="R144">
        <f>_xlfn.ISOWEEKNUM(Table_36[[#This Row],[Дата заказа]])</f>
        <v>11</v>
      </c>
    </row>
    <row r="145" spans="3:18" ht="15.75" customHeight="1" x14ac:dyDescent="0.2">
      <c r="C145" s="26">
        <v>51</v>
      </c>
      <c r="D145" s="21" t="s">
        <v>2449</v>
      </c>
      <c r="E145" s="21" t="s">
        <v>2448</v>
      </c>
      <c r="F145" s="21" t="s">
        <v>2450</v>
      </c>
      <c r="G145" s="21">
        <v>2211</v>
      </c>
      <c r="H145" s="21" t="s">
        <v>2444</v>
      </c>
      <c r="I145" s="21">
        <v>25</v>
      </c>
      <c r="J145" s="21">
        <v>55275</v>
      </c>
      <c r="K145" s="21">
        <v>0.09</v>
      </c>
      <c r="L145" s="21">
        <v>50300.25</v>
      </c>
      <c r="M145" s="25">
        <v>43411</v>
      </c>
      <c r="N145">
        <f>MONTH(Table_36[[#This Row],[Дата заказа]])</f>
        <v>11</v>
      </c>
      <c r="O145">
        <f>WEEKDAY(Table_36[[#This Row],[Дата заказа]])</f>
        <v>4</v>
      </c>
      <c r="P145">
        <f>DAY(Table_36[[#This Row],[Дата заказа]])</f>
        <v>7</v>
      </c>
      <c r="Q145">
        <f>YEAR(Table_36[[#This Row],[Дата заказа]])</f>
        <v>2018</v>
      </c>
      <c r="R145">
        <f>_xlfn.ISOWEEKNUM(Table_36[[#This Row],[Дата заказа]])</f>
        <v>45</v>
      </c>
    </row>
    <row r="146" spans="3:18" ht="15.75" customHeight="1" x14ac:dyDescent="0.2">
      <c r="C146" s="26">
        <v>23</v>
      </c>
      <c r="D146" s="21" t="s">
        <v>2473</v>
      </c>
      <c r="E146" s="21" t="s">
        <v>2448</v>
      </c>
      <c r="F146" s="21" t="s">
        <v>2474</v>
      </c>
      <c r="G146" s="21">
        <v>2645</v>
      </c>
      <c r="H146" s="21" t="s">
        <v>2444</v>
      </c>
      <c r="I146" s="21">
        <v>50</v>
      </c>
      <c r="J146" s="21">
        <v>132250</v>
      </c>
      <c r="K146" s="21">
        <v>0.15</v>
      </c>
      <c r="L146" s="21">
        <v>112412.5</v>
      </c>
      <c r="M146" s="25">
        <v>42386</v>
      </c>
      <c r="N146">
        <f>MONTH(Table_36[[#This Row],[Дата заказа]])</f>
        <v>1</v>
      </c>
      <c r="O146">
        <f>WEEKDAY(Table_36[[#This Row],[Дата заказа]])</f>
        <v>1</v>
      </c>
      <c r="P146">
        <f>DAY(Table_36[[#This Row],[Дата заказа]])</f>
        <v>17</v>
      </c>
      <c r="Q146">
        <f>YEAR(Table_36[[#This Row],[Дата заказа]])</f>
        <v>2016</v>
      </c>
      <c r="R146">
        <f>_xlfn.ISOWEEKNUM(Table_36[[#This Row],[Дата заказа]])</f>
        <v>2</v>
      </c>
    </row>
    <row r="147" spans="3:18" ht="15.75" customHeight="1" x14ac:dyDescent="0.2">
      <c r="C147" s="26">
        <v>38</v>
      </c>
      <c r="D147" s="21" t="s">
        <v>2483</v>
      </c>
      <c r="E147" s="21" t="s">
        <v>2446</v>
      </c>
      <c r="F147" s="21" t="s">
        <v>2484</v>
      </c>
      <c r="G147" s="21">
        <v>1182</v>
      </c>
      <c r="H147" s="21" t="s">
        <v>2440</v>
      </c>
      <c r="I147" s="21">
        <v>17</v>
      </c>
      <c r="J147" s="21">
        <v>20094</v>
      </c>
      <c r="K147" s="21">
        <v>0.03</v>
      </c>
      <c r="L147" s="21">
        <v>19491.18</v>
      </c>
      <c r="M147" s="25">
        <v>43544</v>
      </c>
      <c r="N147">
        <f>MONTH(Table_36[[#This Row],[Дата заказа]])</f>
        <v>3</v>
      </c>
      <c r="O147">
        <f>WEEKDAY(Table_36[[#This Row],[Дата заказа]])</f>
        <v>4</v>
      </c>
      <c r="P147">
        <f>DAY(Table_36[[#This Row],[Дата заказа]])</f>
        <v>20</v>
      </c>
      <c r="Q147">
        <f>YEAR(Table_36[[#This Row],[Дата заказа]])</f>
        <v>2019</v>
      </c>
      <c r="R147">
        <f>_xlfn.ISOWEEKNUM(Table_36[[#This Row],[Дата заказа]])</f>
        <v>12</v>
      </c>
    </row>
    <row r="148" spans="3:18" ht="15.75" customHeight="1" x14ac:dyDescent="0.2">
      <c r="C148" s="26">
        <v>28</v>
      </c>
      <c r="D148" s="21" t="s">
        <v>2494</v>
      </c>
      <c r="E148" s="21" t="s">
        <v>2462</v>
      </c>
      <c r="F148" s="21" t="s">
        <v>2491</v>
      </c>
      <c r="G148" s="21">
        <v>1994</v>
      </c>
      <c r="H148" s="21" t="s">
        <v>2444</v>
      </c>
      <c r="I148" s="21">
        <v>40</v>
      </c>
      <c r="J148" s="21">
        <v>79760</v>
      </c>
      <c r="K148" s="21">
        <v>0.12</v>
      </c>
      <c r="L148" s="21">
        <v>70188.800000000003</v>
      </c>
      <c r="M148" s="25">
        <v>42356</v>
      </c>
      <c r="N148">
        <f>MONTH(Table_36[[#This Row],[Дата заказа]])</f>
        <v>12</v>
      </c>
      <c r="O148">
        <f>WEEKDAY(Table_36[[#This Row],[Дата заказа]])</f>
        <v>6</v>
      </c>
      <c r="P148">
        <f>DAY(Table_36[[#This Row],[Дата заказа]])</f>
        <v>18</v>
      </c>
      <c r="Q148">
        <f>YEAR(Table_36[[#This Row],[Дата заказа]])</f>
        <v>2015</v>
      </c>
      <c r="R148">
        <f>_xlfn.ISOWEEKNUM(Table_36[[#This Row],[Дата заказа]])</f>
        <v>51</v>
      </c>
    </row>
    <row r="149" spans="3:18" ht="15.75" customHeight="1" x14ac:dyDescent="0.2">
      <c r="C149" s="26">
        <v>15</v>
      </c>
      <c r="D149" s="21" t="s">
        <v>2512</v>
      </c>
      <c r="E149" s="21" t="s">
        <v>2462</v>
      </c>
      <c r="F149" s="21" t="s">
        <v>2513</v>
      </c>
      <c r="G149" s="21">
        <v>1994</v>
      </c>
      <c r="H149" s="21" t="s">
        <v>2444</v>
      </c>
      <c r="I149" s="21">
        <v>17</v>
      </c>
      <c r="J149" s="21">
        <v>33898</v>
      </c>
      <c r="K149" s="21">
        <v>0.06</v>
      </c>
      <c r="L149" s="21">
        <v>31864.12</v>
      </c>
      <c r="M149" s="25">
        <v>42188</v>
      </c>
      <c r="N149">
        <f>MONTH(Table_36[[#This Row],[Дата заказа]])</f>
        <v>7</v>
      </c>
      <c r="O149">
        <f>WEEKDAY(Table_36[[#This Row],[Дата заказа]])</f>
        <v>6</v>
      </c>
      <c r="P149">
        <f>DAY(Table_36[[#This Row],[Дата заказа]])</f>
        <v>3</v>
      </c>
      <c r="Q149">
        <f>YEAR(Table_36[[#This Row],[Дата заказа]])</f>
        <v>2015</v>
      </c>
      <c r="R149">
        <f>_xlfn.ISOWEEKNUM(Table_36[[#This Row],[Дата заказа]])</f>
        <v>27</v>
      </c>
    </row>
    <row r="150" spans="3:18" ht="15.75" customHeight="1" x14ac:dyDescent="0.2">
      <c r="C150" s="26">
        <v>1</v>
      </c>
      <c r="D150" s="21" t="s">
        <v>2459</v>
      </c>
      <c r="E150" s="21" t="s">
        <v>2438</v>
      </c>
      <c r="F150" s="21" t="s">
        <v>2460</v>
      </c>
      <c r="G150" s="21">
        <v>876</v>
      </c>
      <c r="H150" s="21" t="s">
        <v>2444</v>
      </c>
      <c r="I150" s="21">
        <v>20</v>
      </c>
      <c r="J150" s="21">
        <v>17520</v>
      </c>
      <c r="K150" s="21">
        <v>0.03</v>
      </c>
      <c r="L150" s="21">
        <v>16994.400000000001</v>
      </c>
      <c r="M150" s="25">
        <v>42176</v>
      </c>
      <c r="N150">
        <f>MONTH(Table_36[[#This Row],[Дата заказа]])</f>
        <v>6</v>
      </c>
      <c r="O150">
        <f>WEEKDAY(Table_36[[#This Row],[Дата заказа]])</f>
        <v>1</v>
      </c>
      <c r="P150">
        <f>DAY(Table_36[[#This Row],[Дата заказа]])</f>
        <v>21</v>
      </c>
      <c r="Q150">
        <f>YEAR(Table_36[[#This Row],[Дата заказа]])</f>
        <v>2015</v>
      </c>
      <c r="R150">
        <f>_xlfn.ISOWEEKNUM(Table_36[[#This Row],[Дата заказа]])</f>
        <v>25</v>
      </c>
    </row>
    <row r="151" spans="3:18" ht="15.75" customHeight="1" x14ac:dyDescent="0.2">
      <c r="C151" s="26">
        <v>8</v>
      </c>
      <c r="D151" s="21" t="s">
        <v>2477</v>
      </c>
      <c r="E151" s="21" t="s">
        <v>2454</v>
      </c>
      <c r="F151" s="21" t="s">
        <v>2478</v>
      </c>
      <c r="G151" s="21">
        <v>847</v>
      </c>
      <c r="H151" s="21" t="s">
        <v>2440</v>
      </c>
      <c r="I151" s="21">
        <v>15</v>
      </c>
      <c r="J151" s="21">
        <v>12705</v>
      </c>
      <c r="K151" s="21">
        <v>0</v>
      </c>
      <c r="L151" s="21">
        <v>12705</v>
      </c>
      <c r="M151" s="25">
        <v>42749</v>
      </c>
      <c r="N151">
        <f>MONTH(Table_36[[#This Row],[Дата заказа]])</f>
        <v>1</v>
      </c>
      <c r="O151">
        <f>WEEKDAY(Table_36[[#This Row],[Дата заказа]])</f>
        <v>7</v>
      </c>
      <c r="P151">
        <f>DAY(Table_36[[#This Row],[Дата заказа]])</f>
        <v>14</v>
      </c>
      <c r="Q151">
        <f>YEAR(Table_36[[#This Row],[Дата заказа]])</f>
        <v>2017</v>
      </c>
      <c r="R151">
        <f>_xlfn.ISOWEEKNUM(Table_36[[#This Row],[Дата заказа]])</f>
        <v>2</v>
      </c>
    </row>
    <row r="152" spans="3:18" ht="15.75" customHeight="1" x14ac:dyDescent="0.2">
      <c r="C152" s="26">
        <v>15</v>
      </c>
      <c r="D152" s="21" t="s">
        <v>2512</v>
      </c>
      <c r="E152" s="21" t="s">
        <v>2462</v>
      </c>
      <c r="F152" s="21" t="s">
        <v>2513</v>
      </c>
      <c r="G152" s="21">
        <v>1994</v>
      </c>
      <c r="H152" s="21" t="s">
        <v>2444</v>
      </c>
      <c r="I152" s="21">
        <v>17</v>
      </c>
      <c r="J152" s="21">
        <v>33898</v>
      </c>
      <c r="K152" s="21">
        <v>0.06</v>
      </c>
      <c r="L152" s="21">
        <v>31864.12</v>
      </c>
      <c r="M152" s="25">
        <v>42795</v>
      </c>
      <c r="N152">
        <f>MONTH(Table_36[[#This Row],[Дата заказа]])</f>
        <v>3</v>
      </c>
      <c r="O152">
        <f>WEEKDAY(Table_36[[#This Row],[Дата заказа]])</f>
        <v>4</v>
      </c>
      <c r="P152">
        <f>DAY(Table_36[[#This Row],[Дата заказа]])</f>
        <v>1</v>
      </c>
      <c r="Q152">
        <f>YEAR(Table_36[[#This Row],[Дата заказа]])</f>
        <v>2017</v>
      </c>
      <c r="R152">
        <f>_xlfn.ISOWEEKNUM(Table_36[[#This Row],[Дата заказа]])</f>
        <v>9</v>
      </c>
    </row>
    <row r="153" spans="3:18" ht="15.75" customHeight="1" x14ac:dyDescent="0.2">
      <c r="C153" s="26">
        <v>49</v>
      </c>
      <c r="D153" s="21" t="s">
        <v>2441</v>
      </c>
      <c r="E153" s="21" t="s">
        <v>2442</v>
      </c>
      <c r="F153" s="21" t="s">
        <v>2443</v>
      </c>
      <c r="G153" s="21">
        <v>617</v>
      </c>
      <c r="H153" s="21" t="s">
        <v>2444</v>
      </c>
      <c r="I153" s="21">
        <v>25</v>
      </c>
      <c r="J153" s="21">
        <v>15425</v>
      </c>
      <c r="K153" s="21">
        <v>0</v>
      </c>
      <c r="L153" s="21">
        <v>15425</v>
      </c>
      <c r="M153" s="25">
        <v>42251</v>
      </c>
      <c r="N153">
        <f>MONTH(Table_36[[#This Row],[Дата заказа]])</f>
        <v>9</v>
      </c>
      <c r="O153">
        <f>WEEKDAY(Table_36[[#This Row],[Дата заказа]])</f>
        <v>6</v>
      </c>
      <c r="P153">
        <f>DAY(Table_36[[#This Row],[Дата заказа]])</f>
        <v>4</v>
      </c>
      <c r="Q153">
        <f>YEAR(Table_36[[#This Row],[Дата заказа]])</f>
        <v>2015</v>
      </c>
      <c r="R153">
        <f>_xlfn.ISOWEEKNUM(Table_36[[#This Row],[Дата заказа]])</f>
        <v>36</v>
      </c>
    </row>
    <row r="154" spans="3:18" ht="15.75" customHeight="1" x14ac:dyDescent="0.2">
      <c r="C154" s="26">
        <v>41</v>
      </c>
      <c r="D154" s="21" t="s">
        <v>2447</v>
      </c>
      <c r="E154" s="21" t="s">
        <v>2448</v>
      </c>
      <c r="F154" s="21" t="s">
        <v>2448</v>
      </c>
      <c r="G154" s="21">
        <v>699</v>
      </c>
      <c r="H154" s="21" t="s">
        <v>2444</v>
      </c>
      <c r="I154" s="21">
        <v>10</v>
      </c>
      <c r="J154" s="21">
        <v>6990</v>
      </c>
      <c r="K154" s="21">
        <v>0</v>
      </c>
      <c r="L154" s="21">
        <v>6990</v>
      </c>
      <c r="M154" s="25">
        <v>43899</v>
      </c>
      <c r="N154">
        <f>MONTH(Table_36[[#This Row],[Дата заказа]])</f>
        <v>3</v>
      </c>
      <c r="O154">
        <f>WEEKDAY(Table_36[[#This Row],[Дата заказа]])</f>
        <v>2</v>
      </c>
      <c r="P154">
        <f>DAY(Table_36[[#This Row],[Дата заказа]])</f>
        <v>9</v>
      </c>
      <c r="Q154">
        <f>YEAR(Table_36[[#This Row],[Дата заказа]])</f>
        <v>2020</v>
      </c>
      <c r="R154">
        <f>_xlfn.ISOWEEKNUM(Table_36[[#This Row],[Дата заказа]])</f>
        <v>11</v>
      </c>
    </row>
    <row r="155" spans="3:18" ht="15.75" customHeight="1" x14ac:dyDescent="0.2">
      <c r="C155" s="26">
        <v>25</v>
      </c>
      <c r="D155" s="21" t="s">
        <v>2490</v>
      </c>
      <c r="E155" s="21" t="s">
        <v>2462</v>
      </c>
      <c r="F155" s="21" t="s">
        <v>2491</v>
      </c>
      <c r="G155" s="21">
        <v>1994</v>
      </c>
      <c r="H155" s="21" t="s">
        <v>2444</v>
      </c>
      <c r="I155" s="21">
        <v>10</v>
      </c>
      <c r="J155" s="21">
        <v>19940</v>
      </c>
      <c r="K155" s="21">
        <v>0.03</v>
      </c>
      <c r="L155" s="21">
        <v>19341.8</v>
      </c>
      <c r="M155" s="25">
        <v>42782</v>
      </c>
      <c r="N155">
        <f>MONTH(Table_36[[#This Row],[Дата заказа]])</f>
        <v>2</v>
      </c>
      <c r="O155">
        <f>WEEKDAY(Table_36[[#This Row],[Дата заказа]])</f>
        <v>5</v>
      </c>
      <c r="P155">
        <f>DAY(Table_36[[#This Row],[Дата заказа]])</f>
        <v>16</v>
      </c>
      <c r="Q155">
        <f>YEAR(Table_36[[#This Row],[Дата заказа]])</f>
        <v>2017</v>
      </c>
      <c r="R155">
        <f>_xlfn.ISOWEEKNUM(Table_36[[#This Row],[Дата заказа]])</f>
        <v>7</v>
      </c>
    </row>
    <row r="156" spans="3:18" ht="15.75" customHeight="1" x14ac:dyDescent="0.2">
      <c r="C156" s="26">
        <v>7</v>
      </c>
      <c r="D156" s="21" t="s">
        <v>2437</v>
      </c>
      <c r="E156" s="21" t="s">
        <v>2438</v>
      </c>
      <c r="F156" s="21" t="s">
        <v>2439</v>
      </c>
      <c r="G156" s="21">
        <v>1923</v>
      </c>
      <c r="H156" s="21" t="s">
        <v>2440</v>
      </c>
      <c r="I156" s="21">
        <v>25</v>
      </c>
      <c r="J156" s="21">
        <v>48075</v>
      </c>
      <c r="K156" s="21">
        <v>0.06</v>
      </c>
      <c r="L156" s="21">
        <v>45190.5</v>
      </c>
      <c r="M156" s="25">
        <v>43335</v>
      </c>
      <c r="N156">
        <f>MONTH(Table_36[[#This Row],[Дата заказа]])</f>
        <v>8</v>
      </c>
      <c r="O156">
        <f>WEEKDAY(Table_36[[#This Row],[Дата заказа]])</f>
        <v>5</v>
      </c>
      <c r="P156">
        <f>DAY(Table_36[[#This Row],[Дата заказа]])</f>
        <v>23</v>
      </c>
      <c r="Q156">
        <f>YEAR(Table_36[[#This Row],[Дата заказа]])</f>
        <v>2018</v>
      </c>
      <c r="R156">
        <f>_xlfn.ISOWEEKNUM(Table_36[[#This Row],[Дата заказа]])</f>
        <v>34</v>
      </c>
    </row>
    <row r="157" spans="3:18" ht="15.75" customHeight="1" x14ac:dyDescent="0.2">
      <c r="C157" s="26">
        <v>6</v>
      </c>
      <c r="D157" s="21" t="s">
        <v>2502</v>
      </c>
      <c r="E157" s="21" t="s">
        <v>2446</v>
      </c>
      <c r="F157" s="21" t="s">
        <v>2503</v>
      </c>
      <c r="G157" s="21">
        <v>3197</v>
      </c>
      <c r="H157" s="21" t="s">
        <v>2444</v>
      </c>
      <c r="I157" s="21">
        <v>6</v>
      </c>
      <c r="J157" s="21">
        <v>19182</v>
      </c>
      <c r="K157" s="21">
        <v>0.03</v>
      </c>
      <c r="L157" s="21">
        <v>18606.54</v>
      </c>
      <c r="M157" s="25">
        <v>44040</v>
      </c>
      <c r="N157">
        <f>MONTH(Table_36[[#This Row],[Дата заказа]])</f>
        <v>7</v>
      </c>
      <c r="O157">
        <f>WEEKDAY(Table_36[[#This Row],[Дата заказа]])</f>
        <v>3</v>
      </c>
      <c r="P157">
        <f>DAY(Table_36[[#This Row],[Дата заказа]])</f>
        <v>28</v>
      </c>
      <c r="Q157">
        <f>YEAR(Table_36[[#This Row],[Дата заказа]])</f>
        <v>2020</v>
      </c>
      <c r="R157">
        <f>_xlfn.ISOWEEKNUM(Table_36[[#This Row],[Дата заказа]])</f>
        <v>31</v>
      </c>
    </row>
    <row r="158" spans="3:18" ht="15.75" customHeight="1" x14ac:dyDescent="0.2">
      <c r="C158" s="26">
        <v>24</v>
      </c>
      <c r="D158" s="21" t="s">
        <v>2456</v>
      </c>
      <c r="E158" s="21" t="s">
        <v>2457</v>
      </c>
      <c r="F158" s="21" t="s">
        <v>2458</v>
      </c>
      <c r="G158" s="21">
        <v>957</v>
      </c>
      <c r="H158" s="21" t="s">
        <v>2440</v>
      </c>
      <c r="I158" s="21">
        <v>25</v>
      </c>
      <c r="J158" s="21">
        <v>23925</v>
      </c>
      <c r="K158" s="21">
        <v>0.03</v>
      </c>
      <c r="L158" s="21">
        <v>23207.25</v>
      </c>
      <c r="M158" s="25">
        <v>43626</v>
      </c>
      <c r="N158">
        <f>MONTH(Table_36[[#This Row],[Дата заказа]])</f>
        <v>6</v>
      </c>
      <c r="O158">
        <f>WEEKDAY(Table_36[[#This Row],[Дата заказа]])</f>
        <v>2</v>
      </c>
      <c r="P158">
        <f>DAY(Table_36[[#This Row],[Дата заказа]])</f>
        <v>10</v>
      </c>
      <c r="Q158">
        <f>YEAR(Table_36[[#This Row],[Дата заказа]])</f>
        <v>2019</v>
      </c>
      <c r="R158">
        <f>_xlfn.ISOWEEKNUM(Table_36[[#This Row],[Дата заказа]])</f>
        <v>24</v>
      </c>
    </row>
    <row r="159" spans="3:18" ht="15.75" customHeight="1" x14ac:dyDescent="0.2">
      <c r="C159" s="26">
        <v>3</v>
      </c>
      <c r="D159" s="21" t="s">
        <v>2445</v>
      </c>
      <c r="E159" s="21" t="s">
        <v>2446</v>
      </c>
      <c r="F159" s="21" t="s">
        <v>2446</v>
      </c>
      <c r="G159" s="21">
        <v>807</v>
      </c>
      <c r="H159" s="21" t="s">
        <v>2440</v>
      </c>
      <c r="I159" s="21">
        <v>18</v>
      </c>
      <c r="J159" s="21">
        <v>14526</v>
      </c>
      <c r="K159" s="21">
        <v>0</v>
      </c>
      <c r="L159" s="21">
        <v>14526</v>
      </c>
      <c r="M159" s="25">
        <v>42575</v>
      </c>
      <c r="N159">
        <f>MONTH(Table_36[[#This Row],[Дата заказа]])</f>
        <v>7</v>
      </c>
      <c r="O159">
        <f>WEEKDAY(Table_36[[#This Row],[Дата заказа]])</f>
        <v>1</v>
      </c>
      <c r="P159">
        <f>DAY(Table_36[[#This Row],[Дата заказа]])</f>
        <v>24</v>
      </c>
      <c r="Q159">
        <f>YEAR(Table_36[[#This Row],[Дата заказа]])</f>
        <v>2016</v>
      </c>
      <c r="R159">
        <f>_xlfn.ISOWEEKNUM(Table_36[[#This Row],[Дата заказа]])</f>
        <v>29</v>
      </c>
    </row>
    <row r="160" spans="3:18" ht="15.75" customHeight="1" x14ac:dyDescent="0.2">
      <c r="C160" s="26">
        <v>10</v>
      </c>
      <c r="D160" s="21" t="s">
        <v>2451</v>
      </c>
      <c r="E160" s="21" t="s">
        <v>2438</v>
      </c>
      <c r="F160" s="21" t="s">
        <v>2452</v>
      </c>
      <c r="G160" s="21">
        <v>800</v>
      </c>
      <c r="H160" s="21" t="s">
        <v>2440</v>
      </c>
      <c r="I160" s="21">
        <v>25</v>
      </c>
      <c r="J160" s="21">
        <v>20000</v>
      </c>
      <c r="K160" s="21">
        <v>0.03</v>
      </c>
      <c r="L160" s="21">
        <v>19400</v>
      </c>
      <c r="M160" s="25">
        <v>44163</v>
      </c>
      <c r="N160">
        <f>MONTH(Table_36[[#This Row],[Дата заказа]])</f>
        <v>11</v>
      </c>
      <c r="O160">
        <f>WEEKDAY(Table_36[[#This Row],[Дата заказа]])</f>
        <v>7</v>
      </c>
      <c r="P160">
        <f>DAY(Table_36[[#This Row],[Дата заказа]])</f>
        <v>28</v>
      </c>
      <c r="Q160">
        <f>YEAR(Table_36[[#This Row],[Дата заказа]])</f>
        <v>2020</v>
      </c>
      <c r="R160">
        <f>_xlfn.ISOWEEKNUM(Table_36[[#This Row],[Дата заказа]])</f>
        <v>48</v>
      </c>
    </row>
    <row r="161" spans="3:18" ht="15.75" customHeight="1" x14ac:dyDescent="0.2">
      <c r="C161" s="26">
        <v>5</v>
      </c>
      <c r="D161" s="21" t="s">
        <v>2483</v>
      </c>
      <c r="E161" s="21" t="s">
        <v>2446</v>
      </c>
      <c r="F161" s="21" t="s">
        <v>2484</v>
      </c>
      <c r="G161" s="21">
        <v>1182</v>
      </c>
      <c r="H161" s="21" t="s">
        <v>2440</v>
      </c>
      <c r="I161" s="21">
        <v>17</v>
      </c>
      <c r="J161" s="21">
        <v>20094</v>
      </c>
      <c r="K161" s="21">
        <v>0.03</v>
      </c>
      <c r="L161" s="21">
        <v>19491.18</v>
      </c>
      <c r="M161" s="25">
        <v>43923</v>
      </c>
      <c r="N161">
        <f>MONTH(Table_36[[#This Row],[Дата заказа]])</f>
        <v>4</v>
      </c>
      <c r="O161">
        <f>WEEKDAY(Table_36[[#This Row],[Дата заказа]])</f>
        <v>5</v>
      </c>
      <c r="P161">
        <f>DAY(Table_36[[#This Row],[Дата заказа]])</f>
        <v>2</v>
      </c>
      <c r="Q161">
        <f>YEAR(Table_36[[#This Row],[Дата заказа]])</f>
        <v>2020</v>
      </c>
      <c r="R161">
        <f>_xlfn.ISOWEEKNUM(Table_36[[#This Row],[Дата заказа]])</f>
        <v>14</v>
      </c>
    </row>
    <row r="162" spans="3:18" ht="15.75" customHeight="1" x14ac:dyDescent="0.2">
      <c r="C162" s="26">
        <v>6</v>
      </c>
      <c r="D162" s="21" t="s">
        <v>2502</v>
      </c>
      <c r="E162" s="21" t="s">
        <v>2446</v>
      </c>
      <c r="F162" s="21" t="s">
        <v>2503</v>
      </c>
      <c r="G162" s="21">
        <v>3197</v>
      </c>
      <c r="H162" s="21" t="s">
        <v>2444</v>
      </c>
      <c r="I162" s="21">
        <v>6</v>
      </c>
      <c r="J162" s="21">
        <v>19182</v>
      </c>
      <c r="K162" s="21">
        <v>0.03</v>
      </c>
      <c r="L162" s="21">
        <v>18606.54</v>
      </c>
      <c r="M162" s="25">
        <v>43986</v>
      </c>
      <c r="N162">
        <f>MONTH(Table_36[[#This Row],[Дата заказа]])</f>
        <v>6</v>
      </c>
      <c r="O162">
        <f>WEEKDAY(Table_36[[#This Row],[Дата заказа]])</f>
        <v>5</v>
      </c>
      <c r="P162">
        <f>DAY(Table_36[[#This Row],[Дата заказа]])</f>
        <v>4</v>
      </c>
      <c r="Q162">
        <f>YEAR(Table_36[[#This Row],[Дата заказа]])</f>
        <v>2020</v>
      </c>
      <c r="R162">
        <f>_xlfn.ISOWEEKNUM(Table_36[[#This Row],[Дата заказа]])</f>
        <v>23</v>
      </c>
    </row>
    <row r="163" spans="3:18" ht="15.75" customHeight="1" x14ac:dyDescent="0.2">
      <c r="C163" s="26">
        <v>44</v>
      </c>
      <c r="D163" s="21" t="s">
        <v>2453</v>
      </c>
      <c r="E163" s="21" t="s">
        <v>2454</v>
      </c>
      <c r="F163" s="21" t="s">
        <v>2455</v>
      </c>
      <c r="G163" s="21">
        <v>1386</v>
      </c>
      <c r="H163" s="21" t="s">
        <v>2440</v>
      </c>
      <c r="I163" s="21">
        <v>20</v>
      </c>
      <c r="J163" s="21">
        <v>27720</v>
      </c>
      <c r="K163" s="21">
        <v>0.03</v>
      </c>
      <c r="L163" s="21">
        <v>26888.400000000001</v>
      </c>
      <c r="M163" s="25">
        <v>42383</v>
      </c>
      <c r="N163">
        <f>MONTH(Table_36[[#This Row],[Дата заказа]])</f>
        <v>1</v>
      </c>
      <c r="O163">
        <f>WEEKDAY(Table_36[[#This Row],[Дата заказа]])</f>
        <v>5</v>
      </c>
      <c r="P163">
        <f>DAY(Table_36[[#This Row],[Дата заказа]])</f>
        <v>14</v>
      </c>
      <c r="Q163">
        <f>YEAR(Table_36[[#This Row],[Дата заказа]])</f>
        <v>2016</v>
      </c>
      <c r="R163">
        <f>_xlfn.ISOWEEKNUM(Table_36[[#This Row],[Дата заказа]])</f>
        <v>2</v>
      </c>
    </row>
    <row r="164" spans="3:18" ht="15.75" customHeight="1" x14ac:dyDescent="0.2">
      <c r="C164" s="26">
        <v>12</v>
      </c>
      <c r="D164" s="21" t="s">
        <v>2453</v>
      </c>
      <c r="E164" s="21" t="s">
        <v>2454</v>
      </c>
      <c r="F164" s="21" t="s">
        <v>2455</v>
      </c>
      <c r="G164" s="21">
        <v>1386</v>
      </c>
      <c r="H164" s="21" t="s">
        <v>2440</v>
      </c>
      <c r="I164" s="21">
        <v>20</v>
      </c>
      <c r="J164" s="21">
        <v>27720</v>
      </c>
      <c r="K164" s="21">
        <v>0.03</v>
      </c>
      <c r="L164" s="21">
        <v>26888.400000000001</v>
      </c>
      <c r="M164" s="25">
        <v>42966</v>
      </c>
      <c r="N164">
        <f>MONTH(Table_36[[#This Row],[Дата заказа]])</f>
        <v>8</v>
      </c>
      <c r="O164">
        <f>WEEKDAY(Table_36[[#This Row],[Дата заказа]])</f>
        <v>7</v>
      </c>
      <c r="P164">
        <f>DAY(Table_36[[#This Row],[Дата заказа]])</f>
        <v>19</v>
      </c>
      <c r="Q164">
        <f>YEAR(Table_36[[#This Row],[Дата заказа]])</f>
        <v>2017</v>
      </c>
      <c r="R164">
        <f>_xlfn.ISOWEEKNUM(Table_36[[#This Row],[Дата заказа]])</f>
        <v>33</v>
      </c>
    </row>
    <row r="165" spans="3:18" ht="15.75" customHeight="1" x14ac:dyDescent="0.2">
      <c r="C165" s="26">
        <v>26</v>
      </c>
      <c r="D165" s="21" t="s">
        <v>2464</v>
      </c>
      <c r="E165" s="21" t="s">
        <v>2442</v>
      </c>
      <c r="F165" s="21" t="s">
        <v>2443</v>
      </c>
      <c r="G165" s="21">
        <v>2197</v>
      </c>
      <c r="H165" s="21" t="s">
        <v>2440</v>
      </c>
      <c r="I165" s="21">
        <v>40</v>
      </c>
      <c r="J165" s="21">
        <v>87880</v>
      </c>
      <c r="K165" s="21">
        <v>0.12</v>
      </c>
      <c r="L165" s="21">
        <v>77334.399999999994</v>
      </c>
      <c r="M165" s="25">
        <v>44192</v>
      </c>
      <c r="N165">
        <f>MONTH(Table_36[[#This Row],[Дата заказа]])</f>
        <v>12</v>
      </c>
      <c r="O165">
        <f>WEEKDAY(Table_36[[#This Row],[Дата заказа]])</f>
        <v>1</v>
      </c>
      <c r="P165">
        <f>DAY(Table_36[[#This Row],[Дата заказа]])</f>
        <v>27</v>
      </c>
      <c r="Q165">
        <f>YEAR(Table_36[[#This Row],[Дата заказа]])</f>
        <v>2020</v>
      </c>
      <c r="R165">
        <f>_xlfn.ISOWEEKNUM(Table_36[[#This Row],[Дата заказа]])</f>
        <v>52</v>
      </c>
    </row>
    <row r="166" spans="3:18" ht="15.75" customHeight="1" x14ac:dyDescent="0.2">
      <c r="C166" s="26">
        <v>1</v>
      </c>
      <c r="D166" s="21" t="s">
        <v>2459</v>
      </c>
      <c r="E166" s="21" t="s">
        <v>2438</v>
      </c>
      <c r="F166" s="21" t="s">
        <v>2460</v>
      </c>
      <c r="G166" s="21">
        <v>876</v>
      </c>
      <c r="H166" s="21" t="s">
        <v>2444</v>
      </c>
      <c r="I166" s="21">
        <v>20</v>
      </c>
      <c r="J166" s="21">
        <v>17520</v>
      </c>
      <c r="K166" s="21">
        <v>0.03</v>
      </c>
      <c r="L166" s="21">
        <v>16994.400000000001</v>
      </c>
      <c r="M166" s="25">
        <v>44095</v>
      </c>
      <c r="N166">
        <f>MONTH(Table_36[[#This Row],[Дата заказа]])</f>
        <v>9</v>
      </c>
      <c r="O166">
        <f>WEEKDAY(Table_36[[#This Row],[Дата заказа]])</f>
        <v>2</v>
      </c>
      <c r="P166">
        <f>DAY(Table_36[[#This Row],[Дата заказа]])</f>
        <v>21</v>
      </c>
      <c r="Q166">
        <f>YEAR(Table_36[[#This Row],[Дата заказа]])</f>
        <v>2020</v>
      </c>
      <c r="R166">
        <f>_xlfn.ISOWEEKNUM(Table_36[[#This Row],[Дата заказа]])</f>
        <v>39</v>
      </c>
    </row>
    <row r="167" spans="3:18" ht="15.75" customHeight="1" x14ac:dyDescent="0.2">
      <c r="C167" s="26">
        <v>43</v>
      </c>
      <c r="D167" s="21" t="s">
        <v>2492</v>
      </c>
      <c r="E167" s="21" t="s">
        <v>2446</v>
      </c>
      <c r="F167" s="21" t="s">
        <v>2493</v>
      </c>
      <c r="G167" s="21">
        <v>759</v>
      </c>
      <c r="H167" s="21" t="s">
        <v>2444</v>
      </c>
      <c r="I167" s="21">
        <v>10</v>
      </c>
      <c r="J167" s="21">
        <v>7590</v>
      </c>
      <c r="K167" s="21">
        <v>0</v>
      </c>
      <c r="L167" s="21">
        <v>7590</v>
      </c>
      <c r="M167" s="25">
        <v>43364</v>
      </c>
      <c r="N167">
        <f>MONTH(Table_36[[#This Row],[Дата заказа]])</f>
        <v>9</v>
      </c>
      <c r="O167">
        <f>WEEKDAY(Table_36[[#This Row],[Дата заказа]])</f>
        <v>6</v>
      </c>
      <c r="P167">
        <f>DAY(Table_36[[#This Row],[Дата заказа]])</f>
        <v>21</v>
      </c>
      <c r="Q167">
        <f>YEAR(Table_36[[#This Row],[Дата заказа]])</f>
        <v>2018</v>
      </c>
      <c r="R167">
        <f>_xlfn.ISOWEEKNUM(Table_36[[#This Row],[Дата заказа]])</f>
        <v>38</v>
      </c>
    </row>
    <row r="168" spans="3:18" ht="15.75" customHeight="1" x14ac:dyDescent="0.2">
      <c r="C168" s="26">
        <v>13</v>
      </c>
      <c r="D168" s="21" t="s">
        <v>2507</v>
      </c>
      <c r="E168" s="21" t="s">
        <v>2446</v>
      </c>
      <c r="F168" s="21" t="s">
        <v>2493</v>
      </c>
      <c r="G168" s="21">
        <v>759</v>
      </c>
      <c r="H168" s="21" t="s">
        <v>2444</v>
      </c>
      <c r="I168" s="21">
        <v>14</v>
      </c>
      <c r="J168" s="21">
        <v>10626</v>
      </c>
      <c r="K168" s="21">
        <v>0</v>
      </c>
      <c r="L168" s="21">
        <v>10626</v>
      </c>
      <c r="M168" s="25">
        <v>42958</v>
      </c>
      <c r="N168">
        <f>MONTH(Table_36[[#This Row],[Дата заказа]])</f>
        <v>8</v>
      </c>
      <c r="O168">
        <f>WEEKDAY(Table_36[[#This Row],[Дата заказа]])</f>
        <v>6</v>
      </c>
      <c r="P168">
        <f>DAY(Table_36[[#This Row],[Дата заказа]])</f>
        <v>11</v>
      </c>
      <c r="Q168">
        <f>YEAR(Table_36[[#This Row],[Дата заказа]])</f>
        <v>2017</v>
      </c>
      <c r="R168">
        <f>_xlfn.ISOWEEKNUM(Table_36[[#This Row],[Дата заказа]])</f>
        <v>32</v>
      </c>
    </row>
    <row r="169" spans="3:18" ht="15.75" customHeight="1" x14ac:dyDescent="0.2">
      <c r="C169" s="26">
        <v>5</v>
      </c>
      <c r="D169" s="21" t="s">
        <v>2483</v>
      </c>
      <c r="E169" s="21" t="s">
        <v>2446</v>
      </c>
      <c r="F169" s="21" t="s">
        <v>2484</v>
      </c>
      <c r="G169" s="21">
        <v>1182</v>
      </c>
      <c r="H169" s="21" t="s">
        <v>2440</v>
      </c>
      <c r="I169" s="21">
        <v>17</v>
      </c>
      <c r="J169" s="21">
        <v>20094</v>
      </c>
      <c r="K169" s="21">
        <v>0.03</v>
      </c>
      <c r="L169" s="21">
        <v>19491.18</v>
      </c>
      <c r="M169" s="25">
        <v>42810</v>
      </c>
      <c r="N169">
        <f>MONTH(Table_36[[#This Row],[Дата заказа]])</f>
        <v>3</v>
      </c>
      <c r="O169">
        <f>WEEKDAY(Table_36[[#This Row],[Дата заказа]])</f>
        <v>5</v>
      </c>
      <c r="P169">
        <f>DAY(Table_36[[#This Row],[Дата заказа]])</f>
        <v>16</v>
      </c>
      <c r="Q169">
        <f>YEAR(Table_36[[#This Row],[Дата заказа]])</f>
        <v>2017</v>
      </c>
      <c r="R169">
        <f>_xlfn.ISOWEEKNUM(Table_36[[#This Row],[Дата заказа]])</f>
        <v>11</v>
      </c>
    </row>
    <row r="170" spans="3:18" ht="15.75" customHeight="1" x14ac:dyDescent="0.2">
      <c r="C170" s="26">
        <v>47</v>
      </c>
      <c r="D170" s="21" t="s">
        <v>2461</v>
      </c>
      <c r="E170" s="21" t="s">
        <v>2462</v>
      </c>
      <c r="F170" s="21" t="s">
        <v>2463</v>
      </c>
      <c r="G170" s="21">
        <v>1994</v>
      </c>
      <c r="H170" s="21" t="s">
        <v>2444</v>
      </c>
      <c r="I170" s="21">
        <v>12</v>
      </c>
      <c r="J170" s="21">
        <v>23928</v>
      </c>
      <c r="K170" s="21">
        <v>0.03</v>
      </c>
      <c r="L170" s="21">
        <v>23210.16</v>
      </c>
      <c r="M170" s="25">
        <v>42987</v>
      </c>
      <c r="N170">
        <f>MONTH(Table_36[[#This Row],[Дата заказа]])</f>
        <v>9</v>
      </c>
      <c r="O170">
        <f>WEEKDAY(Table_36[[#This Row],[Дата заказа]])</f>
        <v>7</v>
      </c>
      <c r="P170">
        <f>DAY(Table_36[[#This Row],[Дата заказа]])</f>
        <v>9</v>
      </c>
      <c r="Q170">
        <f>YEAR(Table_36[[#This Row],[Дата заказа]])</f>
        <v>2017</v>
      </c>
      <c r="R170">
        <f>_xlfn.ISOWEEKNUM(Table_36[[#This Row],[Дата заказа]])</f>
        <v>36</v>
      </c>
    </row>
    <row r="171" spans="3:18" ht="15.75" customHeight="1" x14ac:dyDescent="0.2">
      <c r="C171" s="26">
        <v>8</v>
      </c>
      <c r="D171" s="21" t="s">
        <v>2477</v>
      </c>
      <c r="E171" s="21" t="s">
        <v>2454</v>
      </c>
      <c r="F171" s="21" t="s">
        <v>2478</v>
      </c>
      <c r="G171" s="21">
        <v>847</v>
      </c>
      <c r="H171" s="21" t="s">
        <v>2440</v>
      </c>
      <c r="I171" s="21">
        <v>15</v>
      </c>
      <c r="J171" s="21">
        <v>12705</v>
      </c>
      <c r="K171" s="21">
        <v>0</v>
      </c>
      <c r="L171" s="21">
        <v>12705</v>
      </c>
      <c r="M171" s="25">
        <v>42210</v>
      </c>
      <c r="N171">
        <f>MONTH(Table_36[[#This Row],[Дата заказа]])</f>
        <v>7</v>
      </c>
      <c r="O171">
        <f>WEEKDAY(Table_36[[#This Row],[Дата заказа]])</f>
        <v>7</v>
      </c>
      <c r="P171">
        <f>DAY(Table_36[[#This Row],[Дата заказа]])</f>
        <v>25</v>
      </c>
      <c r="Q171">
        <f>YEAR(Table_36[[#This Row],[Дата заказа]])</f>
        <v>2015</v>
      </c>
      <c r="R171">
        <f>_xlfn.ISOWEEKNUM(Table_36[[#This Row],[Дата заказа]])</f>
        <v>30</v>
      </c>
    </row>
    <row r="172" spans="3:18" ht="15.75" customHeight="1" x14ac:dyDescent="0.2">
      <c r="C172" s="26">
        <v>29</v>
      </c>
      <c r="D172" s="21" t="s">
        <v>2514</v>
      </c>
      <c r="E172" s="21" t="s">
        <v>2505</v>
      </c>
      <c r="F172" s="21" t="s">
        <v>2515</v>
      </c>
      <c r="G172" s="21">
        <v>843</v>
      </c>
      <c r="H172" s="21" t="s">
        <v>2444</v>
      </c>
      <c r="I172" s="21">
        <v>10</v>
      </c>
      <c r="J172" s="21">
        <v>8430</v>
      </c>
      <c r="K172" s="21">
        <v>0</v>
      </c>
      <c r="L172" s="21">
        <v>8430</v>
      </c>
      <c r="M172" s="25">
        <v>43440</v>
      </c>
      <c r="N172">
        <f>MONTH(Table_36[[#This Row],[Дата заказа]])</f>
        <v>12</v>
      </c>
      <c r="O172">
        <f>WEEKDAY(Table_36[[#This Row],[Дата заказа]])</f>
        <v>5</v>
      </c>
      <c r="P172">
        <f>DAY(Table_36[[#This Row],[Дата заказа]])</f>
        <v>6</v>
      </c>
      <c r="Q172">
        <f>YEAR(Table_36[[#This Row],[Дата заказа]])</f>
        <v>2018</v>
      </c>
      <c r="R172">
        <f>_xlfn.ISOWEEKNUM(Table_36[[#This Row],[Дата заказа]])</f>
        <v>49</v>
      </c>
    </row>
    <row r="173" spans="3:18" ht="15.75" customHeight="1" x14ac:dyDescent="0.2">
      <c r="C173" s="26">
        <v>54</v>
      </c>
      <c r="D173" s="21" t="s">
        <v>2477</v>
      </c>
      <c r="E173" s="21" t="s">
        <v>2454</v>
      </c>
      <c r="F173" s="21" t="s">
        <v>2478</v>
      </c>
      <c r="G173" s="21">
        <v>847</v>
      </c>
      <c r="H173" s="21" t="s">
        <v>2440</v>
      </c>
      <c r="I173" s="21">
        <v>15</v>
      </c>
      <c r="J173" s="21">
        <v>12705</v>
      </c>
      <c r="K173" s="21">
        <v>0</v>
      </c>
      <c r="L173" s="21">
        <v>12705</v>
      </c>
      <c r="M173" s="25">
        <v>43990</v>
      </c>
      <c r="N173">
        <f>MONTH(Table_36[[#This Row],[Дата заказа]])</f>
        <v>6</v>
      </c>
      <c r="O173">
        <f>WEEKDAY(Table_36[[#This Row],[Дата заказа]])</f>
        <v>2</v>
      </c>
      <c r="P173">
        <f>DAY(Table_36[[#This Row],[Дата заказа]])</f>
        <v>8</v>
      </c>
      <c r="Q173">
        <f>YEAR(Table_36[[#This Row],[Дата заказа]])</f>
        <v>2020</v>
      </c>
      <c r="R173">
        <f>_xlfn.ISOWEEKNUM(Table_36[[#This Row],[Дата заказа]])</f>
        <v>24</v>
      </c>
    </row>
    <row r="174" spans="3:18" ht="15.75" customHeight="1" x14ac:dyDescent="0.2">
      <c r="C174" s="26">
        <v>3</v>
      </c>
      <c r="D174" s="21" t="s">
        <v>2445</v>
      </c>
      <c r="E174" s="21" t="s">
        <v>2446</v>
      </c>
      <c r="F174" s="21" t="s">
        <v>2446</v>
      </c>
      <c r="G174" s="21">
        <v>807</v>
      </c>
      <c r="H174" s="21" t="s">
        <v>2440</v>
      </c>
      <c r="I174" s="21">
        <v>18</v>
      </c>
      <c r="J174" s="21">
        <v>14526</v>
      </c>
      <c r="K174" s="21">
        <v>0</v>
      </c>
      <c r="L174" s="21">
        <v>14526</v>
      </c>
      <c r="M174" s="25">
        <v>43321</v>
      </c>
      <c r="N174">
        <f>MONTH(Table_36[[#This Row],[Дата заказа]])</f>
        <v>8</v>
      </c>
      <c r="O174">
        <f>WEEKDAY(Table_36[[#This Row],[Дата заказа]])</f>
        <v>5</v>
      </c>
      <c r="P174">
        <f>DAY(Table_36[[#This Row],[Дата заказа]])</f>
        <v>9</v>
      </c>
      <c r="Q174">
        <f>YEAR(Table_36[[#This Row],[Дата заказа]])</f>
        <v>2018</v>
      </c>
      <c r="R174">
        <f>_xlfn.ISOWEEKNUM(Table_36[[#This Row],[Дата заказа]])</f>
        <v>32</v>
      </c>
    </row>
    <row r="175" spans="3:18" ht="15.75" customHeight="1" x14ac:dyDescent="0.2">
      <c r="C175" s="26">
        <v>20</v>
      </c>
      <c r="D175" s="21" t="s">
        <v>2467</v>
      </c>
      <c r="E175" s="21" t="s">
        <v>2457</v>
      </c>
      <c r="F175" s="21" t="s">
        <v>2468</v>
      </c>
      <c r="G175" s="21">
        <v>2198</v>
      </c>
      <c r="H175" s="21" t="s">
        <v>2444</v>
      </c>
      <c r="I175" s="21">
        <v>35</v>
      </c>
      <c r="J175" s="21">
        <v>76930</v>
      </c>
      <c r="K175" s="21">
        <v>0.12</v>
      </c>
      <c r="L175" s="21">
        <v>67698.399999999994</v>
      </c>
      <c r="M175" s="25">
        <v>43626</v>
      </c>
      <c r="N175">
        <f>MONTH(Table_36[[#This Row],[Дата заказа]])</f>
        <v>6</v>
      </c>
      <c r="O175">
        <f>WEEKDAY(Table_36[[#This Row],[Дата заказа]])</f>
        <v>2</v>
      </c>
      <c r="P175">
        <f>DAY(Table_36[[#This Row],[Дата заказа]])</f>
        <v>10</v>
      </c>
      <c r="Q175">
        <f>YEAR(Table_36[[#This Row],[Дата заказа]])</f>
        <v>2019</v>
      </c>
      <c r="R175">
        <f>_xlfn.ISOWEEKNUM(Table_36[[#This Row],[Дата заказа]])</f>
        <v>24</v>
      </c>
    </row>
    <row r="176" spans="3:18" ht="15.75" customHeight="1" x14ac:dyDescent="0.2">
      <c r="C176" s="26">
        <v>5</v>
      </c>
      <c r="D176" s="21" t="s">
        <v>2483</v>
      </c>
      <c r="E176" s="21" t="s">
        <v>2446</v>
      </c>
      <c r="F176" s="21" t="s">
        <v>2484</v>
      </c>
      <c r="G176" s="21">
        <v>1182</v>
      </c>
      <c r="H176" s="21" t="s">
        <v>2440</v>
      </c>
      <c r="I176" s="21">
        <v>17</v>
      </c>
      <c r="J176" s="21">
        <v>20094</v>
      </c>
      <c r="K176" s="21">
        <v>0.03</v>
      </c>
      <c r="L176" s="21">
        <v>19491.18</v>
      </c>
      <c r="M176" s="25">
        <v>42290</v>
      </c>
      <c r="N176">
        <f>MONTH(Table_36[[#This Row],[Дата заказа]])</f>
        <v>10</v>
      </c>
      <c r="O176">
        <f>WEEKDAY(Table_36[[#This Row],[Дата заказа]])</f>
        <v>3</v>
      </c>
      <c r="P176">
        <f>DAY(Table_36[[#This Row],[Дата заказа]])</f>
        <v>13</v>
      </c>
      <c r="Q176">
        <f>YEAR(Table_36[[#This Row],[Дата заказа]])</f>
        <v>2015</v>
      </c>
      <c r="R176">
        <f>_xlfn.ISOWEEKNUM(Table_36[[#This Row],[Дата заказа]])</f>
        <v>42</v>
      </c>
    </row>
    <row r="177" spans="3:18" ht="15.75" customHeight="1" x14ac:dyDescent="0.2">
      <c r="C177" s="26">
        <v>27</v>
      </c>
      <c r="D177" s="21" t="s">
        <v>2499</v>
      </c>
      <c r="E177" s="21" t="s">
        <v>2462</v>
      </c>
      <c r="F177" s="21" t="s">
        <v>2463</v>
      </c>
      <c r="G177" s="21">
        <v>1994</v>
      </c>
      <c r="H177" s="21" t="s">
        <v>2444</v>
      </c>
      <c r="I177" s="21">
        <v>25</v>
      </c>
      <c r="J177" s="21">
        <v>49850</v>
      </c>
      <c r="K177" s="21">
        <v>0.06</v>
      </c>
      <c r="L177" s="21">
        <v>46859</v>
      </c>
      <c r="M177" s="25">
        <v>42221</v>
      </c>
      <c r="N177">
        <f>MONTH(Table_36[[#This Row],[Дата заказа]])</f>
        <v>8</v>
      </c>
      <c r="O177">
        <f>WEEKDAY(Table_36[[#This Row],[Дата заказа]])</f>
        <v>4</v>
      </c>
      <c r="P177">
        <f>DAY(Table_36[[#This Row],[Дата заказа]])</f>
        <v>5</v>
      </c>
      <c r="Q177">
        <f>YEAR(Table_36[[#This Row],[Дата заказа]])</f>
        <v>2015</v>
      </c>
      <c r="R177">
        <f>_xlfn.ISOWEEKNUM(Table_36[[#This Row],[Дата заказа]])</f>
        <v>32</v>
      </c>
    </row>
    <row r="178" spans="3:18" ht="15.75" customHeight="1" x14ac:dyDescent="0.2">
      <c r="C178" s="26">
        <v>5</v>
      </c>
      <c r="D178" s="21" t="s">
        <v>2483</v>
      </c>
      <c r="E178" s="21" t="s">
        <v>2446</v>
      </c>
      <c r="F178" s="21" t="s">
        <v>2484</v>
      </c>
      <c r="G178" s="21">
        <v>1182</v>
      </c>
      <c r="H178" s="21" t="s">
        <v>2440</v>
      </c>
      <c r="I178" s="21">
        <v>17</v>
      </c>
      <c r="J178" s="21">
        <v>20094</v>
      </c>
      <c r="K178" s="21">
        <v>0.03</v>
      </c>
      <c r="L178" s="21">
        <v>19491.18</v>
      </c>
      <c r="M178" s="25">
        <v>43969</v>
      </c>
      <c r="N178">
        <f>MONTH(Table_36[[#This Row],[Дата заказа]])</f>
        <v>5</v>
      </c>
      <c r="O178">
        <f>WEEKDAY(Table_36[[#This Row],[Дата заказа]])</f>
        <v>2</v>
      </c>
      <c r="P178">
        <f>DAY(Table_36[[#This Row],[Дата заказа]])</f>
        <v>18</v>
      </c>
      <c r="Q178">
        <f>YEAR(Table_36[[#This Row],[Дата заказа]])</f>
        <v>2020</v>
      </c>
      <c r="R178">
        <f>_xlfn.ISOWEEKNUM(Table_36[[#This Row],[Дата заказа]])</f>
        <v>21</v>
      </c>
    </row>
    <row r="179" spans="3:18" ht="15.75" customHeight="1" x14ac:dyDescent="0.2">
      <c r="C179" s="26">
        <v>13</v>
      </c>
      <c r="D179" s="21" t="s">
        <v>2507</v>
      </c>
      <c r="E179" s="21" t="s">
        <v>2446</v>
      </c>
      <c r="F179" s="21" t="s">
        <v>2493</v>
      </c>
      <c r="G179" s="21">
        <v>759</v>
      </c>
      <c r="H179" s="21" t="s">
        <v>2444</v>
      </c>
      <c r="I179" s="21">
        <v>14</v>
      </c>
      <c r="J179" s="21">
        <v>10626</v>
      </c>
      <c r="K179" s="21">
        <v>0</v>
      </c>
      <c r="L179" s="21">
        <v>10626</v>
      </c>
      <c r="M179" s="25">
        <v>43947</v>
      </c>
      <c r="N179">
        <f>MONTH(Table_36[[#This Row],[Дата заказа]])</f>
        <v>4</v>
      </c>
      <c r="O179">
        <f>WEEKDAY(Table_36[[#This Row],[Дата заказа]])</f>
        <v>1</v>
      </c>
      <c r="P179">
        <f>DAY(Table_36[[#This Row],[Дата заказа]])</f>
        <v>26</v>
      </c>
      <c r="Q179">
        <f>YEAR(Table_36[[#This Row],[Дата заказа]])</f>
        <v>2020</v>
      </c>
      <c r="R179">
        <f>_xlfn.ISOWEEKNUM(Table_36[[#This Row],[Дата заказа]])</f>
        <v>17</v>
      </c>
    </row>
    <row r="180" spans="3:18" ht="15.75" customHeight="1" x14ac:dyDescent="0.2">
      <c r="C180" s="26">
        <v>25</v>
      </c>
      <c r="D180" s="21" t="s">
        <v>2490</v>
      </c>
      <c r="E180" s="21" t="s">
        <v>2462</v>
      </c>
      <c r="F180" s="21" t="s">
        <v>2491</v>
      </c>
      <c r="G180" s="21">
        <v>1994</v>
      </c>
      <c r="H180" s="21" t="s">
        <v>2444</v>
      </c>
      <c r="I180" s="21">
        <v>10</v>
      </c>
      <c r="J180" s="21">
        <v>19940</v>
      </c>
      <c r="K180" s="21">
        <v>0.03</v>
      </c>
      <c r="L180" s="21">
        <v>19341.8</v>
      </c>
      <c r="M180" s="25">
        <v>43574</v>
      </c>
      <c r="N180">
        <f>MONTH(Table_36[[#This Row],[Дата заказа]])</f>
        <v>4</v>
      </c>
      <c r="O180">
        <f>WEEKDAY(Table_36[[#This Row],[Дата заказа]])</f>
        <v>6</v>
      </c>
      <c r="P180">
        <f>DAY(Table_36[[#This Row],[Дата заказа]])</f>
        <v>19</v>
      </c>
      <c r="Q180">
        <f>YEAR(Table_36[[#This Row],[Дата заказа]])</f>
        <v>2019</v>
      </c>
      <c r="R180">
        <f>_xlfn.ISOWEEKNUM(Table_36[[#This Row],[Дата заказа]])</f>
        <v>16</v>
      </c>
    </row>
    <row r="181" spans="3:18" ht="15.75" customHeight="1" x14ac:dyDescent="0.2">
      <c r="C181" s="26">
        <v>18</v>
      </c>
      <c r="D181" s="21" t="s">
        <v>2508</v>
      </c>
      <c r="E181" s="21" t="s">
        <v>2476</v>
      </c>
      <c r="F181" s="21" t="s">
        <v>2509</v>
      </c>
      <c r="G181" s="21">
        <v>1531</v>
      </c>
      <c r="H181" s="21" t="s">
        <v>2440</v>
      </c>
      <c r="I181" s="21">
        <v>15</v>
      </c>
      <c r="J181" s="21">
        <v>22965</v>
      </c>
      <c r="K181" s="21">
        <v>0.03</v>
      </c>
      <c r="L181" s="21">
        <v>22276.05</v>
      </c>
      <c r="M181" s="25">
        <v>44013</v>
      </c>
      <c r="N181">
        <f>MONTH(Table_36[[#This Row],[Дата заказа]])</f>
        <v>7</v>
      </c>
      <c r="O181">
        <f>WEEKDAY(Table_36[[#This Row],[Дата заказа]])</f>
        <v>4</v>
      </c>
      <c r="P181">
        <f>DAY(Table_36[[#This Row],[Дата заказа]])</f>
        <v>1</v>
      </c>
      <c r="Q181">
        <f>YEAR(Table_36[[#This Row],[Дата заказа]])</f>
        <v>2020</v>
      </c>
      <c r="R181">
        <f>_xlfn.ISOWEEKNUM(Table_36[[#This Row],[Дата заказа]])</f>
        <v>27</v>
      </c>
    </row>
    <row r="182" spans="3:18" ht="15.75" customHeight="1" x14ac:dyDescent="0.2">
      <c r="C182" s="26">
        <v>32</v>
      </c>
      <c r="D182" s="21" t="s">
        <v>2496</v>
      </c>
      <c r="E182" s="21" t="s">
        <v>2446</v>
      </c>
      <c r="F182" s="21" t="s">
        <v>2466</v>
      </c>
      <c r="G182" s="21">
        <v>967</v>
      </c>
      <c r="H182" s="21" t="s">
        <v>2444</v>
      </c>
      <c r="I182" s="21">
        <v>8</v>
      </c>
      <c r="J182" s="21">
        <v>7736</v>
      </c>
      <c r="K182" s="21">
        <v>0</v>
      </c>
      <c r="L182" s="21">
        <v>7736</v>
      </c>
      <c r="M182" s="25">
        <v>43723</v>
      </c>
      <c r="N182">
        <f>MONTH(Table_36[[#This Row],[Дата заказа]])</f>
        <v>9</v>
      </c>
      <c r="O182">
        <f>WEEKDAY(Table_36[[#This Row],[Дата заказа]])</f>
        <v>1</v>
      </c>
      <c r="P182">
        <f>DAY(Table_36[[#This Row],[Дата заказа]])</f>
        <v>15</v>
      </c>
      <c r="Q182">
        <f>YEAR(Table_36[[#This Row],[Дата заказа]])</f>
        <v>2019</v>
      </c>
      <c r="R182">
        <f>_xlfn.ISOWEEKNUM(Table_36[[#This Row],[Дата заказа]])</f>
        <v>37</v>
      </c>
    </row>
    <row r="183" spans="3:18" ht="15.75" customHeight="1" x14ac:dyDescent="0.2">
      <c r="C183" s="26">
        <v>43</v>
      </c>
      <c r="D183" s="21" t="s">
        <v>2492</v>
      </c>
      <c r="E183" s="21" t="s">
        <v>2446</v>
      </c>
      <c r="F183" s="21" t="s">
        <v>2493</v>
      </c>
      <c r="G183" s="21">
        <v>759</v>
      </c>
      <c r="H183" s="21" t="s">
        <v>2444</v>
      </c>
      <c r="I183" s="21">
        <v>10</v>
      </c>
      <c r="J183" s="21">
        <v>7590</v>
      </c>
      <c r="K183" s="21">
        <v>0</v>
      </c>
      <c r="L183" s="21">
        <v>7590</v>
      </c>
      <c r="M183" s="25">
        <v>42904</v>
      </c>
      <c r="N183">
        <f>MONTH(Table_36[[#This Row],[Дата заказа]])</f>
        <v>6</v>
      </c>
      <c r="O183">
        <f>WEEKDAY(Table_36[[#This Row],[Дата заказа]])</f>
        <v>1</v>
      </c>
      <c r="P183">
        <f>DAY(Table_36[[#This Row],[Дата заказа]])</f>
        <v>18</v>
      </c>
      <c r="Q183">
        <f>YEAR(Table_36[[#This Row],[Дата заказа]])</f>
        <v>2017</v>
      </c>
      <c r="R183">
        <f>_xlfn.ISOWEEKNUM(Table_36[[#This Row],[Дата заказа]])</f>
        <v>24</v>
      </c>
    </row>
    <row r="184" spans="3:18" ht="15.75" customHeight="1" x14ac:dyDescent="0.2">
      <c r="C184" s="26">
        <v>38</v>
      </c>
      <c r="D184" s="21" t="s">
        <v>2483</v>
      </c>
      <c r="E184" s="21" t="s">
        <v>2446</v>
      </c>
      <c r="F184" s="21" t="s">
        <v>2484</v>
      </c>
      <c r="G184" s="21">
        <v>1182</v>
      </c>
      <c r="H184" s="21" t="s">
        <v>2440</v>
      </c>
      <c r="I184" s="21">
        <v>17</v>
      </c>
      <c r="J184" s="21">
        <v>20094</v>
      </c>
      <c r="K184" s="21">
        <v>0.03</v>
      </c>
      <c r="L184" s="21">
        <v>19491.18</v>
      </c>
      <c r="M184" s="25">
        <v>43140</v>
      </c>
      <c r="N184">
        <f>MONTH(Table_36[[#This Row],[Дата заказа]])</f>
        <v>2</v>
      </c>
      <c r="O184">
        <f>WEEKDAY(Table_36[[#This Row],[Дата заказа]])</f>
        <v>6</v>
      </c>
      <c r="P184">
        <f>DAY(Table_36[[#This Row],[Дата заказа]])</f>
        <v>9</v>
      </c>
      <c r="Q184">
        <f>YEAR(Table_36[[#This Row],[Дата заказа]])</f>
        <v>2018</v>
      </c>
      <c r="R184">
        <f>_xlfn.ISOWEEKNUM(Table_36[[#This Row],[Дата заказа]])</f>
        <v>6</v>
      </c>
    </row>
    <row r="185" spans="3:18" ht="15.75" customHeight="1" x14ac:dyDescent="0.2">
      <c r="C185" s="26">
        <v>9</v>
      </c>
      <c r="D185" s="21" t="s">
        <v>2447</v>
      </c>
      <c r="E185" s="21" t="s">
        <v>2448</v>
      </c>
      <c r="F185" s="21" t="s">
        <v>2448</v>
      </c>
      <c r="G185" s="21">
        <v>699</v>
      </c>
      <c r="H185" s="21" t="s">
        <v>2444</v>
      </c>
      <c r="I185" s="21">
        <v>10</v>
      </c>
      <c r="J185" s="21">
        <v>6990</v>
      </c>
      <c r="K185" s="21">
        <v>0</v>
      </c>
      <c r="L185" s="21">
        <v>6990</v>
      </c>
      <c r="M185" s="25">
        <v>42117</v>
      </c>
      <c r="N185">
        <f>MONTH(Table_36[[#This Row],[Дата заказа]])</f>
        <v>4</v>
      </c>
      <c r="O185">
        <f>WEEKDAY(Table_36[[#This Row],[Дата заказа]])</f>
        <v>5</v>
      </c>
      <c r="P185">
        <f>DAY(Table_36[[#This Row],[Дата заказа]])</f>
        <v>23</v>
      </c>
      <c r="Q185">
        <f>YEAR(Table_36[[#This Row],[Дата заказа]])</f>
        <v>2015</v>
      </c>
      <c r="R185">
        <f>_xlfn.ISOWEEKNUM(Table_36[[#This Row],[Дата заказа]])</f>
        <v>17</v>
      </c>
    </row>
    <row r="186" spans="3:18" ht="15.75" customHeight="1" x14ac:dyDescent="0.2">
      <c r="C186" s="26">
        <v>56</v>
      </c>
      <c r="D186" s="21" t="s">
        <v>2451</v>
      </c>
      <c r="E186" s="21" t="s">
        <v>2438</v>
      </c>
      <c r="F186" s="21" t="s">
        <v>2452</v>
      </c>
      <c r="G186" s="21">
        <v>800</v>
      </c>
      <c r="H186" s="21" t="s">
        <v>2440</v>
      </c>
      <c r="I186" s="21">
        <v>40</v>
      </c>
      <c r="J186" s="21">
        <v>32000</v>
      </c>
      <c r="K186" s="21">
        <v>0.03</v>
      </c>
      <c r="L186" s="21">
        <v>31040</v>
      </c>
      <c r="M186" s="25">
        <v>42884</v>
      </c>
      <c r="N186">
        <f>MONTH(Table_36[[#This Row],[Дата заказа]])</f>
        <v>5</v>
      </c>
      <c r="O186">
        <f>WEEKDAY(Table_36[[#This Row],[Дата заказа]])</f>
        <v>2</v>
      </c>
      <c r="P186">
        <f>DAY(Table_36[[#This Row],[Дата заказа]])</f>
        <v>29</v>
      </c>
      <c r="Q186">
        <f>YEAR(Table_36[[#This Row],[Дата заказа]])</f>
        <v>2017</v>
      </c>
      <c r="R186">
        <f>_xlfn.ISOWEEKNUM(Table_36[[#This Row],[Дата заказа]])</f>
        <v>22</v>
      </c>
    </row>
    <row r="187" spans="3:18" ht="15.75" customHeight="1" x14ac:dyDescent="0.2">
      <c r="C187" s="26">
        <v>20</v>
      </c>
      <c r="D187" s="21" t="s">
        <v>2467</v>
      </c>
      <c r="E187" s="21" t="s">
        <v>2457</v>
      </c>
      <c r="F187" s="21" t="s">
        <v>2468</v>
      </c>
      <c r="G187" s="21">
        <v>2198</v>
      </c>
      <c r="H187" s="21" t="s">
        <v>2444</v>
      </c>
      <c r="I187" s="21">
        <v>35</v>
      </c>
      <c r="J187" s="21">
        <v>76930</v>
      </c>
      <c r="K187" s="21">
        <v>0.12</v>
      </c>
      <c r="L187" s="21">
        <v>67698.399999999994</v>
      </c>
      <c r="M187" s="25">
        <v>43869</v>
      </c>
      <c r="N187">
        <f>MONTH(Table_36[[#This Row],[Дата заказа]])</f>
        <v>2</v>
      </c>
      <c r="O187">
        <f>WEEKDAY(Table_36[[#This Row],[Дата заказа]])</f>
        <v>7</v>
      </c>
      <c r="P187">
        <f>DAY(Table_36[[#This Row],[Дата заказа]])</f>
        <v>8</v>
      </c>
      <c r="Q187">
        <f>YEAR(Table_36[[#This Row],[Дата заказа]])</f>
        <v>2020</v>
      </c>
      <c r="R187">
        <f>_xlfn.ISOWEEKNUM(Table_36[[#This Row],[Дата заказа]])</f>
        <v>6</v>
      </c>
    </row>
    <row r="188" spans="3:18" ht="15.75" customHeight="1" x14ac:dyDescent="0.2">
      <c r="C188" s="26">
        <v>53</v>
      </c>
      <c r="D188" s="21" t="s">
        <v>2437</v>
      </c>
      <c r="E188" s="21" t="s">
        <v>2438</v>
      </c>
      <c r="F188" s="21" t="s">
        <v>2439</v>
      </c>
      <c r="G188" s="21">
        <v>1923</v>
      </c>
      <c r="H188" s="21" t="s">
        <v>2440</v>
      </c>
      <c r="I188" s="21">
        <v>35</v>
      </c>
      <c r="J188" s="21">
        <v>67305</v>
      </c>
      <c r="K188" s="21">
        <v>0.06</v>
      </c>
      <c r="L188" s="21">
        <v>63266.7</v>
      </c>
      <c r="M188" s="25">
        <v>42890</v>
      </c>
      <c r="N188">
        <f>MONTH(Table_36[[#This Row],[Дата заказа]])</f>
        <v>6</v>
      </c>
      <c r="O188">
        <f>WEEKDAY(Table_36[[#This Row],[Дата заказа]])</f>
        <v>1</v>
      </c>
      <c r="P188">
        <f>DAY(Table_36[[#This Row],[Дата заказа]])</f>
        <v>4</v>
      </c>
      <c r="Q188">
        <f>YEAR(Table_36[[#This Row],[Дата заказа]])</f>
        <v>2017</v>
      </c>
      <c r="R188">
        <f>_xlfn.ISOWEEKNUM(Table_36[[#This Row],[Дата заказа]])</f>
        <v>22</v>
      </c>
    </row>
    <row r="189" spans="3:18" ht="15.75" customHeight="1" x14ac:dyDescent="0.2">
      <c r="C189" s="26">
        <v>40</v>
      </c>
      <c r="D189" s="21" t="s">
        <v>2477</v>
      </c>
      <c r="E189" s="21" t="s">
        <v>2454</v>
      </c>
      <c r="F189" s="21" t="s">
        <v>2478</v>
      </c>
      <c r="G189" s="21">
        <v>847</v>
      </c>
      <c r="H189" s="21" t="s">
        <v>2440</v>
      </c>
      <c r="I189" s="21">
        <v>15</v>
      </c>
      <c r="J189" s="21">
        <v>12705</v>
      </c>
      <c r="K189" s="21">
        <v>0</v>
      </c>
      <c r="L189" s="21">
        <v>12705</v>
      </c>
      <c r="M189" s="25">
        <v>42971</v>
      </c>
      <c r="N189">
        <f>MONTH(Table_36[[#This Row],[Дата заказа]])</f>
        <v>8</v>
      </c>
      <c r="O189">
        <f>WEEKDAY(Table_36[[#This Row],[Дата заказа]])</f>
        <v>5</v>
      </c>
      <c r="P189">
        <f>DAY(Table_36[[#This Row],[Дата заказа]])</f>
        <v>24</v>
      </c>
      <c r="Q189">
        <f>YEAR(Table_36[[#This Row],[Дата заказа]])</f>
        <v>2017</v>
      </c>
      <c r="R189">
        <f>_xlfn.ISOWEEKNUM(Table_36[[#This Row],[Дата заказа]])</f>
        <v>34</v>
      </c>
    </row>
    <row r="190" spans="3:18" ht="15.75" customHeight="1" x14ac:dyDescent="0.2">
      <c r="C190" s="26">
        <v>8</v>
      </c>
      <c r="D190" s="21" t="s">
        <v>2477</v>
      </c>
      <c r="E190" s="21" t="s">
        <v>2454</v>
      </c>
      <c r="F190" s="21" t="s">
        <v>2478</v>
      </c>
      <c r="G190" s="21">
        <v>847</v>
      </c>
      <c r="H190" s="21" t="s">
        <v>2440</v>
      </c>
      <c r="I190" s="21">
        <v>15</v>
      </c>
      <c r="J190" s="21">
        <v>12705</v>
      </c>
      <c r="K190" s="21">
        <v>0</v>
      </c>
      <c r="L190" s="21">
        <v>12705</v>
      </c>
      <c r="M190" s="25">
        <v>43479</v>
      </c>
      <c r="N190">
        <f>MONTH(Table_36[[#This Row],[Дата заказа]])</f>
        <v>1</v>
      </c>
      <c r="O190">
        <f>WEEKDAY(Table_36[[#This Row],[Дата заказа]])</f>
        <v>2</v>
      </c>
      <c r="P190">
        <f>DAY(Table_36[[#This Row],[Дата заказа]])</f>
        <v>14</v>
      </c>
      <c r="Q190">
        <f>YEAR(Table_36[[#This Row],[Дата заказа]])</f>
        <v>2019</v>
      </c>
      <c r="R190">
        <f>_xlfn.ISOWEEKNUM(Table_36[[#This Row],[Дата заказа]])</f>
        <v>3</v>
      </c>
    </row>
    <row r="191" spans="3:18" ht="15.75" customHeight="1" x14ac:dyDescent="0.2">
      <c r="C191" s="26">
        <v>14</v>
      </c>
      <c r="D191" s="21" t="s">
        <v>2475</v>
      </c>
      <c r="E191" s="21" t="s">
        <v>2476</v>
      </c>
      <c r="F191" s="21" t="s">
        <v>2476</v>
      </c>
      <c r="G191" s="21">
        <v>770</v>
      </c>
      <c r="H191" s="21" t="s">
        <v>2440</v>
      </c>
      <c r="I191" s="21">
        <v>20</v>
      </c>
      <c r="J191" s="21">
        <v>15400</v>
      </c>
      <c r="K191" s="21">
        <v>0.03</v>
      </c>
      <c r="L191" s="21">
        <v>14938</v>
      </c>
      <c r="M191" s="25">
        <v>43207</v>
      </c>
      <c r="N191">
        <f>MONTH(Table_36[[#This Row],[Дата заказа]])</f>
        <v>4</v>
      </c>
      <c r="O191">
        <f>WEEKDAY(Table_36[[#This Row],[Дата заказа]])</f>
        <v>3</v>
      </c>
      <c r="P191">
        <f>DAY(Table_36[[#This Row],[Дата заказа]])</f>
        <v>17</v>
      </c>
      <c r="Q191">
        <f>YEAR(Table_36[[#This Row],[Дата заказа]])</f>
        <v>2018</v>
      </c>
      <c r="R191">
        <f>_xlfn.ISOWEEKNUM(Table_36[[#This Row],[Дата заказа]])</f>
        <v>16</v>
      </c>
    </row>
    <row r="192" spans="3:18" ht="15.75" customHeight="1" x14ac:dyDescent="0.2">
      <c r="C192" s="26">
        <v>53</v>
      </c>
      <c r="D192" s="21" t="s">
        <v>2437</v>
      </c>
      <c r="E192" s="21" t="s">
        <v>2438</v>
      </c>
      <c r="F192" s="21" t="s">
        <v>2439</v>
      </c>
      <c r="G192" s="21">
        <v>1923</v>
      </c>
      <c r="H192" s="21" t="s">
        <v>2440</v>
      </c>
      <c r="I192" s="21">
        <v>35</v>
      </c>
      <c r="J192" s="21">
        <v>67305</v>
      </c>
      <c r="K192" s="21">
        <v>0.06</v>
      </c>
      <c r="L192" s="21">
        <v>63266.7</v>
      </c>
      <c r="M192" s="25">
        <v>42914</v>
      </c>
      <c r="N192">
        <f>MONTH(Table_36[[#This Row],[Дата заказа]])</f>
        <v>6</v>
      </c>
      <c r="O192">
        <f>WEEKDAY(Table_36[[#This Row],[Дата заказа]])</f>
        <v>4</v>
      </c>
      <c r="P192">
        <f>DAY(Table_36[[#This Row],[Дата заказа]])</f>
        <v>28</v>
      </c>
      <c r="Q192">
        <f>YEAR(Table_36[[#This Row],[Дата заказа]])</f>
        <v>2017</v>
      </c>
      <c r="R192">
        <f>_xlfn.ISOWEEKNUM(Table_36[[#This Row],[Дата заказа]])</f>
        <v>26</v>
      </c>
    </row>
    <row r="193" spans="3:18" ht="15.75" customHeight="1" x14ac:dyDescent="0.2">
      <c r="C193" s="26">
        <v>32</v>
      </c>
      <c r="D193" s="21" t="s">
        <v>2496</v>
      </c>
      <c r="E193" s="21" t="s">
        <v>2446</v>
      </c>
      <c r="F193" s="21" t="s">
        <v>2466</v>
      </c>
      <c r="G193" s="21">
        <v>967</v>
      </c>
      <c r="H193" s="21" t="s">
        <v>2444</v>
      </c>
      <c r="I193" s="21">
        <v>8</v>
      </c>
      <c r="J193" s="21">
        <v>7736</v>
      </c>
      <c r="K193" s="21">
        <v>0</v>
      </c>
      <c r="L193" s="21">
        <v>7736</v>
      </c>
      <c r="M193" s="25">
        <v>44029</v>
      </c>
      <c r="N193">
        <f>MONTH(Table_36[[#This Row],[Дата заказа]])</f>
        <v>7</v>
      </c>
      <c r="O193">
        <f>WEEKDAY(Table_36[[#This Row],[Дата заказа]])</f>
        <v>6</v>
      </c>
      <c r="P193">
        <f>DAY(Table_36[[#This Row],[Дата заказа]])</f>
        <v>17</v>
      </c>
      <c r="Q193">
        <f>YEAR(Table_36[[#This Row],[Дата заказа]])</f>
        <v>2020</v>
      </c>
      <c r="R193">
        <f>_xlfn.ISOWEEKNUM(Table_36[[#This Row],[Дата заказа]])</f>
        <v>29</v>
      </c>
    </row>
    <row r="194" spans="3:18" ht="15.75" customHeight="1" x14ac:dyDescent="0.2">
      <c r="C194" s="26">
        <v>25</v>
      </c>
      <c r="D194" s="21" t="s">
        <v>2490</v>
      </c>
      <c r="E194" s="21" t="s">
        <v>2462</v>
      </c>
      <c r="F194" s="21" t="s">
        <v>2491</v>
      </c>
      <c r="G194" s="21">
        <v>1994</v>
      </c>
      <c r="H194" s="21" t="s">
        <v>2444</v>
      </c>
      <c r="I194" s="21">
        <v>10</v>
      </c>
      <c r="J194" s="21">
        <v>19940</v>
      </c>
      <c r="K194" s="21">
        <v>0.03</v>
      </c>
      <c r="L194" s="21">
        <v>19341.8</v>
      </c>
      <c r="M194" s="25">
        <v>42017</v>
      </c>
      <c r="N194">
        <f>MONTH(Table_36[[#This Row],[Дата заказа]])</f>
        <v>1</v>
      </c>
      <c r="O194">
        <f>WEEKDAY(Table_36[[#This Row],[Дата заказа]])</f>
        <v>3</v>
      </c>
      <c r="P194">
        <f>DAY(Table_36[[#This Row],[Дата заказа]])</f>
        <v>13</v>
      </c>
      <c r="Q194">
        <f>YEAR(Table_36[[#This Row],[Дата заказа]])</f>
        <v>2015</v>
      </c>
      <c r="R194">
        <f>_xlfn.ISOWEEKNUM(Table_36[[#This Row],[Дата заказа]])</f>
        <v>3</v>
      </c>
    </row>
    <row r="195" spans="3:18" ht="15.75" customHeight="1" x14ac:dyDescent="0.2">
      <c r="C195" s="26">
        <v>42</v>
      </c>
      <c r="D195" s="21" t="s">
        <v>2451</v>
      </c>
      <c r="E195" s="21" t="s">
        <v>2438</v>
      </c>
      <c r="F195" s="21" t="s">
        <v>2452</v>
      </c>
      <c r="G195" s="21">
        <v>800</v>
      </c>
      <c r="H195" s="21" t="s">
        <v>2440</v>
      </c>
      <c r="I195" s="21">
        <v>25</v>
      </c>
      <c r="J195" s="21">
        <v>20000</v>
      </c>
      <c r="K195" s="21">
        <v>0.03</v>
      </c>
      <c r="L195" s="21">
        <v>19400</v>
      </c>
      <c r="M195" s="25">
        <v>43418</v>
      </c>
      <c r="N195">
        <f>MONTH(Table_36[[#This Row],[Дата заказа]])</f>
        <v>11</v>
      </c>
      <c r="O195">
        <f>WEEKDAY(Table_36[[#This Row],[Дата заказа]])</f>
        <v>4</v>
      </c>
      <c r="P195">
        <f>DAY(Table_36[[#This Row],[Дата заказа]])</f>
        <v>14</v>
      </c>
      <c r="Q195">
        <f>YEAR(Table_36[[#This Row],[Дата заказа]])</f>
        <v>2018</v>
      </c>
      <c r="R195">
        <f>_xlfn.ISOWEEKNUM(Table_36[[#This Row],[Дата заказа]])</f>
        <v>46</v>
      </c>
    </row>
    <row r="196" spans="3:18" ht="15.75" customHeight="1" x14ac:dyDescent="0.2">
      <c r="C196" s="26">
        <v>23</v>
      </c>
      <c r="D196" s="21" t="s">
        <v>2473</v>
      </c>
      <c r="E196" s="21" t="s">
        <v>2448</v>
      </c>
      <c r="F196" s="21" t="s">
        <v>2474</v>
      </c>
      <c r="G196" s="21">
        <v>2645</v>
      </c>
      <c r="H196" s="21" t="s">
        <v>2444</v>
      </c>
      <c r="I196" s="21">
        <v>50</v>
      </c>
      <c r="J196" s="21">
        <v>132250</v>
      </c>
      <c r="K196" s="21">
        <v>0.15</v>
      </c>
      <c r="L196" s="21">
        <v>112412.5</v>
      </c>
      <c r="M196" s="25">
        <v>42055</v>
      </c>
      <c r="N196">
        <f>MONTH(Table_36[[#This Row],[Дата заказа]])</f>
        <v>2</v>
      </c>
      <c r="O196">
        <f>WEEKDAY(Table_36[[#This Row],[Дата заказа]])</f>
        <v>6</v>
      </c>
      <c r="P196">
        <f>DAY(Table_36[[#This Row],[Дата заказа]])</f>
        <v>20</v>
      </c>
      <c r="Q196">
        <f>YEAR(Table_36[[#This Row],[Дата заказа]])</f>
        <v>2015</v>
      </c>
      <c r="R196">
        <f>_xlfn.ISOWEEKNUM(Table_36[[#This Row],[Дата заказа]])</f>
        <v>8</v>
      </c>
    </row>
    <row r="197" spans="3:18" ht="15.75" customHeight="1" x14ac:dyDescent="0.2">
      <c r="C197" s="26">
        <v>39</v>
      </c>
      <c r="D197" s="21" t="s">
        <v>2437</v>
      </c>
      <c r="E197" s="21" t="s">
        <v>2438</v>
      </c>
      <c r="F197" s="21" t="s">
        <v>2439</v>
      </c>
      <c r="G197" s="21">
        <v>1923</v>
      </c>
      <c r="H197" s="21" t="s">
        <v>2440</v>
      </c>
      <c r="I197" s="21">
        <v>25</v>
      </c>
      <c r="J197" s="21">
        <v>48075</v>
      </c>
      <c r="K197" s="21">
        <v>0.06</v>
      </c>
      <c r="L197" s="21">
        <v>45190.5</v>
      </c>
      <c r="M197" s="25">
        <v>43020</v>
      </c>
      <c r="N197">
        <f>MONTH(Table_36[[#This Row],[Дата заказа]])</f>
        <v>10</v>
      </c>
      <c r="O197">
        <f>WEEKDAY(Table_36[[#This Row],[Дата заказа]])</f>
        <v>5</v>
      </c>
      <c r="P197">
        <f>DAY(Table_36[[#This Row],[Дата заказа]])</f>
        <v>12</v>
      </c>
      <c r="Q197">
        <f>YEAR(Table_36[[#This Row],[Дата заказа]])</f>
        <v>2017</v>
      </c>
      <c r="R197">
        <f>_xlfn.ISOWEEKNUM(Table_36[[#This Row],[Дата заказа]])</f>
        <v>41</v>
      </c>
    </row>
    <row r="198" spans="3:18" ht="15.75" customHeight="1" x14ac:dyDescent="0.2">
      <c r="C198" s="26">
        <v>37</v>
      </c>
      <c r="D198" s="21" t="s">
        <v>2449</v>
      </c>
      <c r="E198" s="21" t="s">
        <v>2448</v>
      </c>
      <c r="F198" s="21" t="s">
        <v>2450</v>
      </c>
      <c r="G198" s="21">
        <v>2211</v>
      </c>
      <c r="H198" s="21" t="s">
        <v>2444</v>
      </c>
      <c r="I198" s="21">
        <v>25</v>
      </c>
      <c r="J198" s="21">
        <v>55275</v>
      </c>
      <c r="K198" s="21">
        <v>0.09</v>
      </c>
      <c r="L198" s="21">
        <v>50300.25</v>
      </c>
      <c r="M198" s="25">
        <v>43684</v>
      </c>
      <c r="N198">
        <f>MONTH(Table_36[[#This Row],[Дата заказа]])</f>
        <v>8</v>
      </c>
      <c r="O198">
        <f>WEEKDAY(Table_36[[#This Row],[Дата заказа]])</f>
        <v>4</v>
      </c>
      <c r="P198">
        <f>DAY(Table_36[[#This Row],[Дата заказа]])</f>
        <v>7</v>
      </c>
      <c r="Q198">
        <f>YEAR(Table_36[[#This Row],[Дата заказа]])</f>
        <v>2019</v>
      </c>
      <c r="R198">
        <f>_xlfn.ISOWEEKNUM(Table_36[[#This Row],[Дата заказа]])</f>
        <v>32</v>
      </c>
    </row>
    <row r="199" spans="3:18" ht="15.75" customHeight="1" x14ac:dyDescent="0.2">
      <c r="C199" s="26">
        <v>2</v>
      </c>
      <c r="D199" s="21" t="s">
        <v>2500</v>
      </c>
      <c r="E199" s="21" t="s">
        <v>2446</v>
      </c>
      <c r="F199" s="21" t="s">
        <v>2501</v>
      </c>
      <c r="G199" s="21">
        <v>1178</v>
      </c>
      <c r="H199" s="21" t="s">
        <v>2444</v>
      </c>
      <c r="I199" s="21">
        <v>10</v>
      </c>
      <c r="J199" s="21">
        <v>11780</v>
      </c>
      <c r="K199" s="21">
        <v>0</v>
      </c>
      <c r="L199" s="21">
        <v>11780</v>
      </c>
      <c r="M199" s="25">
        <v>42672</v>
      </c>
      <c r="N199">
        <f>MONTH(Table_36[[#This Row],[Дата заказа]])</f>
        <v>10</v>
      </c>
      <c r="O199">
        <f>WEEKDAY(Table_36[[#This Row],[Дата заказа]])</f>
        <v>7</v>
      </c>
      <c r="P199">
        <f>DAY(Table_36[[#This Row],[Дата заказа]])</f>
        <v>29</v>
      </c>
      <c r="Q199">
        <f>YEAR(Table_36[[#This Row],[Дата заказа]])</f>
        <v>2016</v>
      </c>
      <c r="R199">
        <f>_xlfn.ISOWEEKNUM(Table_36[[#This Row],[Дата заказа]])</f>
        <v>43</v>
      </c>
    </row>
    <row r="200" spans="3:18" ht="15.75" customHeight="1" x14ac:dyDescent="0.2">
      <c r="C200" s="26">
        <v>53</v>
      </c>
      <c r="D200" s="21" t="s">
        <v>2437</v>
      </c>
      <c r="E200" s="21" t="s">
        <v>2438</v>
      </c>
      <c r="F200" s="21" t="s">
        <v>2439</v>
      </c>
      <c r="G200" s="21">
        <v>1923</v>
      </c>
      <c r="H200" s="21" t="s">
        <v>2440</v>
      </c>
      <c r="I200" s="21">
        <v>35</v>
      </c>
      <c r="J200" s="21">
        <v>67305</v>
      </c>
      <c r="K200" s="21">
        <v>0.06</v>
      </c>
      <c r="L200" s="21">
        <v>63266.7</v>
      </c>
      <c r="M200" s="25">
        <v>43476</v>
      </c>
      <c r="N200">
        <f>MONTH(Table_36[[#This Row],[Дата заказа]])</f>
        <v>1</v>
      </c>
      <c r="O200">
        <f>WEEKDAY(Table_36[[#This Row],[Дата заказа]])</f>
        <v>6</v>
      </c>
      <c r="P200">
        <f>DAY(Table_36[[#This Row],[Дата заказа]])</f>
        <v>11</v>
      </c>
      <c r="Q200">
        <f>YEAR(Table_36[[#This Row],[Дата заказа]])</f>
        <v>2019</v>
      </c>
      <c r="R200">
        <f>_xlfn.ISOWEEKNUM(Table_36[[#This Row],[Дата заказа]])</f>
        <v>2</v>
      </c>
    </row>
    <row r="201" spans="3:18" ht="15.75" customHeight="1" x14ac:dyDescent="0.2">
      <c r="C201" s="26">
        <v>0</v>
      </c>
      <c r="D201" s="21" t="s">
        <v>2469</v>
      </c>
      <c r="E201" s="21" t="s">
        <v>2442</v>
      </c>
      <c r="F201" s="21" t="s">
        <v>2470</v>
      </c>
      <c r="G201" s="21">
        <v>620</v>
      </c>
      <c r="H201" s="21" t="s">
        <v>2444</v>
      </c>
      <c r="I201" s="21">
        <v>30</v>
      </c>
      <c r="J201" s="21">
        <v>18600</v>
      </c>
      <c r="K201" s="21">
        <v>0.03</v>
      </c>
      <c r="L201" s="21">
        <v>18042</v>
      </c>
      <c r="M201" s="25">
        <v>42840</v>
      </c>
      <c r="N201">
        <f>MONTH(Table_36[[#This Row],[Дата заказа]])</f>
        <v>4</v>
      </c>
      <c r="O201">
        <f>WEEKDAY(Table_36[[#This Row],[Дата заказа]])</f>
        <v>7</v>
      </c>
      <c r="P201">
        <f>DAY(Table_36[[#This Row],[Дата заказа]])</f>
        <v>15</v>
      </c>
      <c r="Q201">
        <f>YEAR(Table_36[[#This Row],[Дата заказа]])</f>
        <v>2017</v>
      </c>
      <c r="R201">
        <f>_xlfn.ISOWEEKNUM(Table_36[[#This Row],[Дата заказа]])</f>
        <v>15</v>
      </c>
    </row>
    <row r="202" spans="3:18" ht="15.75" customHeight="1" x14ac:dyDescent="0.2">
      <c r="C202" s="26">
        <v>17</v>
      </c>
      <c r="D202" s="21" t="s">
        <v>2465</v>
      </c>
      <c r="E202" s="21" t="s">
        <v>2446</v>
      </c>
      <c r="F202" s="21" t="s">
        <v>2466</v>
      </c>
      <c r="G202" s="21">
        <v>967</v>
      </c>
      <c r="H202" s="21" t="s">
        <v>2444</v>
      </c>
      <c r="I202" s="21">
        <v>12</v>
      </c>
      <c r="J202" s="21">
        <v>11604</v>
      </c>
      <c r="K202" s="21">
        <v>0</v>
      </c>
      <c r="L202" s="21">
        <v>11604</v>
      </c>
      <c r="M202" s="25">
        <v>44161</v>
      </c>
      <c r="N202">
        <f>MONTH(Table_36[[#This Row],[Дата заказа]])</f>
        <v>11</v>
      </c>
      <c r="O202">
        <f>WEEKDAY(Table_36[[#This Row],[Дата заказа]])</f>
        <v>5</v>
      </c>
      <c r="P202">
        <f>DAY(Table_36[[#This Row],[Дата заказа]])</f>
        <v>26</v>
      </c>
      <c r="Q202">
        <f>YEAR(Table_36[[#This Row],[Дата заказа]])</f>
        <v>2020</v>
      </c>
      <c r="R202">
        <f>_xlfn.ISOWEEKNUM(Table_36[[#This Row],[Дата заказа]])</f>
        <v>48</v>
      </c>
    </row>
    <row r="203" spans="3:18" ht="15.75" customHeight="1" x14ac:dyDescent="0.2">
      <c r="C203" s="26">
        <v>52</v>
      </c>
      <c r="D203" s="21" t="s">
        <v>2483</v>
      </c>
      <c r="E203" s="21" t="s">
        <v>2446</v>
      </c>
      <c r="F203" s="21" t="s">
        <v>2484</v>
      </c>
      <c r="G203" s="21">
        <v>1182</v>
      </c>
      <c r="H203" s="21" t="s">
        <v>2440</v>
      </c>
      <c r="I203" s="21">
        <v>17</v>
      </c>
      <c r="J203" s="21">
        <v>20094</v>
      </c>
      <c r="K203" s="21">
        <v>0.03</v>
      </c>
      <c r="L203" s="21">
        <v>19491.18</v>
      </c>
      <c r="M203" s="25">
        <v>42313</v>
      </c>
      <c r="N203">
        <f>MONTH(Table_36[[#This Row],[Дата заказа]])</f>
        <v>11</v>
      </c>
      <c r="O203">
        <f>WEEKDAY(Table_36[[#This Row],[Дата заказа]])</f>
        <v>5</v>
      </c>
      <c r="P203">
        <f>DAY(Table_36[[#This Row],[Дата заказа]])</f>
        <v>5</v>
      </c>
      <c r="Q203">
        <f>YEAR(Table_36[[#This Row],[Дата заказа]])</f>
        <v>2015</v>
      </c>
      <c r="R203">
        <f>_xlfn.ISOWEEKNUM(Table_36[[#This Row],[Дата заказа]])</f>
        <v>45</v>
      </c>
    </row>
    <row r="204" spans="3:18" ht="15.75" customHeight="1" x14ac:dyDescent="0.2">
      <c r="C204" s="26">
        <v>16</v>
      </c>
      <c r="D204" s="21" t="s">
        <v>2504</v>
      </c>
      <c r="E204" s="21" t="s">
        <v>2505</v>
      </c>
      <c r="F204" s="21" t="s">
        <v>2506</v>
      </c>
      <c r="G204" s="21">
        <v>843</v>
      </c>
      <c r="H204" s="21" t="s">
        <v>2444</v>
      </c>
      <c r="I204" s="21">
        <v>5</v>
      </c>
      <c r="J204" s="21">
        <v>4215</v>
      </c>
      <c r="K204" s="21">
        <v>0</v>
      </c>
      <c r="L204" s="21">
        <v>4215</v>
      </c>
      <c r="M204" s="25">
        <v>42794</v>
      </c>
      <c r="N204">
        <f>MONTH(Table_36[[#This Row],[Дата заказа]])</f>
        <v>2</v>
      </c>
      <c r="O204">
        <f>WEEKDAY(Table_36[[#This Row],[Дата заказа]])</f>
        <v>3</v>
      </c>
      <c r="P204">
        <f>DAY(Table_36[[#This Row],[Дата заказа]])</f>
        <v>28</v>
      </c>
      <c r="Q204">
        <f>YEAR(Table_36[[#This Row],[Дата заказа]])</f>
        <v>2017</v>
      </c>
      <c r="R204">
        <f>_xlfn.ISOWEEKNUM(Table_36[[#This Row],[Дата заказа]])</f>
        <v>9</v>
      </c>
    </row>
    <row r="205" spans="3:18" ht="15.75" customHeight="1" x14ac:dyDescent="0.2">
      <c r="C205" s="26">
        <v>12</v>
      </c>
      <c r="D205" s="21" t="s">
        <v>2453</v>
      </c>
      <c r="E205" s="21" t="s">
        <v>2454</v>
      </c>
      <c r="F205" s="21" t="s">
        <v>2455</v>
      </c>
      <c r="G205" s="21">
        <v>1386</v>
      </c>
      <c r="H205" s="21" t="s">
        <v>2440</v>
      </c>
      <c r="I205" s="21">
        <v>20</v>
      </c>
      <c r="J205" s="21">
        <v>27720</v>
      </c>
      <c r="K205" s="21">
        <v>0.03</v>
      </c>
      <c r="L205" s="21">
        <v>26888.400000000001</v>
      </c>
      <c r="M205" s="25">
        <v>42667</v>
      </c>
      <c r="N205">
        <f>MONTH(Table_36[[#This Row],[Дата заказа]])</f>
        <v>10</v>
      </c>
      <c r="O205">
        <f>WEEKDAY(Table_36[[#This Row],[Дата заказа]])</f>
        <v>2</v>
      </c>
      <c r="P205">
        <f>DAY(Table_36[[#This Row],[Дата заказа]])</f>
        <v>24</v>
      </c>
      <c r="Q205">
        <f>YEAR(Table_36[[#This Row],[Дата заказа]])</f>
        <v>2016</v>
      </c>
      <c r="R205">
        <f>_xlfn.ISOWEEKNUM(Table_36[[#This Row],[Дата заказа]])</f>
        <v>43</v>
      </c>
    </row>
    <row r="206" spans="3:18" ht="15.75" customHeight="1" x14ac:dyDescent="0.2">
      <c r="C206" s="26">
        <v>3</v>
      </c>
      <c r="D206" s="21" t="s">
        <v>2445</v>
      </c>
      <c r="E206" s="21" t="s">
        <v>2446</v>
      </c>
      <c r="F206" s="21" t="s">
        <v>2446</v>
      </c>
      <c r="G206" s="21">
        <v>807</v>
      </c>
      <c r="H206" s="21" t="s">
        <v>2440</v>
      </c>
      <c r="I206" s="21">
        <v>18</v>
      </c>
      <c r="J206" s="21">
        <v>14526</v>
      </c>
      <c r="K206" s="21">
        <v>0</v>
      </c>
      <c r="L206" s="21">
        <v>14526</v>
      </c>
      <c r="M206" s="25">
        <v>43604</v>
      </c>
      <c r="N206">
        <f>MONTH(Table_36[[#This Row],[Дата заказа]])</f>
        <v>5</v>
      </c>
      <c r="O206">
        <f>WEEKDAY(Table_36[[#This Row],[Дата заказа]])</f>
        <v>1</v>
      </c>
      <c r="P206">
        <f>DAY(Table_36[[#This Row],[Дата заказа]])</f>
        <v>19</v>
      </c>
      <c r="Q206">
        <f>YEAR(Table_36[[#This Row],[Дата заказа]])</f>
        <v>2019</v>
      </c>
      <c r="R206">
        <f>_xlfn.ISOWEEKNUM(Table_36[[#This Row],[Дата заказа]])</f>
        <v>20</v>
      </c>
    </row>
    <row r="207" spans="3:18" ht="15.75" customHeight="1" x14ac:dyDescent="0.2">
      <c r="C207" s="26">
        <v>3</v>
      </c>
      <c r="D207" s="21" t="s">
        <v>2445</v>
      </c>
      <c r="E207" s="21" t="s">
        <v>2446</v>
      </c>
      <c r="F207" s="21" t="s">
        <v>2446</v>
      </c>
      <c r="G207" s="21">
        <v>807</v>
      </c>
      <c r="H207" s="21" t="s">
        <v>2440</v>
      </c>
      <c r="I207" s="21">
        <v>18</v>
      </c>
      <c r="J207" s="21">
        <v>14526</v>
      </c>
      <c r="K207" s="21">
        <v>0</v>
      </c>
      <c r="L207" s="21">
        <v>14526</v>
      </c>
      <c r="M207" s="25">
        <v>43478</v>
      </c>
      <c r="N207">
        <f>MONTH(Table_36[[#This Row],[Дата заказа]])</f>
        <v>1</v>
      </c>
      <c r="O207">
        <f>WEEKDAY(Table_36[[#This Row],[Дата заказа]])</f>
        <v>1</v>
      </c>
      <c r="P207">
        <f>DAY(Table_36[[#This Row],[Дата заказа]])</f>
        <v>13</v>
      </c>
      <c r="Q207">
        <f>YEAR(Table_36[[#This Row],[Дата заказа]])</f>
        <v>2019</v>
      </c>
      <c r="R207">
        <f>_xlfn.ISOWEEKNUM(Table_36[[#This Row],[Дата заказа]])</f>
        <v>2</v>
      </c>
    </row>
    <row r="208" spans="3:18" ht="15.75" customHeight="1" x14ac:dyDescent="0.2">
      <c r="C208" s="26">
        <v>5</v>
      </c>
      <c r="D208" s="21" t="s">
        <v>2483</v>
      </c>
      <c r="E208" s="21" t="s">
        <v>2446</v>
      </c>
      <c r="F208" s="21" t="s">
        <v>2484</v>
      </c>
      <c r="G208" s="21">
        <v>1182</v>
      </c>
      <c r="H208" s="21" t="s">
        <v>2440</v>
      </c>
      <c r="I208" s="21">
        <v>17</v>
      </c>
      <c r="J208" s="21">
        <v>20094</v>
      </c>
      <c r="K208" s="21">
        <v>0.03</v>
      </c>
      <c r="L208" s="21">
        <v>19491.18</v>
      </c>
      <c r="M208" s="25">
        <v>43690</v>
      </c>
      <c r="N208">
        <f>MONTH(Table_36[[#This Row],[Дата заказа]])</f>
        <v>8</v>
      </c>
      <c r="O208">
        <f>WEEKDAY(Table_36[[#This Row],[Дата заказа]])</f>
        <v>3</v>
      </c>
      <c r="P208">
        <f>DAY(Table_36[[#This Row],[Дата заказа]])</f>
        <v>13</v>
      </c>
      <c r="Q208">
        <f>YEAR(Table_36[[#This Row],[Дата заказа]])</f>
        <v>2019</v>
      </c>
      <c r="R208">
        <f>_xlfn.ISOWEEKNUM(Table_36[[#This Row],[Дата заказа]])</f>
        <v>33</v>
      </c>
    </row>
    <row r="209" spans="3:18" ht="15.75" customHeight="1" x14ac:dyDescent="0.2">
      <c r="C209" s="26">
        <v>45</v>
      </c>
      <c r="D209" s="21" t="s">
        <v>2507</v>
      </c>
      <c r="E209" s="21" t="s">
        <v>2446</v>
      </c>
      <c r="F209" s="21" t="s">
        <v>2493</v>
      </c>
      <c r="G209" s="21">
        <v>759</v>
      </c>
      <c r="H209" s="21" t="s">
        <v>2444</v>
      </c>
      <c r="I209" s="21">
        <v>14</v>
      </c>
      <c r="J209" s="21">
        <v>10626</v>
      </c>
      <c r="K209" s="21">
        <v>0</v>
      </c>
      <c r="L209" s="21">
        <v>10626</v>
      </c>
      <c r="M209" s="25">
        <v>42181</v>
      </c>
      <c r="N209">
        <f>MONTH(Table_36[[#This Row],[Дата заказа]])</f>
        <v>6</v>
      </c>
      <c r="O209">
        <f>WEEKDAY(Table_36[[#This Row],[Дата заказа]])</f>
        <v>6</v>
      </c>
      <c r="P209">
        <f>DAY(Table_36[[#This Row],[Дата заказа]])</f>
        <v>26</v>
      </c>
      <c r="Q209">
        <f>YEAR(Table_36[[#This Row],[Дата заказа]])</f>
        <v>2015</v>
      </c>
      <c r="R209">
        <f>_xlfn.ISOWEEKNUM(Table_36[[#This Row],[Дата заказа]])</f>
        <v>26</v>
      </c>
    </row>
    <row r="210" spans="3:18" ht="15.75" customHeight="1" x14ac:dyDescent="0.2">
      <c r="C210" s="26">
        <v>2</v>
      </c>
      <c r="D210" s="21" t="s">
        <v>2500</v>
      </c>
      <c r="E210" s="21" t="s">
        <v>2446</v>
      </c>
      <c r="F210" s="21" t="s">
        <v>2501</v>
      </c>
      <c r="G210" s="21">
        <v>1178</v>
      </c>
      <c r="H210" s="21" t="s">
        <v>2444</v>
      </c>
      <c r="I210" s="21">
        <v>10</v>
      </c>
      <c r="J210" s="21">
        <v>11780</v>
      </c>
      <c r="K210" s="21">
        <v>0</v>
      </c>
      <c r="L210" s="21">
        <v>11780</v>
      </c>
      <c r="M210" s="25">
        <v>42804</v>
      </c>
      <c r="N210">
        <f>MONTH(Table_36[[#This Row],[Дата заказа]])</f>
        <v>3</v>
      </c>
      <c r="O210">
        <f>WEEKDAY(Table_36[[#This Row],[Дата заказа]])</f>
        <v>6</v>
      </c>
      <c r="P210">
        <f>DAY(Table_36[[#This Row],[Дата заказа]])</f>
        <v>10</v>
      </c>
      <c r="Q210">
        <f>YEAR(Table_36[[#This Row],[Дата заказа]])</f>
        <v>2017</v>
      </c>
      <c r="R210">
        <f>_xlfn.ISOWEEKNUM(Table_36[[#This Row],[Дата заказа]])</f>
        <v>10</v>
      </c>
    </row>
    <row r="211" spans="3:18" ht="15.75" customHeight="1" x14ac:dyDescent="0.2">
      <c r="C211" s="26">
        <v>28</v>
      </c>
      <c r="D211" s="21" t="s">
        <v>2494</v>
      </c>
      <c r="E211" s="21" t="s">
        <v>2462</v>
      </c>
      <c r="F211" s="21" t="s">
        <v>2491</v>
      </c>
      <c r="G211" s="21">
        <v>1994</v>
      </c>
      <c r="H211" s="21" t="s">
        <v>2444</v>
      </c>
      <c r="I211" s="21">
        <v>40</v>
      </c>
      <c r="J211" s="21">
        <v>79760</v>
      </c>
      <c r="K211" s="21">
        <v>0.12</v>
      </c>
      <c r="L211" s="21">
        <v>70188.800000000003</v>
      </c>
      <c r="M211" s="25">
        <v>43107</v>
      </c>
      <c r="N211">
        <f>MONTH(Table_36[[#This Row],[Дата заказа]])</f>
        <v>1</v>
      </c>
      <c r="O211">
        <f>WEEKDAY(Table_36[[#This Row],[Дата заказа]])</f>
        <v>1</v>
      </c>
      <c r="P211">
        <f>DAY(Table_36[[#This Row],[Дата заказа]])</f>
        <v>7</v>
      </c>
      <c r="Q211">
        <f>YEAR(Table_36[[#This Row],[Дата заказа]])</f>
        <v>2018</v>
      </c>
      <c r="R211">
        <f>_xlfn.ISOWEEKNUM(Table_36[[#This Row],[Дата заказа]])</f>
        <v>1</v>
      </c>
    </row>
    <row r="212" spans="3:18" ht="15.75" customHeight="1" x14ac:dyDescent="0.2">
      <c r="C212" s="26">
        <v>54</v>
      </c>
      <c r="D212" s="21" t="s">
        <v>2477</v>
      </c>
      <c r="E212" s="21" t="s">
        <v>2454</v>
      </c>
      <c r="F212" s="21" t="s">
        <v>2478</v>
      </c>
      <c r="G212" s="21">
        <v>847</v>
      </c>
      <c r="H212" s="21" t="s">
        <v>2440</v>
      </c>
      <c r="I212" s="21">
        <v>15</v>
      </c>
      <c r="J212" s="21">
        <v>12705</v>
      </c>
      <c r="K212" s="21">
        <v>0</v>
      </c>
      <c r="L212" s="21">
        <v>12705</v>
      </c>
      <c r="M212" s="25">
        <v>42760</v>
      </c>
      <c r="N212">
        <f>MONTH(Table_36[[#This Row],[Дата заказа]])</f>
        <v>1</v>
      </c>
      <c r="O212">
        <f>WEEKDAY(Table_36[[#This Row],[Дата заказа]])</f>
        <v>4</v>
      </c>
      <c r="P212">
        <f>DAY(Table_36[[#This Row],[Дата заказа]])</f>
        <v>25</v>
      </c>
      <c r="Q212">
        <f>YEAR(Table_36[[#This Row],[Дата заказа]])</f>
        <v>2017</v>
      </c>
      <c r="R212">
        <f>_xlfn.ISOWEEKNUM(Table_36[[#This Row],[Дата заказа]])</f>
        <v>4</v>
      </c>
    </row>
    <row r="213" spans="3:18" ht="15.75" customHeight="1" x14ac:dyDescent="0.2">
      <c r="C213" s="26">
        <v>22</v>
      </c>
      <c r="D213" s="21" t="s">
        <v>2510</v>
      </c>
      <c r="E213" s="21" t="s">
        <v>2511</v>
      </c>
      <c r="F213" s="21" t="s">
        <v>2511</v>
      </c>
      <c r="G213" s="21">
        <v>4889</v>
      </c>
      <c r="H213" s="21" t="s">
        <v>2444</v>
      </c>
      <c r="I213" s="21">
        <v>18</v>
      </c>
      <c r="J213" s="21">
        <v>88002</v>
      </c>
      <c r="K213" s="21">
        <v>0.12</v>
      </c>
      <c r="L213" s="21">
        <v>77441.759999999995</v>
      </c>
      <c r="M213" s="25">
        <v>44038</v>
      </c>
      <c r="N213">
        <f>MONTH(Table_36[[#This Row],[Дата заказа]])</f>
        <v>7</v>
      </c>
      <c r="O213">
        <f>WEEKDAY(Table_36[[#This Row],[Дата заказа]])</f>
        <v>1</v>
      </c>
      <c r="P213">
        <f>DAY(Table_36[[#This Row],[Дата заказа]])</f>
        <v>26</v>
      </c>
      <c r="Q213">
        <f>YEAR(Table_36[[#This Row],[Дата заказа]])</f>
        <v>2020</v>
      </c>
      <c r="R213">
        <f>_xlfn.ISOWEEKNUM(Table_36[[#This Row],[Дата заказа]])</f>
        <v>30</v>
      </c>
    </row>
    <row r="214" spans="3:18" ht="15.75" customHeight="1" x14ac:dyDescent="0.2">
      <c r="C214" s="26">
        <v>0</v>
      </c>
      <c r="D214" s="21" t="s">
        <v>2469</v>
      </c>
      <c r="E214" s="21" t="s">
        <v>2442</v>
      </c>
      <c r="F214" s="21" t="s">
        <v>2470</v>
      </c>
      <c r="G214" s="21">
        <v>620</v>
      </c>
      <c r="H214" s="21" t="s">
        <v>2444</v>
      </c>
      <c r="I214" s="21">
        <v>30</v>
      </c>
      <c r="J214" s="21">
        <v>18600</v>
      </c>
      <c r="K214" s="21">
        <v>0.03</v>
      </c>
      <c r="L214" s="21">
        <v>18042</v>
      </c>
      <c r="M214" s="25">
        <v>44006</v>
      </c>
      <c r="N214">
        <f>MONTH(Table_36[[#This Row],[Дата заказа]])</f>
        <v>6</v>
      </c>
      <c r="O214">
        <f>WEEKDAY(Table_36[[#This Row],[Дата заказа]])</f>
        <v>4</v>
      </c>
      <c r="P214">
        <f>DAY(Table_36[[#This Row],[Дата заказа]])</f>
        <v>24</v>
      </c>
      <c r="Q214">
        <f>YEAR(Table_36[[#This Row],[Дата заказа]])</f>
        <v>2020</v>
      </c>
      <c r="R214">
        <f>_xlfn.ISOWEEKNUM(Table_36[[#This Row],[Дата заказа]])</f>
        <v>26</v>
      </c>
    </row>
    <row r="215" spans="3:18" ht="15.75" customHeight="1" x14ac:dyDescent="0.2">
      <c r="C215" s="26">
        <v>11</v>
      </c>
      <c r="D215" s="21" t="s">
        <v>2492</v>
      </c>
      <c r="E215" s="21" t="s">
        <v>2446</v>
      </c>
      <c r="F215" s="21" t="s">
        <v>2495</v>
      </c>
      <c r="G215" s="21">
        <v>3197</v>
      </c>
      <c r="H215" s="21" t="s">
        <v>2444</v>
      </c>
      <c r="I215" s="21">
        <v>10</v>
      </c>
      <c r="J215" s="21">
        <v>31970</v>
      </c>
      <c r="K215" s="21">
        <v>0</v>
      </c>
      <c r="L215" s="21">
        <v>31970</v>
      </c>
      <c r="M215" s="25">
        <v>42177</v>
      </c>
      <c r="N215">
        <f>MONTH(Table_36[[#This Row],[Дата заказа]])</f>
        <v>6</v>
      </c>
      <c r="O215">
        <f>WEEKDAY(Table_36[[#This Row],[Дата заказа]])</f>
        <v>2</v>
      </c>
      <c r="P215">
        <f>DAY(Table_36[[#This Row],[Дата заказа]])</f>
        <v>22</v>
      </c>
      <c r="Q215">
        <f>YEAR(Table_36[[#This Row],[Дата заказа]])</f>
        <v>2015</v>
      </c>
      <c r="R215">
        <f>_xlfn.ISOWEEKNUM(Table_36[[#This Row],[Дата заказа]])</f>
        <v>26</v>
      </c>
    </row>
    <row r="216" spans="3:18" ht="15.75" customHeight="1" x14ac:dyDescent="0.2">
      <c r="C216" s="26">
        <v>8</v>
      </c>
      <c r="D216" s="21" t="s">
        <v>2477</v>
      </c>
      <c r="E216" s="21" t="s">
        <v>2454</v>
      </c>
      <c r="F216" s="21" t="s">
        <v>2478</v>
      </c>
      <c r="G216" s="21">
        <v>847</v>
      </c>
      <c r="H216" s="21" t="s">
        <v>2440</v>
      </c>
      <c r="I216" s="21">
        <v>15</v>
      </c>
      <c r="J216" s="21">
        <v>12705</v>
      </c>
      <c r="K216" s="21">
        <v>0</v>
      </c>
      <c r="L216" s="21">
        <v>12705</v>
      </c>
      <c r="M216" s="25">
        <v>43445</v>
      </c>
      <c r="N216">
        <f>MONTH(Table_36[[#This Row],[Дата заказа]])</f>
        <v>12</v>
      </c>
      <c r="O216">
        <f>WEEKDAY(Table_36[[#This Row],[Дата заказа]])</f>
        <v>3</v>
      </c>
      <c r="P216">
        <f>DAY(Table_36[[#This Row],[Дата заказа]])</f>
        <v>11</v>
      </c>
      <c r="Q216">
        <f>YEAR(Table_36[[#This Row],[Дата заказа]])</f>
        <v>2018</v>
      </c>
      <c r="R216">
        <f>_xlfn.ISOWEEKNUM(Table_36[[#This Row],[Дата заказа]])</f>
        <v>50</v>
      </c>
    </row>
    <row r="217" spans="3:18" ht="15.75" customHeight="1" x14ac:dyDescent="0.2">
      <c r="C217" s="26">
        <v>7</v>
      </c>
      <c r="D217" s="21" t="s">
        <v>2437</v>
      </c>
      <c r="E217" s="21" t="s">
        <v>2438</v>
      </c>
      <c r="F217" s="21" t="s">
        <v>2439</v>
      </c>
      <c r="G217" s="21">
        <v>1923</v>
      </c>
      <c r="H217" s="21" t="s">
        <v>2440</v>
      </c>
      <c r="I217" s="21">
        <v>25</v>
      </c>
      <c r="J217" s="21">
        <v>48075</v>
      </c>
      <c r="K217" s="21">
        <v>0.06</v>
      </c>
      <c r="L217" s="21">
        <v>45190.5</v>
      </c>
      <c r="M217" s="25">
        <v>44019</v>
      </c>
      <c r="N217">
        <f>MONTH(Table_36[[#This Row],[Дата заказа]])</f>
        <v>7</v>
      </c>
      <c r="O217">
        <f>WEEKDAY(Table_36[[#This Row],[Дата заказа]])</f>
        <v>3</v>
      </c>
      <c r="P217">
        <f>DAY(Table_36[[#This Row],[Дата заказа]])</f>
        <v>7</v>
      </c>
      <c r="Q217">
        <f>YEAR(Table_36[[#This Row],[Дата заказа]])</f>
        <v>2020</v>
      </c>
      <c r="R217">
        <f>_xlfn.ISOWEEKNUM(Table_36[[#This Row],[Дата заказа]])</f>
        <v>28</v>
      </c>
    </row>
    <row r="218" spans="3:18" ht="15.75" customHeight="1" x14ac:dyDescent="0.2">
      <c r="C218" s="26">
        <v>23</v>
      </c>
      <c r="D218" s="21" t="s">
        <v>2473</v>
      </c>
      <c r="E218" s="21" t="s">
        <v>2448</v>
      </c>
      <c r="F218" s="21" t="s">
        <v>2474</v>
      </c>
      <c r="G218" s="21">
        <v>2645</v>
      </c>
      <c r="H218" s="21" t="s">
        <v>2444</v>
      </c>
      <c r="I218" s="21">
        <v>50</v>
      </c>
      <c r="J218" s="21">
        <v>132250</v>
      </c>
      <c r="K218" s="21">
        <v>0.15</v>
      </c>
      <c r="L218" s="21">
        <v>112412.5</v>
      </c>
      <c r="M218" s="25">
        <v>43255</v>
      </c>
      <c r="N218">
        <f>MONTH(Table_36[[#This Row],[Дата заказа]])</f>
        <v>6</v>
      </c>
      <c r="O218">
        <f>WEEKDAY(Table_36[[#This Row],[Дата заказа]])</f>
        <v>2</v>
      </c>
      <c r="P218">
        <f>DAY(Table_36[[#This Row],[Дата заказа]])</f>
        <v>4</v>
      </c>
      <c r="Q218">
        <f>YEAR(Table_36[[#This Row],[Дата заказа]])</f>
        <v>2018</v>
      </c>
      <c r="R218">
        <f>_xlfn.ISOWEEKNUM(Table_36[[#This Row],[Дата заказа]])</f>
        <v>23</v>
      </c>
    </row>
    <row r="219" spans="3:18" ht="15.75" customHeight="1" x14ac:dyDescent="0.2">
      <c r="C219" s="26">
        <v>2</v>
      </c>
      <c r="D219" s="21" t="s">
        <v>2500</v>
      </c>
      <c r="E219" s="21" t="s">
        <v>2446</v>
      </c>
      <c r="F219" s="21" t="s">
        <v>2501</v>
      </c>
      <c r="G219" s="21">
        <v>1178</v>
      </c>
      <c r="H219" s="21" t="s">
        <v>2444</v>
      </c>
      <c r="I219" s="21">
        <v>10</v>
      </c>
      <c r="J219" s="21">
        <v>11780</v>
      </c>
      <c r="K219" s="21">
        <v>0</v>
      </c>
      <c r="L219" s="21">
        <v>11780</v>
      </c>
      <c r="M219" s="25">
        <v>42236</v>
      </c>
      <c r="N219">
        <f>MONTH(Table_36[[#This Row],[Дата заказа]])</f>
        <v>8</v>
      </c>
      <c r="O219">
        <f>WEEKDAY(Table_36[[#This Row],[Дата заказа]])</f>
        <v>5</v>
      </c>
      <c r="P219">
        <f>DAY(Table_36[[#This Row],[Дата заказа]])</f>
        <v>20</v>
      </c>
      <c r="Q219">
        <f>YEAR(Table_36[[#This Row],[Дата заказа]])</f>
        <v>2015</v>
      </c>
      <c r="R219">
        <f>_xlfn.ISOWEEKNUM(Table_36[[#This Row],[Дата заказа]])</f>
        <v>34</v>
      </c>
    </row>
    <row r="220" spans="3:18" ht="15.75" customHeight="1" x14ac:dyDescent="0.2">
      <c r="C220" s="26">
        <v>10</v>
      </c>
      <c r="D220" s="21" t="s">
        <v>2451</v>
      </c>
      <c r="E220" s="21" t="s">
        <v>2438</v>
      </c>
      <c r="F220" s="21" t="s">
        <v>2452</v>
      </c>
      <c r="G220" s="21">
        <v>800</v>
      </c>
      <c r="H220" s="21" t="s">
        <v>2440</v>
      </c>
      <c r="I220" s="21">
        <v>25</v>
      </c>
      <c r="J220" s="21">
        <v>20000</v>
      </c>
      <c r="K220" s="21">
        <v>0.03</v>
      </c>
      <c r="L220" s="21">
        <v>19400</v>
      </c>
      <c r="M220" s="25">
        <v>42543</v>
      </c>
      <c r="N220">
        <f>MONTH(Table_36[[#This Row],[Дата заказа]])</f>
        <v>6</v>
      </c>
      <c r="O220">
        <f>WEEKDAY(Table_36[[#This Row],[Дата заказа]])</f>
        <v>4</v>
      </c>
      <c r="P220">
        <f>DAY(Table_36[[#This Row],[Дата заказа]])</f>
        <v>22</v>
      </c>
      <c r="Q220">
        <f>YEAR(Table_36[[#This Row],[Дата заказа]])</f>
        <v>2016</v>
      </c>
      <c r="R220">
        <f>_xlfn.ISOWEEKNUM(Table_36[[#This Row],[Дата заказа]])</f>
        <v>25</v>
      </c>
    </row>
    <row r="221" spans="3:18" ht="15.75" customHeight="1" x14ac:dyDescent="0.2">
      <c r="C221" s="26">
        <v>52</v>
      </c>
      <c r="D221" s="21" t="s">
        <v>2483</v>
      </c>
      <c r="E221" s="21" t="s">
        <v>2446</v>
      </c>
      <c r="F221" s="21" t="s">
        <v>2484</v>
      </c>
      <c r="G221" s="21">
        <v>1182</v>
      </c>
      <c r="H221" s="21" t="s">
        <v>2440</v>
      </c>
      <c r="I221" s="21">
        <v>17</v>
      </c>
      <c r="J221" s="21">
        <v>20094</v>
      </c>
      <c r="K221" s="21">
        <v>0.03</v>
      </c>
      <c r="L221" s="21">
        <v>19491.18</v>
      </c>
      <c r="M221" s="25">
        <v>43925</v>
      </c>
      <c r="N221">
        <f>MONTH(Table_36[[#This Row],[Дата заказа]])</f>
        <v>4</v>
      </c>
      <c r="O221">
        <f>WEEKDAY(Table_36[[#This Row],[Дата заказа]])</f>
        <v>7</v>
      </c>
      <c r="P221">
        <f>DAY(Table_36[[#This Row],[Дата заказа]])</f>
        <v>4</v>
      </c>
      <c r="Q221">
        <f>YEAR(Table_36[[#This Row],[Дата заказа]])</f>
        <v>2020</v>
      </c>
      <c r="R221">
        <f>_xlfn.ISOWEEKNUM(Table_36[[#This Row],[Дата заказа]])</f>
        <v>14</v>
      </c>
    </row>
    <row r="222" spans="3:18" ht="15.75" customHeight="1" x14ac:dyDescent="0.2">
      <c r="C222" s="26">
        <v>16</v>
      </c>
      <c r="D222" s="21" t="s">
        <v>2504</v>
      </c>
      <c r="E222" s="21" t="s">
        <v>2505</v>
      </c>
      <c r="F222" s="21" t="s">
        <v>2506</v>
      </c>
      <c r="G222" s="21">
        <v>843</v>
      </c>
      <c r="H222" s="21" t="s">
        <v>2444</v>
      </c>
      <c r="I222" s="21">
        <v>5</v>
      </c>
      <c r="J222" s="21">
        <v>4215</v>
      </c>
      <c r="K222" s="21">
        <v>0</v>
      </c>
      <c r="L222" s="21">
        <v>4215</v>
      </c>
      <c r="M222" s="25">
        <v>42194</v>
      </c>
      <c r="N222">
        <f>MONTH(Table_36[[#This Row],[Дата заказа]])</f>
        <v>7</v>
      </c>
      <c r="O222">
        <f>WEEKDAY(Table_36[[#This Row],[Дата заказа]])</f>
        <v>5</v>
      </c>
      <c r="P222">
        <f>DAY(Table_36[[#This Row],[Дата заказа]])</f>
        <v>9</v>
      </c>
      <c r="Q222">
        <f>YEAR(Table_36[[#This Row],[Дата заказа]])</f>
        <v>2015</v>
      </c>
      <c r="R222">
        <f>_xlfn.ISOWEEKNUM(Table_36[[#This Row],[Дата заказа]])</f>
        <v>28</v>
      </c>
    </row>
    <row r="223" spans="3:18" ht="15.75" customHeight="1" x14ac:dyDescent="0.2">
      <c r="C223" s="26">
        <v>56</v>
      </c>
      <c r="D223" s="21" t="s">
        <v>2451</v>
      </c>
      <c r="E223" s="21" t="s">
        <v>2438</v>
      </c>
      <c r="F223" s="21" t="s">
        <v>2452</v>
      </c>
      <c r="G223" s="21">
        <v>800</v>
      </c>
      <c r="H223" s="21" t="s">
        <v>2440</v>
      </c>
      <c r="I223" s="21">
        <v>40</v>
      </c>
      <c r="J223" s="21">
        <v>32000</v>
      </c>
      <c r="K223" s="21">
        <v>0.03</v>
      </c>
      <c r="L223" s="21">
        <v>31040</v>
      </c>
      <c r="M223" s="25">
        <v>42528</v>
      </c>
      <c r="N223">
        <f>MONTH(Table_36[[#This Row],[Дата заказа]])</f>
        <v>6</v>
      </c>
      <c r="O223">
        <f>WEEKDAY(Table_36[[#This Row],[Дата заказа]])</f>
        <v>3</v>
      </c>
      <c r="P223">
        <f>DAY(Table_36[[#This Row],[Дата заказа]])</f>
        <v>7</v>
      </c>
      <c r="Q223">
        <f>YEAR(Table_36[[#This Row],[Дата заказа]])</f>
        <v>2016</v>
      </c>
      <c r="R223">
        <f>_xlfn.ISOWEEKNUM(Table_36[[#This Row],[Дата заказа]])</f>
        <v>23</v>
      </c>
    </row>
    <row r="224" spans="3:18" ht="15.75" customHeight="1" x14ac:dyDescent="0.2">
      <c r="C224" s="26">
        <v>9</v>
      </c>
      <c r="D224" s="21" t="s">
        <v>2447</v>
      </c>
      <c r="E224" s="21" t="s">
        <v>2448</v>
      </c>
      <c r="F224" s="21" t="s">
        <v>2448</v>
      </c>
      <c r="G224" s="21">
        <v>699</v>
      </c>
      <c r="H224" s="21" t="s">
        <v>2444</v>
      </c>
      <c r="I224" s="21">
        <v>10</v>
      </c>
      <c r="J224" s="21">
        <v>6990</v>
      </c>
      <c r="K224" s="21">
        <v>0</v>
      </c>
      <c r="L224" s="21">
        <v>6990</v>
      </c>
      <c r="M224" s="25">
        <v>43329</v>
      </c>
      <c r="N224">
        <f>MONTH(Table_36[[#This Row],[Дата заказа]])</f>
        <v>8</v>
      </c>
      <c r="O224">
        <f>WEEKDAY(Table_36[[#This Row],[Дата заказа]])</f>
        <v>6</v>
      </c>
      <c r="P224">
        <f>DAY(Table_36[[#This Row],[Дата заказа]])</f>
        <v>17</v>
      </c>
      <c r="Q224">
        <f>YEAR(Table_36[[#This Row],[Дата заказа]])</f>
        <v>2018</v>
      </c>
      <c r="R224">
        <f>_xlfn.ISOWEEKNUM(Table_36[[#This Row],[Дата заказа]])</f>
        <v>33</v>
      </c>
    </row>
    <row r="225" spans="3:18" ht="15.75" customHeight="1" x14ac:dyDescent="0.2">
      <c r="C225" s="26">
        <v>3</v>
      </c>
      <c r="D225" s="21" t="s">
        <v>2445</v>
      </c>
      <c r="E225" s="21" t="s">
        <v>2446</v>
      </c>
      <c r="F225" s="21" t="s">
        <v>2446</v>
      </c>
      <c r="G225" s="21">
        <v>807</v>
      </c>
      <c r="H225" s="21" t="s">
        <v>2440</v>
      </c>
      <c r="I225" s="21">
        <v>18</v>
      </c>
      <c r="J225" s="21">
        <v>14526</v>
      </c>
      <c r="K225" s="21">
        <v>0</v>
      </c>
      <c r="L225" s="21">
        <v>14526</v>
      </c>
      <c r="M225" s="25">
        <v>42352</v>
      </c>
      <c r="N225">
        <f>MONTH(Table_36[[#This Row],[Дата заказа]])</f>
        <v>12</v>
      </c>
      <c r="O225">
        <f>WEEKDAY(Table_36[[#This Row],[Дата заказа]])</f>
        <v>2</v>
      </c>
      <c r="P225">
        <f>DAY(Table_36[[#This Row],[Дата заказа]])</f>
        <v>14</v>
      </c>
      <c r="Q225">
        <f>YEAR(Table_36[[#This Row],[Дата заказа]])</f>
        <v>2015</v>
      </c>
      <c r="R225">
        <f>_xlfn.ISOWEEKNUM(Table_36[[#This Row],[Дата заказа]])</f>
        <v>51</v>
      </c>
    </row>
    <row r="226" spans="3:18" ht="15.75" customHeight="1" x14ac:dyDescent="0.2">
      <c r="C226" s="26">
        <v>23</v>
      </c>
      <c r="D226" s="21" t="s">
        <v>2473</v>
      </c>
      <c r="E226" s="21" t="s">
        <v>2448</v>
      </c>
      <c r="F226" s="21" t="s">
        <v>2474</v>
      </c>
      <c r="G226" s="21">
        <v>2645</v>
      </c>
      <c r="H226" s="21" t="s">
        <v>2444</v>
      </c>
      <c r="I226" s="21">
        <v>50</v>
      </c>
      <c r="J226" s="21">
        <v>132250</v>
      </c>
      <c r="K226" s="21">
        <v>0.15</v>
      </c>
      <c r="L226" s="21">
        <v>112412.5</v>
      </c>
      <c r="M226" s="25">
        <v>43471</v>
      </c>
      <c r="N226">
        <f>MONTH(Table_36[[#This Row],[Дата заказа]])</f>
        <v>1</v>
      </c>
      <c r="O226">
        <f>WEEKDAY(Table_36[[#This Row],[Дата заказа]])</f>
        <v>1</v>
      </c>
      <c r="P226">
        <f>DAY(Table_36[[#This Row],[Дата заказа]])</f>
        <v>6</v>
      </c>
      <c r="Q226">
        <f>YEAR(Table_36[[#This Row],[Дата заказа]])</f>
        <v>2019</v>
      </c>
      <c r="R226">
        <f>_xlfn.ISOWEEKNUM(Table_36[[#This Row],[Дата заказа]])</f>
        <v>1</v>
      </c>
    </row>
    <row r="227" spans="3:18" ht="15.75" customHeight="1" x14ac:dyDescent="0.2">
      <c r="C227" s="26">
        <v>8</v>
      </c>
      <c r="D227" s="21" t="s">
        <v>2477</v>
      </c>
      <c r="E227" s="21" t="s">
        <v>2454</v>
      </c>
      <c r="F227" s="21" t="s">
        <v>2478</v>
      </c>
      <c r="G227" s="21">
        <v>847</v>
      </c>
      <c r="H227" s="21" t="s">
        <v>2440</v>
      </c>
      <c r="I227" s="21">
        <v>15</v>
      </c>
      <c r="J227" s="21">
        <v>12705</v>
      </c>
      <c r="K227" s="21">
        <v>0</v>
      </c>
      <c r="L227" s="21">
        <v>12705</v>
      </c>
      <c r="M227" s="25">
        <v>42946</v>
      </c>
      <c r="N227">
        <f>MONTH(Table_36[[#This Row],[Дата заказа]])</f>
        <v>7</v>
      </c>
      <c r="O227">
        <f>WEEKDAY(Table_36[[#This Row],[Дата заказа]])</f>
        <v>1</v>
      </c>
      <c r="P227">
        <f>DAY(Table_36[[#This Row],[Дата заказа]])</f>
        <v>30</v>
      </c>
      <c r="Q227">
        <f>YEAR(Table_36[[#This Row],[Дата заказа]])</f>
        <v>2017</v>
      </c>
      <c r="R227">
        <f>_xlfn.ISOWEEKNUM(Table_36[[#This Row],[Дата заказа]])</f>
        <v>30</v>
      </c>
    </row>
    <row r="228" spans="3:18" ht="15.75" customHeight="1" x14ac:dyDescent="0.2">
      <c r="C228" s="26">
        <v>54</v>
      </c>
      <c r="D228" s="21" t="s">
        <v>2477</v>
      </c>
      <c r="E228" s="21" t="s">
        <v>2454</v>
      </c>
      <c r="F228" s="21" t="s">
        <v>2478</v>
      </c>
      <c r="G228" s="21">
        <v>847</v>
      </c>
      <c r="H228" s="21" t="s">
        <v>2440</v>
      </c>
      <c r="I228" s="21">
        <v>15</v>
      </c>
      <c r="J228" s="21">
        <v>12705</v>
      </c>
      <c r="K228" s="21">
        <v>0</v>
      </c>
      <c r="L228" s="21">
        <v>12705</v>
      </c>
      <c r="M228" s="25">
        <v>43670</v>
      </c>
      <c r="N228">
        <f>MONTH(Table_36[[#This Row],[Дата заказа]])</f>
        <v>7</v>
      </c>
      <c r="O228">
        <f>WEEKDAY(Table_36[[#This Row],[Дата заказа]])</f>
        <v>4</v>
      </c>
      <c r="P228">
        <f>DAY(Table_36[[#This Row],[Дата заказа]])</f>
        <v>24</v>
      </c>
      <c r="Q228">
        <f>YEAR(Table_36[[#This Row],[Дата заказа]])</f>
        <v>2019</v>
      </c>
      <c r="R228">
        <f>_xlfn.ISOWEEKNUM(Table_36[[#This Row],[Дата заказа]])</f>
        <v>30</v>
      </c>
    </row>
    <row r="229" spans="3:18" ht="15.75" customHeight="1" x14ac:dyDescent="0.2">
      <c r="C229" s="26">
        <v>14</v>
      </c>
      <c r="D229" s="21" t="s">
        <v>2475</v>
      </c>
      <c r="E229" s="21" t="s">
        <v>2476</v>
      </c>
      <c r="F229" s="21" t="s">
        <v>2476</v>
      </c>
      <c r="G229" s="21">
        <v>770</v>
      </c>
      <c r="H229" s="21" t="s">
        <v>2440</v>
      </c>
      <c r="I229" s="21">
        <v>20</v>
      </c>
      <c r="J229" s="21">
        <v>15400</v>
      </c>
      <c r="K229" s="21">
        <v>0.03</v>
      </c>
      <c r="L229" s="21">
        <v>14938</v>
      </c>
      <c r="M229" s="25">
        <v>43319</v>
      </c>
      <c r="N229">
        <f>MONTH(Table_36[[#This Row],[Дата заказа]])</f>
        <v>8</v>
      </c>
      <c r="O229">
        <f>WEEKDAY(Table_36[[#This Row],[Дата заказа]])</f>
        <v>3</v>
      </c>
      <c r="P229">
        <f>DAY(Table_36[[#This Row],[Дата заказа]])</f>
        <v>7</v>
      </c>
      <c r="Q229">
        <f>YEAR(Table_36[[#This Row],[Дата заказа]])</f>
        <v>2018</v>
      </c>
      <c r="R229">
        <f>_xlfn.ISOWEEKNUM(Table_36[[#This Row],[Дата заказа]])</f>
        <v>32</v>
      </c>
    </row>
    <row r="230" spans="3:18" ht="15.75" customHeight="1" x14ac:dyDescent="0.2">
      <c r="C230" s="26">
        <v>47</v>
      </c>
      <c r="D230" s="21" t="s">
        <v>2461</v>
      </c>
      <c r="E230" s="21" t="s">
        <v>2462</v>
      </c>
      <c r="F230" s="21" t="s">
        <v>2463</v>
      </c>
      <c r="G230" s="21">
        <v>1994</v>
      </c>
      <c r="H230" s="21" t="s">
        <v>2444</v>
      </c>
      <c r="I230" s="21">
        <v>12</v>
      </c>
      <c r="J230" s="21">
        <v>23928</v>
      </c>
      <c r="K230" s="21">
        <v>0.03</v>
      </c>
      <c r="L230" s="21">
        <v>23210.16</v>
      </c>
      <c r="M230" s="25">
        <v>43091</v>
      </c>
      <c r="N230">
        <f>MONTH(Table_36[[#This Row],[Дата заказа]])</f>
        <v>12</v>
      </c>
      <c r="O230">
        <f>WEEKDAY(Table_36[[#This Row],[Дата заказа]])</f>
        <v>6</v>
      </c>
      <c r="P230">
        <f>DAY(Table_36[[#This Row],[Дата заказа]])</f>
        <v>22</v>
      </c>
      <c r="Q230">
        <f>YEAR(Table_36[[#This Row],[Дата заказа]])</f>
        <v>2017</v>
      </c>
      <c r="R230">
        <f>_xlfn.ISOWEEKNUM(Table_36[[#This Row],[Дата заказа]])</f>
        <v>51</v>
      </c>
    </row>
    <row r="231" spans="3:18" ht="15.75" customHeight="1" x14ac:dyDescent="0.2">
      <c r="C231" s="26">
        <v>19</v>
      </c>
      <c r="D231" s="21" t="s">
        <v>2488</v>
      </c>
      <c r="E231" s="21" t="s">
        <v>2454</v>
      </c>
      <c r="F231" s="21" t="s">
        <v>2489</v>
      </c>
      <c r="G231" s="21">
        <v>1879</v>
      </c>
      <c r="H231" s="21" t="s">
        <v>2440</v>
      </c>
      <c r="I231" s="21">
        <v>15</v>
      </c>
      <c r="J231" s="21">
        <v>28185</v>
      </c>
      <c r="K231" s="21">
        <v>0.03</v>
      </c>
      <c r="L231" s="21">
        <v>27339.45</v>
      </c>
      <c r="M231" s="25">
        <v>42475</v>
      </c>
      <c r="N231">
        <f>MONTH(Table_36[[#This Row],[Дата заказа]])</f>
        <v>4</v>
      </c>
      <c r="O231">
        <f>WEEKDAY(Table_36[[#This Row],[Дата заказа]])</f>
        <v>6</v>
      </c>
      <c r="P231">
        <f>DAY(Table_36[[#This Row],[Дата заказа]])</f>
        <v>15</v>
      </c>
      <c r="Q231">
        <f>YEAR(Table_36[[#This Row],[Дата заказа]])</f>
        <v>2016</v>
      </c>
      <c r="R231">
        <f>_xlfn.ISOWEEKNUM(Table_36[[#This Row],[Дата заказа]])</f>
        <v>15</v>
      </c>
    </row>
    <row r="232" spans="3:18" ht="15.75" customHeight="1" x14ac:dyDescent="0.2">
      <c r="C232" s="26">
        <v>50</v>
      </c>
      <c r="D232" s="21" t="s">
        <v>2481</v>
      </c>
      <c r="E232" s="21" t="s">
        <v>2454</v>
      </c>
      <c r="F232" s="21" t="s">
        <v>2482</v>
      </c>
      <c r="G232" s="21">
        <v>912</v>
      </c>
      <c r="H232" s="21" t="s">
        <v>2440</v>
      </c>
      <c r="I232" s="21">
        <v>20</v>
      </c>
      <c r="J232" s="21">
        <v>18240</v>
      </c>
      <c r="K232" s="21">
        <v>0</v>
      </c>
      <c r="L232" s="21">
        <v>18240</v>
      </c>
      <c r="M232" s="25">
        <v>43511</v>
      </c>
      <c r="N232">
        <f>MONTH(Table_36[[#This Row],[Дата заказа]])</f>
        <v>2</v>
      </c>
      <c r="O232">
        <f>WEEKDAY(Table_36[[#This Row],[Дата заказа]])</f>
        <v>6</v>
      </c>
      <c r="P232">
        <f>DAY(Table_36[[#This Row],[Дата заказа]])</f>
        <v>15</v>
      </c>
      <c r="Q232">
        <f>YEAR(Table_36[[#This Row],[Дата заказа]])</f>
        <v>2019</v>
      </c>
      <c r="R232">
        <f>_xlfn.ISOWEEKNUM(Table_36[[#This Row],[Дата заказа]])</f>
        <v>7</v>
      </c>
    </row>
    <row r="233" spans="3:18" ht="15.75" customHeight="1" x14ac:dyDescent="0.2">
      <c r="C233" s="26">
        <v>5</v>
      </c>
      <c r="D233" s="21" t="s">
        <v>2483</v>
      </c>
      <c r="E233" s="21" t="s">
        <v>2446</v>
      </c>
      <c r="F233" s="21" t="s">
        <v>2484</v>
      </c>
      <c r="G233" s="21">
        <v>1182</v>
      </c>
      <c r="H233" s="21" t="s">
        <v>2440</v>
      </c>
      <c r="I233" s="21">
        <v>17</v>
      </c>
      <c r="J233" s="21">
        <v>20094</v>
      </c>
      <c r="K233" s="21">
        <v>0.03</v>
      </c>
      <c r="L233" s="21">
        <v>19491.18</v>
      </c>
      <c r="M233" s="25">
        <v>43330</v>
      </c>
      <c r="N233">
        <f>MONTH(Table_36[[#This Row],[Дата заказа]])</f>
        <v>8</v>
      </c>
      <c r="O233">
        <f>WEEKDAY(Table_36[[#This Row],[Дата заказа]])</f>
        <v>7</v>
      </c>
      <c r="P233">
        <f>DAY(Table_36[[#This Row],[Дата заказа]])</f>
        <v>18</v>
      </c>
      <c r="Q233">
        <f>YEAR(Table_36[[#This Row],[Дата заказа]])</f>
        <v>2018</v>
      </c>
      <c r="R233">
        <f>_xlfn.ISOWEEKNUM(Table_36[[#This Row],[Дата заказа]])</f>
        <v>33</v>
      </c>
    </row>
    <row r="234" spans="3:18" ht="15.75" customHeight="1" x14ac:dyDescent="0.2">
      <c r="C234" s="26">
        <v>13</v>
      </c>
      <c r="D234" s="21" t="s">
        <v>2507</v>
      </c>
      <c r="E234" s="21" t="s">
        <v>2446</v>
      </c>
      <c r="F234" s="21" t="s">
        <v>2493</v>
      </c>
      <c r="G234" s="21">
        <v>759</v>
      </c>
      <c r="H234" s="21" t="s">
        <v>2444</v>
      </c>
      <c r="I234" s="21">
        <v>14</v>
      </c>
      <c r="J234" s="21">
        <v>10626</v>
      </c>
      <c r="K234" s="21">
        <v>0</v>
      </c>
      <c r="L234" s="21">
        <v>10626</v>
      </c>
      <c r="M234" s="25">
        <v>42818</v>
      </c>
      <c r="N234">
        <f>MONTH(Table_36[[#This Row],[Дата заказа]])</f>
        <v>3</v>
      </c>
      <c r="O234">
        <f>WEEKDAY(Table_36[[#This Row],[Дата заказа]])</f>
        <v>6</v>
      </c>
      <c r="P234">
        <f>DAY(Table_36[[#This Row],[Дата заказа]])</f>
        <v>24</v>
      </c>
      <c r="Q234">
        <f>YEAR(Table_36[[#This Row],[Дата заказа]])</f>
        <v>2017</v>
      </c>
      <c r="R234">
        <f>_xlfn.ISOWEEKNUM(Table_36[[#This Row],[Дата заказа]])</f>
        <v>12</v>
      </c>
    </row>
    <row r="235" spans="3:18" ht="15.75" customHeight="1" x14ac:dyDescent="0.2">
      <c r="C235" s="26">
        <v>11</v>
      </c>
      <c r="D235" s="21" t="s">
        <v>2492</v>
      </c>
      <c r="E235" s="21" t="s">
        <v>2446</v>
      </c>
      <c r="F235" s="21" t="s">
        <v>2495</v>
      </c>
      <c r="G235" s="21">
        <v>3197</v>
      </c>
      <c r="H235" s="21" t="s">
        <v>2444</v>
      </c>
      <c r="I235" s="21">
        <v>10</v>
      </c>
      <c r="J235" s="21">
        <v>31970</v>
      </c>
      <c r="K235" s="21">
        <v>0</v>
      </c>
      <c r="L235" s="21">
        <v>31970</v>
      </c>
      <c r="M235" s="25">
        <v>42741</v>
      </c>
      <c r="N235">
        <f>MONTH(Table_36[[#This Row],[Дата заказа]])</f>
        <v>1</v>
      </c>
      <c r="O235">
        <f>WEEKDAY(Table_36[[#This Row],[Дата заказа]])</f>
        <v>6</v>
      </c>
      <c r="P235">
        <f>DAY(Table_36[[#This Row],[Дата заказа]])</f>
        <v>6</v>
      </c>
      <c r="Q235">
        <f>YEAR(Table_36[[#This Row],[Дата заказа]])</f>
        <v>2017</v>
      </c>
      <c r="R235">
        <f>_xlfn.ISOWEEKNUM(Table_36[[#This Row],[Дата заказа]])</f>
        <v>1</v>
      </c>
    </row>
    <row r="236" spans="3:18" ht="15.75" customHeight="1" x14ac:dyDescent="0.2">
      <c r="C236" s="26">
        <v>5</v>
      </c>
      <c r="D236" s="21" t="s">
        <v>2483</v>
      </c>
      <c r="E236" s="21" t="s">
        <v>2446</v>
      </c>
      <c r="F236" s="21" t="s">
        <v>2484</v>
      </c>
      <c r="G236" s="21">
        <v>1182</v>
      </c>
      <c r="H236" s="21" t="s">
        <v>2440</v>
      </c>
      <c r="I236" s="21">
        <v>17</v>
      </c>
      <c r="J236" s="21">
        <v>20094</v>
      </c>
      <c r="K236" s="21">
        <v>0.03</v>
      </c>
      <c r="L236" s="21">
        <v>19491.18</v>
      </c>
      <c r="M236" s="25">
        <v>43693</v>
      </c>
      <c r="N236">
        <f>MONTH(Table_36[[#This Row],[Дата заказа]])</f>
        <v>8</v>
      </c>
      <c r="O236">
        <f>WEEKDAY(Table_36[[#This Row],[Дата заказа]])</f>
        <v>6</v>
      </c>
      <c r="P236">
        <f>DAY(Table_36[[#This Row],[Дата заказа]])</f>
        <v>16</v>
      </c>
      <c r="Q236">
        <f>YEAR(Table_36[[#This Row],[Дата заказа]])</f>
        <v>2019</v>
      </c>
      <c r="R236">
        <f>_xlfn.ISOWEEKNUM(Table_36[[#This Row],[Дата заказа]])</f>
        <v>33</v>
      </c>
    </row>
    <row r="237" spans="3:18" ht="15.75" customHeight="1" x14ac:dyDescent="0.2">
      <c r="C237" s="26">
        <v>37</v>
      </c>
      <c r="D237" s="21" t="s">
        <v>2449</v>
      </c>
      <c r="E237" s="21" t="s">
        <v>2448</v>
      </c>
      <c r="F237" s="21" t="s">
        <v>2450</v>
      </c>
      <c r="G237" s="21">
        <v>2211</v>
      </c>
      <c r="H237" s="21" t="s">
        <v>2444</v>
      </c>
      <c r="I237" s="21">
        <v>25</v>
      </c>
      <c r="J237" s="21">
        <v>55275</v>
      </c>
      <c r="K237" s="21">
        <v>0.09</v>
      </c>
      <c r="L237" s="21">
        <v>50300.25</v>
      </c>
      <c r="M237" s="25">
        <v>42370</v>
      </c>
      <c r="N237">
        <f>MONTH(Table_36[[#This Row],[Дата заказа]])</f>
        <v>1</v>
      </c>
      <c r="O237">
        <f>WEEKDAY(Table_36[[#This Row],[Дата заказа]])</f>
        <v>6</v>
      </c>
      <c r="P237">
        <f>DAY(Table_36[[#This Row],[Дата заказа]])</f>
        <v>1</v>
      </c>
      <c r="Q237">
        <f>YEAR(Table_36[[#This Row],[Дата заказа]])</f>
        <v>2016</v>
      </c>
      <c r="R237">
        <f>_xlfn.ISOWEEKNUM(Table_36[[#This Row],[Дата заказа]])</f>
        <v>53</v>
      </c>
    </row>
    <row r="238" spans="3:18" ht="15.75" customHeight="1" x14ac:dyDescent="0.2">
      <c r="C238" s="26">
        <v>20</v>
      </c>
      <c r="D238" s="21" t="s">
        <v>2467</v>
      </c>
      <c r="E238" s="21" t="s">
        <v>2457</v>
      </c>
      <c r="F238" s="21" t="s">
        <v>2468</v>
      </c>
      <c r="G238" s="21">
        <v>2198</v>
      </c>
      <c r="H238" s="21" t="s">
        <v>2444</v>
      </c>
      <c r="I238" s="21">
        <v>35</v>
      </c>
      <c r="J238" s="21">
        <v>76930</v>
      </c>
      <c r="K238" s="21">
        <v>0.12</v>
      </c>
      <c r="L238" s="21">
        <v>67698.399999999994</v>
      </c>
      <c r="M238" s="25">
        <v>42675</v>
      </c>
      <c r="N238">
        <f>MONTH(Table_36[[#This Row],[Дата заказа]])</f>
        <v>11</v>
      </c>
      <c r="O238">
        <f>WEEKDAY(Table_36[[#This Row],[Дата заказа]])</f>
        <v>3</v>
      </c>
      <c r="P238">
        <f>DAY(Table_36[[#This Row],[Дата заказа]])</f>
        <v>1</v>
      </c>
      <c r="Q238">
        <f>YEAR(Table_36[[#This Row],[Дата заказа]])</f>
        <v>2016</v>
      </c>
      <c r="R238">
        <f>_xlfn.ISOWEEKNUM(Table_36[[#This Row],[Дата заказа]])</f>
        <v>44</v>
      </c>
    </row>
    <row r="239" spans="3:18" ht="15.75" customHeight="1" x14ac:dyDescent="0.2">
      <c r="C239" s="26">
        <v>16</v>
      </c>
      <c r="D239" s="21" t="s">
        <v>2504</v>
      </c>
      <c r="E239" s="21" t="s">
        <v>2505</v>
      </c>
      <c r="F239" s="21" t="s">
        <v>2506</v>
      </c>
      <c r="G239" s="21">
        <v>843</v>
      </c>
      <c r="H239" s="21" t="s">
        <v>2444</v>
      </c>
      <c r="I239" s="21">
        <v>5</v>
      </c>
      <c r="J239" s="21">
        <v>4215</v>
      </c>
      <c r="K239" s="21">
        <v>0</v>
      </c>
      <c r="L239" s="21">
        <v>4215</v>
      </c>
      <c r="M239" s="25">
        <v>42776</v>
      </c>
      <c r="N239">
        <f>MONTH(Table_36[[#This Row],[Дата заказа]])</f>
        <v>2</v>
      </c>
      <c r="O239">
        <f>WEEKDAY(Table_36[[#This Row],[Дата заказа]])</f>
        <v>6</v>
      </c>
      <c r="P239">
        <f>DAY(Table_36[[#This Row],[Дата заказа]])</f>
        <v>10</v>
      </c>
      <c r="Q239">
        <f>YEAR(Table_36[[#This Row],[Дата заказа]])</f>
        <v>2017</v>
      </c>
      <c r="R239">
        <f>_xlfn.ISOWEEKNUM(Table_36[[#This Row],[Дата заказа]])</f>
        <v>6</v>
      </c>
    </row>
    <row r="240" spans="3:18" ht="15.75" customHeight="1" x14ac:dyDescent="0.2">
      <c r="C240" s="26">
        <v>16</v>
      </c>
      <c r="D240" s="21" t="s">
        <v>2504</v>
      </c>
      <c r="E240" s="21" t="s">
        <v>2505</v>
      </c>
      <c r="F240" s="21" t="s">
        <v>2506</v>
      </c>
      <c r="G240" s="21">
        <v>843</v>
      </c>
      <c r="H240" s="21" t="s">
        <v>2444</v>
      </c>
      <c r="I240" s="21">
        <v>5</v>
      </c>
      <c r="J240" s="21">
        <v>4215</v>
      </c>
      <c r="K240" s="21">
        <v>0</v>
      </c>
      <c r="L240" s="21">
        <v>4215</v>
      </c>
      <c r="M240" s="25">
        <v>43220</v>
      </c>
      <c r="N240">
        <f>MONTH(Table_36[[#This Row],[Дата заказа]])</f>
        <v>4</v>
      </c>
      <c r="O240">
        <f>WEEKDAY(Table_36[[#This Row],[Дата заказа]])</f>
        <v>2</v>
      </c>
      <c r="P240">
        <f>DAY(Table_36[[#This Row],[Дата заказа]])</f>
        <v>30</v>
      </c>
      <c r="Q240">
        <f>YEAR(Table_36[[#This Row],[Дата заказа]])</f>
        <v>2018</v>
      </c>
      <c r="R240">
        <f>_xlfn.ISOWEEKNUM(Table_36[[#This Row],[Дата заказа]])</f>
        <v>18</v>
      </c>
    </row>
    <row r="241" spans="3:18" ht="15.75" customHeight="1" x14ac:dyDescent="0.2">
      <c r="C241" s="26">
        <v>13</v>
      </c>
      <c r="D241" s="21" t="s">
        <v>2507</v>
      </c>
      <c r="E241" s="21" t="s">
        <v>2446</v>
      </c>
      <c r="F241" s="21" t="s">
        <v>2493</v>
      </c>
      <c r="G241" s="21">
        <v>759</v>
      </c>
      <c r="H241" s="21" t="s">
        <v>2444</v>
      </c>
      <c r="I241" s="21">
        <v>14</v>
      </c>
      <c r="J241" s="21">
        <v>10626</v>
      </c>
      <c r="K241" s="21">
        <v>0</v>
      </c>
      <c r="L241" s="21">
        <v>10626</v>
      </c>
      <c r="M241" s="25">
        <v>43105</v>
      </c>
      <c r="N241">
        <f>MONTH(Table_36[[#This Row],[Дата заказа]])</f>
        <v>1</v>
      </c>
      <c r="O241">
        <f>WEEKDAY(Table_36[[#This Row],[Дата заказа]])</f>
        <v>6</v>
      </c>
      <c r="P241">
        <f>DAY(Table_36[[#This Row],[Дата заказа]])</f>
        <v>5</v>
      </c>
      <c r="Q241">
        <f>YEAR(Table_36[[#This Row],[Дата заказа]])</f>
        <v>2018</v>
      </c>
      <c r="R241">
        <f>_xlfn.ISOWEEKNUM(Table_36[[#This Row],[Дата заказа]])</f>
        <v>1</v>
      </c>
    </row>
    <row r="242" spans="3:18" ht="15.75" customHeight="1" x14ac:dyDescent="0.2">
      <c r="C242" s="26">
        <v>17</v>
      </c>
      <c r="D242" s="21" t="s">
        <v>2465</v>
      </c>
      <c r="E242" s="21" t="s">
        <v>2446</v>
      </c>
      <c r="F242" s="21" t="s">
        <v>2466</v>
      </c>
      <c r="G242" s="21">
        <v>967</v>
      </c>
      <c r="H242" s="21" t="s">
        <v>2444</v>
      </c>
      <c r="I242" s="21">
        <v>12</v>
      </c>
      <c r="J242" s="21">
        <v>11604</v>
      </c>
      <c r="K242" s="21">
        <v>0</v>
      </c>
      <c r="L242" s="21">
        <v>11604</v>
      </c>
      <c r="M242" s="25">
        <v>43695</v>
      </c>
      <c r="N242">
        <f>MONTH(Table_36[[#This Row],[Дата заказа]])</f>
        <v>8</v>
      </c>
      <c r="O242">
        <f>WEEKDAY(Table_36[[#This Row],[Дата заказа]])</f>
        <v>1</v>
      </c>
      <c r="P242">
        <f>DAY(Table_36[[#This Row],[Дата заказа]])</f>
        <v>18</v>
      </c>
      <c r="Q242">
        <f>YEAR(Table_36[[#This Row],[Дата заказа]])</f>
        <v>2019</v>
      </c>
      <c r="R242">
        <f>_xlfn.ISOWEEKNUM(Table_36[[#This Row],[Дата заказа]])</f>
        <v>33</v>
      </c>
    </row>
    <row r="243" spans="3:18" ht="15.75" customHeight="1" x14ac:dyDescent="0.2">
      <c r="C243" s="26">
        <v>55</v>
      </c>
      <c r="D243" s="21" t="s">
        <v>2447</v>
      </c>
      <c r="E243" s="21" t="s">
        <v>2448</v>
      </c>
      <c r="F243" s="21" t="s">
        <v>2448</v>
      </c>
      <c r="G243" s="21">
        <v>699</v>
      </c>
      <c r="H243" s="21" t="s">
        <v>2444</v>
      </c>
      <c r="I243" s="21">
        <v>10</v>
      </c>
      <c r="J243" s="21">
        <v>6990</v>
      </c>
      <c r="K243" s="21">
        <v>0</v>
      </c>
      <c r="L243" s="21">
        <v>6990</v>
      </c>
      <c r="M243" s="25">
        <v>42101</v>
      </c>
      <c r="N243">
        <f>MONTH(Table_36[[#This Row],[Дата заказа]])</f>
        <v>4</v>
      </c>
      <c r="O243">
        <f>WEEKDAY(Table_36[[#This Row],[Дата заказа]])</f>
        <v>3</v>
      </c>
      <c r="P243">
        <f>DAY(Table_36[[#This Row],[Дата заказа]])</f>
        <v>7</v>
      </c>
      <c r="Q243">
        <f>YEAR(Table_36[[#This Row],[Дата заказа]])</f>
        <v>2015</v>
      </c>
      <c r="R243">
        <f>_xlfn.ISOWEEKNUM(Table_36[[#This Row],[Дата заказа]])</f>
        <v>15</v>
      </c>
    </row>
    <row r="244" spans="3:18" ht="15.75" customHeight="1" x14ac:dyDescent="0.2">
      <c r="C244" s="26">
        <v>44</v>
      </c>
      <c r="D244" s="21" t="s">
        <v>2453</v>
      </c>
      <c r="E244" s="21" t="s">
        <v>2454</v>
      </c>
      <c r="F244" s="21" t="s">
        <v>2455</v>
      </c>
      <c r="G244" s="21">
        <v>1386</v>
      </c>
      <c r="H244" s="21" t="s">
        <v>2440</v>
      </c>
      <c r="I244" s="21">
        <v>20</v>
      </c>
      <c r="J244" s="21">
        <v>27720</v>
      </c>
      <c r="K244" s="21">
        <v>0.03</v>
      </c>
      <c r="L244" s="21">
        <v>26888.400000000001</v>
      </c>
      <c r="M244" s="25">
        <v>43633</v>
      </c>
      <c r="N244">
        <f>MONTH(Table_36[[#This Row],[Дата заказа]])</f>
        <v>6</v>
      </c>
      <c r="O244">
        <f>WEEKDAY(Table_36[[#This Row],[Дата заказа]])</f>
        <v>2</v>
      </c>
      <c r="P244">
        <f>DAY(Table_36[[#This Row],[Дата заказа]])</f>
        <v>17</v>
      </c>
      <c r="Q244">
        <f>YEAR(Table_36[[#This Row],[Дата заказа]])</f>
        <v>2019</v>
      </c>
      <c r="R244">
        <f>_xlfn.ISOWEEKNUM(Table_36[[#This Row],[Дата заказа]])</f>
        <v>25</v>
      </c>
    </row>
    <row r="245" spans="3:18" ht="15.75" customHeight="1" x14ac:dyDescent="0.2">
      <c r="C245" s="26">
        <v>9</v>
      </c>
      <c r="D245" s="21" t="s">
        <v>2447</v>
      </c>
      <c r="E245" s="21" t="s">
        <v>2448</v>
      </c>
      <c r="F245" s="21" t="s">
        <v>2448</v>
      </c>
      <c r="G245" s="21">
        <v>699</v>
      </c>
      <c r="H245" s="21" t="s">
        <v>2444</v>
      </c>
      <c r="I245" s="21">
        <v>10</v>
      </c>
      <c r="J245" s="21">
        <v>6990</v>
      </c>
      <c r="K245" s="21">
        <v>0</v>
      </c>
      <c r="L245" s="21">
        <v>6990</v>
      </c>
      <c r="M245" s="25">
        <v>43694</v>
      </c>
      <c r="N245">
        <f>MONTH(Table_36[[#This Row],[Дата заказа]])</f>
        <v>8</v>
      </c>
      <c r="O245">
        <f>WEEKDAY(Table_36[[#This Row],[Дата заказа]])</f>
        <v>7</v>
      </c>
      <c r="P245">
        <f>DAY(Table_36[[#This Row],[Дата заказа]])</f>
        <v>17</v>
      </c>
      <c r="Q245">
        <f>YEAR(Table_36[[#This Row],[Дата заказа]])</f>
        <v>2019</v>
      </c>
      <c r="R245">
        <f>_xlfn.ISOWEEKNUM(Table_36[[#This Row],[Дата заказа]])</f>
        <v>33</v>
      </c>
    </row>
    <row r="246" spans="3:18" ht="15.75" customHeight="1" x14ac:dyDescent="0.2">
      <c r="C246" s="26">
        <v>53</v>
      </c>
      <c r="D246" s="21" t="s">
        <v>2437</v>
      </c>
      <c r="E246" s="21" t="s">
        <v>2438</v>
      </c>
      <c r="F246" s="21" t="s">
        <v>2439</v>
      </c>
      <c r="G246" s="21">
        <v>1923</v>
      </c>
      <c r="H246" s="21" t="s">
        <v>2440</v>
      </c>
      <c r="I246" s="21">
        <v>35</v>
      </c>
      <c r="J246" s="21">
        <v>67305</v>
      </c>
      <c r="K246" s="21">
        <v>0.06</v>
      </c>
      <c r="L246" s="21">
        <v>63266.7</v>
      </c>
      <c r="M246" s="25">
        <v>42085</v>
      </c>
      <c r="N246">
        <f>MONTH(Table_36[[#This Row],[Дата заказа]])</f>
        <v>3</v>
      </c>
      <c r="O246">
        <f>WEEKDAY(Table_36[[#This Row],[Дата заказа]])</f>
        <v>1</v>
      </c>
      <c r="P246">
        <f>DAY(Table_36[[#This Row],[Дата заказа]])</f>
        <v>22</v>
      </c>
      <c r="Q246">
        <f>YEAR(Table_36[[#This Row],[Дата заказа]])</f>
        <v>2015</v>
      </c>
      <c r="R246">
        <f>_xlfn.ISOWEEKNUM(Table_36[[#This Row],[Дата заказа]])</f>
        <v>12</v>
      </c>
    </row>
    <row r="247" spans="3:18" ht="15.75" customHeight="1" x14ac:dyDescent="0.2">
      <c r="C247" s="26">
        <v>21</v>
      </c>
      <c r="D247" s="21" t="s">
        <v>2497</v>
      </c>
      <c r="E247" s="21" t="s">
        <v>2442</v>
      </c>
      <c r="F247" s="21" t="s">
        <v>2498</v>
      </c>
      <c r="G247" s="21">
        <v>887</v>
      </c>
      <c r="H247" s="21" t="s">
        <v>2444</v>
      </c>
      <c r="I247" s="21">
        <v>15</v>
      </c>
      <c r="J247" s="21">
        <v>13305</v>
      </c>
      <c r="K247" s="21">
        <v>0</v>
      </c>
      <c r="L247" s="21">
        <v>13305</v>
      </c>
      <c r="M247" s="25">
        <v>42242</v>
      </c>
      <c r="N247">
        <f>MONTH(Table_36[[#This Row],[Дата заказа]])</f>
        <v>8</v>
      </c>
      <c r="O247">
        <f>WEEKDAY(Table_36[[#This Row],[Дата заказа]])</f>
        <v>4</v>
      </c>
      <c r="P247">
        <f>DAY(Table_36[[#This Row],[Дата заказа]])</f>
        <v>26</v>
      </c>
      <c r="Q247">
        <f>YEAR(Table_36[[#This Row],[Дата заказа]])</f>
        <v>2015</v>
      </c>
      <c r="R247">
        <f>_xlfn.ISOWEEKNUM(Table_36[[#This Row],[Дата заказа]])</f>
        <v>35</v>
      </c>
    </row>
    <row r="248" spans="3:18" ht="15.75" customHeight="1" x14ac:dyDescent="0.2">
      <c r="C248" s="26">
        <v>20</v>
      </c>
      <c r="D248" s="21" t="s">
        <v>2467</v>
      </c>
      <c r="E248" s="21" t="s">
        <v>2457</v>
      </c>
      <c r="F248" s="21" t="s">
        <v>2468</v>
      </c>
      <c r="G248" s="21">
        <v>2198</v>
      </c>
      <c r="H248" s="21" t="s">
        <v>2444</v>
      </c>
      <c r="I248" s="21">
        <v>35</v>
      </c>
      <c r="J248" s="21">
        <v>76930</v>
      </c>
      <c r="K248" s="21">
        <v>0.12</v>
      </c>
      <c r="L248" s="21">
        <v>67698.399999999994</v>
      </c>
      <c r="M248" s="25">
        <v>43211</v>
      </c>
      <c r="N248">
        <f>MONTH(Table_36[[#This Row],[Дата заказа]])</f>
        <v>4</v>
      </c>
      <c r="O248">
        <f>WEEKDAY(Table_36[[#This Row],[Дата заказа]])</f>
        <v>7</v>
      </c>
      <c r="P248">
        <f>DAY(Table_36[[#This Row],[Дата заказа]])</f>
        <v>21</v>
      </c>
      <c r="Q248">
        <f>YEAR(Table_36[[#This Row],[Дата заказа]])</f>
        <v>2018</v>
      </c>
      <c r="R248">
        <f>_xlfn.ISOWEEKNUM(Table_36[[#This Row],[Дата заказа]])</f>
        <v>16</v>
      </c>
    </row>
    <row r="249" spans="3:18" ht="15.75" customHeight="1" x14ac:dyDescent="0.2">
      <c r="C249" s="26">
        <v>46</v>
      </c>
      <c r="D249" s="21" t="s">
        <v>2475</v>
      </c>
      <c r="E249" s="21" t="s">
        <v>2476</v>
      </c>
      <c r="F249" s="21" t="s">
        <v>2476</v>
      </c>
      <c r="G249" s="21">
        <v>770</v>
      </c>
      <c r="H249" s="21" t="s">
        <v>2440</v>
      </c>
      <c r="I249" s="21">
        <v>20</v>
      </c>
      <c r="J249" s="21">
        <v>15400</v>
      </c>
      <c r="K249" s="21">
        <v>0.03</v>
      </c>
      <c r="L249" s="21">
        <v>14938</v>
      </c>
      <c r="M249" s="25">
        <v>43200</v>
      </c>
      <c r="N249">
        <f>MONTH(Table_36[[#This Row],[Дата заказа]])</f>
        <v>4</v>
      </c>
      <c r="O249">
        <f>WEEKDAY(Table_36[[#This Row],[Дата заказа]])</f>
        <v>3</v>
      </c>
      <c r="P249">
        <f>DAY(Table_36[[#This Row],[Дата заказа]])</f>
        <v>10</v>
      </c>
      <c r="Q249">
        <f>YEAR(Table_36[[#This Row],[Дата заказа]])</f>
        <v>2018</v>
      </c>
      <c r="R249">
        <f>_xlfn.ISOWEEKNUM(Table_36[[#This Row],[Дата заказа]])</f>
        <v>15</v>
      </c>
    </row>
    <row r="250" spans="3:18" ht="15.75" customHeight="1" x14ac:dyDescent="0.2">
      <c r="C250" s="26">
        <v>1</v>
      </c>
      <c r="D250" s="21" t="s">
        <v>2459</v>
      </c>
      <c r="E250" s="21" t="s">
        <v>2438</v>
      </c>
      <c r="F250" s="21" t="s">
        <v>2460</v>
      </c>
      <c r="G250" s="21">
        <v>876</v>
      </c>
      <c r="H250" s="21" t="s">
        <v>2444</v>
      </c>
      <c r="I250" s="21">
        <v>20</v>
      </c>
      <c r="J250" s="21">
        <v>17520</v>
      </c>
      <c r="K250" s="21">
        <v>0.03</v>
      </c>
      <c r="L250" s="21">
        <v>16994.400000000001</v>
      </c>
      <c r="M250" s="25">
        <v>43427</v>
      </c>
      <c r="N250">
        <f>MONTH(Table_36[[#This Row],[Дата заказа]])</f>
        <v>11</v>
      </c>
      <c r="O250">
        <f>WEEKDAY(Table_36[[#This Row],[Дата заказа]])</f>
        <v>6</v>
      </c>
      <c r="P250">
        <f>DAY(Table_36[[#This Row],[Дата заказа]])</f>
        <v>23</v>
      </c>
      <c r="Q250">
        <f>YEAR(Table_36[[#This Row],[Дата заказа]])</f>
        <v>2018</v>
      </c>
      <c r="R250">
        <f>_xlfn.ISOWEEKNUM(Table_36[[#This Row],[Дата заказа]])</f>
        <v>47</v>
      </c>
    </row>
    <row r="251" spans="3:18" ht="15.75" customHeight="1" x14ac:dyDescent="0.2">
      <c r="C251" s="26">
        <v>28</v>
      </c>
      <c r="D251" s="21" t="s">
        <v>2494</v>
      </c>
      <c r="E251" s="21" t="s">
        <v>2462</v>
      </c>
      <c r="F251" s="21" t="s">
        <v>2491</v>
      </c>
      <c r="G251" s="21">
        <v>1994</v>
      </c>
      <c r="H251" s="21" t="s">
        <v>2444</v>
      </c>
      <c r="I251" s="21">
        <v>40</v>
      </c>
      <c r="J251" s="21">
        <v>79760</v>
      </c>
      <c r="K251" s="21">
        <v>0.12</v>
      </c>
      <c r="L251" s="21">
        <v>70188.800000000003</v>
      </c>
      <c r="M251" s="25">
        <v>42297</v>
      </c>
      <c r="N251">
        <f>MONTH(Table_36[[#This Row],[Дата заказа]])</f>
        <v>10</v>
      </c>
      <c r="O251">
        <f>WEEKDAY(Table_36[[#This Row],[Дата заказа]])</f>
        <v>3</v>
      </c>
      <c r="P251">
        <f>DAY(Table_36[[#This Row],[Дата заказа]])</f>
        <v>20</v>
      </c>
      <c r="Q251">
        <f>YEAR(Table_36[[#This Row],[Дата заказа]])</f>
        <v>2015</v>
      </c>
      <c r="R251">
        <f>_xlfn.ISOWEEKNUM(Table_36[[#This Row],[Дата заказа]])</f>
        <v>43</v>
      </c>
    </row>
    <row r="252" spans="3:18" ht="15.75" customHeight="1" x14ac:dyDescent="0.2">
      <c r="C252" s="26">
        <v>19</v>
      </c>
      <c r="D252" s="21" t="s">
        <v>2488</v>
      </c>
      <c r="E252" s="21" t="s">
        <v>2454</v>
      </c>
      <c r="F252" s="21" t="s">
        <v>2489</v>
      </c>
      <c r="G252" s="21">
        <v>1879</v>
      </c>
      <c r="H252" s="21" t="s">
        <v>2440</v>
      </c>
      <c r="I252" s="21">
        <v>15</v>
      </c>
      <c r="J252" s="21">
        <v>28185</v>
      </c>
      <c r="K252" s="21">
        <v>0.03</v>
      </c>
      <c r="L252" s="21">
        <v>27339.45</v>
      </c>
      <c r="M252" s="25">
        <v>42256</v>
      </c>
      <c r="N252">
        <f>MONTH(Table_36[[#This Row],[Дата заказа]])</f>
        <v>9</v>
      </c>
      <c r="O252">
        <f>WEEKDAY(Table_36[[#This Row],[Дата заказа]])</f>
        <v>4</v>
      </c>
      <c r="P252">
        <f>DAY(Table_36[[#This Row],[Дата заказа]])</f>
        <v>9</v>
      </c>
      <c r="Q252">
        <f>YEAR(Table_36[[#This Row],[Дата заказа]])</f>
        <v>2015</v>
      </c>
      <c r="R252">
        <f>_xlfn.ISOWEEKNUM(Table_36[[#This Row],[Дата заказа]])</f>
        <v>37</v>
      </c>
    </row>
    <row r="253" spans="3:18" ht="15.75" customHeight="1" x14ac:dyDescent="0.2">
      <c r="C253" s="26">
        <v>16</v>
      </c>
      <c r="D253" s="21" t="s">
        <v>2504</v>
      </c>
      <c r="E253" s="21" t="s">
        <v>2505</v>
      </c>
      <c r="F253" s="21" t="s">
        <v>2506</v>
      </c>
      <c r="G253" s="21">
        <v>843</v>
      </c>
      <c r="H253" s="21" t="s">
        <v>2444</v>
      </c>
      <c r="I253" s="21">
        <v>5</v>
      </c>
      <c r="J253" s="21">
        <v>4215</v>
      </c>
      <c r="K253" s="21">
        <v>0</v>
      </c>
      <c r="L253" s="21">
        <v>4215</v>
      </c>
      <c r="M253" s="25">
        <v>42639</v>
      </c>
      <c r="N253">
        <f>MONTH(Table_36[[#This Row],[Дата заказа]])</f>
        <v>9</v>
      </c>
      <c r="O253">
        <f>WEEKDAY(Table_36[[#This Row],[Дата заказа]])</f>
        <v>2</v>
      </c>
      <c r="P253">
        <f>DAY(Table_36[[#This Row],[Дата заказа]])</f>
        <v>26</v>
      </c>
      <c r="Q253">
        <f>YEAR(Table_36[[#This Row],[Дата заказа]])</f>
        <v>2016</v>
      </c>
      <c r="R253">
        <f>_xlfn.ISOWEEKNUM(Table_36[[#This Row],[Дата заказа]])</f>
        <v>39</v>
      </c>
    </row>
    <row r="254" spans="3:18" ht="15.75" customHeight="1" x14ac:dyDescent="0.2">
      <c r="C254" s="26">
        <v>44</v>
      </c>
      <c r="D254" s="21" t="s">
        <v>2453</v>
      </c>
      <c r="E254" s="21" t="s">
        <v>2454</v>
      </c>
      <c r="F254" s="21" t="s">
        <v>2455</v>
      </c>
      <c r="G254" s="21">
        <v>1386</v>
      </c>
      <c r="H254" s="21" t="s">
        <v>2440</v>
      </c>
      <c r="I254" s="21">
        <v>20</v>
      </c>
      <c r="J254" s="21">
        <v>27720</v>
      </c>
      <c r="K254" s="21">
        <v>0.03</v>
      </c>
      <c r="L254" s="21">
        <v>26888.400000000001</v>
      </c>
      <c r="M254" s="25">
        <v>42224</v>
      </c>
      <c r="N254">
        <f>MONTH(Table_36[[#This Row],[Дата заказа]])</f>
        <v>8</v>
      </c>
      <c r="O254">
        <f>WEEKDAY(Table_36[[#This Row],[Дата заказа]])</f>
        <v>7</v>
      </c>
      <c r="P254">
        <f>DAY(Table_36[[#This Row],[Дата заказа]])</f>
        <v>8</v>
      </c>
      <c r="Q254">
        <f>YEAR(Table_36[[#This Row],[Дата заказа]])</f>
        <v>2015</v>
      </c>
      <c r="R254">
        <f>_xlfn.ISOWEEKNUM(Table_36[[#This Row],[Дата заказа]])</f>
        <v>32</v>
      </c>
    </row>
    <row r="255" spans="3:18" ht="15.75" customHeight="1" x14ac:dyDescent="0.2">
      <c r="C255" s="26">
        <v>20</v>
      </c>
      <c r="D255" s="21" t="s">
        <v>2467</v>
      </c>
      <c r="E255" s="21" t="s">
        <v>2457</v>
      </c>
      <c r="F255" s="21" t="s">
        <v>2468</v>
      </c>
      <c r="G255" s="21">
        <v>2198</v>
      </c>
      <c r="H255" s="21" t="s">
        <v>2444</v>
      </c>
      <c r="I255" s="21">
        <v>35</v>
      </c>
      <c r="J255" s="21">
        <v>76930</v>
      </c>
      <c r="K255" s="21">
        <v>0.12</v>
      </c>
      <c r="L255" s="21">
        <v>67698.399999999994</v>
      </c>
      <c r="M255" s="25">
        <v>42448</v>
      </c>
      <c r="N255">
        <f>MONTH(Table_36[[#This Row],[Дата заказа]])</f>
        <v>3</v>
      </c>
      <c r="O255">
        <f>WEEKDAY(Table_36[[#This Row],[Дата заказа]])</f>
        <v>7</v>
      </c>
      <c r="P255">
        <f>DAY(Table_36[[#This Row],[Дата заказа]])</f>
        <v>19</v>
      </c>
      <c r="Q255">
        <f>YEAR(Table_36[[#This Row],[Дата заказа]])</f>
        <v>2016</v>
      </c>
      <c r="R255">
        <f>_xlfn.ISOWEEKNUM(Table_36[[#This Row],[Дата заказа]])</f>
        <v>11</v>
      </c>
    </row>
    <row r="256" spans="3:18" ht="15.75" customHeight="1" x14ac:dyDescent="0.2">
      <c r="C256" s="26">
        <v>53</v>
      </c>
      <c r="D256" s="21" t="s">
        <v>2437</v>
      </c>
      <c r="E256" s="21" t="s">
        <v>2438</v>
      </c>
      <c r="F256" s="21" t="s">
        <v>2439</v>
      </c>
      <c r="G256" s="21">
        <v>1923</v>
      </c>
      <c r="H256" s="21" t="s">
        <v>2440</v>
      </c>
      <c r="I256" s="21">
        <v>35</v>
      </c>
      <c r="J256" s="21">
        <v>67305</v>
      </c>
      <c r="K256" s="21">
        <v>0.06</v>
      </c>
      <c r="L256" s="21">
        <v>63266.7</v>
      </c>
      <c r="M256" s="25">
        <v>42177</v>
      </c>
      <c r="N256">
        <f>MONTH(Table_36[[#This Row],[Дата заказа]])</f>
        <v>6</v>
      </c>
      <c r="O256">
        <f>WEEKDAY(Table_36[[#This Row],[Дата заказа]])</f>
        <v>2</v>
      </c>
      <c r="P256">
        <f>DAY(Table_36[[#This Row],[Дата заказа]])</f>
        <v>22</v>
      </c>
      <c r="Q256">
        <f>YEAR(Table_36[[#This Row],[Дата заказа]])</f>
        <v>2015</v>
      </c>
      <c r="R256">
        <f>_xlfn.ISOWEEKNUM(Table_36[[#This Row],[Дата заказа]])</f>
        <v>26</v>
      </c>
    </row>
    <row r="257" spans="3:18" ht="15.75" customHeight="1" x14ac:dyDescent="0.2">
      <c r="C257" s="26">
        <v>40</v>
      </c>
      <c r="D257" s="21" t="s">
        <v>2477</v>
      </c>
      <c r="E257" s="21" t="s">
        <v>2454</v>
      </c>
      <c r="F257" s="21" t="s">
        <v>2478</v>
      </c>
      <c r="G257" s="21">
        <v>847</v>
      </c>
      <c r="H257" s="21" t="s">
        <v>2440</v>
      </c>
      <c r="I257" s="21">
        <v>15</v>
      </c>
      <c r="J257" s="21">
        <v>12705</v>
      </c>
      <c r="K257" s="21">
        <v>0</v>
      </c>
      <c r="L257" s="21">
        <v>12705</v>
      </c>
      <c r="M257" s="25">
        <v>42351</v>
      </c>
      <c r="N257">
        <f>MONTH(Table_36[[#This Row],[Дата заказа]])</f>
        <v>12</v>
      </c>
      <c r="O257">
        <f>WEEKDAY(Table_36[[#This Row],[Дата заказа]])</f>
        <v>1</v>
      </c>
      <c r="P257">
        <f>DAY(Table_36[[#This Row],[Дата заказа]])</f>
        <v>13</v>
      </c>
      <c r="Q257">
        <f>YEAR(Table_36[[#This Row],[Дата заказа]])</f>
        <v>2015</v>
      </c>
      <c r="R257">
        <f>_xlfn.ISOWEEKNUM(Table_36[[#This Row],[Дата заказа]])</f>
        <v>50</v>
      </c>
    </row>
    <row r="258" spans="3:18" ht="15.75" customHeight="1" x14ac:dyDescent="0.2">
      <c r="C258" s="26">
        <v>46</v>
      </c>
      <c r="D258" s="21" t="s">
        <v>2475</v>
      </c>
      <c r="E258" s="21" t="s">
        <v>2476</v>
      </c>
      <c r="F258" s="21" t="s">
        <v>2476</v>
      </c>
      <c r="G258" s="21">
        <v>770</v>
      </c>
      <c r="H258" s="21" t="s">
        <v>2440</v>
      </c>
      <c r="I258" s="21">
        <v>20</v>
      </c>
      <c r="J258" s="21">
        <v>15400</v>
      </c>
      <c r="K258" s="21">
        <v>0.03</v>
      </c>
      <c r="L258" s="21">
        <v>14938</v>
      </c>
      <c r="M258" s="25">
        <v>43314</v>
      </c>
      <c r="N258">
        <f>MONTH(Table_36[[#This Row],[Дата заказа]])</f>
        <v>8</v>
      </c>
      <c r="O258">
        <f>WEEKDAY(Table_36[[#This Row],[Дата заказа]])</f>
        <v>5</v>
      </c>
      <c r="P258">
        <f>DAY(Table_36[[#This Row],[Дата заказа]])</f>
        <v>2</v>
      </c>
      <c r="Q258">
        <f>YEAR(Table_36[[#This Row],[Дата заказа]])</f>
        <v>2018</v>
      </c>
      <c r="R258">
        <f>_xlfn.ISOWEEKNUM(Table_36[[#This Row],[Дата заказа]])</f>
        <v>31</v>
      </c>
    </row>
    <row r="259" spans="3:18" ht="15.75" customHeight="1" x14ac:dyDescent="0.2">
      <c r="C259" s="26">
        <v>3</v>
      </c>
      <c r="D259" s="21" t="s">
        <v>2445</v>
      </c>
      <c r="E259" s="21" t="s">
        <v>2446</v>
      </c>
      <c r="F259" s="21" t="s">
        <v>2446</v>
      </c>
      <c r="G259" s="21">
        <v>807</v>
      </c>
      <c r="H259" s="21" t="s">
        <v>2440</v>
      </c>
      <c r="I259" s="21">
        <v>18</v>
      </c>
      <c r="J259" s="21">
        <v>14526</v>
      </c>
      <c r="K259" s="21">
        <v>0</v>
      </c>
      <c r="L259" s="21">
        <v>14526</v>
      </c>
      <c r="M259" s="25">
        <v>44037</v>
      </c>
      <c r="N259">
        <f>MONTH(Table_36[[#This Row],[Дата заказа]])</f>
        <v>7</v>
      </c>
      <c r="O259">
        <f>WEEKDAY(Table_36[[#This Row],[Дата заказа]])</f>
        <v>7</v>
      </c>
      <c r="P259">
        <f>DAY(Table_36[[#This Row],[Дата заказа]])</f>
        <v>25</v>
      </c>
      <c r="Q259">
        <f>YEAR(Table_36[[#This Row],[Дата заказа]])</f>
        <v>2020</v>
      </c>
      <c r="R259">
        <f>_xlfn.ISOWEEKNUM(Table_36[[#This Row],[Дата заказа]])</f>
        <v>30</v>
      </c>
    </row>
    <row r="260" spans="3:18" ht="15.75" customHeight="1" x14ac:dyDescent="0.2">
      <c r="C260" s="26">
        <v>46</v>
      </c>
      <c r="D260" s="21" t="s">
        <v>2475</v>
      </c>
      <c r="E260" s="21" t="s">
        <v>2476</v>
      </c>
      <c r="F260" s="21" t="s">
        <v>2476</v>
      </c>
      <c r="G260" s="21">
        <v>770</v>
      </c>
      <c r="H260" s="21" t="s">
        <v>2440</v>
      </c>
      <c r="I260" s="21">
        <v>20</v>
      </c>
      <c r="J260" s="21">
        <v>15400</v>
      </c>
      <c r="K260" s="21">
        <v>0.03</v>
      </c>
      <c r="L260" s="21">
        <v>14938</v>
      </c>
      <c r="M260" s="25">
        <v>43404</v>
      </c>
      <c r="N260">
        <f>MONTH(Table_36[[#This Row],[Дата заказа]])</f>
        <v>10</v>
      </c>
      <c r="O260">
        <f>WEEKDAY(Table_36[[#This Row],[Дата заказа]])</f>
        <v>4</v>
      </c>
      <c r="P260">
        <f>DAY(Table_36[[#This Row],[Дата заказа]])</f>
        <v>31</v>
      </c>
      <c r="Q260">
        <f>YEAR(Table_36[[#This Row],[Дата заказа]])</f>
        <v>2018</v>
      </c>
      <c r="R260">
        <f>_xlfn.ISOWEEKNUM(Table_36[[#This Row],[Дата заказа]])</f>
        <v>44</v>
      </c>
    </row>
    <row r="261" spans="3:18" ht="15.75" customHeight="1" x14ac:dyDescent="0.2">
      <c r="C261" s="26">
        <v>16</v>
      </c>
      <c r="D261" s="21" t="s">
        <v>2504</v>
      </c>
      <c r="E261" s="21" t="s">
        <v>2505</v>
      </c>
      <c r="F261" s="21" t="s">
        <v>2506</v>
      </c>
      <c r="G261" s="21">
        <v>843</v>
      </c>
      <c r="H261" s="21" t="s">
        <v>2444</v>
      </c>
      <c r="I261" s="21">
        <v>5</v>
      </c>
      <c r="J261" s="21">
        <v>4215</v>
      </c>
      <c r="K261" s="21">
        <v>0</v>
      </c>
      <c r="L261" s="21">
        <v>4215</v>
      </c>
      <c r="M261" s="25">
        <v>43326</v>
      </c>
      <c r="N261">
        <f>MONTH(Table_36[[#This Row],[Дата заказа]])</f>
        <v>8</v>
      </c>
      <c r="O261">
        <f>WEEKDAY(Table_36[[#This Row],[Дата заказа]])</f>
        <v>3</v>
      </c>
      <c r="P261">
        <f>DAY(Table_36[[#This Row],[Дата заказа]])</f>
        <v>14</v>
      </c>
      <c r="Q261">
        <f>YEAR(Table_36[[#This Row],[Дата заказа]])</f>
        <v>2018</v>
      </c>
      <c r="R261">
        <f>_xlfn.ISOWEEKNUM(Table_36[[#This Row],[Дата заказа]])</f>
        <v>33</v>
      </c>
    </row>
    <row r="262" spans="3:18" ht="15.75" customHeight="1" x14ac:dyDescent="0.2">
      <c r="C262" s="26">
        <v>4</v>
      </c>
      <c r="D262" s="21" t="s">
        <v>2449</v>
      </c>
      <c r="E262" s="21" t="s">
        <v>2448</v>
      </c>
      <c r="F262" s="21" t="s">
        <v>2485</v>
      </c>
      <c r="G262" s="21">
        <v>2211</v>
      </c>
      <c r="H262" s="21" t="s">
        <v>2444</v>
      </c>
      <c r="I262" s="21">
        <v>25</v>
      </c>
      <c r="J262" s="21">
        <v>55275</v>
      </c>
      <c r="K262" s="21">
        <v>0.09</v>
      </c>
      <c r="L262" s="21">
        <v>50300.25</v>
      </c>
      <c r="M262" s="25">
        <v>43422</v>
      </c>
      <c r="N262">
        <f>MONTH(Table_36[[#This Row],[Дата заказа]])</f>
        <v>11</v>
      </c>
      <c r="O262">
        <f>WEEKDAY(Table_36[[#This Row],[Дата заказа]])</f>
        <v>1</v>
      </c>
      <c r="P262">
        <f>DAY(Table_36[[#This Row],[Дата заказа]])</f>
        <v>18</v>
      </c>
      <c r="Q262">
        <f>YEAR(Table_36[[#This Row],[Дата заказа]])</f>
        <v>2018</v>
      </c>
      <c r="R262">
        <f>_xlfn.ISOWEEKNUM(Table_36[[#This Row],[Дата заказа]])</f>
        <v>46</v>
      </c>
    </row>
    <row r="263" spans="3:18" ht="15.75" customHeight="1" x14ac:dyDescent="0.2">
      <c r="C263" s="26">
        <v>26</v>
      </c>
      <c r="D263" s="21" t="s">
        <v>2464</v>
      </c>
      <c r="E263" s="21" t="s">
        <v>2442</v>
      </c>
      <c r="F263" s="21" t="s">
        <v>2443</v>
      </c>
      <c r="G263" s="21">
        <v>2197</v>
      </c>
      <c r="H263" s="21" t="s">
        <v>2440</v>
      </c>
      <c r="I263" s="21">
        <v>40</v>
      </c>
      <c r="J263" s="21">
        <v>87880</v>
      </c>
      <c r="K263" s="21">
        <v>0.12</v>
      </c>
      <c r="L263" s="21">
        <v>77334.399999999994</v>
      </c>
      <c r="M263" s="25">
        <v>42893</v>
      </c>
      <c r="N263">
        <f>MONTH(Table_36[[#This Row],[Дата заказа]])</f>
        <v>6</v>
      </c>
      <c r="O263">
        <f>WEEKDAY(Table_36[[#This Row],[Дата заказа]])</f>
        <v>4</v>
      </c>
      <c r="P263">
        <f>DAY(Table_36[[#This Row],[Дата заказа]])</f>
        <v>7</v>
      </c>
      <c r="Q263">
        <f>YEAR(Table_36[[#This Row],[Дата заказа]])</f>
        <v>2017</v>
      </c>
      <c r="R263">
        <f>_xlfn.ISOWEEKNUM(Table_36[[#This Row],[Дата заказа]])</f>
        <v>23</v>
      </c>
    </row>
    <row r="264" spans="3:18" ht="15.75" customHeight="1" x14ac:dyDescent="0.2">
      <c r="C264" s="26">
        <v>6</v>
      </c>
      <c r="D264" s="21" t="s">
        <v>2502</v>
      </c>
      <c r="E264" s="21" t="s">
        <v>2446</v>
      </c>
      <c r="F264" s="21" t="s">
        <v>2503</v>
      </c>
      <c r="G264" s="21">
        <v>3197</v>
      </c>
      <c r="H264" s="21" t="s">
        <v>2444</v>
      </c>
      <c r="I264" s="21">
        <v>6</v>
      </c>
      <c r="J264" s="21">
        <v>19182</v>
      </c>
      <c r="K264" s="21">
        <v>0.03</v>
      </c>
      <c r="L264" s="21">
        <v>18606.54</v>
      </c>
      <c r="M264" s="25">
        <v>42489</v>
      </c>
      <c r="N264">
        <f>MONTH(Table_36[[#This Row],[Дата заказа]])</f>
        <v>4</v>
      </c>
      <c r="O264">
        <f>WEEKDAY(Table_36[[#This Row],[Дата заказа]])</f>
        <v>6</v>
      </c>
      <c r="P264">
        <f>DAY(Table_36[[#This Row],[Дата заказа]])</f>
        <v>29</v>
      </c>
      <c r="Q264">
        <f>YEAR(Table_36[[#This Row],[Дата заказа]])</f>
        <v>2016</v>
      </c>
      <c r="R264">
        <f>_xlfn.ISOWEEKNUM(Table_36[[#This Row],[Дата заказа]])</f>
        <v>17</v>
      </c>
    </row>
    <row r="265" spans="3:18" ht="15.75" customHeight="1" x14ac:dyDescent="0.2">
      <c r="C265" s="26">
        <v>50</v>
      </c>
      <c r="D265" s="21" t="s">
        <v>2481</v>
      </c>
      <c r="E265" s="21" t="s">
        <v>2454</v>
      </c>
      <c r="F265" s="21" t="s">
        <v>2482</v>
      </c>
      <c r="G265" s="21">
        <v>912</v>
      </c>
      <c r="H265" s="21" t="s">
        <v>2440</v>
      </c>
      <c r="I265" s="21">
        <v>20</v>
      </c>
      <c r="J265" s="21">
        <v>18240</v>
      </c>
      <c r="K265" s="21">
        <v>0</v>
      </c>
      <c r="L265" s="21">
        <v>18240</v>
      </c>
      <c r="M265" s="25">
        <v>42098</v>
      </c>
      <c r="N265">
        <f>MONTH(Table_36[[#This Row],[Дата заказа]])</f>
        <v>4</v>
      </c>
      <c r="O265">
        <f>WEEKDAY(Table_36[[#This Row],[Дата заказа]])</f>
        <v>7</v>
      </c>
      <c r="P265">
        <f>DAY(Table_36[[#This Row],[Дата заказа]])</f>
        <v>4</v>
      </c>
      <c r="Q265">
        <f>YEAR(Table_36[[#This Row],[Дата заказа]])</f>
        <v>2015</v>
      </c>
      <c r="R265">
        <f>_xlfn.ISOWEEKNUM(Table_36[[#This Row],[Дата заказа]])</f>
        <v>14</v>
      </c>
    </row>
    <row r="266" spans="3:18" ht="15.75" customHeight="1" x14ac:dyDescent="0.2">
      <c r="C266" s="26">
        <v>43</v>
      </c>
      <c r="D266" s="21" t="s">
        <v>2492</v>
      </c>
      <c r="E266" s="21" t="s">
        <v>2446</v>
      </c>
      <c r="F266" s="21" t="s">
        <v>2493</v>
      </c>
      <c r="G266" s="21">
        <v>759</v>
      </c>
      <c r="H266" s="21" t="s">
        <v>2444</v>
      </c>
      <c r="I266" s="21">
        <v>10</v>
      </c>
      <c r="J266" s="21">
        <v>7590</v>
      </c>
      <c r="K266" s="21">
        <v>0</v>
      </c>
      <c r="L266" s="21">
        <v>7590</v>
      </c>
      <c r="M266" s="25">
        <v>42545</v>
      </c>
      <c r="N266">
        <f>MONTH(Table_36[[#This Row],[Дата заказа]])</f>
        <v>6</v>
      </c>
      <c r="O266">
        <f>WEEKDAY(Table_36[[#This Row],[Дата заказа]])</f>
        <v>6</v>
      </c>
      <c r="P266">
        <f>DAY(Table_36[[#This Row],[Дата заказа]])</f>
        <v>24</v>
      </c>
      <c r="Q266">
        <f>YEAR(Table_36[[#This Row],[Дата заказа]])</f>
        <v>2016</v>
      </c>
      <c r="R266">
        <f>_xlfn.ISOWEEKNUM(Table_36[[#This Row],[Дата заказа]])</f>
        <v>25</v>
      </c>
    </row>
    <row r="267" spans="3:18" ht="15.75" customHeight="1" x14ac:dyDescent="0.2">
      <c r="C267" s="26">
        <v>45</v>
      </c>
      <c r="D267" s="21" t="s">
        <v>2507</v>
      </c>
      <c r="E267" s="21" t="s">
        <v>2446</v>
      </c>
      <c r="F267" s="21" t="s">
        <v>2493</v>
      </c>
      <c r="G267" s="21">
        <v>759</v>
      </c>
      <c r="H267" s="21" t="s">
        <v>2444</v>
      </c>
      <c r="I267" s="21">
        <v>14</v>
      </c>
      <c r="J267" s="21">
        <v>10626</v>
      </c>
      <c r="K267" s="21">
        <v>0</v>
      </c>
      <c r="L267" s="21">
        <v>10626</v>
      </c>
      <c r="M267" s="25">
        <v>43758</v>
      </c>
      <c r="N267">
        <f>MONTH(Table_36[[#This Row],[Дата заказа]])</f>
        <v>10</v>
      </c>
      <c r="O267">
        <f>WEEKDAY(Table_36[[#This Row],[Дата заказа]])</f>
        <v>1</v>
      </c>
      <c r="P267">
        <f>DAY(Table_36[[#This Row],[Дата заказа]])</f>
        <v>20</v>
      </c>
      <c r="Q267">
        <f>YEAR(Table_36[[#This Row],[Дата заказа]])</f>
        <v>2019</v>
      </c>
      <c r="R267">
        <f>_xlfn.ISOWEEKNUM(Table_36[[#This Row],[Дата заказа]])</f>
        <v>42</v>
      </c>
    </row>
    <row r="268" spans="3:18" ht="15.75" customHeight="1" x14ac:dyDescent="0.2">
      <c r="C268" s="26">
        <v>20</v>
      </c>
      <c r="D268" s="21" t="s">
        <v>2467</v>
      </c>
      <c r="E268" s="21" t="s">
        <v>2457</v>
      </c>
      <c r="F268" s="21" t="s">
        <v>2468</v>
      </c>
      <c r="G268" s="21">
        <v>2198</v>
      </c>
      <c r="H268" s="21" t="s">
        <v>2444</v>
      </c>
      <c r="I268" s="21">
        <v>35</v>
      </c>
      <c r="J268" s="21">
        <v>76930</v>
      </c>
      <c r="K268" s="21">
        <v>0.12</v>
      </c>
      <c r="L268" s="21">
        <v>67698.399999999994</v>
      </c>
      <c r="M268" s="25">
        <v>44014</v>
      </c>
      <c r="N268">
        <f>MONTH(Table_36[[#This Row],[Дата заказа]])</f>
        <v>7</v>
      </c>
      <c r="O268">
        <f>WEEKDAY(Table_36[[#This Row],[Дата заказа]])</f>
        <v>5</v>
      </c>
      <c r="P268">
        <f>DAY(Table_36[[#This Row],[Дата заказа]])</f>
        <v>2</v>
      </c>
      <c r="Q268">
        <f>YEAR(Table_36[[#This Row],[Дата заказа]])</f>
        <v>2020</v>
      </c>
      <c r="R268">
        <f>_xlfn.ISOWEEKNUM(Table_36[[#This Row],[Дата заказа]])</f>
        <v>27</v>
      </c>
    </row>
    <row r="269" spans="3:18" ht="15.75" customHeight="1" x14ac:dyDescent="0.2">
      <c r="C269" s="26">
        <v>56</v>
      </c>
      <c r="D269" s="21" t="s">
        <v>2451</v>
      </c>
      <c r="E269" s="21" t="s">
        <v>2438</v>
      </c>
      <c r="F269" s="21" t="s">
        <v>2452</v>
      </c>
      <c r="G269" s="21">
        <v>800</v>
      </c>
      <c r="H269" s="21" t="s">
        <v>2440</v>
      </c>
      <c r="I269" s="21">
        <v>40</v>
      </c>
      <c r="J269" s="21">
        <v>32000</v>
      </c>
      <c r="K269" s="21">
        <v>0.03</v>
      </c>
      <c r="L269" s="21">
        <v>31040</v>
      </c>
      <c r="M269" s="25">
        <v>42953</v>
      </c>
      <c r="N269">
        <f>MONTH(Table_36[[#This Row],[Дата заказа]])</f>
        <v>8</v>
      </c>
      <c r="O269">
        <f>WEEKDAY(Table_36[[#This Row],[Дата заказа]])</f>
        <v>1</v>
      </c>
      <c r="P269">
        <f>DAY(Table_36[[#This Row],[Дата заказа]])</f>
        <v>6</v>
      </c>
      <c r="Q269">
        <f>YEAR(Table_36[[#This Row],[Дата заказа]])</f>
        <v>2017</v>
      </c>
      <c r="R269">
        <f>_xlfn.ISOWEEKNUM(Table_36[[#This Row],[Дата заказа]])</f>
        <v>31</v>
      </c>
    </row>
    <row r="270" spans="3:18" ht="15.75" customHeight="1" x14ac:dyDescent="0.2">
      <c r="C270" s="26">
        <v>46</v>
      </c>
      <c r="D270" s="21" t="s">
        <v>2475</v>
      </c>
      <c r="E270" s="21" t="s">
        <v>2476</v>
      </c>
      <c r="F270" s="21" t="s">
        <v>2476</v>
      </c>
      <c r="G270" s="21">
        <v>770</v>
      </c>
      <c r="H270" s="21" t="s">
        <v>2440</v>
      </c>
      <c r="I270" s="21">
        <v>20</v>
      </c>
      <c r="J270" s="21">
        <v>15400</v>
      </c>
      <c r="K270" s="21">
        <v>0.03</v>
      </c>
      <c r="L270" s="21">
        <v>14938</v>
      </c>
      <c r="M270" s="25">
        <v>42265</v>
      </c>
      <c r="N270">
        <f>MONTH(Table_36[[#This Row],[Дата заказа]])</f>
        <v>9</v>
      </c>
      <c r="O270">
        <f>WEEKDAY(Table_36[[#This Row],[Дата заказа]])</f>
        <v>6</v>
      </c>
      <c r="P270">
        <f>DAY(Table_36[[#This Row],[Дата заказа]])</f>
        <v>18</v>
      </c>
      <c r="Q270">
        <f>YEAR(Table_36[[#This Row],[Дата заказа]])</f>
        <v>2015</v>
      </c>
      <c r="R270">
        <f>_xlfn.ISOWEEKNUM(Table_36[[#This Row],[Дата заказа]])</f>
        <v>38</v>
      </c>
    </row>
    <row r="271" spans="3:18" ht="15.75" customHeight="1" x14ac:dyDescent="0.2">
      <c r="C271" s="26">
        <v>56</v>
      </c>
      <c r="D271" s="21" t="s">
        <v>2451</v>
      </c>
      <c r="E271" s="21" t="s">
        <v>2438</v>
      </c>
      <c r="F271" s="21" t="s">
        <v>2452</v>
      </c>
      <c r="G271" s="21">
        <v>800</v>
      </c>
      <c r="H271" s="21" t="s">
        <v>2440</v>
      </c>
      <c r="I271" s="21">
        <v>40</v>
      </c>
      <c r="J271" s="21">
        <v>32000</v>
      </c>
      <c r="K271" s="21">
        <v>0.03</v>
      </c>
      <c r="L271" s="21">
        <v>31040</v>
      </c>
      <c r="M271" s="25">
        <v>42138</v>
      </c>
      <c r="N271">
        <f>MONTH(Table_36[[#This Row],[Дата заказа]])</f>
        <v>5</v>
      </c>
      <c r="O271">
        <f>WEEKDAY(Table_36[[#This Row],[Дата заказа]])</f>
        <v>5</v>
      </c>
      <c r="P271">
        <f>DAY(Table_36[[#This Row],[Дата заказа]])</f>
        <v>14</v>
      </c>
      <c r="Q271">
        <f>YEAR(Table_36[[#This Row],[Дата заказа]])</f>
        <v>2015</v>
      </c>
      <c r="R271">
        <f>_xlfn.ISOWEEKNUM(Table_36[[#This Row],[Дата заказа]])</f>
        <v>20</v>
      </c>
    </row>
    <row r="272" spans="3:18" ht="15.75" customHeight="1" x14ac:dyDescent="0.2">
      <c r="C272" s="26">
        <v>23</v>
      </c>
      <c r="D272" s="21" t="s">
        <v>2473</v>
      </c>
      <c r="E272" s="21" t="s">
        <v>2448</v>
      </c>
      <c r="F272" s="21" t="s">
        <v>2474</v>
      </c>
      <c r="G272" s="21">
        <v>2645</v>
      </c>
      <c r="H272" s="21" t="s">
        <v>2444</v>
      </c>
      <c r="I272" s="21">
        <v>50</v>
      </c>
      <c r="J272" s="21">
        <v>132250</v>
      </c>
      <c r="K272" s="21">
        <v>0.15</v>
      </c>
      <c r="L272" s="21">
        <v>112412.5</v>
      </c>
      <c r="M272" s="25">
        <v>42356</v>
      </c>
      <c r="N272">
        <f>MONTH(Table_36[[#This Row],[Дата заказа]])</f>
        <v>12</v>
      </c>
      <c r="O272">
        <f>WEEKDAY(Table_36[[#This Row],[Дата заказа]])</f>
        <v>6</v>
      </c>
      <c r="P272">
        <f>DAY(Table_36[[#This Row],[Дата заказа]])</f>
        <v>18</v>
      </c>
      <c r="Q272">
        <f>YEAR(Table_36[[#This Row],[Дата заказа]])</f>
        <v>2015</v>
      </c>
      <c r="R272">
        <f>_xlfn.ISOWEEKNUM(Table_36[[#This Row],[Дата заказа]])</f>
        <v>51</v>
      </c>
    </row>
    <row r="273" spans="3:18" ht="15.75" customHeight="1" x14ac:dyDescent="0.2">
      <c r="C273" s="26">
        <v>48</v>
      </c>
      <c r="D273" s="21" t="s">
        <v>2471</v>
      </c>
      <c r="E273" s="21" t="s">
        <v>2438</v>
      </c>
      <c r="F273" s="21" t="s">
        <v>2472</v>
      </c>
      <c r="G273" s="21">
        <v>2199</v>
      </c>
      <c r="H273" s="21" t="s">
        <v>2440</v>
      </c>
      <c r="I273" s="21">
        <v>55</v>
      </c>
      <c r="J273" s="21">
        <v>120945</v>
      </c>
      <c r="K273" s="21">
        <v>0.15</v>
      </c>
      <c r="L273" s="21">
        <v>102803.25</v>
      </c>
      <c r="M273" s="25">
        <v>42201</v>
      </c>
      <c r="N273">
        <f>MONTH(Table_36[[#This Row],[Дата заказа]])</f>
        <v>7</v>
      </c>
      <c r="O273">
        <f>WEEKDAY(Table_36[[#This Row],[Дата заказа]])</f>
        <v>5</v>
      </c>
      <c r="P273">
        <f>DAY(Table_36[[#This Row],[Дата заказа]])</f>
        <v>16</v>
      </c>
      <c r="Q273">
        <f>YEAR(Table_36[[#This Row],[Дата заказа]])</f>
        <v>2015</v>
      </c>
      <c r="R273">
        <f>_xlfn.ISOWEEKNUM(Table_36[[#This Row],[Дата заказа]])</f>
        <v>29</v>
      </c>
    </row>
    <row r="274" spans="3:18" ht="15.75" customHeight="1" x14ac:dyDescent="0.2">
      <c r="C274" s="26">
        <v>10</v>
      </c>
      <c r="D274" s="21" t="s">
        <v>2451</v>
      </c>
      <c r="E274" s="21" t="s">
        <v>2438</v>
      </c>
      <c r="F274" s="21" t="s">
        <v>2452</v>
      </c>
      <c r="G274" s="21">
        <v>800</v>
      </c>
      <c r="H274" s="21" t="s">
        <v>2440</v>
      </c>
      <c r="I274" s="21">
        <v>25</v>
      </c>
      <c r="J274" s="21">
        <v>20000</v>
      </c>
      <c r="K274" s="21">
        <v>0.03</v>
      </c>
      <c r="L274" s="21">
        <v>19400</v>
      </c>
      <c r="M274" s="25">
        <v>43381</v>
      </c>
      <c r="N274">
        <f>MONTH(Table_36[[#This Row],[Дата заказа]])</f>
        <v>10</v>
      </c>
      <c r="O274">
        <f>WEEKDAY(Table_36[[#This Row],[Дата заказа]])</f>
        <v>2</v>
      </c>
      <c r="P274">
        <f>DAY(Table_36[[#This Row],[Дата заказа]])</f>
        <v>8</v>
      </c>
      <c r="Q274">
        <f>YEAR(Table_36[[#This Row],[Дата заказа]])</f>
        <v>2018</v>
      </c>
      <c r="R274">
        <f>_xlfn.ISOWEEKNUM(Table_36[[#This Row],[Дата заказа]])</f>
        <v>41</v>
      </c>
    </row>
    <row r="275" spans="3:18" ht="15.75" customHeight="1" x14ac:dyDescent="0.2">
      <c r="C275" s="26">
        <v>31</v>
      </c>
      <c r="D275" s="21" t="s">
        <v>2479</v>
      </c>
      <c r="E275" s="21" t="s">
        <v>2442</v>
      </c>
      <c r="F275" s="21" t="s">
        <v>2480</v>
      </c>
      <c r="G275" s="21">
        <v>1228</v>
      </c>
      <c r="H275" s="21" t="s">
        <v>2440</v>
      </c>
      <c r="I275" s="21">
        <v>45</v>
      </c>
      <c r="J275" s="21">
        <v>55260</v>
      </c>
      <c r="K275" s="21">
        <v>0.09</v>
      </c>
      <c r="L275" s="21">
        <v>50286.6</v>
      </c>
      <c r="M275" s="25">
        <v>43780</v>
      </c>
      <c r="N275">
        <f>MONTH(Table_36[[#This Row],[Дата заказа]])</f>
        <v>11</v>
      </c>
      <c r="O275">
        <f>WEEKDAY(Table_36[[#This Row],[Дата заказа]])</f>
        <v>2</v>
      </c>
      <c r="P275">
        <f>DAY(Table_36[[#This Row],[Дата заказа]])</f>
        <v>11</v>
      </c>
      <c r="Q275">
        <f>YEAR(Table_36[[#This Row],[Дата заказа]])</f>
        <v>2019</v>
      </c>
      <c r="R275">
        <f>_xlfn.ISOWEEKNUM(Table_36[[#This Row],[Дата заказа]])</f>
        <v>46</v>
      </c>
    </row>
    <row r="276" spans="3:18" ht="15.75" customHeight="1" x14ac:dyDescent="0.2">
      <c r="C276" s="26">
        <v>45</v>
      </c>
      <c r="D276" s="21" t="s">
        <v>2507</v>
      </c>
      <c r="E276" s="21" t="s">
        <v>2446</v>
      </c>
      <c r="F276" s="21" t="s">
        <v>2493</v>
      </c>
      <c r="G276" s="21">
        <v>759</v>
      </c>
      <c r="H276" s="21" t="s">
        <v>2444</v>
      </c>
      <c r="I276" s="21">
        <v>14</v>
      </c>
      <c r="J276" s="21">
        <v>10626</v>
      </c>
      <c r="K276" s="21">
        <v>0</v>
      </c>
      <c r="L276" s="21">
        <v>10626</v>
      </c>
      <c r="M276" s="25">
        <v>43404</v>
      </c>
      <c r="N276">
        <f>MONTH(Table_36[[#This Row],[Дата заказа]])</f>
        <v>10</v>
      </c>
      <c r="O276">
        <f>WEEKDAY(Table_36[[#This Row],[Дата заказа]])</f>
        <v>4</v>
      </c>
      <c r="P276">
        <f>DAY(Table_36[[#This Row],[Дата заказа]])</f>
        <v>31</v>
      </c>
      <c r="Q276">
        <f>YEAR(Table_36[[#This Row],[Дата заказа]])</f>
        <v>2018</v>
      </c>
      <c r="R276">
        <f>_xlfn.ISOWEEKNUM(Table_36[[#This Row],[Дата заказа]])</f>
        <v>44</v>
      </c>
    </row>
    <row r="277" spans="3:18" ht="15.75" customHeight="1" x14ac:dyDescent="0.2">
      <c r="C277" s="26">
        <v>3</v>
      </c>
      <c r="D277" s="21" t="s">
        <v>2445</v>
      </c>
      <c r="E277" s="21" t="s">
        <v>2446</v>
      </c>
      <c r="F277" s="21" t="s">
        <v>2446</v>
      </c>
      <c r="G277" s="21">
        <v>807</v>
      </c>
      <c r="H277" s="21" t="s">
        <v>2440</v>
      </c>
      <c r="I277" s="21">
        <v>18</v>
      </c>
      <c r="J277" s="21">
        <v>14526</v>
      </c>
      <c r="K277" s="21">
        <v>0</v>
      </c>
      <c r="L277" s="21">
        <v>14526</v>
      </c>
      <c r="M277" s="25">
        <v>42713</v>
      </c>
      <c r="N277">
        <f>MONTH(Table_36[[#This Row],[Дата заказа]])</f>
        <v>12</v>
      </c>
      <c r="O277">
        <f>WEEKDAY(Table_36[[#This Row],[Дата заказа]])</f>
        <v>6</v>
      </c>
      <c r="P277">
        <f>DAY(Table_36[[#This Row],[Дата заказа]])</f>
        <v>9</v>
      </c>
      <c r="Q277">
        <f>YEAR(Table_36[[#This Row],[Дата заказа]])</f>
        <v>2016</v>
      </c>
      <c r="R277">
        <f>_xlfn.ISOWEEKNUM(Table_36[[#This Row],[Дата заказа]])</f>
        <v>49</v>
      </c>
    </row>
    <row r="278" spans="3:18" ht="15.75" customHeight="1" x14ac:dyDescent="0.2">
      <c r="C278" s="26">
        <v>51</v>
      </c>
      <c r="D278" s="21" t="s">
        <v>2449</v>
      </c>
      <c r="E278" s="21" t="s">
        <v>2448</v>
      </c>
      <c r="F278" s="21" t="s">
        <v>2450</v>
      </c>
      <c r="G278" s="21">
        <v>2211</v>
      </c>
      <c r="H278" s="21" t="s">
        <v>2444</v>
      </c>
      <c r="I278" s="21">
        <v>25</v>
      </c>
      <c r="J278" s="21">
        <v>55275</v>
      </c>
      <c r="K278" s="21">
        <v>0.09</v>
      </c>
      <c r="L278" s="21">
        <v>50300.25</v>
      </c>
      <c r="M278" s="25">
        <v>42673</v>
      </c>
      <c r="N278">
        <f>MONTH(Table_36[[#This Row],[Дата заказа]])</f>
        <v>10</v>
      </c>
      <c r="O278">
        <f>WEEKDAY(Table_36[[#This Row],[Дата заказа]])</f>
        <v>1</v>
      </c>
      <c r="P278">
        <f>DAY(Table_36[[#This Row],[Дата заказа]])</f>
        <v>30</v>
      </c>
      <c r="Q278">
        <f>YEAR(Table_36[[#This Row],[Дата заказа]])</f>
        <v>2016</v>
      </c>
      <c r="R278">
        <f>_xlfn.ISOWEEKNUM(Table_36[[#This Row],[Дата заказа]])</f>
        <v>43</v>
      </c>
    </row>
    <row r="279" spans="3:18" ht="15.75" customHeight="1" x14ac:dyDescent="0.2">
      <c r="C279" s="26">
        <v>21</v>
      </c>
      <c r="D279" s="21" t="s">
        <v>2497</v>
      </c>
      <c r="E279" s="21" t="s">
        <v>2442</v>
      </c>
      <c r="F279" s="21" t="s">
        <v>2498</v>
      </c>
      <c r="G279" s="21">
        <v>887</v>
      </c>
      <c r="H279" s="21" t="s">
        <v>2444</v>
      </c>
      <c r="I279" s="21">
        <v>15</v>
      </c>
      <c r="J279" s="21">
        <v>13305</v>
      </c>
      <c r="K279" s="21">
        <v>0</v>
      </c>
      <c r="L279" s="21">
        <v>13305</v>
      </c>
      <c r="M279" s="25">
        <v>42352</v>
      </c>
      <c r="N279">
        <f>MONTH(Table_36[[#This Row],[Дата заказа]])</f>
        <v>12</v>
      </c>
      <c r="O279">
        <f>WEEKDAY(Table_36[[#This Row],[Дата заказа]])</f>
        <v>2</v>
      </c>
      <c r="P279">
        <f>DAY(Table_36[[#This Row],[Дата заказа]])</f>
        <v>14</v>
      </c>
      <c r="Q279">
        <f>YEAR(Table_36[[#This Row],[Дата заказа]])</f>
        <v>2015</v>
      </c>
      <c r="R279">
        <f>_xlfn.ISOWEEKNUM(Table_36[[#This Row],[Дата заказа]])</f>
        <v>51</v>
      </c>
    </row>
    <row r="280" spans="3:18" ht="15.75" customHeight="1" x14ac:dyDescent="0.2">
      <c r="C280" s="26">
        <v>27</v>
      </c>
      <c r="D280" s="21" t="s">
        <v>2499</v>
      </c>
      <c r="E280" s="21" t="s">
        <v>2462</v>
      </c>
      <c r="F280" s="21" t="s">
        <v>2463</v>
      </c>
      <c r="G280" s="21">
        <v>1994</v>
      </c>
      <c r="H280" s="21" t="s">
        <v>2444</v>
      </c>
      <c r="I280" s="21">
        <v>25</v>
      </c>
      <c r="J280" s="21">
        <v>49850</v>
      </c>
      <c r="K280" s="21">
        <v>0.06</v>
      </c>
      <c r="L280" s="21">
        <v>46859</v>
      </c>
      <c r="M280" s="25">
        <v>43724</v>
      </c>
      <c r="N280">
        <f>MONTH(Table_36[[#This Row],[Дата заказа]])</f>
        <v>9</v>
      </c>
      <c r="O280">
        <f>WEEKDAY(Table_36[[#This Row],[Дата заказа]])</f>
        <v>2</v>
      </c>
      <c r="P280">
        <f>DAY(Table_36[[#This Row],[Дата заказа]])</f>
        <v>16</v>
      </c>
      <c r="Q280">
        <f>YEAR(Table_36[[#This Row],[Дата заказа]])</f>
        <v>2019</v>
      </c>
      <c r="R280">
        <f>_xlfn.ISOWEEKNUM(Table_36[[#This Row],[Дата заказа]])</f>
        <v>38</v>
      </c>
    </row>
    <row r="281" spans="3:18" ht="15.75" customHeight="1" x14ac:dyDescent="0.2">
      <c r="C281" s="26">
        <v>24</v>
      </c>
      <c r="D281" s="21" t="s">
        <v>2456</v>
      </c>
      <c r="E281" s="21" t="s">
        <v>2457</v>
      </c>
      <c r="F281" s="21" t="s">
        <v>2458</v>
      </c>
      <c r="G281" s="21">
        <v>957</v>
      </c>
      <c r="H281" s="21" t="s">
        <v>2440</v>
      </c>
      <c r="I281" s="21">
        <v>25</v>
      </c>
      <c r="J281" s="21">
        <v>23925</v>
      </c>
      <c r="K281" s="21">
        <v>0.03</v>
      </c>
      <c r="L281" s="21">
        <v>23207.25</v>
      </c>
      <c r="M281" s="25">
        <v>42564</v>
      </c>
      <c r="N281">
        <f>MONTH(Table_36[[#This Row],[Дата заказа]])</f>
        <v>7</v>
      </c>
      <c r="O281">
        <f>WEEKDAY(Table_36[[#This Row],[Дата заказа]])</f>
        <v>4</v>
      </c>
      <c r="P281">
        <f>DAY(Table_36[[#This Row],[Дата заказа]])</f>
        <v>13</v>
      </c>
      <c r="Q281">
        <f>YEAR(Table_36[[#This Row],[Дата заказа]])</f>
        <v>2016</v>
      </c>
      <c r="R281">
        <f>_xlfn.ISOWEEKNUM(Table_36[[#This Row],[Дата заказа]])</f>
        <v>28</v>
      </c>
    </row>
    <row r="282" spans="3:18" ht="15.75" customHeight="1" x14ac:dyDescent="0.2">
      <c r="C282" s="26">
        <v>8</v>
      </c>
      <c r="D282" s="21" t="s">
        <v>2477</v>
      </c>
      <c r="E282" s="21" t="s">
        <v>2454</v>
      </c>
      <c r="F282" s="21" t="s">
        <v>2478</v>
      </c>
      <c r="G282" s="21">
        <v>847</v>
      </c>
      <c r="H282" s="21" t="s">
        <v>2440</v>
      </c>
      <c r="I282" s="21">
        <v>15</v>
      </c>
      <c r="J282" s="21">
        <v>12705</v>
      </c>
      <c r="K282" s="21">
        <v>0</v>
      </c>
      <c r="L282" s="21">
        <v>12705</v>
      </c>
      <c r="M282" s="25">
        <v>42014</v>
      </c>
      <c r="N282">
        <f>MONTH(Table_36[[#This Row],[Дата заказа]])</f>
        <v>1</v>
      </c>
      <c r="O282">
        <f>WEEKDAY(Table_36[[#This Row],[Дата заказа]])</f>
        <v>7</v>
      </c>
      <c r="P282">
        <f>DAY(Table_36[[#This Row],[Дата заказа]])</f>
        <v>10</v>
      </c>
      <c r="Q282">
        <f>YEAR(Table_36[[#This Row],[Дата заказа]])</f>
        <v>2015</v>
      </c>
      <c r="R282">
        <f>_xlfn.ISOWEEKNUM(Table_36[[#This Row],[Дата заказа]])</f>
        <v>2</v>
      </c>
    </row>
    <row r="283" spans="3:18" ht="15.75" customHeight="1" x14ac:dyDescent="0.2">
      <c r="C283" s="26">
        <v>25</v>
      </c>
      <c r="D283" s="21" t="s">
        <v>2490</v>
      </c>
      <c r="E283" s="21" t="s">
        <v>2462</v>
      </c>
      <c r="F283" s="21" t="s">
        <v>2491</v>
      </c>
      <c r="G283" s="21">
        <v>1994</v>
      </c>
      <c r="H283" s="21" t="s">
        <v>2444</v>
      </c>
      <c r="I283" s="21">
        <v>10</v>
      </c>
      <c r="J283" s="21">
        <v>19940</v>
      </c>
      <c r="K283" s="21">
        <v>0.03</v>
      </c>
      <c r="L283" s="21">
        <v>19341.8</v>
      </c>
      <c r="M283" s="25">
        <v>43435</v>
      </c>
      <c r="N283">
        <f>MONTH(Table_36[[#This Row],[Дата заказа]])</f>
        <v>12</v>
      </c>
      <c r="O283">
        <f>WEEKDAY(Table_36[[#This Row],[Дата заказа]])</f>
        <v>7</v>
      </c>
      <c r="P283">
        <f>DAY(Table_36[[#This Row],[Дата заказа]])</f>
        <v>1</v>
      </c>
      <c r="Q283">
        <f>YEAR(Table_36[[#This Row],[Дата заказа]])</f>
        <v>2018</v>
      </c>
      <c r="R283">
        <f>_xlfn.ISOWEEKNUM(Table_36[[#This Row],[Дата заказа]])</f>
        <v>48</v>
      </c>
    </row>
    <row r="284" spans="3:18" ht="15.75" customHeight="1" x14ac:dyDescent="0.2">
      <c r="C284" s="26">
        <v>15</v>
      </c>
      <c r="D284" s="21" t="s">
        <v>2512</v>
      </c>
      <c r="E284" s="21" t="s">
        <v>2462</v>
      </c>
      <c r="F284" s="21" t="s">
        <v>2513</v>
      </c>
      <c r="G284" s="21">
        <v>1994</v>
      </c>
      <c r="H284" s="21" t="s">
        <v>2444</v>
      </c>
      <c r="I284" s="21">
        <v>17</v>
      </c>
      <c r="J284" s="21">
        <v>33898</v>
      </c>
      <c r="K284" s="21">
        <v>0.06</v>
      </c>
      <c r="L284" s="21">
        <v>31864.12</v>
      </c>
      <c r="M284" s="25">
        <v>44180</v>
      </c>
      <c r="N284">
        <f>MONTH(Table_36[[#This Row],[Дата заказа]])</f>
        <v>12</v>
      </c>
      <c r="O284">
        <f>WEEKDAY(Table_36[[#This Row],[Дата заказа]])</f>
        <v>3</v>
      </c>
      <c r="P284">
        <f>DAY(Table_36[[#This Row],[Дата заказа]])</f>
        <v>15</v>
      </c>
      <c r="Q284">
        <f>YEAR(Table_36[[#This Row],[Дата заказа]])</f>
        <v>2020</v>
      </c>
      <c r="R284">
        <f>_xlfn.ISOWEEKNUM(Table_36[[#This Row],[Дата заказа]])</f>
        <v>51</v>
      </c>
    </row>
    <row r="285" spans="3:18" ht="15.75" customHeight="1" x14ac:dyDescent="0.2">
      <c r="C285" s="26">
        <v>55</v>
      </c>
      <c r="D285" s="21" t="s">
        <v>2447</v>
      </c>
      <c r="E285" s="21" t="s">
        <v>2448</v>
      </c>
      <c r="F285" s="21" t="s">
        <v>2448</v>
      </c>
      <c r="G285" s="21">
        <v>699</v>
      </c>
      <c r="H285" s="21" t="s">
        <v>2444</v>
      </c>
      <c r="I285" s="21">
        <v>10</v>
      </c>
      <c r="J285" s="21">
        <v>6990</v>
      </c>
      <c r="K285" s="21">
        <v>0</v>
      </c>
      <c r="L285" s="21">
        <v>6990</v>
      </c>
      <c r="M285" s="25">
        <v>42861</v>
      </c>
      <c r="N285">
        <f>MONTH(Table_36[[#This Row],[Дата заказа]])</f>
        <v>5</v>
      </c>
      <c r="O285">
        <f>WEEKDAY(Table_36[[#This Row],[Дата заказа]])</f>
        <v>7</v>
      </c>
      <c r="P285">
        <f>DAY(Table_36[[#This Row],[Дата заказа]])</f>
        <v>6</v>
      </c>
      <c r="Q285">
        <f>YEAR(Table_36[[#This Row],[Дата заказа]])</f>
        <v>2017</v>
      </c>
      <c r="R285">
        <f>_xlfn.ISOWEEKNUM(Table_36[[#This Row],[Дата заказа]])</f>
        <v>18</v>
      </c>
    </row>
    <row r="286" spans="3:18" ht="15.75" customHeight="1" x14ac:dyDescent="0.2">
      <c r="C286" s="26">
        <v>16</v>
      </c>
      <c r="D286" s="21" t="s">
        <v>2504</v>
      </c>
      <c r="E286" s="21" t="s">
        <v>2505</v>
      </c>
      <c r="F286" s="21" t="s">
        <v>2506</v>
      </c>
      <c r="G286" s="21">
        <v>843</v>
      </c>
      <c r="H286" s="21" t="s">
        <v>2444</v>
      </c>
      <c r="I286" s="21">
        <v>5</v>
      </c>
      <c r="J286" s="21">
        <v>4215</v>
      </c>
      <c r="K286" s="21">
        <v>0</v>
      </c>
      <c r="L286" s="21">
        <v>4215</v>
      </c>
      <c r="M286" s="25">
        <v>42736</v>
      </c>
      <c r="N286">
        <f>MONTH(Table_36[[#This Row],[Дата заказа]])</f>
        <v>1</v>
      </c>
      <c r="O286">
        <f>WEEKDAY(Table_36[[#This Row],[Дата заказа]])</f>
        <v>1</v>
      </c>
      <c r="P286">
        <f>DAY(Table_36[[#This Row],[Дата заказа]])</f>
        <v>1</v>
      </c>
      <c r="Q286">
        <f>YEAR(Table_36[[#This Row],[Дата заказа]])</f>
        <v>2017</v>
      </c>
      <c r="R286">
        <f>_xlfn.ISOWEEKNUM(Table_36[[#This Row],[Дата заказа]])</f>
        <v>52</v>
      </c>
    </row>
    <row r="287" spans="3:18" ht="15.75" customHeight="1" x14ac:dyDescent="0.2">
      <c r="C287" s="26">
        <v>25</v>
      </c>
      <c r="D287" s="21" t="s">
        <v>2490</v>
      </c>
      <c r="E287" s="21" t="s">
        <v>2462</v>
      </c>
      <c r="F287" s="21" t="s">
        <v>2491</v>
      </c>
      <c r="G287" s="21">
        <v>1994</v>
      </c>
      <c r="H287" s="21" t="s">
        <v>2444</v>
      </c>
      <c r="I287" s="21">
        <v>10</v>
      </c>
      <c r="J287" s="21">
        <v>19940</v>
      </c>
      <c r="K287" s="21">
        <v>0.03</v>
      </c>
      <c r="L287" s="21">
        <v>19341.8</v>
      </c>
      <c r="M287" s="25">
        <v>44099</v>
      </c>
      <c r="N287">
        <f>MONTH(Table_36[[#This Row],[Дата заказа]])</f>
        <v>9</v>
      </c>
      <c r="O287">
        <f>WEEKDAY(Table_36[[#This Row],[Дата заказа]])</f>
        <v>6</v>
      </c>
      <c r="P287">
        <f>DAY(Table_36[[#This Row],[Дата заказа]])</f>
        <v>25</v>
      </c>
      <c r="Q287">
        <f>YEAR(Table_36[[#This Row],[Дата заказа]])</f>
        <v>2020</v>
      </c>
      <c r="R287">
        <f>_xlfn.ISOWEEKNUM(Table_36[[#This Row],[Дата заказа]])</f>
        <v>39</v>
      </c>
    </row>
    <row r="288" spans="3:18" ht="15.75" customHeight="1" x14ac:dyDescent="0.2">
      <c r="C288" s="26">
        <v>10</v>
      </c>
      <c r="D288" s="21" t="s">
        <v>2451</v>
      </c>
      <c r="E288" s="21" t="s">
        <v>2438</v>
      </c>
      <c r="F288" s="21" t="s">
        <v>2452</v>
      </c>
      <c r="G288" s="21">
        <v>800</v>
      </c>
      <c r="H288" s="21" t="s">
        <v>2440</v>
      </c>
      <c r="I288" s="21">
        <v>25</v>
      </c>
      <c r="J288" s="21">
        <v>20000</v>
      </c>
      <c r="K288" s="21">
        <v>0.03</v>
      </c>
      <c r="L288" s="21">
        <v>19400</v>
      </c>
      <c r="M288" s="25">
        <v>42183</v>
      </c>
      <c r="N288">
        <f>MONTH(Table_36[[#This Row],[Дата заказа]])</f>
        <v>6</v>
      </c>
      <c r="O288">
        <f>WEEKDAY(Table_36[[#This Row],[Дата заказа]])</f>
        <v>1</v>
      </c>
      <c r="P288">
        <f>DAY(Table_36[[#This Row],[Дата заказа]])</f>
        <v>28</v>
      </c>
      <c r="Q288">
        <f>YEAR(Table_36[[#This Row],[Дата заказа]])</f>
        <v>2015</v>
      </c>
      <c r="R288">
        <f>_xlfn.ISOWEEKNUM(Table_36[[#This Row],[Дата заказа]])</f>
        <v>26</v>
      </c>
    </row>
    <row r="289" spans="3:18" ht="15.75" customHeight="1" x14ac:dyDescent="0.2">
      <c r="C289" s="26">
        <v>46</v>
      </c>
      <c r="D289" s="21" t="s">
        <v>2475</v>
      </c>
      <c r="E289" s="21" t="s">
        <v>2476</v>
      </c>
      <c r="F289" s="21" t="s">
        <v>2476</v>
      </c>
      <c r="G289" s="21">
        <v>770</v>
      </c>
      <c r="H289" s="21" t="s">
        <v>2440</v>
      </c>
      <c r="I289" s="21">
        <v>20</v>
      </c>
      <c r="J289" s="21">
        <v>15400</v>
      </c>
      <c r="K289" s="21">
        <v>0.03</v>
      </c>
      <c r="L289" s="21">
        <v>14938</v>
      </c>
      <c r="M289" s="25">
        <v>42893</v>
      </c>
      <c r="N289">
        <f>MONTH(Table_36[[#This Row],[Дата заказа]])</f>
        <v>6</v>
      </c>
      <c r="O289">
        <f>WEEKDAY(Table_36[[#This Row],[Дата заказа]])</f>
        <v>4</v>
      </c>
      <c r="P289">
        <f>DAY(Table_36[[#This Row],[Дата заказа]])</f>
        <v>7</v>
      </c>
      <c r="Q289">
        <f>YEAR(Table_36[[#This Row],[Дата заказа]])</f>
        <v>2017</v>
      </c>
      <c r="R289">
        <f>_xlfn.ISOWEEKNUM(Table_36[[#This Row],[Дата заказа]])</f>
        <v>23</v>
      </c>
    </row>
    <row r="290" spans="3:18" ht="15.75" customHeight="1" x14ac:dyDescent="0.2">
      <c r="C290" s="26">
        <v>6</v>
      </c>
      <c r="D290" s="21" t="s">
        <v>2502</v>
      </c>
      <c r="E290" s="21" t="s">
        <v>2446</v>
      </c>
      <c r="F290" s="21" t="s">
        <v>2503</v>
      </c>
      <c r="G290" s="21">
        <v>3197</v>
      </c>
      <c r="H290" s="21" t="s">
        <v>2444</v>
      </c>
      <c r="I290" s="21">
        <v>6</v>
      </c>
      <c r="J290" s="21">
        <v>19182</v>
      </c>
      <c r="K290" s="21">
        <v>0.03</v>
      </c>
      <c r="L290" s="21">
        <v>18606.54</v>
      </c>
      <c r="M290" s="25">
        <v>43839</v>
      </c>
      <c r="N290">
        <f>MONTH(Table_36[[#This Row],[Дата заказа]])</f>
        <v>1</v>
      </c>
      <c r="O290">
        <f>WEEKDAY(Table_36[[#This Row],[Дата заказа]])</f>
        <v>5</v>
      </c>
      <c r="P290">
        <f>DAY(Table_36[[#This Row],[Дата заказа]])</f>
        <v>9</v>
      </c>
      <c r="Q290">
        <f>YEAR(Table_36[[#This Row],[Дата заказа]])</f>
        <v>2020</v>
      </c>
      <c r="R290">
        <f>_xlfn.ISOWEEKNUM(Table_36[[#This Row],[Дата заказа]])</f>
        <v>2</v>
      </c>
    </row>
    <row r="291" spans="3:18" ht="15.75" customHeight="1" x14ac:dyDescent="0.2">
      <c r="C291" s="26">
        <v>15</v>
      </c>
      <c r="D291" s="21" t="s">
        <v>2512</v>
      </c>
      <c r="E291" s="21" t="s">
        <v>2462</v>
      </c>
      <c r="F291" s="21" t="s">
        <v>2513</v>
      </c>
      <c r="G291" s="21">
        <v>1994</v>
      </c>
      <c r="H291" s="21" t="s">
        <v>2444</v>
      </c>
      <c r="I291" s="21">
        <v>17</v>
      </c>
      <c r="J291" s="21">
        <v>33898</v>
      </c>
      <c r="K291" s="21">
        <v>0.06</v>
      </c>
      <c r="L291" s="21">
        <v>31864.12</v>
      </c>
      <c r="M291" s="25">
        <v>42081</v>
      </c>
      <c r="N291">
        <f>MONTH(Table_36[[#This Row],[Дата заказа]])</f>
        <v>3</v>
      </c>
      <c r="O291">
        <f>WEEKDAY(Table_36[[#This Row],[Дата заказа]])</f>
        <v>4</v>
      </c>
      <c r="P291">
        <f>DAY(Table_36[[#This Row],[Дата заказа]])</f>
        <v>18</v>
      </c>
      <c r="Q291">
        <f>YEAR(Table_36[[#This Row],[Дата заказа]])</f>
        <v>2015</v>
      </c>
      <c r="R291">
        <f>_xlfn.ISOWEEKNUM(Table_36[[#This Row],[Дата заказа]])</f>
        <v>12</v>
      </c>
    </row>
    <row r="292" spans="3:18" ht="15.75" customHeight="1" x14ac:dyDescent="0.2">
      <c r="C292" s="26">
        <v>15</v>
      </c>
      <c r="D292" s="21" t="s">
        <v>2512</v>
      </c>
      <c r="E292" s="21" t="s">
        <v>2462</v>
      </c>
      <c r="F292" s="21" t="s">
        <v>2513</v>
      </c>
      <c r="G292" s="21">
        <v>1994</v>
      </c>
      <c r="H292" s="21" t="s">
        <v>2444</v>
      </c>
      <c r="I292" s="21">
        <v>17</v>
      </c>
      <c r="J292" s="21">
        <v>33898</v>
      </c>
      <c r="K292" s="21">
        <v>0.06</v>
      </c>
      <c r="L292" s="21">
        <v>31864.12</v>
      </c>
      <c r="M292" s="25">
        <v>43984</v>
      </c>
      <c r="N292">
        <f>MONTH(Table_36[[#This Row],[Дата заказа]])</f>
        <v>6</v>
      </c>
      <c r="O292">
        <f>WEEKDAY(Table_36[[#This Row],[Дата заказа]])</f>
        <v>3</v>
      </c>
      <c r="P292">
        <f>DAY(Table_36[[#This Row],[Дата заказа]])</f>
        <v>2</v>
      </c>
      <c r="Q292">
        <f>YEAR(Table_36[[#This Row],[Дата заказа]])</f>
        <v>2020</v>
      </c>
      <c r="R292">
        <f>_xlfn.ISOWEEKNUM(Table_36[[#This Row],[Дата заказа]])</f>
        <v>23</v>
      </c>
    </row>
    <row r="293" spans="3:18" ht="15.75" customHeight="1" x14ac:dyDescent="0.2">
      <c r="C293" s="26">
        <v>56</v>
      </c>
      <c r="D293" s="21" t="s">
        <v>2451</v>
      </c>
      <c r="E293" s="21" t="s">
        <v>2438</v>
      </c>
      <c r="F293" s="21" t="s">
        <v>2452</v>
      </c>
      <c r="G293" s="21">
        <v>800</v>
      </c>
      <c r="H293" s="21" t="s">
        <v>2440</v>
      </c>
      <c r="I293" s="21">
        <v>40</v>
      </c>
      <c r="J293" s="21">
        <v>32000</v>
      </c>
      <c r="K293" s="21">
        <v>0.03</v>
      </c>
      <c r="L293" s="21">
        <v>31040</v>
      </c>
      <c r="M293" s="25">
        <v>43099</v>
      </c>
      <c r="N293">
        <f>MONTH(Table_36[[#This Row],[Дата заказа]])</f>
        <v>12</v>
      </c>
      <c r="O293">
        <f>WEEKDAY(Table_36[[#This Row],[Дата заказа]])</f>
        <v>7</v>
      </c>
      <c r="P293">
        <f>DAY(Table_36[[#This Row],[Дата заказа]])</f>
        <v>30</v>
      </c>
      <c r="Q293">
        <f>YEAR(Table_36[[#This Row],[Дата заказа]])</f>
        <v>2017</v>
      </c>
      <c r="R293">
        <f>_xlfn.ISOWEEKNUM(Table_36[[#This Row],[Дата заказа]])</f>
        <v>52</v>
      </c>
    </row>
    <row r="294" spans="3:18" ht="15.75" customHeight="1" x14ac:dyDescent="0.2">
      <c r="C294" s="26">
        <v>25</v>
      </c>
      <c r="D294" s="21" t="s">
        <v>2490</v>
      </c>
      <c r="E294" s="21" t="s">
        <v>2462</v>
      </c>
      <c r="F294" s="21" t="s">
        <v>2491</v>
      </c>
      <c r="G294" s="21">
        <v>1994</v>
      </c>
      <c r="H294" s="21" t="s">
        <v>2444</v>
      </c>
      <c r="I294" s="21">
        <v>10</v>
      </c>
      <c r="J294" s="21">
        <v>19940</v>
      </c>
      <c r="K294" s="21">
        <v>0.03</v>
      </c>
      <c r="L294" s="21">
        <v>19341.8</v>
      </c>
      <c r="M294" s="25">
        <v>42605</v>
      </c>
      <c r="N294">
        <f>MONTH(Table_36[[#This Row],[Дата заказа]])</f>
        <v>8</v>
      </c>
      <c r="O294">
        <f>WEEKDAY(Table_36[[#This Row],[Дата заказа]])</f>
        <v>3</v>
      </c>
      <c r="P294">
        <f>DAY(Table_36[[#This Row],[Дата заказа]])</f>
        <v>23</v>
      </c>
      <c r="Q294">
        <f>YEAR(Table_36[[#This Row],[Дата заказа]])</f>
        <v>2016</v>
      </c>
      <c r="R294">
        <f>_xlfn.ISOWEEKNUM(Table_36[[#This Row],[Дата заказа]])</f>
        <v>34</v>
      </c>
    </row>
    <row r="295" spans="3:18" ht="15.75" customHeight="1" x14ac:dyDescent="0.2">
      <c r="C295" s="26">
        <v>16</v>
      </c>
      <c r="D295" s="21" t="s">
        <v>2504</v>
      </c>
      <c r="E295" s="21" t="s">
        <v>2505</v>
      </c>
      <c r="F295" s="21" t="s">
        <v>2506</v>
      </c>
      <c r="G295" s="21">
        <v>843</v>
      </c>
      <c r="H295" s="21" t="s">
        <v>2444</v>
      </c>
      <c r="I295" s="21">
        <v>5</v>
      </c>
      <c r="J295" s="21">
        <v>4215</v>
      </c>
      <c r="K295" s="21">
        <v>0</v>
      </c>
      <c r="L295" s="21">
        <v>4215</v>
      </c>
      <c r="M295" s="25">
        <v>42022</v>
      </c>
      <c r="N295">
        <f>MONTH(Table_36[[#This Row],[Дата заказа]])</f>
        <v>1</v>
      </c>
      <c r="O295">
        <f>WEEKDAY(Table_36[[#This Row],[Дата заказа]])</f>
        <v>1</v>
      </c>
      <c r="P295">
        <f>DAY(Table_36[[#This Row],[Дата заказа]])</f>
        <v>18</v>
      </c>
      <c r="Q295">
        <f>YEAR(Table_36[[#This Row],[Дата заказа]])</f>
        <v>2015</v>
      </c>
      <c r="R295">
        <f>_xlfn.ISOWEEKNUM(Table_36[[#This Row],[Дата заказа]])</f>
        <v>3</v>
      </c>
    </row>
    <row r="296" spans="3:18" ht="15.75" customHeight="1" x14ac:dyDescent="0.2">
      <c r="C296" s="26">
        <v>7</v>
      </c>
      <c r="D296" s="21" t="s">
        <v>2437</v>
      </c>
      <c r="E296" s="21" t="s">
        <v>2438</v>
      </c>
      <c r="F296" s="21" t="s">
        <v>2439</v>
      </c>
      <c r="G296" s="21">
        <v>1923</v>
      </c>
      <c r="H296" s="21" t="s">
        <v>2440</v>
      </c>
      <c r="I296" s="21">
        <v>25</v>
      </c>
      <c r="J296" s="21">
        <v>48075</v>
      </c>
      <c r="K296" s="21">
        <v>0.06</v>
      </c>
      <c r="L296" s="21">
        <v>45190.5</v>
      </c>
      <c r="M296" s="25">
        <v>42353</v>
      </c>
      <c r="N296">
        <f>MONTH(Table_36[[#This Row],[Дата заказа]])</f>
        <v>12</v>
      </c>
      <c r="O296">
        <f>WEEKDAY(Table_36[[#This Row],[Дата заказа]])</f>
        <v>3</v>
      </c>
      <c r="P296">
        <f>DAY(Table_36[[#This Row],[Дата заказа]])</f>
        <v>15</v>
      </c>
      <c r="Q296">
        <f>YEAR(Table_36[[#This Row],[Дата заказа]])</f>
        <v>2015</v>
      </c>
      <c r="R296">
        <f>_xlfn.ISOWEEKNUM(Table_36[[#This Row],[Дата заказа]])</f>
        <v>51</v>
      </c>
    </row>
    <row r="297" spans="3:18" ht="15.75" customHeight="1" x14ac:dyDescent="0.2">
      <c r="C297" s="26">
        <v>32</v>
      </c>
      <c r="D297" s="21" t="s">
        <v>2496</v>
      </c>
      <c r="E297" s="21" t="s">
        <v>2446</v>
      </c>
      <c r="F297" s="21" t="s">
        <v>2466</v>
      </c>
      <c r="G297" s="21">
        <v>967</v>
      </c>
      <c r="H297" s="21" t="s">
        <v>2444</v>
      </c>
      <c r="I297" s="21">
        <v>8</v>
      </c>
      <c r="J297" s="21">
        <v>7736</v>
      </c>
      <c r="K297" s="21">
        <v>0</v>
      </c>
      <c r="L297" s="21">
        <v>7736</v>
      </c>
      <c r="M297" s="25">
        <v>43795</v>
      </c>
      <c r="N297">
        <f>MONTH(Table_36[[#This Row],[Дата заказа]])</f>
        <v>11</v>
      </c>
      <c r="O297">
        <f>WEEKDAY(Table_36[[#This Row],[Дата заказа]])</f>
        <v>3</v>
      </c>
      <c r="P297">
        <f>DAY(Table_36[[#This Row],[Дата заказа]])</f>
        <v>26</v>
      </c>
      <c r="Q297">
        <f>YEAR(Table_36[[#This Row],[Дата заказа]])</f>
        <v>2019</v>
      </c>
      <c r="R297">
        <f>_xlfn.ISOWEEKNUM(Table_36[[#This Row],[Дата заказа]])</f>
        <v>48</v>
      </c>
    </row>
    <row r="298" spans="3:18" ht="15.75" customHeight="1" x14ac:dyDescent="0.2">
      <c r="C298" s="26">
        <v>35</v>
      </c>
      <c r="D298" s="21" t="s">
        <v>2441</v>
      </c>
      <c r="E298" s="21" t="s">
        <v>2442</v>
      </c>
      <c r="F298" s="21" t="s">
        <v>2443</v>
      </c>
      <c r="G298" s="21">
        <v>617</v>
      </c>
      <c r="H298" s="21" t="s">
        <v>2444</v>
      </c>
      <c r="I298" s="21">
        <v>10</v>
      </c>
      <c r="J298" s="21">
        <v>6170</v>
      </c>
      <c r="K298" s="21">
        <v>0</v>
      </c>
      <c r="L298" s="21">
        <v>6170</v>
      </c>
      <c r="M298" s="25">
        <v>42161</v>
      </c>
      <c r="N298">
        <f>MONTH(Table_36[[#This Row],[Дата заказа]])</f>
        <v>6</v>
      </c>
      <c r="O298">
        <f>WEEKDAY(Table_36[[#This Row],[Дата заказа]])</f>
        <v>7</v>
      </c>
      <c r="P298">
        <f>DAY(Table_36[[#This Row],[Дата заказа]])</f>
        <v>6</v>
      </c>
      <c r="Q298">
        <f>YEAR(Table_36[[#This Row],[Дата заказа]])</f>
        <v>2015</v>
      </c>
      <c r="R298">
        <f>_xlfn.ISOWEEKNUM(Table_36[[#This Row],[Дата заказа]])</f>
        <v>23</v>
      </c>
    </row>
    <row r="299" spans="3:18" ht="15.75" customHeight="1" x14ac:dyDescent="0.2">
      <c r="C299" s="26">
        <v>32</v>
      </c>
      <c r="D299" s="21" t="s">
        <v>2496</v>
      </c>
      <c r="E299" s="21" t="s">
        <v>2446</v>
      </c>
      <c r="F299" s="21" t="s">
        <v>2466</v>
      </c>
      <c r="G299" s="21">
        <v>967</v>
      </c>
      <c r="H299" s="21" t="s">
        <v>2444</v>
      </c>
      <c r="I299" s="21">
        <v>8</v>
      </c>
      <c r="J299" s="21">
        <v>7736</v>
      </c>
      <c r="K299" s="21">
        <v>0</v>
      </c>
      <c r="L299" s="21">
        <v>7736</v>
      </c>
      <c r="M299" s="25">
        <v>44020</v>
      </c>
      <c r="N299">
        <f>MONTH(Table_36[[#This Row],[Дата заказа]])</f>
        <v>7</v>
      </c>
      <c r="O299">
        <f>WEEKDAY(Table_36[[#This Row],[Дата заказа]])</f>
        <v>4</v>
      </c>
      <c r="P299">
        <f>DAY(Table_36[[#This Row],[Дата заказа]])</f>
        <v>8</v>
      </c>
      <c r="Q299">
        <f>YEAR(Table_36[[#This Row],[Дата заказа]])</f>
        <v>2020</v>
      </c>
      <c r="R299">
        <f>_xlfn.ISOWEEKNUM(Table_36[[#This Row],[Дата заказа]])</f>
        <v>28</v>
      </c>
    </row>
    <row r="300" spans="3:18" ht="15.75" customHeight="1" x14ac:dyDescent="0.2">
      <c r="C300" s="26">
        <v>27</v>
      </c>
      <c r="D300" s="21" t="s">
        <v>2499</v>
      </c>
      <c r="E300" s="21" t="s">
        <v>2462</v>
      </c>
      <c r="F300" s="21" t="s">
        <v>2463</v>
      </c>
      <c r="G300" s="21">
        <v>1994</v>
      </c>
      <c r="H300" s="21" t="s">
        <v>2444</v>
      </c>
      <c r="I300" s="21">
        <v>25</v>
      </c>
      <c r="J300" s="21">
        <v>49850</v>
      </c>
      <c r="K300" s="21">
        <v>0.06</v>
      </c>
      <c r="L300" s="21">
        <v>46859</v>
      </c>
      <c r="M300" s="25">
        <v>43949</v>
      </c>
      <c r="N300">
        <f>MONTH(Table_36[[#This Row],[Дата заказа]])</f>
        <v>4</v>
      </c>
      <c r="O300">
        <f>WEEKDAY(Table_36[[#This Row],[Дата заказа]])</f>
        <v>3</v>
      </c>
      <c r="P300">
        <f>DAY(Table_36[[#This Row],[Дата заказа]])</f>
        <v>28</v>
      </c>
      <c r="Q300">
        <f>YEAR(Table_36[[#This Row],[Дата заказа]])</f>
        <v>2020</v>
      </c>
      <c r="R300">
        <f>_xlfn.ISOWEEKNUM(Table_36[[#This Row],[Дата заказа]])</f>
        <v>18</v>
      </c>
    </row>
    <row r="301" spans="3:18" ht="15.75" customHeight="1" x14ac:dyDescent="0.2">
      <c r="C301" s="26">
        <v>12</v>
      </c>
      <c r="D301" s="21" t="s">
        <v>2453</v>
      </c>
      <c r="E301" s="21" t="s">
        <v>2454</v>
      </c>
      <c r="F301" s="21" t="s">
        <v>2455</v>
      </c>
      <c r="G301" s="21">
        <v>1386</v>
      </c>
      <c r="H301" s="21" t="s">
        <v>2440</v>
      </c>
      <c r="I301" s="21">
        <v>20</v>
      </c>
      <c r="J301" s="21">
        <v>27720</v>
      </c>
      <c r="K301" s="21">
        <v>0.03</v>
      </c>
      <c r="L301" s="21">
        <v>26888.400000000001</v>
      </c>
      <c r="M301" s="25">
        <v>42258</v>
      </c>
      <c r="N301">
        <f>MONTH(Table_36[[#This Row],[Дата заказа]])</f>
        <v>9</v>
      </c>
      <c r="O301">
        <f>WEEKDAY(Table_36[[#This Row],[Дата заказа]])</f>
        <v>6</v>
      </c>
      <c r="P301">
        <f>DAY(Table_36[[#This Row],[Дата заказа]])</f>
        <v>11</v>
      </c>
      <c r="Q301">
        <f>YEAR(Table_36[[#This Row],[Дата заказа]])</f>
        <v>2015</v>
      </c>
      <c r="R301">
        <f>_xlfn.ISOWEEKNUM(Table_36[[#This Row],[Дата заказа]])</f>
        <v>37</v>
      </c>
    </row>
    <row r="302" spans="3:18" ht="15.75" customHeight="1" x14ac:dyDescent="0.2">
      <c r="C302" s="26">
        <v>17</v>
      </c>
      <c r="D302" s="21" t="s">
        <v>2465</v>
      </c>
      <c r="E302" s="21" t="s">
        <v>2446</v>
      </c>
      <c r="F302" s="21" t="s">
        <v>2466</v>
      </c>
      <c r="G302" s="21">
        <v>967</v>
      </c>
      <c r="H302" s="21" t="s">
        <v>2444</v>
      </c>
      <c r="I302" s="21">
        <v>12</v>
      </c>
      <c r="J302" s="21">
        <v>11604</v>
      </c>
      <c r="K302" s="21">
        <v>0</v>
      </c>
      <c r="L302" s="21">
        <v>11604</v>
      </c>
      <c r="M302" s="25">
        <v>42807</v>
      </c>
      <c r="N302">
        <f>MONTH(Table_36[[#This Row],[Дата заказа]])</f>
        <v>3</v>
      </c>
      <c r="O302">
        <f>WEEKDAY(Table_36[[#This Row],[Дата заказа]])</f>
        <v>2</v>
      </c>
      <c r="P302">
        <f>DAY(Table_36[[#This Row],[Дата заказа]])</f>
        <v>13</v>
      </c>
      <c r="Q302">
        <f>YEAR(Table_36[[#This Row],[Дата заказа]])</f>
        <v>2017</v>
      </c>
      <c r="R302">
        <f>_xlfn.ISOWEEKNUM(Table_36[[#This Row],[Дата заказа]])</f>
        <v>11</v>
      </c>
    </row>
    <row r="303" spans="3:18" ht="15.75" customHeight="1" x14ac:dyDescent="0.2">
      <c r="C303" s="26">
        <v>29</v>
      </c>
      <c r="D303" s="21" t="s">
        <v>2514</v>
      </c>
      <c r="E303" s="21" t="s">
        <v>2505</v>
      </c>
      <c r="F303" s="21" t="s">
        <v>2515</v>
      </c>
      <c r="G303" s="21">
        <v>843</v>
      </c>
      <c r="H303" s="21" t="s">
        <v>2444</v>
      </c>
      <c r="I303" s="21">
        <v>10</v>
      </c>
      <c r="J303" s="21">
        <v>8430</v>
      </c>
      <c r="K303" s="21">
        <v>0</v>
      </c>
      <c r="L303" s="21">
        <v>8430</v>
      </c>
      <c r="M303" s="25">
        <v>43682</v>
      </c>
      <c r="N303">
        <f>MONTH(Table_36[[#This Row],[Дата заказа]])</f>
        <v>8</v>
      </c>
      <c r="O303">
        <f>WEEKDAY(Table_36[[#This Row],[Дата заказа]])</f>
        <v>2</v>
      </c>
      <c r="P303">
        <f>DAY(Table_36[[#This Row],[Дата заказа]])</f>
        <v>5</v>
      </c>
      <c r="Q303">
        <f>YEAR(Table_36[[#This Row],[Дата заказа]])</f>
        <v>2019</v>
      </c>
      <c r="R303">
        <f>_xlfn.ISOWEEKNUM(Table_36[[#This Row],[Дата заказа]])</f>
        <v>32</v>
      </c>
    </row>
    <row r="304" spans="3:18" ht="15.75" customHeight="1" x14ac:dyDescent="0.2">
      <c r="C304" s="26">
        <v>33</v>
      </c>
      <c r="D304" s="21" t="s">
        <v>2461</v>
      </c>
      <c r="E304" s="21" t="s">
        <v>2462</v>
      </c>
      <c r="F304" s="21" t="s">
        <v>2463</v>
      </c>
      <c r="G304" s="21">
        <v>1994</v>
      </c>
      <c r="H304" s="21" t="s">
        <v>2444</v>
      </c>
      <c r="I304" s="21">
        <v>12</v>
      </c>
      <c r="J304" s="21">
        <v>23928</v>
      </c>
      <c r="K304" s="21">
        <v>0.03</v>
      </c>
      <c r="L304" s="21">
        <v>23210.16</v>
      </c>
      <c r="M304" s="25">
        <v>43613</v>
      </c>
      <c r="N304">
        <f>MONTH(Table_36[[#This Row],[Дата заказа]])</f>
        <v>5</v>
      </c>
      <c r="O304">
        <f>WEEKDAY(Table_36[[#This Row],[Дата заказа]])</f>
        <v>3</v>
      </c>
      <c r="P304">
        <f>DAY(Table_36[[#This Row],[Дата заказа]])</f>
        <v>28</v>
      </c>
      <c r="Q304">
        <f>YEAR(Table_36[[#This Row],[Дата заказа]])</f>
        <v>2019</v>
      </c>
      <c r="R304">
        <f>_xlfn.ISOWEEKNUM(Table_36[[#This Row],[Дата заказа]])</f>
        <v>22</v>
      </c>
    </row>
    <row r="305" spans="3:18" ht="15.75" customHeight="1" x14ac:dyDescent="0.2">
      <c r="C305" s="26">
        <v>21</v>
      </c>
      <c r="D305" s="21" t="s">
        <v>2497</v>
      </c>
      <c r="E305" s="21" t="s">
        <v>2442</v>
      </c>
      <c r="F305" s="21" t="s">
        <v>2498</v>
      </c>
      <c r="G305" s="21">
        <v>887</v>
      </c>
      <c r="H305" s="21" t="s">
        <v>2444</v>
      </c>
      <c r="I305" s="21">
        <v>15</v>
      </c>
      <c r="J305" s="21">
        <v>13305</v>
      </c>
      <c r="K305" s="21">
        <v>0</v>
      </c>
      <c r="L305" s="21">
        <v>13305</v>
      </c>
      <c r="M305" s="25">
        <v>42158</v>
      </c>
      <c r="N305">
        <f>MONTH(Table_36[[#This Row],[Дата заказа]])</f>
        <v>6</v>
      </c>
      <c r="O305">
        <f>WEEKDAY(Table_36[[#This Row],[Дата заказа]])</f>
        <v>4</v>
      </c>
      <c r="P305">
        <f>DAY(Table_36[[#This Row],[Дата заказа]])</f>
        <v>3</v>
      </c>
      <c r="Q305">
        <f>YEAR(Table_36[[#This Row],[Дата заказа]])</f>
        <v>2015</v>
      </c>
      <c r="R305">
        <f>_xlfn.ISOWEEKNUM(Table_36[[#This Row],[Дата заказа]])</f>
        <v>23</v>
      </c>
    </row>
    <row r="306" spans="3:18" ht="15.75" customHeight="1" x14ac:dyDescent="0.2">
      <c r="C306" s="26">
        <v>49</v>
      </c>
      <c r="D306" s="21" t="s">
        <v>2441</v>
      </c>
      <c r="E306" s="21" t="s">
        <v>2442</v>
      </c>
      <c r="F306" s="21" t="s">
        <v>2443</v>
      </c>
      <c r="G306" s="21">
        <v>617</v>
      </c>
      <c r="H306" s="21" t="s">
        <v>2444</v>
      </c>
      <c r="I306" s="21">
        <v>25</v>
      </c>
      <c r="J306" s="21">
        <v>15425</v>
      </c>
      <c r="K306" s="21">
        <v>0</v>
      </c>
      <c r="L306" s="21">
        <v>15425</v>
      </c>
      <c r="M306" s="25">
        <v>42098</v>
      </c>
      <c r="N306">
        <f>MONTH(Table_36[[#This Row],[Дата заказа]])</f>
        <v>4</v>
      </c>
      <c r="O306">
        <f>WEEKDAY(Table_36[[#This Row],[Дата заказа]])</f>
        <v>7</v>
      </c>
      <c r="P306">
        <f>DAY(Table_36[[#This Row],[Дата заказа]])</f>
        <v>4</v>
      </c>
      <c r="Q306">
        <f>YEAR(Table_36[[#This Row],[Дата заказа]])</f>
        <v>2015</v>
      </c>
      <c r="R306">
        <f>_xlfn.ISOWEEKNUM(Table_36[[#This Row],[Дата заказа]])</f>
        <v>14</v>
      </c>
    </row>
    <row r="307" spans="3:18" ht="15.75" customHeight="1" x14ac:dyDescent="0.2">
      <c r="C307" s="26">
        <v>40</v>
      </c>
      <c r="D307" s="21" t="s">
        <v>2477</v>
      </c>
      <c r="E307" s="21" t="s">
        <v>2454</v>
      </c>
      <c r="F307" s="21" t="s">
        <v>2478</v>
      </c>
      <c r="G307" s="21">
        <v>847</v>
      </c>
      <c r="H307" s="21" t="s">
        <v>2440</v>
      </c>
      <c r="I307" s="21">
        <v>15</v>
      </c>
      <c r="J307" s="21">
        <v>12705</v>
      </c>
      <c r="K307" s="21">
        <v>0</v>
      </c>
      <c r="L307" s="21">
        <v>12705</v>
      </c>
      <c r="M307" s="25">
        <v>43704</v>
      </c>
      <c r="N307">
        <f>MONTH(Table_36[[#This Row],[Дата заказа]])</f>
        <v>8</v>
      </c>
      <c r="O307">
        <f>WEEKDAY(Table_36[[#This Row],[Дата заказа]])</f>
        <v>3</v>
      </c>
      <c r="P307">
        <f>DAY(Table_36[[#This Row],[Дата заказа]])</f>
        <v>27</v>
      </c>
      <c r="Q307">
        <f>YEAR(Table_36[[#This Row],[Дата заказа]])</f>
        <v>2019</v>
      </c>
      <c r="R307">
        <f>_xlfn.ISOWEEKNUM(Table_36[[#This Row],[Дата заказа]])</f>
        <v>35</v>
      </c>
    </row>
    <row r="308" spans="3:18" ht="15.75" customHeight="1" x14ac:dyDescent="0.2">
      <c r="C308" s="26">
        <v>4</v>
      </c>
      <c r="D308" s="21" t="s">
        <v>2449</v>
      </c>
      <c r="E308" s="21" t="s">
        <v>2448</v>
      </c>
      <c r="F308" s="21" t="s">
        <v>2485</v>
      </c>
      <c r="G308" s="21">
        <v>2211</v>
      </c>
      <c r="H308" s="21" t="s">
        <v>2444</v>
      </c>
      <c r="I308" s="21">
        <v>25</v>
      </c>
      <c r="J308" s="21">
        <v>55275</v>
      </c>
      <c r="K308" s="21">
        <v>0.09</v>
      </c>
      <c r="L308" s="21">
        <v>50300.25</v>
      </c>
      <c r="M308" s="25">
        <v>43763</v>
      </c>
      <c r="N308">
        <f>MONTH(Table_36[[#This Row],[Дата заказа]])</f>
        <v>10</v>
      </c>
      <c r="O308">
        <f>WEEKDAY(Table_36[[#This Row],[Дата заказа]])</f>
        <v>6</v>
      </c>
      <c r="P308">
        <f>DAY(Table_36[[#This Row],[Дата заказа]])</f>
        <v>25</v>
      </c>
      <c r="Q308">
        <f>YEAR(Table_36[[#This Row],[Дата заказа]])</f>
        <v>2019</v>
      </c>
      <c r="R308">
        <f>_xlfn.ISOWEEKNUM(Table_36[[#This Row],[Дата заказа]])</f>
        <v>43</v>
      </c>
    </row>
    <row r="309" spans="3:18" ht="15.75" customHeight="1" x14ac:dyDescent="0.2">
      <c r="C309" s="26">
        <v>47</v>
      </c>
      <c r="D309" s="21" t="s">
        <v>2461</v>
      </c>
      <c r="E309" s="21" t="s">
        <v>2462</v>
      </c>
      <c r="F309" s="21" t="s">
        <v>2463</v>
      </c>
      <c r="G309" s="21">
        <v>1994</v>
      </c>
      <c r="H309" s="21" t="s">
        <v>2444</v>
      </c>
      <c r="I309" s="21">
        <v>12</v>
      </c>
      <c r="J309" s="21">
        <v>23928</v>
      </c>
      <c r="K309" s="21">
        <v>0.03</v>
      </c>
      <c r="L309" s="21">
        <v>23210.16</v>
      </c>
      <c r="M309" s="25">
        <v>42897</v>
      </c>
      <c r="N309">
        <f>MONTH(Table_36[[#This Row],[Дата заказа]])</f>
        <v>6</v>
      </c>
      <c r="O309">
        <f>WEEKDAY(Table_36[[#This Row],[Дата заказа]])</f>
        <v>1</v>
      </c>
      <c r="P309">
        <f>DAY(Table_36[[#This Row],[Дата заказа]])</f>
        <v>11</v>
      </c>
      <c r="Q309">
        <f>YEAR(Table_36[[#This Row],[Дата заказа]])</f>
        <v>2017</v>
      </c>
      <c r="R309">
        <f>_xlfn.ISOWEEKNUM(Table_36[[#This Row],[Дата заказа]])</f>
        <v>23</v>
      </c>
    </row>
    <row r="310" spans="3:18" ht="15.75" customHeight="1" x14ac:dyDescent="0.2">
      <c r="C310" s="26">
        <v>52</v>
      </c>
      <c r="D310" s="21" t="s">
        <v>2483</v>
      </c>
      <c r="E310" s="21" t="s">
        <v>2446</v>
      </c>
      <c r="F310" s="21" t="s">
        <v>2484</v>
      </c>
      <c r="G310" s="21">
        <v>1182</v>
      </c>
      <c r="H310" s="21" t="s">
        <v>2440</v>
      </c>
      <c r="I310" s="21">
        <v>17</v>
      </c>
      <c r="J310" s="21">
        <v>20094</v>
      </c>
      <c r="K310" s="21">
        <v>0.03</v>
      </c>
      <c r="L310" s="21">
        <v>19491.18</v>
      </c>
      <c r="M310" s="25">
        <v>42985</v>
      </c>
      <c r="N310">
        <f>MONTH(Table_36[[#This Row],[Дата заказа]])</f>
        <v>9</v>
      </c>
      <c r="O310">
        <f>WEEKDAY(Table_36[[#This Row],[Дата заказа]])</f>
        <v>5</v>
      </c>
      <c r="P310">
        <f>DAY(Table_36[[#This Row],[Дата заказа]])</f>
        <v>7</v>
      </c>
      <c r="Q310">
        <f>YEAR(Table_36[[#This Row],[Дата заказа]])</f>
        <v>2017</v>
      </c>
      <c r="R310">
        <f>_xlfn.ISOWEEKNUM(Table_36[[#This Row],[Дата заказа]])</f>
        <v>36</v>
      </c>
    </row>
    <row r="311" spans="3:18" ht="15.75" customHeight="1" x14ac:dyDescent="0.2">
      <c r="C311" s="26">
        <v>53</v>
      </c>
      <c r="D311" s="21" t="s">
        <v>2437</v>
      </c>
      <c r="E311" s="21" t="s">
        <v>2438</v>
      </c>
      <c r="F311" s="21" t="s">
        <v>2439</v>
      </c>
      <c r="G311" s="21">
        <v>1923</v>
      </c>
      <c r="H311" s="21" t="s">
        <v>2440</v>
      </c>
      <c r="I311" s="21">
        <v>35</v>
      </c>
      <c r="J311" s="21">
        <v>67305</v>
      </c>
      <c r="K311" s="21">
        <v>0.06</v>
      </c>
      <c r="L311" s="21">
        <v>63266.7</v>
      </c>
      <c r="M311" s="25">
        <v>43619</v>
      </c>
      <c r="N311">
        <f>MONTH(Table_36[[#This Row],[Дата заказа]])</f>
        <v>6</v>
      </c>
      <c r="O311">
        <f>WEEKDAY(Table_36[[#This Row],[Дата заказа]])</f>
        <v>2</v>
      </c>
      <c r="P311">
        <f>DAY(Table_36[[#This Row],[Дата заказа]])</f>
        <v>3</v>
      </c>
      <c r="Q311">
        <f>YEAR(Table_36[[#This Row],[Дата заказа]])</f>
        <v>2019</v>
      </c>
      <c r="R311">
        <f>_xlfn.ISOWEEKNUM(Table_36[[#This Row],[Дата заказа]])</f>
        <v>23</v>
      </c>
    </row>
    <row r="312" spans="3:18" ht="15.75" customHeight="1" x14ac:dyDescent="0.2">
      <c r="C312" s="26">
        <v>38</v>
      </c>
      <c r="D312" s="21" t="s">
        <v>2483</v>
      </c>
      <c r="E312" s="21" t="s">
        <v>2446</v>
      </c>
      <c r="F312" s="21" t="s">
        <v>2484</v>
      </c>
      <c r="G312" s="21">
        <v>1182</v>
      </c>
      <c r="H312" s="21" t="s">
        <v>2440</v>
      </c>
      <c r="I312" s="21">
        <v>17</v>
      </c>
      <c r="J312" s="21">
        <v>20094</v>
      </c>
      <c r="K312" s="21">
        <v>0.03</v>
      </c>
      <c r="L312" s="21">
        <v>19491.18</v>
      </c>
      <c r="M312" s="25">
        <v>43546</v>
      </c>
      <c r="N312">
        <f>MONTH(Table_36[[#This Row],[Дата заказа]])</f>
        <v>3</v>
      </c>
      <c r="O312">
        <f>WEEKDAY(Table_36[[#This Row],[Дата заказа]])</f>
        <v>6</v>
      </c>
      <c r="P312">
        <f>DAY(Table_36[[#This Row],[Дата заказа]])</f>
        <v>22</v>
      </c>
      <c r="Q312">
        <f>YEAR(Table_36[[#This Row],[Дата заказа]])</f>
        <v>2019</v>
      </c>
      <c r="R312">
        <f>_xlfn.ISOWEEKNUM(Table_36[[#This Row],[Дата заказа]])</f>
        <v>12</v>
      </c>
    </row>
    <row r="313" spans="3:18" ht="15.75" customHeight="1" x14ac:dyDescent="0.2">
      <c r="C313" s="26">
        <v>20</v>
      </c>
      <c r="D313" s="21" t="s">
        <v>2467</v>
      </c>
      <c r="E313" s="21" t="s">
        <v>2457</v>
      </c>
      <c r="F313" s="21" t="s">
        <v>2468</v>
      </c>
      <c r="G313" s="21">
        <v>2198</v>
      </c>
      <c r="H313" s="21" t="s">
        <v>2444</v>
      </c>
      <c r="I313" s="21">
        <v>35</v>
      </c>
      <c r="J313" s="21">
        <v>76930</v>
      </c>
      <c r="K313" s="21">
        <v>0.12</v>
      </c>
      <c r="L313" s="21">
        <v>67698.399999999994</v>
      </c>
      <c r="M313" s="25">
        <v>43116</v>
      </c>
      <c r="N313">
        <f>MONTH(Table_36[[#This Row],[Дата заказа]])</f>
        <v>1</v>
      </c>
      <c r="O313">
        <f>WEEKDAY(Table_36[[#This Row],[Дата заказа]])</f>
        <v>3</v>
      </c>
      <c r="P313">
        <f>DAY(Table_36[[#This Row],[Дата заказа]])</f>
        <v>16</v>
      </c>
      <c r="Q313">
        <f>YEAR(Table_36[[#This Row],[Дата заказа]])</f>
        <v>2018</v>
      </c>
      <c r="R313">
        <f>_xlfn.ISOWEEKNUM(Table_36[[#This Row],[Дата заказа]])</f>
        <v>3</v>
      </c>
    </row>
    <row r="314" spans="3:18" ht="15.75" customHeight="1" x14ac:dyDescent="0.2">
      <c r="C314" s="26">
        <v>23</v>
      </c>
      <c r="D314" s="21" t="s">
        <v>2473</v>
      </c>
      <c r="E314" s="21" t="s">
        <v>2448</v>
      </c>
      <c r="F314" s="21" t="s">
        <v>2474</v>
      </c>
      <c r="G314" s="21">
        <v>2645</v>
      </c>
      <c r="H314" s="21" t="s">
        <v>2444</v>
      </c>
      <c r="I314" s="21">
        <v>50</v>
      </c>
      <c r="J314" s="21">
        <v>132250</v>
      </c>
      <c r="K314" s="21">
        <v>0.15</v>
      </c>
      <c r="L314" s="21">
        <v>112412.5</v>
      </c>
      <c r="M314" s="25">
        <v>42345</v>
      </c>
      <c r="N314">
        <f>MONTH(Table_36[[#This Row],[Дата заказа]])</f>
        <v>12</v>
      </c>
      <c r="O314">
        <f>WEEKDAY(Table_36[[#This Row],[Дата заказа]])</f>
        <v>2</v>
      </c>
      <c r="P314">
        <f>DAY(Table_36[[#This Row],[Дата заказа]])</f>
        <v>7</v>
      </c>
      <c r="Q314">
        <f>YEAR(Table_36[[#This Row],[Дата заказа]])</f>
        <v>2015</v>
      </c>
      <c r="R314">
        <f>_xlfn.ISOWEEKNUM(Table_36[[#This Row],[Дата заказа]])</f>
        <v>50</v>
      </c>
    </row>
    <row r="315" spans="3:18" ht="15.75" customHeight="1" x14ac:dyDescent="0.2">
      <c r="C315" s="26">
        <v>16</v>
      </c>
      <c r="D315" s="21" t="s">
        <v>2504</v>
      </c>
      <c r="E315" s="21" t="s">
        <v>2505</v>
      </c>
      <c r="F315" s="21" t="s">
        <v>2506</v>
      </c>
      <c r="G315" s="21">
        <v>843</v>
      </c>
      <c r="H315" s="21" t="s">
        <v>2444</v>
      </c>
      <c r="I315" s="21">
        <v>5</v>
      </c>
      <c r="J315" s="21">
        <v>4215</v>
      </c>
      <c r="K315" s="21">
        <v>0</v>
      </c>
      <c r="L315" s="21">
        <v>4215</v>
      </c>
      <c r="M315" s="25">
        <v>44032</v>
      </c>
      <c r="N315">
        <f>MONTH(Table_36[[#This Row],[Дата заказа]])</f>
        <v>7</v>
      </c>
      <c r="O315">
        <f>WEEKDAY(Table_36[[#This Row],[Дата заказа]])</f>
        <v>2</v>
      </c>
      <c r="P315">
        <f>DAY(Table_36[[#This Row],[Дата заказа]])</f>
        <v>20</v>
      </c>
      <c r="Q315">
        <f>YEAR(Table_36[[#This Row],[Дата заказа]])</f>
        <v>2020</v>
      </c>
      <c r="R315">
        <f>_xlfn.ISOWEEKNUM(Table_36[[#This Row],[Дата заказа]])</f>
        <v>30</v>
      </c>
    </row>
    <row r="316" spans="3:18" ht="15.75" customHeight="1" x14ac:dyDescent="0.2">
      <c r="C316" s="26">
        <v>1</v>
      </c>
      <c r="D316" s="21" t="s">
        <v>2459</v>
      </c>
      <c r="E316" s="21" t="s">
        <v>2438</v>
      </c>
      <c r="F316" s="21" t="s">
        <v>2460</v>
      </c>
      <c r="G316" s="21">
        <v>876</v>
      </c>
      <c r="H316" s="21" t="s">
        <v>2444</v>
      </c>
      <c r="I316" s="21">
        <v>20</v>
      </c>
      <c r="J316" s="21">
        <v>17520</v>
      </c>
      <c r="K316" s="21">
        <v>0.03</v>
      </c>
      <c r="L316" s="21">
        <v>16994.400000000001</v>
      </c>
      <c r="M316" s="25">
        <v>44064</v>
      </c>
      <c r="N316">
        <f>MONTH(Table_36[[#This Row],[Дата заказа]])</f>
        <v>8</v>
      </c>
      <c r="O316">
        <f>WEEKDAY(Table_36[[#This Row],[Дата заказа]])</f>
        <v>6</v>
      </c>
      <c r="P316">
        <f>DAY(Table_36[[#This Row],[Дата заказа]])</f>
        <v>21</v>
      </c>
      <c r="Q316">
        <f>YEAR(Table_36[[#This Row],[Дата заказа]])</f>
        <v>2020</v>
      </c>
      <c r="R316">
        <f>_xlfn.ISOWEEKNUM(Table_36[[#This Row],[Дата заказа]])</f>
        <v>34</v>
      </c>
    </row>
    <row r="317" spans="3:18" ht="15.75" customHeight="1" x14ac:dyDescent="0.2">
      <c r="C317" s="26">
        <v>41</v>
      </c>
      <c r="D317" s="21" t="s">
        <v>2447</v>
      </c>
      <c r="E317" s="21" t="s">
        <v>2448</v>
      </c>
      <c r="F317" s="21" t="s">
        <v>2448</v>
      </c>
      <c r="G317" s="21">
        <v>699</v>
      </c>
      <c r="H317" s="21" t="s">
        <v>2444</v>
      </c>
      <c r="I317" s="21">
        <v>10</v>
      </c>
      <c r="J317" s="21">
        <v>6990</v>
      </c>
      <c r="K317" s="21">
        <v>0</v>
      </c>
      <c r="L317" s="21">
        <v>6990</v>
      </c>
      <c r="M317" s="25">
        <v>43428</v>
      </c>
      <c r="N317">
        <f>MONTH(Table_36[[#This Row],[Дата заказа]])</f>
        <v>11</v>
      </c>
      <c r="O317">
        <f>WEEKDAY(Table_36[[#This Row],[Дата заказа]])</f>
        <v>7</v>
      </c>
      <c r="P317">
        <f>DAY(Table_36[[#This Row],[Дата заказа]])</f>
        <v>24</v>
      </c>
      <c r="Q317">
        <f>YEAR(Table_36[[#This Row],[Дата заказа]])</f>
        <v>2018</v>
      </c>
      <c r="R317">
        <f>_xlfn.ISOWEEKNUM(Table_36[[#This Row],[Дата заказа]])</f>
        <v>47</v>
      </c>
    </row>
    <row r="318" spans="3:18" ht="15.75" customHeight="1" x14ac:dyDescent="0.2">
      <c r="C318" s="26">
        <v>35</v>
      </c>
      <c r="D318" s="21" t="s">
        <v>2441</v>
      </c>
      <c r="E318" s="21" t="s">
        <v>2442</v>
      </c>
      <c r="F318" s="21" t="s">
        <v>2443</v>
      </c>
      <c r="G318" s="21">
        <v>617</v>
      </c>
      <c r="H318" s="21" t="s">
        <v>2444</v>
      </c>
      <c r="I318" s="21">
        <v>10</v>
      </c>
      <c r="J318" s="21">
        <v>6170</v>
      </c>
      <c r="K318" s="21">
        <v>0</v>
      </c>
      <c r="L318" s="21">
        <v>6170</v>
      </c>
      <c r="M318" s="25">
        <v>44193</v>
      </c>
      <c r="N318">
        <f>MONTH(Table_36[[#This Row],[Дата заказа]])</f>
        <v>12</v>
      </c>
      <c r="O318">
        <f>WEEKDAY(Table_36[[#This Row],[Дата заказа]])</f>
        <v>2</v>
      </c>
      <c r="P318">
        <f>DAY(Table_36[[#This Row],[Дата заказа]])</f>
        <v>28</v>
      </c>
      <c r="Q318">
        <f>YEAR(Table_36[[#This Row],[Дата заказа]])</f>
        <v>2020</v>
      </c>
      <c r="R318">
        <f>_xlfn.ISOWEEKNUM(Table_36[[#This Row],[Дата заказа]])</f>
        <v>53</v>
      </c>
    </row>
    <row r="319" spans="3:18" ht="15.75" customHeight="1" x14ac:dyDescent="0.2">
      <c r="C319" s="26">
        <v>22</v>
      </c>
      <c r="D319" s="21" t="s">
        <v>2510</v>
      </c>
      <c r="E319" s="21" t="s">
        <v>2511</v>
      </c>
      <c r="F319" s="21" t="s">
        <v>2511</v>
      </c>
      <c r="G319" s="21">
        <v>4889</v>
      </c>
      <c r="H319" s="21" t="s">
        <v>2444</v>
      </c>
      <c r="I319" s="21">
        <v>18</v>
      </c>
      <c r="J319" s="21">
        <v>88002</v>
      </c>
      <c r="K319" s="21">
        <v>0.12</v>
      </c>
      <c r="L319" s="21">
        <v>77441.759999999995</v>
      </c>
      <c r="M319" s="25">
        <v>42963</v>
      </c>
      <c r="N319">
        <f>MONTH(Table_36[[#This Row],[Дата заказа]])</f>
        <v>8</v>
      </c>
      <c r="O319">
        <f>WEEKDAY(Table_36[[#This Row],[Дата заказа]])</f>
        <v>4</v>
      </c>
      <c r="P319">
        <f>DAY(Table_36[[#This Row],[Дата заказа]])</f>
        <v>16</v>
      </c>
      <c r="Q319">
        <f>YEAR(Table_36[[#This Row],[Дата заказа]])</f>
        <v>2017</v>
      </c>
      <c r="R319">
        <f>_xlfn.ISOWEEKNUM(Table_36[[#This Row],[Дата заказа]])</f>
        <v>33</v>
      </c>
    </row>
    <row r="320" spans="3:18" ht="15.75" customHeight="1" x14ac:dyDescent="0.2">
      <c r="C320" s="26">
        <v>19</v>
      </c>
      <c r="D320" s="21" t="s">
        <v>2488</v>
      </c>
      <c r="E320" s="21" t="s">
        <v>2454</v>
      </c>
      <c r="F320" s="21" t="s">
        <v>2489</v>
      </c>
      <c r="G320" s="21">
        <v>1879</v>
      </c>
      <c r="H320" s="21" t="s">
        <v>2440</v>
      </c>
      <c r="I320" s="21">
        <v>15</v>
      </c>
      <c r="J320" s="21">
        <v>28185</v>
      </c>
      <c r="K320" s="21">
        <v>0.03</v>
      </c>
      <c r="L320" s="21">
        <v>27339.45</v>
      </c>
      <c r="M320" s="25">
        <v>43609</v>
      </c>
      <c r="N320">
        <f>MONTH(Table_36[[#This Row],[Дата заказа]])</f>
        <v>5</v>
      </c>
      <c r="O320">
        <f>WEEKDAY(Table_36[[#This Row],[Дата заказа]])</f>
        <v>6</v>
      </c>
      <c r="P320">
        <f>DAY(Table_36[[#This Row],[Дата заказа]])</f>
        <v>24</v>
      </c>
      <c r="Q320">
        <f>YEAR(Table_36[[#This Row],[Дата заказа]])</f>
        <v>2019</v>
      </c>
      <c r="R320">
        <f>_xlfn.ISOWEEKNUM(Table_36[[#This Row],[Дата заказа]])</f>
        <v>21</v>
      </c>
    </row>
    <row r="321" spans="3:18" ht="15.75" customHeight="1" x14ac:dyDescent="0.2">
      <c r="C321" s="26">
        <v>5</v>
      </c>
      <c r="D321" s="21" t="s">
        <v>2483</v>
      </c>
      <c r="E321" s="21" t="s">
        <v>2446</v>
      </c>
      <c r="F321" s="21" t="s">
        <v>2484</v>
      </c>
      <c r="G321" s="21">
        <v>1182</v>
      </c>
      <c r="H321" s="21" t="s">
        <v>2440</v>
      </c>
      <c r="I321" s="21">
        <v>17</v>
      </c>
      <c r="J321" s="21">
        <v>20094</v>
      </c>
      <c r="K321" s="21">
        <v>0.03</v>
      </c>
      <c r="L321" s="21">
        <v>19491.18</v>
      </c>
      <c r="M321" s="25">
        <v>42687</v>
      </c>
      <c r="N321">
        <f>MONTH(Table_36[[#This Row],[Дата заказа]])</f>
        <v>11</v>
      </c>
      <c r="O321">
        <f>WEEKDAY(Table_36[[#This Row],[Дата заказа]])</f>
        <v>1</v>
      </c>
      <c r="P321">
        <f>DAY(Table_36[[#This Row],[Дата заказа]])</f>
        <v>13</v>
      </c>
      <c r="Q321">
        <f>YEAR(Table_36[[#This Row],[Дата заказа]])</f>
        <v>2016</v>
      </c>
      <c r="R321">
        <f>_xlfn.ISOWEEKNUM(Table_36[[#This Row],[Дата заказа]])</f>
        <v>45</v>
      </c>
    </row>
    <row r="322" spans="3:18" ht="15.75" customHeight="1" x14ac:dyDescent="0.2">
      <c r="C322" s="26">
        <v>49</v>
      </c>
      <c r="D322" s="21" t="s">
        <v>2441</v>
      </c>
      <c r="E322" s="21" t="s">
        <v>2442</v>
      </c>
      <c r="F322" s="21" t="s">
        <v>2443</v>
      </c>
      <c r="G322" s="21">
        <v>617</v>
      </c>
      <c r="H322" s="21" t="s">
        <v>2444</v>
      </c>
      <c r="I322" s="21">
        <v>25</v>
      </c>
      <c r="J322" s="21">
        <v>15425</v>
      </c>
      <c r="K322" s="21">
        <v>0</v>
      </c>
      <c r="L322" s="21">
        <v>15425</v>
      </c>
      <c r="M322" s="25">
        <v>43056</v>
      </c>
      <c r="N322">
        <f>MONTH(Table_36[[#This Row],[Дата заказа]])</f>
        <v>11</v>
      </c>
      <c r="O322">
        <f>WEEKDAY(Table_36[[#This Row],[Дата заказа]])</f>
        <v>6</v>
      </c>
      <c r="P322">
        <f>DAY(Table_36[[#This Row],[Дата заказа]])</f>
        <v>17</v>
      </c>
      <c r="Q322">
        <f>YEAR(Table_36[[#This Row],[Дата заказа]])</f>
        <v>2017</v>
      </c>
      <c r="R322">
        <f>_xlfn.ISOWEEKNUM(Table_36[[#This Row],[Дата заказа]])</f>
        <v>46</v>
      </c>
    </row>
    <row r="323" spans="3:18" ht="15.75" customHeight="1" x14ac:dyDescent="0.2">
      <c r="C323" s="26">
        <v>37</v>
      </c>
      <c r="D323" s="21" t="s">
        <v>2449</v>
      </c>
      <c r="E323" s="21" t="s">
        <v>2448</v>
      </c>
      <c r="F323" s="21" t="s">
        <v>2450</v>
      </c>
      <c r="G323" s="21">
        <v>2211</v>
      </c>
      <c r="H323" s="21" t="s">
        <v>2444</v>
      </c>
      <c r="I323" s="21">
        <v>25</v>
      </c>
      <c r="J323" s="21">
        <v>55275</v>
      </c>
      <c r="K323" s="21">
        <v>0.09</v>
      </c>
      <c r="L323" s="21">
        <v>50300.25</v>
      </c>
      <c r="M323" s="25">
        <v>43551</v>
      </c>
      <c r="N323">
        <f>MONTH(Table_36[[#This Row],[Дата заказа]])</f>
        <v>3</v>
      </c>
      <c r="O323">
        <f>WEEKDAY(Table_36[[#This Row],[Дата заказа]])</f>
        <v>4</v>
      </c>
      <c r="P323">
        <f>DAY(Table_36[[#This Row],[Дата заказа]])</f>
        <v>27</v>
      </c>
      <c r="Q323">
        <f>YEAR(Table_36[[#This Row],[Дата заказа]])</f>
        <v>2019</v>
      </c>
      <c r="R323">
        <f>_xlfn.ISOWEEKNUM(Table_36[[#This Row],[Дата заказа]])</f>
        <v>13</v>
      </c>
    </row>
    <row r="324" spans="3:18" ht="15.75" customHeight="1" x14ac:dyDescent="0.2">
      <c r="C324" s="26">
        <v>18</v>
      </c>
      <c r="D324" s="21" t="s">
        <v>2508</v>
      </c>
      <c r="E324" s="21" t="s">
        <v>2476</v>
      </c>
      <c r="F324" s="21" t="s">
        <v>2509</v>
      </c>
      <c r="G324" s="21">
        <v>1531</v>
      </c>
      <c r="H324" s="21" t="s">
        <v>2440</v>
      </c>
      <c r="I324" s="21">
        <v>15</v>
      </c>
      <c r="J324" s="21">
        <v>22965</v>
      </c>
      <c r="K324" s="21">
        <v>0.03</v>
      </c>
      <c r="L324" s="21">
        <v>22276.05</v>
      </c>
      <c r="M324" s="25">
        <v>42368</v>
      </c>
      <c r="N324">
        <f>MONTH(Table_36[[#This Row],[Дата заказа]])</f>
        <v>12</v>
      </c>
      <c r="O324">
        <f>WEEKDAY(Table_36[[#This Row],[Дата заказа]])</f>
        <v>4</v>
      </c>
      <c r="P324">
        <f>DAY(Table_36[[#This Row],[Дата заказа]])</f>
        <v>30</v>
      </c>
      <c r="Q324">
        <f>YEAR(Table_36[[#This Row],[Дата заказа]])</f>
        <v>2015</v>
      </c>
      <c r="R324">
        <f>_xlfn.ISOWEEKNUM(Table_36[[#This Row],[Дата заказа]])</f>
        <v>53</v>
      </c>
    </row>
    <row r="325" spans="3:18" ht="15.75" customHeight="1" x14ac:dyDescent="0.2">
      <c r="C325" s="26">
        <v>31</v>
      </c>
      <c r="D325" s="21" t="s">
        <v>2479</v>
      </c>
      <c r="E325" s="21" t="s">
        <v>2442</v>
      </c>
      <c r="F325" s="21" t="s">
        <v>2480</v>
      </c>
      <c r="G325" s="21">
        <v>1228</v>
      </c>
      <c r="H325" s="21" t="s">
        <v>2440</v>
      </c>
      <c r="I325" s="21">
        <v>45</v>
      </c>
      <c r="J325" s="21">
        <v>55260</v>
      </c>
      <c r="K325" s="21">
        <v>0.09</v>
      </c>
      <c r="L325" s="21">
        <v>50286.6</v>
      </c>
      <c r="M325" s="25">
        <v>42294</v>
      </c>
      <c r="N325">
        <f>MONTH(Table_36[[#This Row],[Дата заказа]])</f>
        <v>10</v>
      </c>
      <c r="O325">
        <f>WEEKDAY(Table_36[[#This Row],[Дата заказа]])</f>
        <v>7</v>
      </c>
      <c r="P325">
        <f>DAY(Table_36[[#This Row],[Дата заказа]])</f>
        <v>17</v>
      </c>
      <c r="Q325">
        <f>YEAR(Table_36[[#This Row],[Дата заказа]])</f>
        <v>2015</v>
      </c>
      <c r="R325">
        <f>_xlfn.ISOWEEKNUM(Table_36[[#This Row],[Дата заказа]])</f>
        <v>42</v>
      </c>
    </row>
    <row r="326" spans="3:18" ht="15.75" customHeight="1" x14ac:dyDescent="0.2">
      <c r="C326" s="26">
        <v>43</v>
      </c>
      <c r="D326" s="21" t="s">
        <v>2492</v>
      </c>
      <c r="E326" s="21" t="s">
        <v>2446</v>
      </c>
      <c r="F326" s="21" t="s">
        <v>2493</v>
      </c>
      <c r="G326" s="21">
        <v>759</v>
      </c>
      <c r="H326" s="21" t="s">
        <v>2444</v>
      </c>
      <c r="I326" s="21">
        <v>10</v>
      </c>
      <c r="J326" s="21">
        <v>7590</v>
      </c>
      <c r="K326" s="21">
        <v>0</v>
      </c>
      <c r="L326" s="21">
        <v>7590</v>
      </c>
      <c r="M326" s="25">
        <v>42544</v>
      </c>
      <c r="N326">
        <f>MONTH(Table_36[[#This Row],[Дата заказа]])</f>
        <v>6</v>
      </c>
      <c r="O326">
        <f>WEEKDAY(Table_36[[#This Row],[Дата заказа]])</f>
        <v>5</v>
      </c>
      <c r="P326">
        <f>DAY(Table_36[[#This Row],[Дата заказа]])</f>
        <v>23</v>
      </c>
      <c r="Q326">
        <f>YEAR(Table_36[[#This Row],[Дата заказа]])</f>
        <v>2016</v>
      </c>
      <c r="R326">
        <f>_xlfn.ISOWEEKNUM(Table_36[[#This Row],[Дата заказа]])</f>
        <v>25</v>
      </c>
    </row>
    <row r="327" spans="3:18" ht="15.75" customHeight="1" x14ac:dyDescent="0.2">
      <c r="C327" s="26">
        <v>31</v>
      </c>
      <c r="D327" s="21" t="s">
        <v>2479</v>
      </c>
      <c r="E327" s="21" t="s">
        <v>2442</v>
      </c>
      <c r="F327" s="21" t="s">
        <v>2480</v>
      </c>
      <c r="G327" s="21">
        <v>1228</v>
      </c>
      <c r="H327" s="21" t="s">
        <v>2440</v>
      </c>
      <c r="I327" s="21">
        <v>45</v>
      </c>
      <c r="J327" s="21">
        <v>55260</v>
      </c>
      <c r="K327" s="21">
        <v>0.09</v>
      </c>
      <c r="L327" s="21">
        <v>50286.6</v>
      </c>
      <c r="M327" s="25">
        <v>43329</v>
      </c>
      <c r="N327">
        <f>MONTH(Table_36[[#This Row],[Дата заказа]])</f>
        <v>8</v>
      </c>
      <c r="O327">
        <f>WEEKDAY(Table_36[[#This Row],[Дата заказа]])</f>
        <v>6</v>
      </c>
      <c r="P327">
        <f>DAY(Table_36[[#This Row],[Дата заказа]])</f>
        <v>17</v>
      </c>
      <c r="Q327">
        <f>YEAR(Table_36[[#This Row],[Дата заказа]])</f>
        <v>2018</v>
      </c>
      <c r="R327">
        <f>_xlfn.ISOWEEKNUM(Table_36[[#This Row],[Дата заказа]])</f>
        <v>33</v>
      </c>
    </row>
    <row r="328" spans="3:18" ht="15.75" customHeight="1" x14ac:dyDescent="0.2">
      <c r="C328" s="26">
        <v>18</v>
      </c>
      <c r="D328" s="21" t="s">
        <v>2508</v>
      </c>
      <c r="E328" s="21" t="s">
        <v>2476</v>
      </c>
      <c r="F328" s="21" t="s">
        <v>2509</v>
      </c>
      <c r="G328" s="21">
        <v>1531</v>
      </c>
      <c r="H328" s="21" t="s">
        <v>2440</v>
      </c>
      <c r="I328" s="21">
        <v>15</v>
      </c>
      <c r="J328" s="21">
        <v>22965</v>
      </c>
      <c r="K328" s="21">
        <v>0.03</v>
      </c>
      <c r="L328" s="21">
        <v>22276.05</v>
      </c>
      <c r="M328" s="25">
        <v>42797</v>
      </c>
      <c r="N328">
        <f>MONTH(Table_36[[#This Row],[Дата заказа]])</f>
        <v>3</v>
      </c>
      <c r="O328">
        <f>WEEKDAY(Table_36[[#This Row],[Дата заказа]])</f>
        <v>6</v>
      </c>
      <c r="P328">
        <f>DAY(Table_36[[#This Row],[Дата заказа]])</f>
        <v>3</v>
      </c>
      <c r="Q328">
        <f>YEAR(Table_36[[#This Row],[Дата заказа]])</f>
        <v>2017</v>
      </c>
      <c r="R328">
        <f>_xlfn.ISOWEEKNUM(Table_36[[#This Row],[Дата заказа]])</f>
        <v>9</v>
      </c>
    </row>
    <row r="329" spans="3:18" ht="15.75" customHeight="1" x14ac:dyDescent="0.2">
      <c r="C329" s="26">
        <v>24</v>
      </c>
      <c r="D329" s="21" t="s">
        <v>2456</v>
      </c>
      <c r="E329" s="21" t="s">
        <v>2457</v>
      </c>
      <c r="F329" s="21" t="s">
        <v>2458</v>
      </c>
      <c r="G329" s="21">
        <v>957</v>
      </c>
      <c r="H329" s="21" t="s">
        <v>2440</v>
      </c>
      <c r="I329" s="21">
        <v>25</v>
      </c>
      <c r="J329" s="21">
        <v>23925</v>
      </c>
      <c r="K329" s="21">
        <v>0.03</v>
      </c>
      <c r="L329" s="21">
        <v>23207.25</v>
      </c>
      <c r="M329" s="25">
        <v>44081</v>
      </c>
      <c r="N329">
        <f>MONTH(Table_36[[#This Row],[Дата заказа]])</f>
        <v>9</v>
      </c>
      <c r="O329">
        <f>WEEKDAY(Table_36[[#This Row],[Дата заказа]])</f>
        <v>2</v>
      </c>
      <c r="P329">
        <f>DAY(Table_36[[#This Row],[Дата заказа]])</f>
        <v>7</v>
      </c>
      <c r="Q329">
        <f>YEAR(Table_36[[#This Row],[Дата заказа]])</f>
        <v>2020</v>
      </c>
      <c r="R329">
        <f>_xlfn.ISOWEEKNUM(Table_36[[#This Row],[Дата заказа]])</f>
        <v>37</v>
      </c>
    </row>
    <row r="330" spans="3:18" ht="15.75" customHeight="1" x14ac:dyDescent="0.2">
      <c r="C330" s="26">
        <v>17</v>
      </c>
      <c r="D330" s="21" t="s">
        <v>2465</v>
      </c>
      <c r="E330" s="21" t="s">
        <v>2446</v>
      </c>
      <c r="F330" s="21" t="s">
        <v>2466</v>
      </c>
      <c r="G330" s="21">
        <v>967</v>
      </c>
      <c r="H330" s="21" t="s">
        <v>2444</v>
      </c>
      <c r="I330" s="21">
        <v>12</v>
      </c>
      <c r="J330" s="21">
        <v>11604</v>
      </c>
      <c r="K330" s="21">
        <v>0</v>
      </c>
      <c r="L330" s="21">
        <v>11604</v>
      </c>
      <c r="M330" s="25">
        <v>42777</v>
      </c>
      <c r="N330">
        <f>MONTH(Table_36[[#This Row],[Дата заказа]])</f>
        <v>2</v>
      </c>
      <c r="O330">
        <f>WEEKDAY(Table_36[[#This Row],[Дата заказа]])</f>
        <v>7</v>
      </c>
      <c r="P330">
        <f>DAY(Table_36[[#This Row],[Дата заказа]])</f>
        <v>11</v>
      </c>
      <c r="Q330">
        <f>YEAR(Table_36[[#This Row],[Дата заказа]])</f>
        <v>2017</v>
      </c>
      <c r="R330">
        <f>_xlfn.ISOWEEKNUM(Table_36[[#This Row],[Дата заказа]])</f>
        <v>6</v>
      </c>
    </row>
    <row r="331" spans="3:18" ht="15.75" customHeight="1" x14ac:dyDescent="0.2">
      <c r="C331" s="26">
        <v>50</v>
      </c>
      <c r="D331" s="21" t="s">
        <v>2481</v>
      </c>
      <c r="E331" s="21" t="s">
        <v>2454</v>
      </c>
      <c r="F331" s="21" t="s">
        <v>2482</v>
      </c>
      <c r="G331" s="21">
        <v>912</v>
      </c>
      <c r="H331" s="21" t="s">
        <v>2440</v>
      </c>
      <c r="I331" s="21">
        <v>20</v>
      </c>
      <c r="J331" s="21">
        <v>18240</v>
      </c>
      <c r="K331" s="21">
        <v>0</v>
      </c>
      <c r="L331" s="21">
        <v>18240</v>
      </c>
      <c r="M331" s="25">
        <v>43192</v>
      </c>
      <c r="N331">
        <f>MONTH(Table_36[[#This Row],[Дата заказа]])</f>
        <v>4</v>
      </c>
      <c r="O331">
        <f>WEEKDAY(Table_36[[#This Row],[Дата заказа]])</f>
        <v>2</v>
      </c>
      <c r="P331">
        <f>DAY(Table_36[[#This Row],[Дата заказа]])</f>
        <v>2</v>
      </c>
      <c r="Q331">
        <f>YEAR(Table_36[[#This Row],[Дата заказа]])</f>
        <v>2018</v>
      </c>
      <c r="R331">
        <f>_xlfn.ISOWEEKNUM(Table_36[[#This Row],[Дата заказа]])</f>
        <v>14</v>
      </c>
    </row>
    <row r="332" spans="3:18" ht="15.75" customHeight="1" x14ac:dyDescent="0.2">
      <c r="C332" s="26">
        <v>0</v>
      </c>
      <c r="D332" s="21" t="s">
        <v>2469</v>
      </c>
      <c r="E332" s="21" t="s">
        <v>2442</v>
      </c>
      <c r="F332" s="21" t="s">
        <v>2470</v>
      </c>
      <c r="G332" s="21">
        <v>620</v>
      </c>
      <c r="H332" s="21" t="s">
        <v>2444</v>
      </c>
      <c r="I332" s="21">
        <v>30</v>
      </c>
      <c r="J332" s="21">
        <v>18600</v>
      </c>
      <c r="K332" s="21">
        <v>0.03</v>
      </c>
      <c r="L332" s="21">
        <v>18042</v>
      </c>
      <c r="M332" s="25">
        <v>42631</v>
      </c>
      <c r="N332">
        <f>MONTH(Table_36[[#This Row],[Дата заказа]])</f>
        <v>9</v>
      </c>
      <c r="O332">
        <f>WEEKDAY(Table_36[[#This Row],[Дата заказа]])</f>
        <v>1</v>
      </c>
      <c r="P332">
        <f>DAY(Table_36[[#This Row],[Дата заказа]])</f>
        <v>18</v>
      </c>
      <c r="Q332">
        <f>YEAR(Table_36[[#This Row],[Дата заказа]])</f>
        <v>2016</v>
      </c>
      <c r="R332">
        <f>_xlfn.ISOWEEKNUM(Table_36[[#This Row],[Дата заказа]])</f>
        <v>37</v>
      </c>
    </row>
    <row r="333" spans="3:18" ht="15.75" customHeight="1" x14ac:dyDescent="0.2">
      <c r="C333" s="26">
        <v>45</v>
      </c>
      <c r="D333" s="21" t="s">
        <v>2507</v>
      </c>
      <c r="E333" s="21" t="s">
        <v>2446</v>
      </c>
      <c r="F333" s="21" t="s">
        <v>2493</v>
      </c>
      <c r="G333" s="21">
        <v>759</v>
      </c>
      <c r="H333" s="21" t="s">
        <v>2444</v>
      </c>
      <c r="I333" s="21">
        <v>14</v>
      </c>
      <c r="J333" s="21">
        <v>10626</v>
      </c>
      <c r="K333" s="21">
        <v>0</v>
      </c>
      <c r="L333" s="21">
        <v>10626</v>
      </c>
      <c r="M333" s="25">
        <v>42852</v>
      </c>
      <c r="N333">
        <f>MONTH(Table_36[[#This Row],[Дата заказа]])</f>
        <v>4</v>
      </c>
      <c r="O333">
        <f>WEEKDAY(Table_36[[#This Row],[Дата заказа]])</f>
        <v>5</v>
      </c>
      <c r="P333">
        <f>DAY(Table_36[[#This Row],[Дата заказа]])</f>
        <v>27</v>
      </c>
      <c r="Q333">
        <f>YEAR(Table_36[[#This Row],[Дата заказа]])</f>
        <v>2017</v>
      </c>
      <c r="R333">
        <f>_xlfn.ISOWEEKNUM(Table_36[[#This Row],[Дата заказа]])</f>
        <v>17</v>
      </c>
    </row>
    <row r="334" spans="3:18" ht="15.75" customHeight="1" x14ac:dyDescent="0.2">
      <c r="C334" s="26">
        <v>45</v>
      </c>
      <c r="D334" s="21" t="s">
        <v>2507</v>
      </c>
      <c r="E334" s="21" t="s">
        <v>2446</v>
      </c>
      <c r="F334" s="21" t="s">
        <v>2493</v>
      </c>
      <c r="G334" s="21">
        <v>759</v>
      </c>
      <c r="H334" s="21" t="s">
        <v>2444</v>
      </c>
      <c r="I334" s="21">
        <v>14</v>
      </c>
      <c r="J334" s="21">
        <v>10626</v>
      </c>
      <c r="K334" s="21">
        <v>0</v>
      </c>
      <c r="L334" s="21">
        <v>10626</v>
      </c>
      <c r="M334" s="25">
        <v>43725</v>
      </c>
      <c r="N334">
        <f>MONTH(Table_36[[#This Row],[Дата заказа]])</f>
        <v>9</v>
      </c>
      <c r="O334">
        <f>WEEKDAY(Table_36[[#This Row],[Дата заказа]])</f>
        <v>3</v>
      </c>
      <c r="P334">
        <f>DAY(Table_36[[#This Row],[Дата заказа]])</f>
        <v>17</v>
      </c>
      <c r="Q334">
        <f>YEAR(Table_36[[#This Row],[Дата заказа]])</f>
        <v>2019</v>
      </c>
      <c r="R334">
        <f>_xlfn.ISOWEEKNUM(Table_36[[#This Row],[Дата заказа]])</f>
        <v>38</v>
      </c>
    </row>
    <row r="335" spans="3:18" ht="15.75" customHeight="1" x14ac:dyDescent="0.2">
      <c r="C335" s="26">
        <v>36</v>
      </c>
      <c r="D335" s="21" t="s">
        <v>2481</v>
      </c>
      <c r="E335" s="21" t="s">
        <v>2454</v>
      </c>
      <c r="F335" s="21" t="s">
        <v>2482</v>
      </c>
      <c r="G335" s="21">
        <v>912</v>
      </c>
      <c r="H335" s="21" t="s">
        <v>2440</v>
      </c>
      <c r="I335" s="21">
        <v>15</v>
      </c>
      <c r="J335" s="21">
        <v>13680</v>
      </c>
      <c r="K335" s="21">
        <v>0</v>
      </c>
      <c r="L335" s="21">
        <v>13680</v>
      </c>
      <c r="M335" s="25">
        <v>43828</v>
      </c>
      <c r="N335">
        <f>MONTH(Table_36[[#This Row],[Дата заказа]])</f>
        <v>12</v>
      </c>
      <c r="O335">
        <f>WEEKDAY(Table_36[[#This Row],[Дата заказа]])</f>
        <v>1</v>
      </c>
      <c r="P335">
        <f>DAY(Table_36[[#This Row],[Дата заказа]])</f>
        <v>29</v>
      </c>
      <c r="Q335">
        <f>YEAR(Table_36[[#This Row],[Дата заказа]])</f>
        <v>2019</v>
      </c>
      <c r="R335">
        <f>_xlfn.ISOWEEKNUM(Table_36[[#This Row],[Дата заказа]])</f>
        <v>52</v>
      </c>
    </row>
    <row r="336" spans="3:18" ht="15.75" customHeight="1" x14ac:dyDescent="0.2">
      <c r="C336" s="26">
        <v>28</v>
      </c>
      <c r="D336" s="21" t="s">
        <v>2494</v>
      </c>
      <c r="E336" s="21" t="s">
        <v>2462</v>
      </c>
      <c r="F336" s="21" t="s">
        <v>2491</v>
      </c>
      <c r="G336" s="21">
        <v>1994</v>
      </c>
      <c r="H336" s="21" t="s">
        <v>2444</v>
      </c>
      <c r="I336" s="21">
        <v>40</v>
      </c>
      <c r="J336" s="21">
        <v>79760</v>
      </c>
      <c r="K336" s="21">
        <v>0.12</v>
      </c>
      <c r="L336" s="21">
        <v>70188.800000000003</v>
      </c>
      <c r="M336" s="25">
        <v>43070</v>
      </c>
      <c r="N336">
        <f>MONTH(Table_36[[#This Row],[Дата заказа]])</f>
        <v>12</v>
      </c>
      <c r="O336">
        <f>WEEKDAY(Table_36[[#This Row],[Дата заказа]])</f>
        <v>6</v>
      </c>
      <c r="P336">
        <f>DAY(Table_36[[#This Row],[Дата заказа]])</f>
        <v>1</v>
      </c>
      <c r="Q336">
        <f>YEAR(Table_36[[#This Row],[Дата заказа]])</f>
        <v>2017</v>
      </c>
      <c r="R336">
        <f>_xlfn.ISOWEEKNUM(Table_36[[#This Row],[Дата заказа]])</f>
        <v>48</v>
      </c>
    </row>
    <row r="337" spans="3:18" ht="15.75" customHeight="1" x14ac:dyDescent="0.2">
      <c r="C337" s="26">
        <v>47</v>
      </c>
      <c r="D337" s="21" t="s">
        <v>2461</v>
      </c>
      <c r="E337" s="21" t="s">
        <v>2462</v>
      </c>
      <c r="F337" s="21" t="s">
        <v>2463</v>
      </c>
      <c r="G337" s="21">
        <v>1994</v>
      </c>
      <c r="H337" s="21" t="s">
        <v>2444</v>
      </c>
      <c r="I337" s="21">
        <v>12</v>
      </c>
      <c r="J337" s="21">
        <v>23928</v>
      </c>
      <c r="K337" s="21">
        <v>0.03</v>
      </c>
      <c r="L337" s="21">
        <v>23210.16</v>
      </c>
      <c r="M337" s="25">
        <v>43937</v>
      </c>
      <c r="N337">
        <f>MONTH(Table_36[[#This Row],[Дата заказа]])</f>
        <v>4</v>
      </c>
      <c r="O337">
        <f>WEEKDAY(Table_36[[#This Row],[Дата заказа]])</f>
        <v>5</v>
      </c>
      <c r="P337">
        <f>DAY(Table_36[[#This Row],[Дата заказа]])</f>
        <v>16</v>
      </c>
      <c r="Q337">
        <f>YEAR(Table_36[[#This Row],[Дата заказа]])</f>
        <v>2020</v>
      </c>
      <c r="R337">
        <f>_xlfn.ISOWEEKNUM(Table_36[[#This Row],[Дата заказа]])</f>
        <v>16</v>
      </c>
    </row>
    <row r="338" spans="3:18" ht="15.75" customHeight="1" x14ac:dyDescent="0.2">
      <c r="C338" s="26">
        <v>12</v>
      </c>
      <c r="D338" s="21" t="s">
        <v>2453</v>
      </c>
      <c r="E338" s="21" t="s">
        <v>2454</v>
      </c>
      <c r="F338" s="21" t="s">
        <v>2455</v>
      </c>
      <c r="G338" s="21">
        <v>1386</v>
      </c>
      <c r="H338" s="21" t="s">
        <v>2440</v>
      </c>
      <c r="I338" s="21">
        <v>20</v>
      </c>
      <c r="J338" s="21">
        <v>27720</v>
      </c>
      <c r="K338" s="21">
        <v>0.03</v>
      </c>
      <c r="L338" s="21">
        <v>26888.400000000001</v>
      </c>
      <c r="M338" s="25">
        <v>43584</v>
      </c>
      <c r="N338">
        <f>MONTH(Table_36[[#This Row],[Дата заказа]])</f>
        <v>4</v>
      </c>
      <c r="O338">
        <f>WEEKDAY(Table_36[[#This Row],[Дата заказа]])</f>
        <v>2</v>
      </c>
      <c r="P338">
        <f>DAY(Table_36[[#This Row],[Дата заказа]])</f>
        <v>29</v>
      </c>
      <c r="Q338">
        <f>YEAR(Table_36[[#This Row],[Дата заказа]])</f>
        <v>2019</v>
      </c>
      <c r="R338">
        <f>_xlfn.ISOWEEKNUM(Table_36[[#This Row],[Дата заказа]])</f>
        <v>18</v>
      </c>
    </row>
    <row r="339" spans="3:18" ht="15.75" customHeight="1" x14ac:dyDescent="0.2">
      <c r="C339" s="26">
        <v>11</v>
      </c>
      <c r="D339" s="21" t="s">
        <v>2492</v>
      </c>
      <c r="E339" s="21" t="s">
        <v>2446</v>
      </c>
      <c r="F339" s="21" t="s">
        <v>2495</v>
      </c>
      <c r="G339" s="21">
        <v>3197</v>
      </c>
      <c r="H339" s="21" t="s">
        <v>2444</v>
      </c>
      <c r="I339" s="21">
        <v>10</v>
      </c>
      <c r="J339" s="21">
        <v>31970</v>
      </c>
      <c r="K339" s="21">
        <v>0</v>
      </c>
      <c r="L339" s="21">
        <v>31970</v>
      </c>
      <c r="M339" s="25">
        <v>42465</v>
      </c>
      <c r="N339">
        <f>MONTH(Table_36[[#This Row],[Дата заказа]])</f>
        <v>4</v>
      </c>
      <c r="O339">
        <f>WEEKDAY(Table_36[[#This Row],[Дата заказа]])</f>
        <v>3</v>
      </c>
      <c r="P339">
        <f>DAY(Table_36[[#This Row],[Дата заказа]])</f>
        <v>5</v>
      </c>
      <c r="Q339">
        <f>YEAR(Table_36[[#This Row],[Дата заказа]])</f>
        <v>2016</v>
      </c>
      <c r="R339">
        <f>_xlfn.ISOWEEKNUM(Table_36[[#This Row],[Дата заказа]])</f>
        <v>14</v>
      </c>
    </row>
    <row r="340" spans="3:18" ht="15.75" customHeight="1" x14ac:dyDescent="0.2">
      <c r="C340" s="26">
        <v>3</v>
      </c>
      <c r="D340" s="21" t="s">
        <v>2445</v>
      </c>
      <c r="E340" s="21" t="s">
        <v>2446</v>
      </c>
      <c r="F340" s="21" t="s">
        <v>2446</v>
      </c>
      <c r="G340" s="21">
        <v>807</v>
      </c>
      <c r="H340" s="21" t="s">
        <v>2440</v>
      </c>
      <c r="I340" s="21">
        <v>18</v>
      </c>
      <c r="J340" s="21">
        <v>14526</v>
      </c>
      <c r="K340" s="21">
        <v>0</v>
      </c>
      <c r="L340" s="21">
        <v>14526</v>
      </c>
      <c r="M340" s="25">
        <v>43159</v>
      </c>
      <c r="N340">
        <f>MONTH(Table_36[[#This Row],[Дата заказа]])</f>
        <v>2</v>
      </c>
      <c r="O340">
        <f>WEEKDAY(Table_36[[#This Row],[Дата заказа]])</f>
        <v>4</v>
      </c>
      <c r="P340">
        <f>DAY(Table_36[[#This Row],[Дата заказа]])</f>
        <v>28</v>
      </c>
      <c r="Q340">
        <f>YEAR(Table_36[[#This Row],[Дата заказа]])</f>
        <v>2018</v>
      </c>
      <c r="R340">
        <f>_xlfn.ISOWEEKNUM(Table_36[[#This Row],[Дата заказа]])</f>
        <v>9</v>
      </c>
    </row>
    <row r="341" spans="3:18" ht="15.75" customHeight="1" x14ac:dyDescent="0.2">
      <c r="C341" s="26">
        <v>6</v>
      </c>
      <c r="D341" s="21" t="s">
        <v>2502</v>
      </c>
      <c r="E341" s="21" t="s">
        <v>2446</v>
      </c>
      <c r="F341" s="21" t="s">
        <v>2503</v>
      </c>
      <c r="G341" s="21">
        <v>3197</v>
      </c>
      <c r="H341" s="21" t="s">
        <v>2444</v>
      </c>
      <c r="I341" s="21">
        <v>6</v>
      </c>
      <c r="J341" s="21">
        <v>19182</v>
      </c>
      <c r="K341" s="21">
        <v>0.03</v>
      </c>
      <c r="L341" s="21">
        <v>18606.54</v>
      </c>
      <c r="M341" s="25">
        <v>44061</v>
      </c>
      <c r="N341">
        <f>MONTH(Table_36[[#This Row],[Дата заказа]])</f>
        <v>8</v>
      </c>
      <c r="O341">
        <f>WEEKDAY(Table_36[[#This Row],[Дата заказа]])</f>
        <v>3</v>
      </c>
      <c r="P341">
        <f>DAY(Table_36[[#This Row],[Дата заказа]])</f>
        <v>18</v>
      </c>
      <c r="Q341">
        <f>YEAR(Table_36[[#This Row],[Дата заказа]])</f>
        <v>2020</v>
      </c>
      <c r="R341">
        <f>_xlfn.ISOWEEKNUM(Table_36[[#This Row],[Дата заказа]])</f>
        <v>34</v>
      </c>
    </row>
    <row r="342" spans="3:18" ht="15.75" customHeight="1" x14ac:dyDescent="0.2">
      <c r="C342" s="26">
        <v>12</v>
      </c>
      <c r="D342" s="21" t="s">
        <v>2453</v>
      </c>
      <c r="E342" s="21" t="s">
        <v>2454</v>
      </c>
      <c r="F342" s="21" t="s">
        <v>2455</v>
      </c>
      <c r="G342" s="21">
        <v>1386</v>
      </c>
      <c r="H342" s="21" t="s">
        <v>2440</v>
      </c>
      <c r="I342" s="21">
        <v>20</v>
      </c>
      <c r="J342" s="21">
        <v>27720</v>
      </c>
      <c r="K342" s="21">
        <v>0.03</v>
      </c>
      <c r="L342" s="21">
        <v>26888.400000000001</v>
      </c>
      <c r="M342" s="25">
        <v>43952</v>
      </c>
      <c r="N342">
        <f>MONTH(Table_36[[#This Row],[Дата заказа]])</f>
        <v>5</v>
      </c>
      <c r="O342">
        <f>WEEKDAY(Table_36[[#This Row],[Дата заказа]])</f>
        <v>6</v>
      </c>
      <c r="P342">
        <f>DAY(Table_36[[#This Row],[Дата заказа]])</f>
        <v>1</v>
      </c>
      <c r="Q342">
        <f>YEAR(Table_36[[#This Row],[Дата заказа]])</f>
        <v>2020</v>
      </c>
      <c r="R342">
        <f>_xlfn.ISOWEEKNUM(Table_36[[#This Row],[Дата заказа]])</f>
        <v>18</v>
      </c>
    </row>
    <row r="343" spans="3:18" ht="15.75" customHeight="1" x14ac:dyDescent="0.2">
      <c r="C343" s="26">
        <v>38</v>
      </c>
      <c r="D343" s="21" t="s">
        <v>2483</v>
      </c>
      <c r="E343" s="21" t="s">
        <v>2446</v>
      </c>
      <c r="F343" s="21" t="s">
        <v>2484</v>
      </c>
      <c r="G343" s="21">
        <v>1182</v>
      </c>
      <c r="H343" s="21" t="s">
        <v>2440</v>
      </c>
      <c r="I343" s="21">
        <v>17</v>
      </c>
      <c r="J343" s="21">
        <v>20094</v>
      </c>
      <c r="K343" s="21">
        <v>0.03</v>
      </c>
      <c r="L343" s="21">
        <v>19491.18</v>
      </c>
      <c r="M343" s="25">
        <v>43596</v>
      </c>
      <c r="N343">
        <f>MONTH(Table_36[[#This Row],[Дата заказа]])</f>
        <v>5</v>
      </c>
      <c r="O343">
        <f>WEEKDAY(Table_36[[#This Row],[Дата заказа]])</f>
        <v>7</v>
      </c>
      <c r="P343">
        <f>DAY(Table_36[[#This Row],[Дата заказа]])</f>
        <v>11</v>
      </c>
      <c r="Q343">
        <f>YEAR(Table_36[[#This Row],[Дата заказа]])</f>
        <v>2019</v>
      </c>
      <c r="R343">
        <f>_xlfn.ISOWEEKNUM(Table_36[[#This Row],[Дата заказа]])</f>
        <v>19</v>
      </c>
    </row>
    <row r="344" spans="3:18" ht="15.75" customHeight="1" x14ac:dyDescent="0.2">
      <c r="C344" s="26">
        <v>56</v>
      </c>
      <c r="D344" s="21" t="s">
        <v>2451</v>
      </c>
      <c r="E344" s="21" t="s">
        <v>2438</v>
      </c>
      <c r="F344" s="21" t="s">
        <v>2452</v>
      </c>
      <c r="G344" s="21">
        <v>800</v>
      </c>
      <c r="H344" s="21" t="s">
        <v>2440</v>
      </c>
      <c r="I344" s="21">
        <v>40</v>
      </c>
      <c r="J344" s="21">
        <v>32000</v>
      </c>
      <c r="K344" s="21">
        <v>0.03</v>
      </c>
      <c r="L344" s="21">
        <v>31040</v>
      </c>
      <c r="M344" s="25">
        <v>42751</v>
      </c>
      <c r="N344">
        <f>MONTH(Table_36[[#This Row],[Дата заказа]])</f>
        <v>1</v>
      </c>
      <c r="O344">
        <f>WEEKDAY(Table_36[[#This Row],[Дата заказа]])</f>
        <v>2</v>
      </c>
      <c r="P344">
        <f>DAY(Table_36[[#This Row],[Дата заказа]])</f>
        <v>16</v>
      </c>
      <c r="Q344">
        <f>YEAR(Table_36[[#This Row],[Дата заказа]])</f>
        <v>2017</v>
      </c>
      <c r="R344">
        <f>_xlfn.ISOWEEKNUM(Table_36[[#This Row],[Дата заказа]])</f>
        <v>3</v>
      </c>
    </row>
    <row r="345" spans="3:18" ht="15.75" customHeight="1" x14ac:dyDescent="0.2">
      <c r="C345" s="26">
        <v>9</v>
      </c>
      <c r="D345" s="21" t="s">
        <v>2447</v>
      </c>
      <c r="E345" s="21" t="s">
        <v>2448</v>
      </c>
      <c r="F345" s="21" t="s">
        <v>2448</v>
      </c>
      <c r="G345" s="21">
        <v>699</v>
      </c>
      <c r="H345" s="21" t="s">
        <v>2444</v>
      </c>
      <c r="I345" s="21">
        <v>10</v>
      </c>
      <c r="J345" s="21">
        <v>6990</v>
      </c>
      <c r="K345" s="21">
        <v>0</v>
      </c>
      <c r="L345" s="21">
        <v>6990</v>
      </c>
      <c r="M345" s="25">
        <v>42085</v>
      </c>
      <c r="N345">
        <f>MONTH(Table_36[[#This Row],[Дата заказа]])</f>
        <v>3</v>
      </c>
      <c r="O345">
        <f>WEEKDAY(Table_36[[#This Row],[Дата заказа]])</f>
        <v>1</v>
      </c>
      <c r="P345">
        <f>DAY(Table_36[[#This Row],[Дата заказа]])</f>
        <v>22</v>
      </c>
      <c r="Q345">
        <f>YEAR(Table_36[[#This Row],[Дата заказа]])</f>
        <v>2015</v>
      </c>
      <c r="R345">
        <f>_xlfn.ISOWEEKNUM(Table_36[[#This Row],[Дата заказа]])</f>
        <v>12</v>
      </c>
    </row>
    <row r="346" spans="3:18" ht="15.75" customHeight="1" x14ac:dyDescent="0.2">
      <c r="C346" s="26">
        <v>32</v>
      </c>
      <c r="D346" s="21" t="s">
        <v>2496</v>
      </c>
      <c r="E346" s="21" t="s">
        <v>2446</v>
      </c>
      <c r="F346" s="21" t="s">
        <v>2466</v>
      </c>
      <c r="G346" s="21">
        <v>967</v>
      </c>
      <c r="H346" s="21" t="s">
        <v>2444</v>
      </c>
      <c r="I346" s="21">
        <v>8</v>
      </c>
      <c r="J346" s="21">
        <v>7736</v>
      </c>
      <c r="K346" s="21">
        <v>0</v>
      </c>
      <c r="L346" s="21">
        <v>7736</v>
      </c>
      <c r="M346" s="25">
        <v>43035</v>
      </c>
      <c r="N346">
        <f>MONTH(Table_36[[#This Row],[Дата заказа]])</f>
        <v>10</v>
      </c>
      <c r="O346">
        <f>WEEKDAY(Table_36[[#This Row],[Дата заказа]])</f>
        <v>6</v>
      </c>
      <c r="P346">
        <f>DAY(Table_36[[#This Row],[Дата заказа]])</f>
        <v>27</v>
      </c>
      <c r="Q346">
        <f>YEAR(Table_36[[#This Row],[Дата заказа]])</f>
        <v>2017</v>
      </c>
      <c r="R346">
        <f>_xlfn.ISOWEEKNUM(Table_36[[#This Row],[Дата заказа]])</f>
        <v>43</v>
      </c>
    </row>
    <row r="347" spans="3:18" ht="15.75" customHeight="1" x14ac:dyDescent="0.2">
      <c r="C347" s="26">
        <v>15</v>
      </c>
      <c r="D347" s="21" t="s">
        <v>2512</v>
      </c>
      <c r="E347" s="21" t="s">
        <v>2462</v>
      </c>
      <c r="F347" s="21" t="s">
        <v>2513</v>
      </c>
      <c r="G347" s="21">
        <v>1994</v>
      </c>
      <c r="H347" s="21" t="s">
        <v>2444</v>
      </c>
      <c r="I347" s="21">
        <v>17</v>
      </c>
      <c r="J347" s="21">
        <v>33898</v>
      </c>
      <c r="K347" s="21">
        <v>0.06</v>
      </c>
      <c r="L347" s="21">
        <v>31864.12</v>
      </c>
      <c r="M347" s="25">
        <v>43942</v>
      </c>
      <c r="N347">
        <f>MONTH(Table_36[[#This Row],[Дата заказа]])</f>
        <v>4</v>
      </c>
      <c r="O347">
        <f>WEEKDAY(Table_36[[#This Row],[Дата заказа]])</f>
        <v>3</v>
      </c>
      <c r="P347">
        <f>DAY(Table_36[[#This Row],[Дата заказа]])</f>
        <v>21</v>
      </c>
      <c r="Q347">
        <f>YEAR(Table_36[[#This Row],[Дата заказа]])</f>
        <v>2020</v>
      </c>
      <c r="R347">
        <f>_xlfn.ISOWEEKNUM(Table_36[[#This Row],[Дата заказа]])</f>
        <v>17</v>
      </c>
    </row>
    <row r="348" spans="3:18" ht="15.75" customHeight="1" x14ac:dyDescent="0.2">
      <c r="C348" s="26">
        <v>4</v>
      </c>
      <c r="D348" s="21" t="s">
        <v>2449</v>
      </c>
      <c r="E348" s="21" t="s">
        <v>2448</v>
      </c>
      <c r="F348" s="21" t="s">
        <v>2485</v>
      </c>
      <c r="G348" s="21">
        <v>2211</v>
      </c>
      <c r="H348" s="21" t="s">
        <v>2444</v>
      </c>
      <c r="I348" s="21">
        <v>25</v>
      </c>
      <c r="J348" s="21">
        <v>55275</v>
      </c>
      <c r="K348" s="21">
        <v>0.09</v>
      </c>
      <c r="L348" s="21">
        <v>50300.25</v>
      </c>
      <c r="M348" s="25">
        <v>42926</v>
      </c>
      <c r="N348">
        <f>MONTH(Table_36[[#This Row],[Дата заказа]])</f>
        <v>7</v>
      </c>
      <c r="O348">
        <f>WEEKDAY(Table_36[[#This Row],[Дата заказа]])</f>
        <v>2</v>
      </c>
      <c r="P348">
        <f>DAY(Table_36[[#This Row],[Дата заказа]])</f>
        <v>10</v>
      </c>
      <c r="Q348">
        <f>YEAR(Table_36[[#This Row],[Дата заказа]])</f>
        <v>2017</v>
      </c>
      <c r="R348">
        <f>_xlfn.ISOWEEKNUM(Table_36[[#This Row],[Дата заказа]])</f>
        <v>28</v>
      </c>
    </row>
    <row r="349" spans="3:18" ht="15.75" customHeight="1" x14ac:dyDescent="0.2">
      <c r="C349" s="26">
        <v>32</v>
      </c>
      <c r="D349" s="21" t="s">
        <v>2496</v>
      </c>
      <c r="E349" s="21" t="s">
        <v>2446</v>
      </c>
      <c r="F349" s="21" t="s">
        <v>2466</v>
      </c>
      <c r="G349" s="21">
        <v>967</v>
      </c>
      <c r="H349" s="21" t="s">
        <v>2444</v>
      </c>
      <c r="I349" s="21">
        <v>8</v>
      </c>
      <c r="J349" s="21">
        <v>7736</v>
      </c>
      <c r="K349" s="21">
        <v>0</v>
      </c>
      <c r="L349" s="21">
        <v>7736</v>
      </c>
      <c r="M349" s="25">
        <v>42494</v>
      </c>
      <c r="N349">
        <f>MONTH(Table_36[[#This Row],[Дата заказа]])</f>
        <v>5</v>
      </c>
      <c r="O349">
        <f>WEEKDAY(Table_36[[#This Row],[Дата заказа]])</f>
        <v>4</v>
      </c>
      <c r="P349">
        <f>DAY(Table_36[[#This Row],[Дата заказа]])</f>
        <v>4</v>
      </c>
      <c r="Q349">
        <f>YEAR(Table_36[[#This Row],[Дата заказа]])</f>
        <v>2016</v>
      </c>
      <c r="R349">
        <f>_xlfn.ISOWEEKNUM(Table_36[[#This Row],[Дата заказа]])</f>
        <v>18</v>
      </c>
    </row>
    <row r="350" spans="3:18" ht="15.75" customHeight="1" x14ac:dyDescent="0.2">
      <c r="C350" s="26">
        <v>37</v>
      </c>
      <c r="D350" s="21" t="s">
        <v>2449</v>
      </c>
      <c r="E350" s="21" t="s">
        <v>2448</v>
      </c>
      <c r="F350" s="21" t="s">
        <v>2450</v>
      </c>
      <c r="G350" s="21">
        <v>2211</v>
      </c>
      <c r="H350" s="21" t="s">
        <v>2444</v>
      </c>
      <c r="I350" s="21">
        <v>25</v>
      </c>
      <c r="J350" s="21">
        <v>55275</v>
      </c>
      <c r="K350" s="21">
        <v>0.09</v>
      </c>
      <c r="L350" s="21">
        <v>50300.25</v>
      </c>
      <c r="M350" s="25">
        <v>43634</v>
      </c>
      <c r="N350">
        <f>MONTH(Table_36[[#This Row],[Дата заказа]])</f>
        <v>6</v>
      </c>
      <c r="O350">
        <f>WEEKDAY(Table_36[[#This Row],[Дата заказа]])</f>
        <v>3</v>
      </c>
      <c r="P350">
        <f>DAY(Table_36[[#This Row],[Дата заказа]])</f>
        <v>18</v>
      </c>
      <c r="Q350">
        <f>YEAR(Table_36[[#This Row],[Дата заказа]])</f>
        <v>2019</v>
      </c>
      <c r="R350">
        <f>_xlfn.ISOWEEKNUM(Table_36[[#This Row],[Дата заказа]])</f>
        <v>25</v>
      </c>
    </row>
    <row r="351" spans="3:18" ht="15.75" customHeight="1" x14ac:dyDescent="0.2">
      <c r="C351" s="26">
        <v>12</v>
      </c>
      <c r="D351" s="21" t="s">
        <v>2453</v>
      </c>
      <c r="E351" s="21" t="s">
        <v>2454</v>
      </c>
      <c r="F351" s="21" t="s">
        <v>2455</v>
      </c>
      <c r="G351" s="21">
        <v>1386</v>
      </c>
      <c r="H351" s="21" t="s">
        <v>2440</v>
      </c>
      <c r="I351" s="21">
        <v>20</v>
      </c>
      <c r="J351" s="21">
        <v>27720</v>
      </c>
      <c r="K351" s="21">
        <v>0.03</v>
      </c>
      <c r="L351" s="21">
        <v>26888.400000000001</v>
      </c>
      <c r="M351" s="25">
        <v>43385</v>
      </c>
      <c r="N351">
        <f>MONTH(Table_36[[#This Row],[Дата заказа]])</f>
        <v>10</v>
      </c>
      <c r="O351">
        <f>WEEKDAY(Table_36[[#This Row],[Дата заказа]])</f>
        <v>6</v>
      </c>
      <c r="P351">
        <f>DAY(Table_36[[#This Row],[Дата заказа]])</f>
        <v>12</v>
      </c>
      <c r="Q351">
        <f>YEAR(Table_36[[#This Row],[Дата заказа]])</f>
        <v>2018</v>
      </c>
      <c r="R351">
        <f>_xlfn.ISOWEEKNUM(Table_36[[#This Row],[Дата заказа]])</f>
        <v>41</v>
      </c>
    </row>
    <row r="352" spans="3:18" ht="15.75" customHeight="1" x14ac:dyDescent="0.2">
      <c r="C352" s="26">
        <v>27</v>
      </c>
      <c r="D352" s="21" t="s">
        <v>2499</v>
      </c>
      <c r="E352" s="21" t="s">
        <v>2462</v>
      </c>
      <c r="F352" s="21" t="s">
        <v>2463</v>
      </c>
      <c r="G352" s="21">
        <v>1994</v>
      </c>
      <c r="H352" s="21" t="s">
        <v>2444</v>
      </c>
      <c r="I352" s="21">
        <v>25</v>
      </c>
      <c r="J352" s="21">
        <v>49850</v>
      </c>
      <c r="K352" s="21">
        <v>0.06</v>
      </c>
      <c r="L352" s="21">
        <v>46859</v>
      </c>
      <c r="M352" s="25">
        <v>44150</v>
      </c>
      <c r="N352">
        <f>MONTH(Table_36[[#This Row],[Дата заказа]])</f>
        <v>11</v>
      </c>
      <c r="O352">
        <f>WEEKDAY(Table_36[[#This Row],[Дата заказа]])</f>
        <v>1</v>
      </c>
      <c r="P352">
        <f>DAY(Table_36[[#This Row],[Дата заказа]])</f>
        <v>15</v>
      </c>
      <c r="Q352">
        <f>YEAR(Table_36[[#This Row],[Дата заказа]])</f>
        <v>2020</v>
      </c>
      <c r="R352">
        <f>_xlfn.ISOWEEKNUM(Table_36[[#This Row],[Дата заказа]])</f>
        <v>46</v>
      </c>
    </row>
    <row r="353" spans="3:18" ht="15.75" customHeight="1" x14ac:dyDescent="0.2">
      <c r="C353" s="26">
        <v>4</v>
      </c>
      <c r="D353" s="21" t="s">
        <v>2449</v>
      </c>
      <c r="E353" s="21" t="s">
        <v>2448</v>
      </c>
      <c r="F353" s="21" t="s">
        <v>2485</v>
      </c>
      <c r="G353" s="21">
        <v>2211</v>
      </c>
      <c r="H353" s="21" t="s">
        <v>2444</v>
      </c>
      <c r="I353" s="21">
        <v>25</v>
      </c>
      <c r="J353" s="21">
        <v>55275</v>
      </c>
      <c r="K353" s="21">
        <v>0.09</v>
      </c>
      <c r="L353" s="21">
        <v>50300.25</v>
      </c>
      <c r="M353" s="25">
        <v>43097</v>
      </c>
      <c r="N353">
        <f>MONTH(Table_36[[#This Row],[Дата заказа]])</f>
        <v>12</v>
      </c>
      <c r="O353">
        <f>WEEKDAY(Table_36[[#This Row],[Дата заказа]])</f>
        <v>5</v>
      </c>
      <c r="P353">
        <f>DAY(Table_36[[#This Row],[Дата заказа]])</f>
        <v>28</v>
      </c>
      <c r="Q353">
        <f>YEAR(Table_36[[#This Row],[Дата заказа]])</f>
        <v>2017</v>
      </c>
      <c r="R353">
        <f>_xlfn.ISOWEEKNUM(Table_36[[#This Row],[Дата заказа]])</f>
        <v>52</v>
      </c>
    </row>
    <row r="354" spans="3:18" ht="15.75" customHeight="1" x14ac:dyDescent="0.2">
      <c r="C354" s="26">
        <v>16</v>
      </c>
      <c r="D354" s="21" t="s">
        <v>2504</v>
      </c>
      <c r="E354" s="21" t="s">
        <v>2505</v>
      </c>
      <c r="F354" s="21" t="s">
        <v>2506</v>
      </c>
      <c r="G354" s="21">
        <v>843</v>
      </c>
      <c r="H354" s="21" t="s">
        <v>2444</v>
      </c>
      <c r="I354" s="21">
        <v>5</v>
      </c>
      <c r="J354" s="21">
        <v>4215</v>
      </c>
      <c r="K354" s="21">
        <v>0</v>
      </c>
      <c r="L354" s="21">
        <v>4215</v>
      </c>
      <c r="M354" s="25">
        <v>43931</v>
      </c>
      <c r="N354">
        <f>MONTH(Table_36[[#This Row],[Дата заказа]])</f>
        <v>4</v>
      </c>
      <c r="O354">
        <f>WEEKDAY(Table_36[[#This Row],[Дата заказа]])</f>
        <v>6</v>
      </c>
      <c r="P354">
        <f>DAY(Table_36[[#This Row],[Дата заказа]])</f>
        <v>10</v>
      </c>
      <c r="Q354">
        <f>YEAR(Table_36[[#This Row],[Дата заказа]])</f>
        <v>2020</v>
      </c>
      <c r="R354">
        <f>_xlfn.ISOWEEKNUM(Table_36[[#This Row],[Дата заказа]])</f>
        <v>15</v>
      </c>
    </row>
    <row r="355" spans="3:18" ht="15.75" customHeight="1" x14ac:dyDescent="0.2">
      <c r="C355" s="26">
        <v>13</v>
      </c>
      <c r="D355" s="21" t="s">
        <v>2507</v>
      </c>
      <c r="E355" s="21" t="s">
        <v>2446</v>
      </c>
      <c r="F355" s="21" t="s">
        <v>2493</v>
      </c>
      <c r="G355" s="21">
        <v>759</v>
      </c>
      <c r="H355" s="21" t="s">
        <v>2444</v>
      </c>
      <c r="I355" s="21">
        <v>14</v>
      </c>
      <c r="J355" s="21">
        <v>10626</v>
      </c>
      <c r="K355" s="21">
        <v>0</v>
      </c>
      <c r="L355" s="21">
        <v>10626</v>
      </c>
      <c r="M355" s="25">
        <v>43499</v>
      </c>
      <c r="N355">
        <f>MONTH(Table_36[[#This Row],[Дата заказа]])</f>
        <v>2</v>
      </c>
      <c r="O355">
        <f>WEEKDAY(Table_36[[#This Row],[Дата заказа]])</f>
        <v>1</v>
      </c>
      <c r="P355">
        <f>DAY(Table_36[[#This Row],[Дата заказа]])</f>
        <v>3</v>
      </c>
      <c r="Q355">
        <f>YEAR(Table_36[[#This Row],[Дата заказа]])</f>
        <v>2019</v>
      </c>
      <c r="R355">
        <f>_xlfn.ISOWEEKNUM(Table_36[[#This Row],[Дата заказа]])</f>
        <v>5</v>
      </c>
    </row>
    <row r="356" spans="3:18" ht="15.75" customHeight="1" x14ac:dyDescent="0.2">
      <c r="C356" s="26">
        <v>40</v>
      </c>
      <c r="D356" s="21" t="s">
        <v>2477</v>
      </c>
      <c r="E356" s="21" t="s">
        <v>2454</v>
      </c>
      <c r="F356" s="21" t="s">
        <v>2478</v>
      </c>
      <c r="G356" s="21">
        <v>847</v>
      </c>
      <c r="H356" s="21" t="s">
        <v>2440</v>
      </c>
      <c r="I356" s="21">
        <v>15</v>
      </c>
      <c r="J356" s="21">
        <v>12705</v>
      </c>
      <c r="K356" s="21">
        <v>0</v>
      </c>
      <c r="L356" s="21">
        <v>12705</v>
      </c>
      <c r="M356" s="25">
        <v>43913</v>
      </c>
      <c r="N356">
        <f>MONTH(Table_36[[#This Row],[Дата заказа]])</f>
        <v>3</v>
      </c>
      <c r="O356">
        <f>WEEKDAY(Table_36[[#This Row],[Дата заказа]])</f>
        <v>2</v>
      </c>
      <c r="P356">
        <f>DAY(Table_36[[#This Row],[Дата заказа]])</f>
        <v>23</v>
      </c>
      <c r="Q356">
        <f>YEAR(Table_36[[#This Row],[Дата заказа]])</f>
        <v>2020</v>
      </c>
      <c r="R356">
        <f>_xlfn.ISOWEEKNUM(Table_36[[#This Row],[Дата заказа]])</f>
        <v>13</v>
      </c>
    </row>
    <row r="357" spans="3:18" ht="15.75" customHeight="1" x14ac:dyDescent="0.2">
      <c r="C357" s="26">
        <v>50</v>
      </c>
      <c r="D357" s="21" t="s">
        <v>2481</v>
      </c>
      <c r="E357" s="21" t="s">
        <v>2454</v>
      </c>
      <c r="F357" s="21" t="s">
        <v>2482</v>
      </c>
      <c r="G357" s="21">
        <v>912</v>
      </c>
      <c r="H357" s="21" t="s">
        <v>2440</v>
      </c>
      <c r="I357" s="21">
        <v>20</v>
      </c>
      <c r="J357" s="21">
        <v>18240</v>
      </c>
      <c r="K357" s="21">
        <v>0</v>
      </c>
      <c r="L357" s="21">
        <v>18240</v>
      </c>
      <c r="M357" s="25">
        <v>43994</v>
      </c>
      <c r="N357">
        <f>MONTH(Table_36[[#This Row],[Дата заказа]])</f>
        <v>6</v>
      </c>
      <c r="O357">
        <f>WEEKDAY(Table_36[[#This Row],[Дата заказа]])</f>
        <v>6</v>
      </c>
      <c r="P357">
        <f>DAY(Table_36[[#This Row],[Дата заказа]])</f>
        <v>12</v>
      </c>
      <c r="Q357">
        <f>YEAR(Table_36[[#This Row],[Дата заказа]])</f>
        <v>2020</v>
      </c>
      <c r="R357">
        <f>_xlfn.ISOWEEKNUM(Table_36[[#This Row],[Дата заказа]])</f>
        <v>24</v>
      </c>
    </row>
    <row r="358" spans="3:18" ht="15.75" customHeight="1" x14ac:dyDescent="0.2">
      <c r="C358" s="26">
        <v>49</v>
      </c>
      <c r="D358" s="21" t="s">
        <v>2441</v>
      </c>
      <c r="E358" s="21" t="s">
        <v>2442</v>
      </c>
      <c r="F358" s="21" t="s">
        <v>2443</v>
      </c>
      <c r="G358" s="21">
        <v>617</v>
      </c>
      <c r="H358" s="21" t="s">
        <v>2444</v>
      </c>
      <c r="I358" s="21">
        <v>25</v>
      </c>
      <c r="J358" s="21">
        <v>15425</v>
      </c>
      <c r="K358" s="21">
        <v>0</v>
      </c>
      <c r="L358" s="21">
        <v>15425</v>
      </c>
      <c r="M358" s="25">
        <v>42686</v>
      </c>
      <c r="N358">
        <f>MONTH(Table_36[[#This Row],[Дата заказа]])</f>
        <v>11</v>
      </c>
      <c r="O358">
        <f>WEEKDAY(Table_36[[#This Row],[Дата заказа]])</f>
        <v>7</v>
      </c>
      <c r="P358">
        <f>DAY(Table_36[[#This Row],[Дата заказа]])</f>
        <v>12</v>
      </c>
      <c r="Q358">
        <f>YEAR(Table_36[[#This Row],[Дата заказа]])</f>
        <v>2016</v>
      </c>
      <c r="R358">
        <f>_xlfn.ISOWEEKNUM(Table_36[[#This Row],[Дата заказа]])</f>
        <v>45</v>
      </c>
    </row>
    <row r="359" spans="3:18" ht="15.75" customHeight="1" x14ac:dyDescent="0.2">
      <c r="C359" s="26">
        <v>49</v>
      </c>
      <c r="D359" s="21" t="s">
        <v>2441</v>
      </c>
      <c r="E359" s="21" t="s">
        <v>2442</v>
      </c>
      <c r="F359" s="21" t="s">
        <v>2443</v>
      </c>
      <c r="G359" s="21">
        <v>617</v>
      </c>
      <c r="H359" s="21" t="s">
        <v>2444</v>
      </c>
      <c r="I359" s="21">
        <v>25</v>
      </c>
      <c r="J359" s="21">
        <v>15425</v>
      </c>
      <c r="K359" s="21">
        <v>0</v>
      </c>
      <c r="L359" s="21">
        <v>15425</v>
      </c>
      <c r="M359" s="25">
        <v>43238</v>
      </c>
      <c r="N359">
        <f>MONTH(Table_36[[#This Row],[Дата заказа]])</f>
        <v>5</v>
      </c>
      <c r="O359">
        <f>WEEKDAY(Table_36[[#This Row],[Дата заказа]])</f>
        <v>6</v>
      </c>
      <c r="P359">
        <f>DAY(Table_36[[#This Row],[Дата заказа]])</f>
        <v>18</v>
      </c>
      <c r="Q359">
        <f>YEAR(Table_36[[#This Row],[Дата заказа]])</f>
        <v>2018</v>
      </c>
      <c r="R359">
        <f>_xlfn.ISOWEEKNUM(Table_36[[#This Row],[Дата заказа]])</f>
        <v>20</v>
      </c>
    </row>
    <row r="360" spans="3:18" ht="15.75" customHeight="1" x14ac:dyDescent="0.2">
      <c r="C360" s="26">
        <v>16</v>
      </c>
      <c r="D360" s="21" t="s">
        <v>2504</v>
      </c>
      <c r="E360" s="21" t="s">
        <v>2505</v>
      </c>
      <c r="F360" s="21" t="s">
        <v>2506</v>
      </c>
      <c r="G360" s="21">
        <v>843</v>
      </c>
      <c r="H360" s="21" t="s">
        <v>2444</v>
      </c>
      <c r="I360" s="21">
        <v>5</v>
      </c>
      <c r="J360" s="21">
        <v>4215</v>
      </c>
      <c r="K360" s="21">
        <v>0</v>
      </c>
      <c r="L360" s="21">
        <v>4215</v>
      </c>
      <c r="M360" s="25">
        <v>43133</v>
      </c>
      <c r="N360">
        <f>MONTH(Table_36[[#This Row],[Дата заказа]])</f>
        <v>2</v>
      </c>
      <c r="O360">
        <f>WEEKDAY(Table_36[[#This Row],[Дата заказа]])</f>
        <v>6</v>
      </c>
      <c r="P360">
        <f>DAY(Table_36[[#This Row],[Дата заказа]])</f>
        <v>2</v>
      </c>
      <c r="Q360">
        <f>YEAR(Table_36[[#This Row],[Дата заказа]])</f>
        <v>2018</v>
      </c>
      <c r="R360">
        <f>_xlfn.ISOWEEKNUM(Table_36[[#This Row],[Дата заказа]])</f>
        <v>5</v>
      </c>
    </row>
    <row r="361" spans="3:18" ht="15.75" customHeight="1" x14ac:dyDescent="0.2">
      <c r="C361" s="26">
        <v>6</v>
      </c>
      <c r="D361" s="21" t="s">
        <v>2502</v>
      </c>
      <c r="E361" s="21" t="s">
        <v>2446</v>
      </c>
      <c r="F361" s="21" t="s">
        <v>2503</v>
      </c>
      <c r="G361" s="21">
        <v>3197</v>
      </c>
      <c r="H361" s="21" t="s">
        <v>2444</v>
      </c>
      <c r="I361" s="21">
        <v>6</v>
      </c>
      <c r="J361" s="21">
        <v>19182</v>
      </c>
      <c r="K361" s="21">
        <v>0.03</v>
      </c>
      <c r="L361" s="21">
        <v>18606.54</v>
      </c>
      <c r="M361" s="25">
        <v>43029</v>
      </c>
      <c r="N361">
        <f>MONTH(Table_36[[#This Row],[Дата заказа]])</f>
        <v>10</v>
      </c>
      <c r="O361">
        <f>WEEKDAY(Table_36[[#This Row],[Дата заказа]])</f>
        <v>7</v>
      </c>
      <c r="P361">
        <f>DAY(Table_36[[#This Row],[Дата заказа]])</f>
        <v>21</v>
      </c>
      <c r="Q361">
        <f>YEAR(Table_36[[#This Row],[Дата заказа]])</f>
        <v>2017</v>
      </c>
      <c r="R361">
        <f>_xlfn.ISOWEEKNUM(Table_36[[#This Row],[Дата заказа]])</f>
        <v>42</v>
      </c>
    </row>
    <row r="362" spans="3:18" ht="15.75" customHeight="1" x14ac:dyDescent="0.2">
      <c r="C362" s="26">
        <v>10</v>
      </c>
      <c r="D362" s="21" t="s">
        <v>2451</v>
      </c>
      <c r="E362" s="21" t="s">
        <v>2438</v>
      </c>
      <c r="F362" s="21" t="s">
        <v>2452</v>
      </c>
      <c r="G362" s="21">
        <v>800</v>
      </c>
      <c r="H362" s="21" t="s">
        <v>2440</v>
      </c>
      <c r="I362" s="21">
        <v>25</v>
      </c>
      <c r="J362" s="21">
        <v>20000</v>
      </c>
      <c r="K362" s="21">
        <v>0.03</v>
      </c>
      <c r="L362" s="21">
        <v>19400</v>
      </c>
      <c r="M362" s="25">
        <v>42110</v>
      </c>
      <c r="N362">
        <f>MONTH(Table_36[[#This Row],[Дата заказа]])</f>
        <v>4</v>
      </c>
      <c r="O362">
        <f>WEEKDAY(Table_36[[#This Row],[Дата заказа]])</f>
        <v>5</v>
      </c>
      <c r="P362">
        <f>DAY(Table_36[[#This Row],[Дата заказа]])</f>
        <v>16</v>
      </c>
      <c r="Q362">
        <f>YEAR(Table_36[[#This Row],[Дата заказа]])</f>
        <v>2015</v>
      </c>
      <c r="R362">
        <f>_xlfn.ISOWEEKNUM(Table_36[[#This Row],[Дата заказа]])</f>
        <v>16</v>
      </c>
    </row>
    <row r="363" spans="3:18" ht="15.75" customHeight="1" x14ac:dyDescent="0.2">
      <c r="C363" s="26">
        <v>30</v>
      </c>
      <c r="D363" s="21" t="s">
        <v>2486</v>
      </c>
      <c r="E363" s="21" t="s">
        <v>2476</v>
      </c>
      <c r="F363" s="21" t="s">
        <v>2487</v>
      </c>
      <c r="G363" s="21">
        <v>1730</v>
      </c>
      <c r="H363" s="21" t="s">
        <v>2440</v>
      </c>
      <c r="I363" s="21">
        <v>5</v>
      </c>
      <c r="J363" s="21">
        <v>8650</v>
      </c>
      <c r="K363" s="21">
        <v>0</v>
      </c>
      <c r="L363" s="21">
        <v>8650</v>
      </c>
      <c r="M363" s="25">
        <v>42447</v>
      </c>
      <c r="N363">
        <f>MONTH(Table_36[[#This Row],[Дата заказа]])</f>
        <v>3</v>
      </c>
      <c r="O363">
        <f>WEEKDAY(Table_36[[#This Row],[Дата заказа]])</f>
        <v>6</v>
      </c>
      <c r="P363">
        <f>DAY(Table_36[[#This Row],[Дата заказа]])</f>
        <v>18</v>
      </c>
      <c r="Q363">
        <f>YEAR(Table_36[[#This Row],[Дата заказа]])</f>
        <v>2016</v>
      </c>
      <c r="R363">
        <f>_xlfn.ISOWEEKNUM(Table_36[[#This Row],[Дата заказа]])</f>
        <v>11</v>
      </c>
    </row>
    <row r="364" spans="3:18" ht="15.75" customHeight="1" x14ac:dyDescent="0.2">
      <c r="C364" s="26">
        <v>41</v>
      </c>
      <c r="D364" s="21" t="s">
        <v>2447</v>
      </c>
      <c r="E364" s="21" t="s">
        <v>2448</v>
      </c>
      <c r="F364" s="21" t="s">
        <v>2448</v>
      </c>
      <c r="G364" s="21">
        <v>699</v>
      </c>
      <c r="H364" s="21" t="s">
        <v>2444</v>
      </c>
      <c r="I364" s="21">
        <v>10</v>
      </c>
      <c r="J364" s="21">
        <v>6990</v>
      </c>
      <c r="K364" s="21">
        <v>0</v>
      </c>
      <c r="L364" s="21">
        <v>6990</v>
      </c>
      <c r="M364" s="25">
        <v>42597</v>
      </c>
      <c r="N364">
        <f>MONTH(Table_36[[#This Row],[Дата заказа]])</f>
        <v>8</v>
      </c>
      <c r="O364">
        <f>WEEKDAY(Table_36[[#This Row],[Дата заказа]])</f>
        <v>2</v>
      </c>
      <c r="P364">
        <f>DAY(Table_36[[#This Row],[Дата заказа]])</f>
        <v>15</v>
      </c>
      <c r="Q364">
        <f>YEAR(Table_36[[#This Row],[Дата заказа]])</f>
        <v>2016</v>
      </c>
      <c r="R364">
        <f>_xlfn.ISOWEEKNUM(Table_36[[#This Row],[Дата заказа]])</f>
        <v>33</v>
      </c>
    </row>
    <row r="365" spans="3:18" ht="15.75" customHeight="1" x14ac:dyDescent="0.2">
      <c r="C365" s="26">
        <v>47</v>
      </c>
      <c r="D365" s="21" t="s">
        <v>2461</v>
      </c>
      <c r="E365" s="21" t="s">
        <v>2462</v>
      </c>
      <c r="F365" s="21" t="s">
        <v>2463</v>
      </c>
      <c r="G365" s="21">
        <v>1994</v>
      </c>
      <c r="H365" s="21" t="s">
        <v>2444</v>
      </c>
      <c r="I365" s="21">
        <v>12</v>
      </c>
      <c r="J365" s="21">
        <v>23928</v>
      </c>
      <c r="K365" s="21">
        <v>0.03</v>
      </c>
      <c r="L365" s="21">
        <v>23210.16</v>
      </c>
      <c r="M365" s="25">
        <v>44175</v>
      </c>
      <c r="N365">
        <f>MONTH(Table_36[[#This Row],[Дата заказа]])</f>
        <v>12</v>
      </c>
      <c r="O365">
        <f>WEEKDAY(Table_36[[#This Row],[Дата заказа]])</f>
        <v>5</v>
      </c>
      <c r="P365">
        <f>DAY(Table_36[[#This Row],[Дата заказа]])</f>
        <v>10</v>
      </c>
      <c r="Q365">
        <f>YEAR(Table_36[[#This Row],[Дата заказа]])</f>
        <v>2020</v>
      </c>
      <c r="R365">
        <f>_xlfn.ISOWEEKNUM(Table_36[[#This Row],[Дата заказа]])</f>
        <v>50</v>
      </c>
    </row>
    <row r="366" spans="3:18" ht="15.75" customHeight="1" x14ac:dyDescent="0.2">
      <c r="C366" s="26">
        <v>30</v>
      </c>
      <c r="D366" s="21" t="s">
        <v>2486</v>
      </c>
      <c r="E366" s="21" t="s">
        <v>2476</v>
      </c>
      <c r="F366" s="21" t="s">
        <v>2487</v>
      </c>
      <c r="G366" s="21">
        <v>1730</v>
      </c>
      <c r="H366" s="21" t="s">
        <v>2440</v>
      </c>
      <c r="I366" s="21">
        <v>5</v>
      </c>
      <c r="J366" s="21">
        <v>8650</v>
      </c>
      <c r="K366" s="21">
        <v>0</v>
      </c>
      <c r="L366" s="21">
        <v>8650</v>
      </c>
      <c r="M366" s="25">
        <v>43204</v>
      </c>
      <c r="N366">
        <f>MONTH(Table_36[[#This Row],[Дата заказа]])</f>
        <v>4</v>
      </c>
      <c r="O366">
        <f>WEEKDAY(Table_36[[#This Row],[Дата заказа]])</f>
        <v>7</v>
      </c>
      <c r="P366">
        <f>DAY(Table_36[[#This Row],[Дата заказа]])</f>
        <v>14</v>
      </c>
      <c r="Q366">
        <f>YEAR(Table_36[[#This Row],[Дата заказа]])</f>
        <v>2018</v>
      </c>
      <c r="R366">
        <f>_xlfn.ISOWEEKNUM(Table_36[[#This Row],[Дата заказа]])</f>
        <v>15</v>
      </c>
    </row>
    <row r="367" spans="3:18" ht="15.75" customHeight="1" x14ac:dyDescent="0.2">
      <c r="C367" s="26">
        <v>2</v>
      </c>
      <c r="D367" s="21" t="s">
        <v>2500</v>
      </c>
      <c r="E367" s="21" t="s">
        <v>2446</v>
      </c>
      <c r="F367" s="21" t="s">
        <v>2501</v>
      </c>
      <c r="G367" s="21">
        <v>1178</v>
      </c>
      <c r="H367" s="21" t="s">
        <v>2444</v>
      </c>
      <c r="I367" s="21">
        <v>10</v>
      </c>
      <c r="J367" s="21">
        <v>11780</v>
      </c>
      <c r="K367" s="21">
        <v>0</v>
      </c>
      <c r="L367" s="21">
        <v>11780</v>
      </c>
      <c r="M367" s="25">
        <v>43582</v>
      </c>
      <c r="N367">
        <f>MONTH(Table_36[[#This Row],[Дата заказа]])</f>
        <v>4</v>
      </c>
      <c r="O367">
        <f>WEEKDAY(Table_36[[#This Row],[Дата заказа]])</f>
        <v>7</v>
      </c>
      <c r="P367">
        <f>DAY(Table_36[[#This Row],[Дата заказа]])</f>
        <v>27</v>
      </c>
      <c r="Q367">
        <f>YEAR(Table_36[[#This Row],[Дата заказа]])</f>
        <v>2019</v>
      </c>
      <c r="R367">
        <f>_xlfn.ISOWEEKNUM(Table_36[[#This Row],[Дата заказа]])</f>
        <v>17</v>
      </c>
    </row>
    <row r="368" spans="3:18" ht="15.75" customHeight="1" x14ac:dyDescent="0.2">
      <c r="C368" s="26">
        <v>54</v>
      </c>
      <c r="D368" s="21" t="s">
        <v>2477</v>
      </c>
      <c r="E368" s="21" t="s">
        <v>2454</v>
      </c>
      <c r="F368" s="21" t="s">
        <v>2478</v>
      </c>
      <c r="G368" s="21">
        <v>847</v>
      </c>
      <c r="H368" s="21" t="s">
        <v>2440</v>
      </c>
      <c r="I368" s="21">
        <v>15</v>
      </c>
      <c r="J368" s="21">
        <v>12705</v>
      </c>
      <c r="K368" s="21">
        <v>0</v>
      </c>
      <c r="L368" s="21">
        <v>12705</v>
      </c>
      <c r="M368" s="25">
        <v>42664</v>
      </c>
      <c r="N368">
        <f>MONTH(Table_36[[#This Row],[Дата заказа]])</f>
        <v>10</v>
      </c>
      <c r="O368">
        <f>WEEKDAY(Table_36[[#This Row],[Дата заказа]])</f>
        <v>6</v>
      </c>
      <c r="P368">
        <f>DAY(Table_36[[#This Row],[Дата заказа]])</f>
        <v>21</v>
      </c>
      <c r="Q368">
        <f>YEAR(Table_36[[#This Row],[Дата заказа]])</f>
        <v>2016</v>
      </c>
      <c r="R368">
        <f>_xlfn.ISOWEEKNUM(Table_36[[#This Row],[Дата заказа]])</f>
        <v>42</v>
      </c>
    </row>
    <row r="369" spans="3:18" ht="15.75" customHeight="1" x14ac:dyDescent="0.2">
      <c r="C369" s="26">
        <v>52</v>
      </c>
      <c r="D369" s="21" t="s">
        <v>2483</v>
      </c>
      <c r="E369" s="21" t="s">
        <v>2446</v>
      </c>
      <c r="F369" s="21" t="s">
        <v>2484</v>
      </c>
      <c r="G369" s="21">
        <v>1182</v>
      </c>
      <c r="H369" s="21" t="s">
        <v>2440</v>
      </c>
      <c r="I369" s="21">
        <v>17</v>
      </c>
      <c r="J369" s="21">
        <v>20094</v>
      </c>
      <c r="K369" s="21">
        <v>0.03</v>
      </c>
      <c r="L369" s="21">
        <v>19491.18</v>
      </c>
      <c r="M369" s="25">
        <v>43417</v>
      </c>
      <c r="N369">
        <f>MONTH(Table_36[[#This Row],[Дата заказа]])</f>
        <v>11</v>
      </c>
      <c r="O369">
        <f>WEEKDAY(Table_36[[#This Row],[Дата заказа]])</f>
        <v>3</v>
      </c>
      <c r="P369">
        <f>DAY(Table_36[[#This Row],[Дата заказа]])</f>
        <v>13</v>
      </c>
      <c r="Q369">
        <f>YEAR(Table_36[[#This Row],[Дата заказа]])</f>
        <v>2018</v>
      </c>
      <c r="R369">
        <f>_xlfn.ISOWEEKNUM(Table_36[[#This Row],[Дата заказа]])</f>
        <v>46</v>
      </c>
    </row>
    <row r="370" spans="3:18" ht="15.75" customHeight="1" x14ac:dyDescent="0.2">
      <c r="C370" s="26">
        <v>55</v>
      </c>
      <c r="D370" s="21" t="s">
        <v>2447</v>
      </c>
      <c r="E370" s="21" t="s">
        <v>2448</v>
      </c>
      <c r="F370" s="21" t="s">
        <v>2448</v>
      </c>
      <c r="G370" s="21">
        <v>699</v>
      </c>
      <c r="H370" s="21" t="s">
        <v>2444</v>
      </c>
      <c r="I370" s="21">
        <v>10</v>
      </c>
      <c r="J370" s="21">
        <v>6990</v>
      </c>
      <c r="K370" s="21">
        <v>0</v>
      </c>
      <c r="L370" s="21">
        <v>6990</v>
      </c>
      <c r="M370" s="25">
        <v>43590</v>
      </c>
      <c r="N370">
        <f>MONTH(Table_36[[#This Row],[Дата заказа]])</f>
        <v>5</v>
      </c>
      <c r="O370">
        <f>WEEKDAY(Table_36[[#This Row],[Дата заказа]])</f>
        <v>1</v>
      </c>
      <c r="P370">
        <f>DAY(Table_36[[#This Row],[Дата заказа]])</f>
        <v>5</v>
      </c>
      <c r="Q370">
        <f>YEAR(Table_36[[#This Row],[Дата заказа]])</f>
        <v>2019</v>
      </c>
      <c r="R370">
        <f>_xlfn.ISOWEEKNUM(Table_36[[#This Row],[Дата заказа]])</f>
        <v>18</v>
      </c>
    </row>
    <row r="371" spans="3:18" ht="15.75" customHeight="1" x14ac:dyDescent="0.2">
      <c r="C371" s="26">
        <v>33</v>
      </c>
      <c r="D371" s="21" t="s">
        <v>2461</v>
      </c>
      <c r="E371" s="21" t="s">
        <v>2462</v>
      </c>
      <c r="F371" s="21" t="s">
        <v>2463</v>
      </c>
      <c r="G371" s="21">
        <v>1994</v>
      </c>
      <c r="H371" s="21" t="s">
        <v>2444</v>
      </c>
      <c r="I371" s="21">
        <v>12</v>
      </c>
      <c r="J371" s="21">
        <v>23928</v>
      </c>
      <c r="K371" s="21">
        <v>0.03</v>
      </c>
      <c r="L371" s="21">
        <v>23210.16</v>
      </c>
      <c r="M371" s="25">
        <v>43341</v>
      </c>
      <c r="N371">
        <f>MONTH(Table_36[[#This Row],[Дата заказа]])</f>
        <v>8</v>
      </c>
      <c r="O371">
        <f>WEEKDAY(Table_36[[#This Row],[Дата заказа]])</f>
        <v>4</v>
      </c>
      <c r="P371">
        <f>DAY(Table_36[[#This Row],[Дата заказа]])</f>
        <v>29</v>
      </c>
      <c r="Q371">
        <f>YEAR(Table_36[[#This Row],[Дата заказа]])</f>
        <v>2018</v>
      </c>
      <c r="R371">
        <f>_xlfn.ISOWEEKNUM(Table_36[[#This Row],[Дата заказа]])</f>
        <v>35</v>
      </c>
    </row>
    <row r="372" spans="3:18" ht="15.75" customHeight="1" x14ac:dyDescent="0.2">
      <c r="C372" s="26">
        <v>0</v>
      </c>
      <c r="D372" s="21" t="s">
        <v>2469</v>
      </c>
      <c r="E372" s="21" t="s">
        <v>2442</v>
      </c>
      <c r="F372" s="21" t="s">
        <v>2470</v>
      </c>
      <c r="G372" s="21">
        <v>620</v>
      </c>
      <c r="H372" s="21" t="s">
        <v>2444</v>
      </c>
      <c r="I372" s="21">
        <v>30</v>
      </c>
      <c r="J372" s="21">
        <v>18600</v>
      </c>
      <c r="K372" s="21">
        <v>0.03</v>
      </c>
      <c r="L372" s="21">
        <v>18042</v>
      </c>
      <c r="M372" s="25">
        <v>43462</v>
      </c>
      <c r="N372">
        <f>MONTH(Table_36[[#This Row],[Дата заказа]])</f>
        <v>12</v>
      </c>
      <c r="O372">
        <f>WEEKDAY(Table_36[[#This Row],[Дата заказа]])</f>
        <v>6</v>
      </c>
      <c r="P372">
        <f>DAY(Table_36[[#This Row],[Дата заказа]])</f>
        <v>28</v>
      </c>
      <c r="Q372">
        <f>YEAR(Table_36[[#This Row],[Дата заказа]])</f>
        <v>2018</v>
      </c>
      <c r="R372">
        <f>_xlfn.ISOWEEKNUM(Table_36[[#This Row],[Дата заказа]])</f>
        <v>52</v>
      </c>
    </row>
    <row r="373" spans="3:18" ht="15.75" customHeight="1" x14ac:dyDescent="0.2">
      <c r="C373" s="26">
        <v>10</v>
      </c>
      <c r="D373" s="21" t="s">
        <v>2451</v>
      </c>
      <c r="E373" s="21" t="s">
        <v>2438</v>
      </c>
      <c r="F373" s="21" t="s">
        <v>2452</v>
      </c>
      <c r="G373" s="21">
        <v>800</v>
      </c>
      <c r="H373" s="21" t="s">
        <v>2440</v>
      </c>
      <c r="I373" s="21">
        <v>25</v>
      </c>
      <c r="J373" s="21">
        <v>20000</v>
      </c>
      <c r="K373" s="21">
        <v>0.03</v>
      </c>
      <c r="L373" s="21">
        <v>19400</v>
      </c>
      <c r="M373" s="25">
        <v>43441</v>
      </c>
      <c r="N373">
        <f>MONTH(Table_36[[#This Row],[Дата заказа]])</f>
        <v>12</v>
      </c>
      <c r="O373">
        <f>WEEKDAY(Table_36[[#This Row],[Дата заказа]])</f>
        <v>6</v>
      </c>
      <c r="P373">
        <f>DAY(Table_36[[#This Row],[Дата заказа]])</f>
        <v>7</v>
      </c>
      <c r="Q373">
        <f>YEAR(Table_36[[#This Row],[Дата заказа]])</f>
        <v>2018</v>
      </c>
      <c r="R373">
        <f>_xlfn.ISOWEEKNUM(Table_36[[#This Row],[Дата заказа]])</f>
        <v>49</v>
      </c>
    </row>
    <row r="374" spans="3:18" ht="15.75" customHeight="1" x14ac:dyDescent="0.2">
      <c r="C374" s="26">
        <v>33</v>
      </c>
      <c r="D374" s="21" t="s">
        <v>2461</v>
      </c>
      <c r="E374" s="21" t="s">
        <v>2462</v>
      </c>
      <c r="F374" s="21" t="s">
        <v>2463</v>
      </c>
      <c r="G374" s="21">
        <v>1994</v>
      </c>
      <c r="H374" s="21" t="s">
        <v>2444</v>
      </c>
      <c r="I374" s="21">
        <v>12</v>
      </c>
      <c r="J374" s="21">
        <v>23928</v>
      </c>
      <c r="K374" s="21">
        <v>0.03</v>
      </c>
      <c r="L374" s="21">
        <v>23210.16</v>
      </c>
      <c r="M374" s="25">
        <v>43593</v>
      </c>
      <c r="N374">
        <f>MONTH(Table_36[[#This Row],[Дата заказа]])</f>
        <v>5</v>
      </c>
      <c r="O374">
        <f>WEEKDAY(Table_36[[#This Row],[Дата заказа]])</f>
        <v>4</v>
      </c>
      <c r="P374">
        <f>DAY(Table_36[[#This Row],[Дата заказа]])</f>
        <v>8</v>
      </c>
      <c r="Q374">
        <f>YEAR(Table_36[[#This Row],[Дата заказа]])</f>
        <v>2019</v>
      </c>
      <c r="R374">
        <f>_xlfn.ISOWEEKNUM(Table_36[[#This Row],[Дата заказа]])</f>
        <v>19</v>
      </c>
    </row>
    <row r="375" spans="3:18" ht="15.75" customHeight="1" x14ac:dyDescent="0.2">
      <c r="C375" s="26">
        <v>50</v>
      </c>
      <c r="D375" s="21" t="s">
        <v>2481</v>
      </c>
      <c r="E375" s="21" t="s">
        <v>2454</v>
      </c>
      <c r="F375" s="21" t="s">
        <v>2482</v>
      </c>
      <c r="G375" s="21">
        <v>912</v>
      </c>
      <c r="H375" s="21" t="s">
        <v>2440</v>
      </c>
      <c r="I375" s="21">
        <v>20</v>
      </c>
      <c r="J375" s="21">
        <v>18240</v>
      </c>
      <c r="K375" s="21">
        <v>0</v>
      </c>
      <c r="L375" s="21">
        <v>18240</v>
      </c>
      <c r="M375" s="25">
        <v>43166</v>
      </c>
      <c r="N375">
        <f>MONTH(Table_36[[#This Row],[Дата заказа]])</f>
        <v>3</v>
      </c>
      <c r="O375">
        <f>WEEKDAY(Table_36[[#This Row],[Дата заказа]])</f>
        <v>4</v>
      </c>
      <c r="P375">
        <f>DAY(Table_36[[#This Row],[Дата заказа]])</f>
        <v>7</v>
      </c>
      <c r="Q375">
        <f>YEAR(Table_36[[#This Row],[Дата заказа]])</f>
        <v>2018</v>
      </c>
      <c r="R375">
        <f>_xlfn.ISOWEEKNUM(Table_36[[#This Row],[Дата заказа]])</f>
        <v>10</v>
      </c>
    </row>
    <row r="376" spans="3:18" ht="15.75" customHeight="1" x14ac:dyDescent="0.2">
      <c r="C376" s="26">
        <v>0</v>
      </c>
      <c r="D376" s="21" t="s">
        <v>2469</v>
      </c>
      <c r="E376" s="21" t="s">
        <v>2442</v>
      </c>
      <c r="F376" s="21" t="s">
        <v>2470</v>
      </c>
      <c r="G376" s="21">
        <v>620</v>
      </c>
      <c r="H376" s="21" t="s">
        <v>2444</v>
      </c>
      <c r="I376" s="21">
        <v>30</v>
      </c>
      <c r="J376" s="21">
        <v>18600</v>
      </c>
      <c r="K376" s="21">
        <v>0.03</v>
      </c>
      <c r="L376" s="21">
        <v>18042</v>
      </c>
      <c r="M376" s="25">
        <v>43721</v>
      </c>
      <c r="N376">
        <f>MONTH(Table_36[[#This Row],[Дата заказа]])</f>
        <v>9</v>
      </c>
      <c r="O376">
        <f>WEEKDAY(Table_36[[#This Row],[Дата заказа]])</f>
        <v>6</v>
      </c>
      <c r="P376">
        <f>DAY(Table_36[[#This Row],[Дата заказа]])</f>
        <v>13</v>
      </c>
      <c r="Q376">
        <f>YEAR(Table_36[[#This Row],[Дата заказа]])</f>
        <v>2019</v>
      </c>
      <c r="R376">
        <f>_xlfn.ISOWEEKNUM(Table_36[[#This Row],[Дата заказа]])</f>
        <v>37</v>
      </c>
    </row>
    <row r="377" spans="3:18" ht="15.75" customHeight="1" x14ac:dyDescent="0.2">
      <c r="C377" s="26">
        <v>9</v>
      </c>
      <c r="D377" s="21" t="s">
        <v>2447</v>
      </c>
      <c r="E377" s="21" t="s">
        <v>2448</v>
      </c>
      <c r="F377" s="21" t="s">
        <v>2448</v>
      </c>
      <c r="G377" s="21">
        <v>699</v>
      </c>
      <c r="H377" s="21" t="s">
        <v>2444</v>
      </c>
      <c r="I377" s="21">
        <v>10</v>
      </c>
      <c r="J377" s="21">
        <v>6990</v>
      </c>
      <c r="K377" s="21">
        <v>0</v>
      </c>
      <c r="L377" s="21">
        <v>6990</v>
      </c>
      <c r="M377" s="25">
        <v>43079</v>
      </c>
      <c r="N377">
        <f>MONTH(Table_36[[#This Row],[Дата заказа]])</f>
        <v>12</v>
      </c>
      <c r="O377">
        <f>WEEKDAY(Table_36[[#This Row],[Дата заказа]])</f>
        <v>1</v>
      </c>
      <c r="P377">
        <f>DAY(Table_36[[#This Row],[Дата заказа]])</f>
        <v>10</v>
      </c>
      <c r="Q377">
        <f>YEAR(Table_36[[#This Row],[Дата заказа]])</f>
        <v>2017</v>
      </c>
      <c r="R377">
        <f>_xlfn.ISOWEEKNUM(Table_36[[#This Row],[Дата заказа]])</f>
        <v>49</v>
      </c>
    </row>
    <row r="378" spans="3:18" ht="15.75" customHeight="1" x14ac:dyDescent="0.2">
      <c r="C378" s="26">
        <v>19</v>
      </c>
      <c r="D378" s="21" t="s">
        <v>2488</v>
      </c>
      <c r="E378" s="21" t="s">
        <v>2454</v>
      </c>
      <c r="F378" s="21" t="s">
        <v>2489</v>
      </c>
      <c r="G378" s="21">
        <v>1879</v>
      </c>
      <c r="H378" s="21" t="s">
        <v>2440</v>
      </c>
      <c r="I378" s="21">
        <v>15</v>
      </c>
      <c r="J378" s="21">
        <v>28185</v>
      </c>
      <c r="K378" s="21">
        <v>0.03</v>
      </c>
      <c r="L378" s="21">
        <v>27339.45</v>
      </c>
      <c r="M378" s="25">
        <v>42776</v>
      </c>
      <c r="N378">
        <f>MONTH(Table_36[[#This Row],[Дата заказа]])</f>
        <v>2</v>
      </c>
      <c r="O378">
        <f>WEEKDAY(Table_36[[#This Row],[Дата заказа]])</f>
        <v>6</v>
      </c>
      <c r="P378">
        <f>DAY(Table_36[[#This Row],[Дата заказа]])</f>
        <v>10</v>
      </c>
      <c r="Q378">
        <f>YEAR(Table_36[[#This Row],[Дата заказа]])</f>
        <v>2017</v>
      </c>
      <c r="R378">
        <f>_xlfn.ISOWEEKNUM(Table_36[[#This Row],[Дата заказа]])</f>
        <v>6</v>
      </c>
    </row>
    <row r="379" spans="3:18" ht="15.75" customHeight="1" x14ac:dyDescent="0.2">
      <c r="C379" s="26">
        <v>50</v>
      </c>
      <c r="D379" s="21" t="s">
        <v>2481</v>
      </c>
      <c r="E379" s="21" t="s">
        <v>2454</v>
      </c>
      <c r="F379" s="21" t="s">
        <v>2482</v>
      </c>
      <c r="G379" s="21">
        <v>912</v>
      </c>
      <c r="H379" s="21" t="s">
        <v>2440</v>
      </c>
      <c r="I379" s="21">
        <v>20</v>
      </c>
      <c r="J379" s="21">
        <v>18240</v>
      </c>
      <c r="K379" s="21">
        <v>0</v>
      </c>
      <c r="L379" s="21">
        <v>18240</v>
      </c>
      <c r="M379" s="25">
        <v>43993</v>
      </c>
      <c r="N379">
        <f>MONTH(Table_36[[#This Row],[Дата заказа]])</f>
        <v>6</v>
      </c>
      <c r="O379">
        <f>WEEKDAY(Table_36[[#This Row],[Дата заказа]])</f>
        <v>5</v>
      </c>
      <c r="P379">
        <f>DAY(Table_36[[#This Row],[Дата заказа]])</f>
        <v>11</v>
      </c>
      <c r="Q379">
        <f>YEAR(Table_36[[#This Row],[Дата заказа]])</f>
        <v>2020</v>
      </c>
      <c r="R379">
        <f>_xlfn.ISOWEEKNUM(Table_36[[#This Row],[Дата заказа]])</f>
        <v>24</v>
      </c>
    </row>
    <row r="380" spans="3:18" ht="15.75" customHeight="1" x14ac:dyDescent="0.2">
      <c r="C380" s="26">
        <v>56</v>
      </c>
      <c r="D380" s="21" t="s">
        <v>2451</v>
      </c>
      <c r="E380" s="21" t="s">
        <v>2438</v>
      </c>
      <c r="F380" s="21" t="s">
        <v>2452</v>
      </c>
      <c r="G380" s="21">
        <v>800</v>
      </c>
      <c r="H380" s="21" t="s">
        <v>2440</v>
      </c>
      <c r="I380" s="21">
        <v>40</v>
      </c>
      <c r="J380" s="21">
        <v>32000</v>
      </c>
      <c r="K380" s="21">
        <v>0.03</v>
      </c>
      <c r="L380" s="21">
        <v>31040</v>
      </c>
      <c r="M380" s="25">
        <v>44154</v>
      </c>
      <c r="N380">
        <f>MONTH(Table_36[[#This Row],[Дата заказа]])</f>
        <v>11</v>
      </c>
      <c r="O380">
        <f>WEEKDAY(Table_36[[#This Row],[Дата заказа]])</f>
        <v>5</v>
      </c>
      <c r="P380">
        <f>DAY(Table_36[[#This Row],[Дата заказа]])</f>
        <v>19</v>
      </c>
      <c r="Q380">
        <f>YEAR(Table_36[[#This Row],[Дата заказа]])</f>
        <v>2020</v>
      </c>
      <c r="R380">
        <f>_xlfn.ISOWEEKNUM(Table_36[[#This Row],[Дата заказа]])</f>
        <v>47</v>
      </c>
    </row>
    <row r="381" spans="3:18" ht="15.75" customHeight="1" x14ac:dyDescent="0.2">
      <c r="C381" s="26">
        <v>29</v>
      </c>
      <c r="D381" s="21" t="s">
        <v>2514</v>
      </c>
      <c r="E381" s="21" t="s">
        <v>2505</v>
      </c>
      <c r="F381" s="21" t="s">
        <v>2515</v>
      </c>
      <c r="G381" s="21">
        <v>843</v>
      </c>
      <c r="H381" s="21" t="s">
        <v>2444</v>
      </c>
      <c r="I381" s="21">
        <v>10</v>
      </c>
      <c r="J381" s="21">
        <v>8430</v>
      </c>
      <c r="K381" s="21">
        <v>0</v>
      </c>
      <c r="L381" s="21">
        <v>8430</v>
      </c>
      <c r="M381" s="25">
        <v>43328</v>
      </c>
      <c r="N381">
        <f>MONTH(Table_36[[#This Row],[Дата заказа]])</f>
        <v>8</v>
      </c>
      <c r="O381">
        <f>WEEKDAY(Table_36[[#This Row],[Дата заказа]])</f>
        <v>5</v>
      </c>
      <c r="P381">
        <f>DAY(Table_36[[#This Row],[Дата заказа]])</f>
        <v>16</v>
      </c>
      <c r="Q381">
        <f>YEAR(Table_36[[#This Row],[Дата заказа]])</f>
        <v>2018</v>
      </c>
      <c r="R381">
        <f>_xlfn.ISOWEEKNUM(Table_36[[#This Row],[Дата заказа]])</f>
        <v>33</v>
      </c>
    </row>
    <row r="382" spans="3:18" ht="15.75" customHeight="1" x14ac:dyDescent="0.2">
      <c r="C382" s="26">
        <v>43</v>
      </c>
      <c r="D382" s="21" t="s">
        <v>2492</v>
      </c>
      <c r="E382" s="21" t="s">
        <v>2446</v>
      </c>
      <c r="F382" s="21" t="s">
        <v>2493</v>
      </c>
      <c r="G382" s="21">
        <v>759</v>
      </c>
      <c r="H382" s="21" t="s">
        <v>2444</v>
      </c>
      <c r="I382" s="21">
        <v>10</v>
      </c>
      <c r="J382" s="21">
        <v>7590</v>
      </c>
      <c r="K382" s="21">
        <v>0</v>
      </c>
      <c r="L382" s="21">
        <v>7590</v>
      </c>
      <c r="M382" s="25">
        <v>43565</v>
      </c>
      <c r="N382">
        <f>MONTH(Table_36[[#This Row],[Дата заказа]])</f>
        <v>4</v>
      </c>
      <c r="O382">
        <f>WEEKDAY(Table_36[[#This Row],[Дата заказа]])</f>
        <v>4</v>
      </c>
      <c r="P382">
        <f>DAY(Table_36[[#This Row],[Дата заказа]])</f>
        <v>10</v>
      </c>
      <c r="Q382">
        <f>YEAR(Table_36[[#This Row],[Дата заказа]])</f>
        <v>2019</v>
      </c>
      <c r="R382">
        <f>_xlfn.ISOWEEKNUM(Table_36[[#This Row],[Дата заказа]])</f>
        <v>15</v>
      </c>
    </row>
    <row r="383" spans="3:18" ht="15.75" customHeight="1" x14ac:dyDescent="0.2">
      <c r="C383" s="26">
        <v>52</v>
      </c>
      <c r="D383" s="21" t="s">
        <v>2483</v>
      </c>
      <c r="E383" s="21" t="s">
        <v>2446</v>
      </c>
      <c r="F383" s="21" t="s">
        <v>2484</v>
      </c>
      <c r="G383" s="21">
        <v>1182</v>
      </c>
      <c r="H383" s="21" t="s">
        <v>2440</v>
      </c>
      <c r="I383" s="21">
        <v>17</v>
      </c>
      <c r="J383" s="21">
        <v>20094</v>
      </c>
      <c r="K383" s="21">
        <v>0.03</v>
      </c>
      <c r="L383" s="21">
        <v>19491.18</v>
      </c>
      <c r="M383" s="25">
        <v>44029</v>
      </c>
      <c r="N383">
        <f>MONTH(Table_36[[#This Row],[Дата заказа]])</f>
        <v>7</v>
      </c>
      <c r="O383">
        <f>WEEKDAY(Table_36[[#This Row],[Дата заказа]])</f>
        <v>6</v>
      </c>
      <c r="P383">
        <f>DAY(Table_36[[#This Row],[Дата заказа]])</f>
        <v>17</v>
      </c>
      <c r="Q383">
        <f>YEAR(Table_36[[#This Row],[Дата заказа]])</f>
        <v>2020</v>
      </c>
      <c r="R383">
        <f>_xlfn.ISOWEEKNUM(Table_36[[#This Row],[Дата заказа]])</f>
        <v>29</v>
      </c>
    </row>
    <row r="384" spans="3:18" ht="15.75" customHeight="1" x14ac:dyDescent="0.2">
      <c r="C384" s="26">
        <v>44</v>
      </c>
      <c r="D384" s="21" t="s">
        <v>2453</v>
      </c>
      <c r="E384" s="21" t="s">
        <v>2454</v>
      </c>
      <c r="F384" s="21" t="s">
        <v>2455</v>
      </c>
      <c r="G384" s="21">
        <v>1386</v>
      </c>
      <c r="H384" s="21" t="s">
        <v>2440</v>
      </c>
      <c r="I384" s="21">
        <v>20</v>
      </c>
      <c r="J384" s="21">
        <v>27720</v>
      </c>
      <c r="K384" s="21">
        <v>0.03</v>
      </c>
      <c r="L384" s="21">
        <v>26888.400000000001</v>
      </c>
      <c r="M384" s="25">
        <v>43687</v>
      </c>
      <c r="N384">
        <f>MONTH(Table_36[[#This Row],[Дата заказа]])</f>
        <v>8</v>
      </c>
      <c r="O384">
        <f>WEEKDAY(Table_36[[#This Row],[Дата заказа]])</f>
        <v>7</v>
      </c>
      <c r="P384">
        <f>DAY(Table_36[[#This Row],[Дата заказа]])</f>
        <v>10</v>
      </c>
      <c r="Q384">
        <f>YEAR(Table_36[[#This Row],[Дата заказа]])</f>
        <v>2019</v>
      </c>
      <c r="R384">
        <f>_xlfn.ISOWEEKNUM(Table_36[[#This Row],[Дата заказа]])</f>
        <v>32</v>
      </c>
    </row>
    <row r="385" spans="3:18" ht="15.75" customHeight="1" x14ac:dyDescent="0.2">
      <c r="C385" s="26">
        <v>11</v>
      </c>
      <c r="D385" s="21" t="s">
        <v>2492</v>
      </c>
      <c r="E385" s="21" t="s">
        <v>2446</v>
      </c>
      <c r="F385" s="21" t="s">
        <v>2495</v>
      </c>
      <c r="G385" s="21">
        <v>3197</v>
      </c>
      <c r="H385" s="21" t="s">
        <v>2444</v>
      </c>
      <c r="I385" s="21">
        <v>10</v>
      </c>
      <c r="J385" s="21">
        <v>31970</v>
      </c>
      <c r="K385" s="21">
        <v>0</v>
      </c>
      <c r="L385" s="21">
        <v>31970</v>
      </c>
      <c r="M385" s="25">
        <v>42921</v>
      </c>
      <c r="N385">
        <f>MONTH(Table_36[[#This Row],[Дата заказа]])</f>
        <v>7</v>
      </c>
      <c r="O385">
        <f>WEEKDAY(Table_36[[#This Row],[Дата заказа]])</f>
        <v>4</v>
      </c>
      <c r="P385">
        <f>DAY(Table_36[[#This Row],[Дата заказа]])</f>
        <v>5</v>
      </c>
      <c r="Q385">
        <f>YEAR(Table_36[[#This Row],[Дата заказа]])</f>
        <v>2017</v>
      </c>
      <c r="R385">
        <f>_xlfn.ISOWEEKNUM(Table_36[[#This Row],[Дата заказа]])</f>
        <v>27</v>
      </c>
    </row>
    <row r="386" spans="3:18" ht="15.75" customHeight="1" x14ac:dyDescent="0.2">
      <c r="C386" s="26">
        <v>51</v>
      </c>
      <c r="D386" s="21" t="s">
        <v>2449</v>
      </c>
      <c r="E386" s="21" t="s">
        <v>2448</v>
      </c>
      <c r="F386" s="21" t="s">
        <v>2450</v>
      </c>
      <c r="G386" s="21">
        <v>2211</v>
      </c>
      <c r="H386" s="21" t="s">
        <v>2444</v>
      </c>
      <c r="I386" s="21">
        <v>25</v>
      </c>
      <c r="J386" s="21">
        <v>55275</v>
      </c>
      <c r="K386" s="21">
        <v>0.09</v>
      </c>
      <c r="L386" s="21">
        <v>50300.25</v>
      </c>
      <c r="M386" s="25">
        <v>44129</v>
      </c>
      <c r="N386">
        <f>MONTH(Table_36[[#This Row],[Дата заказа]])</f>
        <v>10</v>
      </c>
      <c r="O386">
        <f>WEEKDAY(Table_36[[#This Row],[Дата заказа]])</f>
        <v>1</v>
      </c>
      <c r="P386">
        <f>DAY(Table_36[[#This Row],[Дата заказа]])</f>
        <v>25</v>
      </c>
      <c r="Q386">
        <f>YEAR(Table_36[[#This Row],[Дата заказа]])</f>
        <v>2020</v>
      </c>
      <c r="R386">
        <f>_xlfn.ISOWEEKNUM(Table_36[[#This Row],[Дата заказа]])</f>
        <v>43</v>
      </c>
    </row>
    <row r="387" spans="3:18" ht="15.75" customHeight="1" x14ac:dyDescent="0.2">
      <c r="C387" s="26">
        <v>49</v>
      </c>
      <c r="D387" s="21" t="s">
        <v>2441</v>
      </c>
      <c r="E387" s="21" t="s">
        <v>2442</v>
      </c>
      <c r="F387" s="21" t="s">
        <v>2443</v>
      </c>
      <c r="G387" s="21">
        <v>617</v>
      </c>
      <c r="H387" s="21" t="s">
        <v>2444</v>
      </c>
      <c r="I387" s="21">
        <v>25</v>
      </c>
      <c r="J387" s="21">
        <v>15425</v>
      </c>
      <c r="K387" s="21">
        <v>0</v>
      </c>
      <c r="L387" s="21">
        <v>15425</v>
      </c>
      <c r="M387" s="25">
        <v>43911</v>
      </c>
      <c r="N387">
        <f>MONTH(Table_36[[#This Row],[Дата заказа]])</f>
        <v>3</v>
      </c>
      <c r="O387">
        <f>WEEKDAY(Table_36[[#This Row],[Дата заказа]])</f>
        <v>7</v>
      </c>
      <c r="P387">
        <f>DAY(Table_36[[#This Row],[Дата заказа]])</f>
        <v>21</v>
      </c>
      <c r="Q387">
        <f>YEAR(Table_36[[#This Row],[Дата заказа]])</f>
        <v>2020</v>
      </c>
      <c r="R387">
        <f>_xlfn.ISOWEEKNUM(Table_36[[#This Row],[Дата заказа]])</f>
        <v>12</v>
      </c>
    </row>
    <row r="388" spans="3:18" ht="15.75" customHeight="1" x14ac:dyDescent="0.2">
      <c r="C388" s="26">
        <v>49</v>
      </c>
      <c r="D388" s="21" t="s">
        <v>2441</v>
      </c>
      <c r="E388" s="21" t="s">
        <v>2442</v>
      </c>
      <c r="F388" s="21" t="s">
        <v>2443</v>
      </c>
      <c r="G388" s="21">
        <v>617</v>
      </c>
      <c r="H388" s="21" t="s">
        <v>2444</v>
      </c>
      <c r="I388" s="21">
        <v>25</v>
      </c>
      <c r="J388" s="21">
        <v>15425</v>
      </c>
      <c r="K388" s="21">
        <v>0</v>
      </c>
      <c r="L388" s="21">
        <v>15425</v>
      </c>
      <c r="M388" s="25">
        <v>44004</v>
      </c>
      <c r="N388">
        <f>MONTH(Table_36[[#This Row],[Дата заказа]])</f>
        <v>6</v>
      </c>
      <c r="O388">
        <f>WEEKDAY(Table_36[[#This Row],[Дата заказа]])</f>
        <v>2</v>
      </c>
      <c r="P388">
        <f>DAY(Table_36[[#This Row],[Дата заказа]])</f>
        <v>22</v>
      </c>
      <c r="Q388">
        <f>YEAR(Table_36[[#This Row],[Дата заказа]])</f>
        <v>2020</v>
      </c>
      <c r="R388">
        <f>_xlfn.ISOWEEKNUM(Table_36[[#This Row],[Дата заказа]])</f>
        <v>26</v>
      </c>
    </row>
    <row r="389" spans="3:18" ht="15.75" customHeight="1" x14ac:dyDescent="0.2">
      <c r="C389" s="26">
        <v>15</v>
      </c>
      <c r="D389" s="21" t="s">
        <v>2512</v>
      </c>
      <c r="E389" s="21" t="s">
        <v>2462</v>
      </c>
      <c r="F389" s="21" t="s">
        <v>2513</v>
      </c>
      <c r="G389" s="21">
        <v>1994</v>
      </c>
      <c r="H389" s="21" t="s">
        <v>2444</v>
      </c>
      <c r="I389" s="21">
        <v>17</v>
      </c>
      <c r="J389" s="21">
        <v>33898</v>
      </c>
      <c r="K389" s="21">
        <v>0.06</v>
      </c>
      <c r="L389" s="21">
        <v>31864.12</v>
      </c>
      <c r="M389" s="25">
        <v>44100</v>
      </c>
      <c r="N389">
        <f>MONTH(Table_36[[#This Row],[Дата заказа]])</f>
        <v>9</v>
      </c>
      <c r="O389">
        <f>WEEKDAY(Table_36[[#This Row],[Дата заказа]])</f>
        <v>7</v>
      </c>
      <c r="P389">
        <f>DAY(Table_36[[#This Row],[Дата заказа]])</f>
        <v>26</v>
      </c>
      <c r="Q389">
        <f>YEAR(Table_36[[#This Row],[Дата заказа]])</f>
        <v>2020</v>
      </c>
      <c r="R389">
        <f>_xlfn.ISOWEEKNUM(Table_36[[#This Row],[Дата заказа]])</f>
        <v>39</v>
      </c>
    </row>
    <row r="390" spans="3:18" ht="15.75" customHeight="1" x14ac:dyDescent="0.2">
      <c r="C390" s="26">
        <v>16</v>
      </c>
      <c r="D390" s="21" t="s">
        <v>2504</v>
      </c>
      <c r="E390" s="21" t="s">
        <v>2505</v>
      </c>
      <c r="F390" s="21" t="s">
        <v>2506</v>
      </c>
      <c r="G390" s="21">
        <v>843</v>
      </c>
      <c r="H390" s="21" t="s">
        <v>2444</v>
      </c>
      <c r="I390" s="21">
        <v>5</v>
      </c>
      <c r="J390" s="21">
        <v>4215</v>
      </c>
      <c r="K390" s="21">
        <v>0</v>
      </c>
      <c r="L390" s="21">
        <v>4215</v>
      </c>
      <c r="M390" s="25">
        <v>42647</v>
      </c>
      <c r="N390">
        <f>MONTH(Table_36[[#This Row],[Дата заказа]])</f>
        <v>10</v>
      </c>
      <c r="O390">
        <f>WEEKDAY(Table_36[[#This Row],[Дата заказа]])</f>
        <v>3</v>
      </c>
      <c r="P390">
        <f>DAY(Table_36[[#This Row],[Дата заказа]])</f>
        <v>4</v>
      </c>
      <c r="Q390">
        <f>YEAR(Table_36[[#This Row],[Дата заказа]])</f>
        <v>2016</v>
      </c>
      <c r="R390">
        <f>_xlfn.ISOWEEKNUM(Table_36[[#This Row],[Дата заказа]])</f>
        <v>40</v>
      </c>
    </row>
    <row r="391" spans="3:18" ht="15.75" customHeight="1" x14ac:dyDescent="0.2">
      <c r="C391" s="26">
        <v>48</v>
      </c>
      <c r="D391" s="21" t="s">
        <v>2471</v>
      </c>
      <c r="E391" s="21" t="s">
        <v>2438</v>
      </c>
      <c r="F391" s="21" t="s">
        <v>2472</v>
      </c>
      <c r="G391" s="21">
        <v>2199</v>
      </c>
      <c r="H391" s="21" t="s">
        <v>2440</v>
      </c>
      <c r="I391" s="21">
        <v>55</v>
      </c>
      <c r="J391" s="21">
        <v>120945</v>
      </c>
      <c r="K391" s="21">
        <v>0.15</v>
      </c>
      <c r="L391" s="21">
        <v>102803.25</v>
      </c>
      <c r="M391" s="25">
        <v>43342</v>
      </c>
      <c r="N391">
        <f>MONTH(Table_36[[#This Row],[Дата заказа]])</f>
        <v>8</v>
      </c>
      <c r="O391">
        <f>WEEKDAY(Table_36[[#This Row],[Дата заказа]])</f>
        <v>5</v>
      </c>
      <c r="P391">
        <f>DAY(Table_36[[#This Row],[Дата заказа]])</f>
        <v>30</v>
      </c>
      <c r="Q391">
        <f>YEAR(Table_36[[#This Row],[Дата заказа]])</f>
        <v>2018</v>
      </c>
      <c r="R391">
        <f>_xlfn.ISOWEEKNUM(Table_36[[#This Row],[Дата заказа]])</f>
        <v>35</v>
      </c>
    </row>
    <row r="392" spans="3:18" ht="15.75" customHeight="1" x14ac:dyDescent="0.2">
      <c r="C392" s="26">
        <v>26</v>
      </c>
      <c r="D392" s="21" t="s">
        <v>2464</v>
      </c>
      <c r="E392" s="21" t="s">
        <v>2442</v>
      </c>
      <c r="F392" s="21" t="s">
        <v>2443</v>
      </c>
      <c r="G392" s="21">
        <v>2197</v>
      </c>
      <c r="H392" s="21" t="s">
        <v>2440</v>
      </c>
      <c r="I392" s="21">
        <v>40</v>
      </c>
      <c r="J392" s="21">
        <v>87880</v>
      </c>
      <c r="K392" s="21">
        <v>0.12</v>
      </c>
      <c r="L392" s="21">
        <v>77334.399999999994</v>
      </c>
      <c r="M392" s="25">
        <v>42810</v>
      </c>
      <c r="N392">
        <f>MONTH(Table_36[[#This Row],[Дата заказа]])</f>
        <v>3</v>
      </c>
      <c r="O392">
        <f>WEEKDAY(Table_36[[#This Row],[Дата заказа]])</f>
        <v>5</v>
      </c>
      <c r="P392">
        <f>DAY(Table_36[[#This Row],[Дата заказа]])</f>
        <v>16</v>
      </c>
      <c r="Q392">
        <f>YEAR(Table_36[[#This Row],[Дата заказа]])</f>
        <v>2017</v>
      </c>
      <c r="R392">
        <f>_xlfn.ISOWEEKNUM(Table_36[[#This Row],[Дата заказа]])</f>
        <v>11</v>
      </c>
    </row>
    <row r="393" spans="3:18" ht="15.75" customHeight="1" x14ac:dyDescent="0.2">
      <c r="C393" s="26">
        <v>3</v>
      </c>
      <c r="D393" s="21" t="s">
        <v>2445</v>
      </c>
      <c r="E393" s="21" t="s">
        <v>2446</v>
      </c>
      <c r="F393" s="21" t="s">
        <v>2446</v>
      </c>
      <c r="G393" s="21">
        <v>807</v>
      </c>
      <c r="H393" s="21" t="s">
        <v>2440</v>
      </c>
      <c r="I393" s="21">
        <v>18</v>
      </c>
      <c r="J393" s="21">
        <v>14526</v>
      </c>
      <c r="K393" s="21">
        <v>0</v>
      </c>
      <c r="L393" s="21">
        <v>14526</v>
      </c>
      <c r="M393" s="25">
        <v>42317</v>
      </c>
      <c r="N393">
        <f>MONTH(Table_36[[#This Row],[Дата заказа]])</f>
        <v>11</v>
      </c>
      <c r="O393">
        <f>WEEKDAY(Table_36[[#This Row],[Дата заказа]])</f>
        <v>2</v>
      </c>
      <c r="P393">
        <f>DAY(Table_36[[#This Row],[Дата заказа]])</f>
        <v>9</v>
      </c>
      <c r="Q393">
        <f>YEAR(Table_36[[#This Row],[Дата заказа]])</f>
        <v>2015</v>
      </c>
      <c r="R393">
        <f>_xlfn.ISOWEEKNUM(Table_36[[#This Row],[Дата заказа]])</f>
        <v>46</v>
      </c>
    </row>
    <row r="394" spans="3:18" ht="15.75" customHeight="1" x14ac:dyDescent="0.2">
      <c r="C394" s="26">
        <v>17</v>
      </c>
      <c r="D394" s="21" t="s">
        <v>2465</v>
      </c>
      <c r="E394" s="21" t="s">
        <v>2446</v>
      </c>
      <c r="F394" s="21" t="s">
        <v>2466</v>
      </c>
      <c r="G394" s="21">
        <v>967</v>
      </c>
      <c r="H394" s="21" t="s">
        <v>2444</v>
      </c>
      <c r="I394" s="21">
        <v>12</v>
      </c>
      <c r="J394" s="21">
        <v>11604</v>
      </c>
      <c r="K394" s="21">
        <v>0</v>
      </c>
      <c r="L394" s="21">
        <v>11604</v>
      </c>
      <c r="M394" s="25">
        <v>44157</v>
      </c>
      <c r="N394">
        <f>MONTH(Table_36[[#This Row],[Дата заказа]])</f>
        <v>11</v>
      </c>
      <c r="O394">
        <f>WEEKDAY(Table_36[[#This Row],[Дата заказа]])</f>
        <v>1</v>
      </c>
      <c r="P394">
        <f>DAY(Table_36[[#This Row],[Дата заказа]])</f>
        <v>22</v>
      </c>
      <c r="Q394">
        <f>YEAR(Table_36[[#This Row],[Дата заказа]])</f>
        <v>2020</v>
      </c>
      <c r="R394">
        <f>_xlfn.ISOWEEKNUM(Table_36[[#This Row],[Дата заказа]])</f>
        <v>47</v>
      </c>
    </row>
    <row r="395" spans="3:18" ht="15.75" customHeight="1" x14ac:dyDescent="0.2">
      <c r="C395" s="26">
        <v>17</v>
      </c>
      <c r="D395" s="21" t="s">
        <v>2465</v>
      </c>
      <c r="E395" s="21" t="s">
        <v>2446</v>
      </c>
      <c r="F395" s="21" t="s">
        <v>2466</v>
      </c>
      <c r="G395" s="21">
        <v>967</v>
      </c>
      <c r="H395" s="21" t="s">
        <v>2444</v>
      </c>
      <c r="I395" s="21">
        <v>12</v>
      </c>
      <c r="J395" s="21">
        <v>11604</v>
      </c>
      <c r="K395" s="21">
        <v>0</v>
      </c>
      <c r="L395" s="21">
        <v>11604</v>
      </c>
      <c r="M395" s="25">
        <v>43259</v>
      </c>
      <c r="N395">
        <f>MONTH(Table_36[[#This Row],[Дата заказа]])</f>
        <v>6</v>
      </c>
      <c r="O395">
        <f>WEEKDAY(Table_36[[#This Row],[Дата заказа]])</f>
        <v>6</v>
      </c>
      <c r="P395">
        <f>DAY(Table_36[[#This Row],[Дата заказа]])</f>
        <v>8</v>
      </c>
      <c r="Q395">
        <f>YEAR(Table_36[[#This Row],[Дата заказа]])</f>
        <v>2018</v>
      </c>
      <c r="R395">
        <f>_xlfn.ISOWEEKNUM(Table_36[[#This Row],[Дата заказа]])</f>
        <v>23</v>
      </c>
    </row>
    <row r="396" spans="3:18" ht="15.75" customHeight="1" x14ac:dyDescent="0.2">
      <c r="C396" s="26">
        <v>40</v>
      </c>
      <c r="D396" s="21" t="s">
        <v>2477</v>
      </c>
      <c r="E396" s="21" t="s">
        <v>2454</v>
      </c>
      <c r="F396" s="21" t="s">
        <v>2478</v>
      </c>
      <c r="G396" s="21">
        <v>847</v>
      </c>
      <c r="H396" s="21" t="s">
        <v>2440</v>
      </c>
      <c r="I396" s="21">
        <v>15</v>
      </c>
      <c r="J396" s="21">
        <v>12705</v>
      </c>
      <c r="K396" s="21">
        <v>0</v>
      </c>
      <c r="L396" s="21">
        <v>12705</v>
      </c>
      <c r="M396" s="25">
        <v>43084</v>
      </c>
      <c r="N396">
        <f>MONTH(Table_36[[#This Row],[Дата заказа]])</f>
        <v>12</v>
      </c>
      <c r="O396">
        <f>WEEKDAY(Table_36[[#This Row],[Дата заказа]])</f>
        <v>6</v>
      </c>
      <c r="P396">
        <f>DAY(Table_36[[#This Row],[Дата заказа]])</f>
        <v>15</v>
      </c>
      <c r="Q396">
        <f>YEAR(Table_36[[#This Row],[Дата заказа]])</f>
        <v>2017</v>
      </c>
      <c r="R396">
        <f>_xlfn.ISOWEEKNUM(Table_36[[#This Row],[Дата заказа]])</f>
        <v>50</v>
      </c>
    </row>
    <row r="397" spans="3:18" ht="15.75" customHeight="1" x14ac:dyDescent="0.2">
      <c r="C397" s="26">
        <v>1</v>
      </c>
      <c r="D397" s="21" t="s">
        <v>2459</v>
      </c>
      <c r="E397" s="21" t="s">
        <v>2438</v>
      </c>
      <c r="F397" s="21" t="s">
        <v>2460</v>
      </c>
      <c r="G397" s="21">
        <v>876</v>
      </c>
      <c r="H397" s="21" t="s">
        <v>2444</v>
      </c>
      <c r="I397" s="21">
        <v>20</v>
      </c>
      <c r="J397" s="21">
        <v>17520</v>
      </c>
      <c r="K397" s="21">
        <v>0.03</v>
      </c>
      <c r="L397" s="21">
        <v>16994.400000000001</v>
      </c>
      <c r="M397" s="25">
        <v>44167</v>
      </c>
      <c r="N397">
        <f>MONTH(Table_36[[#This Row],[Дата заказа]])</f>
        <v>12</v>
      </c>
      <c r="O397">
        <f>WEEKDAY(Table_36[[#This Row],[Дата заказа]])</f>
        <v>4</v>
      </c>
      <c r="P397">
        <f>DAY(Table_36[[#This Row],[Дата заказа]])</f>
        <v>2</v>
      </c>
      <c r="Q397">
        <f>YEAR(Table_36[[#This Row],[Дата заказа]])</f>
        <v>2020</v>
      </c>
      <c r="R397">
        <f>_xlfn.ISOWEEKNUM(Table_36[[#This Row],[Дата заказа]])</f>
        <v>49</v>
      </c>
    </row>
    <row r="398" spans="3:18" ht="15.75" customHeight="1" x14ac:dyDescent="0.2">
      <c r="C398" s="26">
        <v>47</v>
      </c>
      <c r="D398" s="21" t="s">
        <v>2461</v>
      </c>
      <c r="E398" s="21" t="s">
        <v>2462</v>
      </c>
      <c r="F398" s="21" t="s">
        <v>2463</v>
      </c>
      <c r="G398" s="21">
        <v>1994</v>
      </c>
      <c r="H398" s="21" t="s">
        <v>2444</v>
      </c>
      <c r="I398" s="21">
        <v>12</v>
      </c>
      <c r="J398" s="21">
        <v>23928</v>
      </c>
      <c r="K398" s="21">
        <v>0.03</v>
      </c>
      <c r="L398" s="21">
        <v>23210.16</v>
      </c>
      <c r="M398" s="25">
        <v>42346</v>
      </c>
      <c r="N398">
        <f>MONTH(Table_36[[#This Row],[Дата заказа]])</f>
        <v>12</v>
      </c>
      <c r="O398">
        <f>WEEKDAY(Table_36[[#This Row],[Дата заказа]])</f>
        <v>3</v>
      </c>
      <c r="P398">
        <f>DAY(Table_36[[#This Row],[Дата заказа]])</f>
        <v>8</v>
      </c>
      <c r="Q398">
        <f>YEAR(Table_36[[#This Row],[Дата заказа]])</f>
        <v>2015</v>
      </c>
      <c r="R398">
        <f>_xlfn.ISOWEEKNUM(Table_36[[#This Row],[Дата заказа]])</f>
        <v>50</v>
      </c>
    </row>
    <row r="399" spans="3:18" ht="15.75" customHeight="1" x14ac:dyDescent="0.2">
      <c r="C399" s="26">
        <v>17</v>
      </c>
      <c r="D399" s="21" t="s">
        <v>2465</v>
      </c>
      <c r="E399" s="21" t="s">
        <v>2446</v>
      </c>
      <c r="F399" s="21" t="s">
        <v>2466</v>
      </c>
      <c r="G399" s="21">
        <v>967</v>
      </c>
      <c r="H399" s="21" t="s">
        <v>2444</v>
      </c>
      <c r="I399" s="21">
        <v>12</v>
      </c>
      <c r="J399" s="21">
        <v>11604</v>
      </c>
      <c r="K399" s="21">
        <v>0</v>
      </c>
      <c r="L399" s="21">
        <v>11604</v>
      </c>
      <c r="M399" s="25">
        <v>42667</v>
      </c>
      <c r="N399">
        <f>MONTH(Table_36[[#This Row],[Дата заказа]])</f>
        <v>10</v>
      </c>
      <c r="O399">
        <f>WEEKDAY(Table_36[[#This Row],[Дата заказа]])</f>
        <v>2</v>
      </c>
      <c r="P399">
        <f>DAY(Table_36[[#This Row],[Дата заказа]])</f>
        <v>24</v>
      </c>
      <c r="Q399">
        <f>YEAR(Table_36[[#This Row],[Дата заказа]])</f>
        <v>2016</v>
      </c>
      <c r="R399">
        <f>_xlfn.ISOWEEKNUM(Table_36[[#This Row],[Дата заказа]])</f>
        <v>43</v>
      </c>
    </row>
    <row r="400" spans="3:18" ht="15.75" customHeight="1" x14ac:dyDescent="0.2">
      <c r="C400" s="26">
        <v>14</v>
      </c>
      <c r="D400" s="21" t="s">
        <v>2475</v>
      </c>
      <c r="E400" s="21" t="s">
        <v>2476</v>
      </c>
      <c r="F400" s="21" t="s">
        <v>2476</v>
      </c>
      <c r="G400" s="21">
        <v>770</v>
      </c>
      <c r="H400" s="21" t="s">
        <v>2440</v>
      </c>
      <c r="I400" s="21">
        <v>20</v>
      </c>
      <c r="J400" s="21">
        <v>15400</v>
      </c>
      <c r="K400" s="21">
        <v>0.03</v>
      </c>
      <c r="L400" s="21">
        <v>14938</v>
      </c>
      <c r="M400" s="25">
        <v>43954</v>
      </c>
      <c r="N400">
        <f>MONTH(Table_36[[#This Row],[Дата заказа]])</f>
        <v>5</v>
      </c>
      <c r="O400">
        <f>WEEKDAY(Table_36[[#This Row],[Дата заказа]])</f>
        <v>1</v>
      </c>
      <c r="P400">
        <f>DAY(Table_36[[#This Row],[Дата заказа]])</f>
        <v>3</v>
      </c>
      <c r="Q400">
        <f>YEAR(Table_36[[#This Row],[Дата заказа]])</f>
        <v>2020</v>
      </c>
      <c r="R400">
        <f>_xlfn.ISOWEEKNUM(Table_36[[#This Row],[Дата заказа]])</f>
        <v>18</v>
      </c>
    </row>
    <row r="401" spans="3:18" ht="15.75" customHeight="1" x14ac:dyDescent="0.2">
      <c r="C401" s="26">
        <v>51</v>
      </c>
      <c r="D401" s="21" t="s">
        <v>2449</v>
      </c>
      <c r="E401" s="21" t="s">
        <v>2448</v>
      </c>
      <c r="F401" s="21" t="s">
        <v>2450</v>
      </c>
      <c r="G401" s="21">
        <v>2211</v>
      </c>
      <c r="H401" s="21" t="s">
        <v>2444</v>
      </c>
      <c r="I401" s="21">
        <v>25</v>
      </c>
      <c r="J401" s="21">
        <v>55275</v>
      </c>
      <c r="K401" s="21">
        <v>0.09</v>
      </c>
      <c r="L401" s="21">
        <v>50300.25</v>
      </c>
      <c r="M401" s="25">
        <v>42513</v>
      </c>
      <c r="N401">
        <f>MONTH(Table_36[[#This Row],[Дата заказа]])</f>
        <v>5</v>
      </c>
      <c r="O401">
        <f>WEEKDAY(Table_36[[#This Row],[Дата заказа]])</f>
        <v>2</v>
      </c>
      <c r="P401">
        <f>DAY(Table_36[[#This Row],[Дата заказа]])</f>
        <v>23</v>
      </c>
      <c r="Q401">
        <f>YEAR(Table_36[[#This Row],[Дата заказа]])</f>
        <v>2016</v>
      </c>
      <c r="R401">
        <f>_xlfn.ISOWEEKNUM(Table_36[[#This Row],[Дата заказа]])</f>
        <v>21</v>
      </c>
    </row>
    <row r="402" spans="3:18" ht="15.75" customHeight="1" x14ac:dyDescent="0.2">
      <c r="C402" s="26">
        <v>42</v>
      </c>
      <c r="D402" s="21" t="s">
        <v>2451</v>
      </c>
      <c r="E402" s="21" t="s">
        <v>2438</v>
      </c>
      <c r="F402" s="21" t="s">
        <v>2452</v>
      </c>
      <c r="G402" s="21">
        <v>800</v>
      </c>
      <c r="H402" s="21" t="s">
        <v>2440</v>
      </c>
      <c r="I402" s="21">
        <v>25</v>
      </c>
      <c r="J402" s="21">
        <v>20000</v>
      </c>
      <c r="K402" s="21">
        <v>0.03</v>
      </c>
      <c r="L402" s="21">
        <v>19400</v>
      </c>
      <c r="M402" s="25">
        <v>44145</v>
      </c>
      <c r="N402">
        <f>MONTH(Table_36[[#This Row],[Дата заказа]])</f>
        <v>11</v>
      </c>
      <c r="O402">
        <f>WEEKDAY(Table_36[[#This Row],[Дата заказа]])</f>
        <v>3</v>
      </c>
      <c r="P402">
        <f>DAY(Table_36[[#This Row],[Дата заказа]])</f>
        <v>10</v>
      </c>
      <c r="Q402">
        <f>YEAR(Table_36[[#This Row],[Дата заказа]])</f>
        <v>2020</v>
      </c>
      <c r="R402">
        <f>_xlfn.ISOWEEKNUM(Table_36[[#This Row],[Дата заказа]])</f>
        <v>46</v>
      </c>
    </row>
    <row r="403" spans="3:18" ht="15.75" customHeight="1" x14ac:dyDescent="0.2">
      <c r="C403" s="26">
        <v>40</v>
      </c>
      <c r="D403" s="21" t="s">
        <v>2477</v>
      </c>
      <c r="E403" s="21" t="s">
        <v>2454</v>
      </c>
      <c r="F403" s="21" t="s">
        <v>2478</v>
      </c>
      <c r="G403" s="21">
        <v>847</v>
      </c>
      <c r="H403" s="21" t="s">
        <v>2440</v>
      </c>
      <c r="I403" s="21">
        <v>15</v>
      </c>
      <c r="J403" s="21">
        <v>12705</v>
      </c>
      <c r="K403" s="21">
        <v>0</v>
      </c>
      <c r="L403" s="21">
        <v>12705</v>
      </c>
      <c r="M403" s="25">
        <v>44070</v>
      </c>
      <c r="N403">
        <f>MONTH(Table_36[[#This Row],[Дата заказа]])</f>
        <v>8</v>
      </c>
      <c r="O403">
        <f>WEEKDAY(Table_36[[#This Row],[Дата заказа]])</f>
        <v>5</v>
      </c>
      <c r="P403">
        <f>DAY(Table_36[[#This Row],[Дата заказа]])</f>
        <v>27</v>
      </c>
      <c r="Q403">
        <f>YEAR(Table_36[[#This Row],[Дата заказа]])</f>
        <v>2020</v>
      </c>
      <c r="R403">
        <f>_xlfn.ISOWEEKNUM(Table_36[[#This Row],[Дата заказа]])</f>
        <v>35</v>
      </c>
    </row>
    <row r="404" spans="3:18" ht="15.75" customHeight="1" x14ac:dyDescent="0.2">
      <c r="C404" s="26">
        <v>34</v>
      </c>
      <c r="D404" s="21" t="s">
        <v>2471</v>
      </c>
      <c r="E404" s="21" t="s">
        <v>2438</v>
      </c>
      <c r="F404" s="21" t="s">
        <v>2472</v>
      </c>
      <c r="G404" s="21">
        <v>2199</v>
      </c>
      <c r="H404" s="21" t="s">
        <v>2440</v>
      </c>
      <c r="I404" s="21">
        <v>60</v>
      </c>
      <c r="J404" s="21">
        <v>131940</v>
      </c>
      <c r="K404" s="21">
        <v>0.15</v>
      </c>
      <c r="L404" s="21">
        <v>112149</v>
      </c>
      <c r="M404" s="25">
        <v>44116</v>
      </c>
      <c r="N404">
        <f>MONTH(Table_36[[#This Row],[Дата заказа]])</f>
        <v>10</v>
      </c>
      <c r="O404">
        <f>WEEKDAY(Table_36[[#This Row],[Дата заказа]])</f>
        <v>2</v>
      </c>
      <c r="P404">
        <f>DAY(Table_36[[#This Row],[Дата заказа]])</f>
        <v>12</v>
      </c>
      <c r="Q404">
        <f>YEAR(Table_36[[#This Row],[Дата заказа]])</f>
        <v>2020</v>
      </c>
      <c r="R404">
        <f>_xlfn.ISOWEEKNUM(Table_36[[#This Row],[Дата заказа]])</f>
        <v>42</v>
      </c>
    </row>
    <row r="405" spans="3:18" ht="15.75" customHeight="1" x14ac:dyDescent="0.2">
      <c r="C405" s="26">
        <v>36</v>
      </c>
      <c r="D405" s="21" t="s">
        <v>2481</v>
      </c>
      <c r="E405" s="21" t="s">
        <v>2454</v>
      </c>
      <c r="F405" s="21" t="s">
        <v>2482</v>
      </c>
      <c r="G405" s="21">
        <v>912</v>
      </c>
      <c r="H405" s="21" t="s">
        <v>2440</v>
      </c>
      <c r="I405" s="21">
        <v>15</v>
      </c>
      <c r="J405" s="21">
        <v>13680</v>
      </c>
      <c r="K405" s="21">
        <v>0</v>
      </c>
      <c r="L405" s="21">
        <v>13680</v>
      </c>
      <c r="M405" s="25">
        <v>43609</v>
      </c>
      <c r="N405">
        <f>MONTH(Table_36[[#This Row],[Дата заказа]])</f>
        <v>5</v>
      </c>
      <c r="O405">
        <f>WEEKDAY(Table_36[[#This Row],[Дата заказа]])</f>
        <v>6</v>
      </c>
      <c r="P405">
        <f>DAY(Table_36[[#This Row],[Дата заказа]])</f>
        <v>24</v>
      </c>
      <c r="Q405">
        <f>YEAR(Table_36[[#This Row],[Дата заказа]])</f>
        <v>2019</v>
      </c>
      <c r="R405">
        <f>_xlfn.ISOWEEKNUM(Table_36[[#This Row],[Дата заказа]])</f>
        <v>21</v>
      </c>
    </row>
    <row r="406" spans="3:18" ht="15.75" customHeight="1" x14ac:dyDescent="0.2">
      <c r="C406" s="26">
        <v>19</v>
      </c>
      <c r="D406" s="21" t="s">
        <v>2488</v>
      </c>
      <c r="E406" s="21" t="s">
        <v>2454</v>
      </c>
      <c r="F406" s="21" t="s">
        <v>2489</v>
      </c>
      <c r="G406" s="21">
        <v>1879</v>
      </c>
      <c r="H406" s="21" t="s">
        <v>2440</v>
      </c>
      <c r="I406" s="21">
        <v>15</v>
      </c>
      <c r="J406" s="21">
        <v>28185</v>
      </c>
      <c r="K406" s="21">
        <v>0.03</v>
      </c>
      <c r="L406" s="21">
        <v>27339.45</v>
      </c>
      <c r="M406" s="25">
        <v>43019</v>
      </c>
      <c r="N406">
        <f>MONTH(Table_36[[#This Row],[Дата заказа]])</f>
        <v>10</v>
      </c>
      <c r="O406">
        <f>WEEKDAY(Table_36[[#This Row],[Дата заказа]])</f>
        <v>4</v>
      </c>
      <c r="P406">
        <f>DAY(Table_36[[#This Row],[Дата заказа]])</f>
        <v>11</v>
      </c>
      <c r="Q406">
        <f>YEAR(Table_36[[#This Row],[Дата заказа]])</f>
        <v>2017</v>
      </c>
      <c r="R406">
        <f>_xlfn.ISOWEEKNUM(Table_36[[#This Row],[Дата заказа]])</f>
        <v>41</v>
      </c>
    </row>
    <row r="407" spans="3:18" ht="15.75" customHeight="1" x14ac:dyDescent="0.2">
      <c r="C407" s="26">
        <v>47</v>
      </c>
      <c r="D407" s="21" t="s">
        <v>2461</v>
      </c>
      <c r="E407" s="21" t="s">
        <v>2462</v>
      </c>
      <c r="F407" s="21" t="s">
        <v>2463</v>
      </c>
      <c r="G407" s="21">
        <v>1994</v>
      </c>
      <c r="H407" s="21" t="s">
        <v>2444</v>
      </c>
      <c r="I407" s="21">
        <v>12</v>
      </c>
      <c r="J407" s="21">
        <v>23928</v>
      </c>
      <c r="K407" s="21">
        <v>0.03</v>
      </c>
      <c r="L407" s="21">
        <v>23210.16</v>
      </c>
      <c r="M407" s="25">
        <v>43396</v>
      </c>
      <c r="N407">
        <f>MONTH(Table_36[[#This Row],[Дата заказа]])</f>
        <v>10</v>
      </c>
      <c r="O407">
        <f>WEEKDAY(Table_36[[#This Row],[Дата заказа]])</f>
        <v>3</v>
      </c>
      <c r="P407">
        <f>DAY(Table_36[[#This Row],[Дата заказа]])</f>
        <v>23</v>
      </c>
      <c r="Q407">
        <f>YEAR(Table_36[[#This Row],[Дата заказа]])</f>
        <v>2018</v>
      </c>
      <c r="R407">
        <f>_xlfn.ISOWEEKNUM(Table_36[[#This Row],[Дата заказа]])</f>
        <v>43</v>
      </c>
    </row>
    <row r="408" spans="3:18" ht="15.75" customHeight="1" x14ac:dyDescent="0.2">
      <c r="C408" s="26">
        <v>43</v>
      </c>
      <c r="D408" s="21" t="s">
        <v>2492</v>
      </c>
      <c r="E408" s="21" t="s">
        <v>2446</v>
      </c>
      <c r="F408" s="21" t="s">
        <v>2493</v>
      </c>
      <c r="G408" s="21">
        <v>759</v>
      </c>
      <c r="H408" s="21" t="s">
        <v>2444</v>
      </c>
      <c r="I408" s="21">
        <v>10</v>
      </c>
      <c r="J408" s="21">
        <v>7590</v>
      </c>
      <c r="K408" s="21">
        <v>0</v>
      </c>
      <c r="L408" s="21">
        <v>7590</v>
      </c>
      <c r="M408" s="25">
        <v>42009</v>
      </c>
      <c r="N408">
        <f>MONTH(Table_36[[#This Row],[Дата заказа]])</f>
        <v>1</v>
      </c>
      <c r="O408">
        <f>WEEKDAY(Table_36[[#This Row],[Дата заказа]])</f>
        <v>2</v>
      </c>
      <c r="P408">
        <f>DAY(Table_36[[#This Row],[Дата заказа]])</f>
        <v>5</v>
      </c>
      <c r="Q408">
        <f>YEAR(Table_36[[#This Row],[Дата заказа]])</f>
        <v>2015</v>
      </c>
      <c r="R408">
        <f>_xlfn.ISOWEEKNUM(Table_36[[#This Row],[Дата заказа]])</f>
        <v>2</v>
      </c>
    </row>
    <row r="409" spans="3:18" ht="15.75" customHeight="1" x14ac:dyDescent="0.2">
      <c r="C409" s="26">
        <v>12</v>
      </c>
      <c r="D409" s="21" t="s">
        <v>2453</v>
      </c>
      <c r="E409" s="21" t="s">
        <v>2454</v>
      </c>
      <c r="F409" s="21" t="s">
        <v>2455</v>
      </c>
      <c r="G409" s="21">
        <v>1386</v>
      </c>
      <c r="H409" s="21" t="s">
        <v>2440</v>
      </c>
      <c r="I409" s="21">
        <v>20</v>
      </c>
      <c r="J409" s="21">
        <v>27720</v>
      </c>
      <c r="K409" s="21">
        <v>0.03</v>
      </c>
      <c r="L409" s="21">
        <v>26888.400000000001</v>
      </c>
      <c r="M409" s="25">
        <v>43587</v>
      </c>
      <c r="N409">
        <f>MONTH(Table_36[[#This Row],[Дата заказа]])</f>
        <v>5</v>
      </c>
      <c r="O409">
        <f>WEEKDAY(Table_36[[#This Row],[Дата заказа]])</f>
        <v>5</v>
      </c>
      <c r="P409">
        <f>DAY(Table_36[[#This Row],[Дата заказа]])</f>
        <v>2</v>
      </c>
      <c r="Q409">
        <f>YEAR(Table_36[[#This Row],[Дата заказа]])</f>
        <v>2019</v>
      </c>
      <c r="R409">
        <f>_xlfn.ISOWEEKNUM(Table_36[[#This Row],[Дата заказа]])</f>
        <v>18</v>
      </c>
    </row>
    <row r="410" spans="3:18" ht="15.75" customHeight="1" x14ac:dyDescent="0.2">
      <c r="C410" s="26">
        <v>20</v>
      </c>
      <c r="D410" s="21" t="s">
        <v>2467</v>
      </c>
      <c r="E410" s="21" t="s">
        <v>2457</v>
      </c>
      <c r="F410" s="21" t="s">
        <v>2468</v>
      </c>
      <c r="G410" s="21">
        <v>2198</v>
      </c>
      <c r="H410" s="21" t="s">
        <v>2444</v>
      </c>
      <c r="I410" s="21">
        <v>35</v>
      </c>
      <c r="J410" s="21">
        <v>76930</v>
      </c>
      <c r="K410" s="21">
        <v>0.12</v>
      </c>
      <c r="L410" s="21">
        <v>67698.399999999994</v>
      </c>
      <c r="M410" s="25">
        <v>43659</v>
      </c>
      <c r="N410">
        <f>MONTH(Table_36[[#This Row],[Дата заказа]])</f>
        <v>7</v>
      </c>
      <c r="O410">
        <f>WEEKDAY(Table_36[[#This Row],[Дата заказа]])</f>
        <v>7</v>
      </c>
      <c r="P410">
        <f>DAY(Table_36[[#This Row],[Дата заказа]])</f>
        <v>13</v>
      </c>
      <c r="Q410">
        <f>YEAR(Table_36[[#This Row],[Дата заказа]])</f>
        <v>2019</v>
      </c>
      <c r="R410">
        <f>_xlfn.ISOWEEKNUM(Table_36[[#This Row],[Дата заказа]])</f>
        <v>28</v>
      </c>
    </row>
    <row r="411" spans="3:18" ht="15.75" customHeight="1" x14ac:dyDescent="0.2">
      <c r="C411" s="26">
        <v>45</v>
      </c>
      <c r="D411" s="21" t="s">
        <v>2507</v>
      </c>
      <c r="E411" s="21" t="s">
        <v>2446</v>
      </c>
      <c r="F411" s="21" t="s">
        <v>2493</v>
      </c>
      <c r="G411" s="21">
        <v>759</v>
      </c>
      <c r="H411" s="21" t="s">
        <v>2444</v>
      </c>
      <c r="I411" s="21">
        <v>14</v>
      </c>
      <c r="J411" s="21">
        <v>10626</v>
      </c>
      <c r="K411" s="21">
        <v>0</v>
      </c>
      <c r="L411" s="21">
        <v>10626</v>
      </c>
      <c r="M411" s="25">
        <v>43669</v>
      </c>
      <c r="N411">
        <f>MONTH(Table_36[[#This Row],[Дата заказа]])</f>
        <v>7</v>
      </c>
      <c r="O411">
        <f>WEEKDAY(Table_36[[#This Row],[Дата заказа]])</f>
        <v>3</v>
      </c>
      <c r="P411">
        <f>DAY(Table_36[[#This Row],[Дата заказа]])</f>
        <v>23</v>
      </c>
      <c r="Q411">
        <f>YEAR(Table_36[[#This Row],[Дата заказа]])</f>
        <v>2019</v>
      </c>
      <c r="R411">
        <f>_xlfn.ISOWEEKNUM(Table_36[[#This Row],[Дата заказа]])</f>
        <v>30</v>
      </c>
    </row>
    <row r="412" spans="3:18" ht="15.75" customHeight="1" x14ac:dyDescent="0.2">
      <c r="C412" s="26">
        <v>42</v>
      </c>
      <c r="D412" s="21" t="s">
        <v>2451</v>
      </c>
      <c r="E412" s="21" t="s">
        <v>2438</v>
      </c>
      <c r="F412" s="21" t="s">
        <v>2452</v>
      </c>
      <c r="G412" s="21">
        <v>800</v>
      </c>
      <c r="H412" s="21" t="s">
        <v>2440</v>
      </c>
      <c r="I412" s="21">
        <v>25</v>
      </c>
      <c r="J412" s="21">
        <v>20000</v>
      </c>
      <c r="K412" s="21">
        <v>0.03</v>
      </c>
      <c r="L412" s="21">
        <v>19400</v>
      </c>
      <c r="M412" s="25">
        <v>42961</v>
      </c>
      <c r="N412">
        <f>MONTH(Table_36[[#This Row],[Дата заказа]])</f>
        <v>8</v>
      </c>
      <c r="O412">
        <f>WEEKDAY(Table_36[[#This Row],[Дата заказа]])</f>
        <v>2</v>
      </c>
      <c r="P412">
        <f>DAY(Table_36[[#This Row],[Дата заказа]])</f>
        <v>14</v>
      </c>
      <c r="Q412">
        <f>YEAR(Table_36[[#This Row],[Дата заказа]])</f>
        <v>2017</v>
      </c>
      <c r="R412">
        <f>_xlfn.ISOWEEKNUM(Table_36[[#This Row],[Дата заказа]])</f>
        <v>33</v>
      </c>
    </row>
    <row r="413" spans="3:18" ht="15.75" customHeight="1" x14ac:dyDescent="0.2">
      <c r="C413" s="26">
        <v>10</v>
      </c>
      <c r="D413" s="21" t="s">
        <v>2451</v>
      </c>
      <c r="E413" s="21" t="s">
        <v>2438</v>
      </c>
      <c r="F413" s="21" t="s">
        <v>2452</v>
      </c>
      <c r="G413" s="21">
        <v>800</v>
      </c>
      <c r="H413" s="21" t="s">
        <v>2440</v>
      </c>
      <c r="I413" s="21">
        <v>25</v>
      </c>
      <c r="J413" s="21">
        <v>20000</v>
      </c>
      <c r="K413" s="21">
        <v>0.03</v>
      </c>
      <c r="L413" s="21">
        <v>19400</v>
      </c>
      <c r="M413" s="25">
        <v>43934</v>
      </c>
      <c r="N413">
        <f>MONTH(Table_36[[#This Row],[Дата заказа]])</f>
        <v>4</v>
      </c>
      <c r="O413">
        <f>WEEKDAY(Table_36[[#This Row],[Дата заказа]])</f>
        <v>2</v>
      </c>
      <c r="P413">
        <f>DAY(Table_36[[#This Row],[Дата заказа]])</f>
        <v>13</v>
      </c>
      <c r="Q413">
        <f>YEAR(Table_36[[#This Row],[Дата заказа]])</f>
        <v>2020</v>
      </c>
      <c r="R413">
        <f>_xlfn.ISOWEEKNUM(Table_36[[#This Row],[Дата заказа]])</f>
        <v>16</v>
      </c>
    </row>
    <row r="414" spans="3:18" ht="15.75" customHeight="1" x14ac:dyDescent="0.2">
      <c r="C414" s="26">
        <v>41</v>
      </c>
      <c r="D414" s="21" t="s">
        <v>2447</v>
      </c>
      <c r="E414" s="21" t="s">
        <v>2448</v>
      </c>
      <c r="F414" s="21" t="s">
        <v>2448</v>
      </c>
      <c r="G414" s="21">
        <v>699</v>
      </c>
      <c r="H414" s="21" t="s">
        <v>2444</v>
      </c>
      <c r="I414" s="21">
        <v>10</v>
      </c>
      <c r="J414" s="21">
        <v>6990</v>
      </c>
      <c r="K414" s="21">
        <v>0</v>
      </c>
      <c r="L414" s="21">
        <v>6990</v>
      </c>
      <c r="M414" s="25">
        <v>42532</v>
      </c>
      <c r="N414">
        <f>MONTH(Table_36[[#This Row],[Дата заказа]])</f>
        <v>6</v>
      </c>
      <c r="O414">
        <f>WEEKDAY(Table_36[[#This Row],[Дата заказа]])</f>
        <v>7</v>
      </c>
      <c r="P414">
        <f>DAY(Table_36[[#This Row],[Дата заказа]])</f>
        <v>11</v>
      </c>
      <c r="Q414">
        <f>YEAR(Table_36[[#This Row],[Дата заказа]])</f>
        <v>2016</v>
      </c>
      <c r="R414">
        <f>_xlfn.ISOWEEKNUM(Table_36[[#This Row],[Дата заказа]])</f>
        <v>23</v>
      </c>
    </row>
    <row r="415" spans="3:18" ht="15.75" customHeight="1" x14ac:dyDescent="0.15"/>
    <row r="416" spans="3:18"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honeticPr fontId="7" type="noConversion"/>
  <pageMargins left="0.75" right="0.75" top="1" bottom="1"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topLeftCell="B27" zoomScale="125" workbookViewId="0">
      <selection activeCell="C45" sqref="C45"/>
    </sheetView>
  </sheetViews>
  <sheetFormatPr baseColWidth="10" defaultColWidth="12.6640625" defaultRowHeight="15" customHeight="1" x14ac:dyDescent="0.15"/>
  <cols>
    <col min="1" max="2" width="7.6640625" customWidth="1"/>
    <col min="3" max="3" width="11.6640625" customWidth="1"/>
    <col min="4" max="33" width="7.6640625" customWidth="1"/>
  </cols>
  <sheetData>
    <row r="1" spans="1:33" x14ac:dyDescent="0.2">
      <c r="B1" s="29">
        <v>1</v>
      </c>
      <c r="C1" s="29">
        <v>2</v>
      </c>
      <c r="D1" s="29">
        <v>3</v>
      </c>
      <c r="E1" s="29">
        <v>4</v>
      </c>
      <c r="F1" s="29">
        <v>5</v>
      </c>
      <c r="G1" s="29">
        <v>6</v>
      </c>
      <c r="H1" s="29">
        <v>7</v>
      </c>
      <c r="I1" s="29">
        <v>8</v>
      </c>
      <c r="J1" s="29">
        <v>9</v>
      </c>
      <c r="K1" s="29">
        <v>10</v>
      </c>
      <c r="L1" s="29">
        <v>11</v>
      </c>
      <c r="M1" s="29">
        <v>12</v>
      </c>
      <c r="N1" s="29">
        <v>13</v>
      </c>
      <c r="O1" s="29">
        <v>14</v>
      </c>
      <c r="P1" s="29">
        <v>15</v>
      </c>
      <c r="Q1" s="29">
        <v>16</v>
      </c>
      <c r="R1" s="29">
        <v>17</v>
      </c>
      <c r="S1" s="29">
        <v>18</v>
      </c>
      <c r="T1" s="29">
        <v>19</v>
      </c>
      <c r="U1" s="29">
        <v>20</v>
      </c>
      <c r="V1" s="29">
        <v>21</v>
      </c>
      <c r="W1" s="29">
        <v>22</v>
      </c>
      <c r="X1" s="29">
        <v>23</v>
      </c>
      <c r="Y1" s="29">
        <v>24</v>
      </c>
      <c r="Z1" s="29">
        <v>25</v>
      </c>
      <c r="AA1" s="29">
        <v>26</v>
      </c>
      <c r="AB1" s="29">
        <v>27</v>
      </c>
      <c r="AC1" s="29">
        <v>28</v>
      </c>
      <c r="AD1" s="29">
        <v>29</v>
      </c>
      <c r="AE1" s="29">
        <v>30</v>
      </c>
      <c r="AF1" s="29">
        <v>31</v>
      </c>
      <c r="AG1" s="29">
        <v>32</v>
      </c>
    </row>
    <row r="2" spans="1:33" x14ac:dyDescent="0.2">
      <c r="A2" s="30">
        <v>1</v>
      </c>
      <c r="B2" s="1">
        <v>80</v>
      </c>
      <c r="C2" s="1">
        <v>53</v>
      </c>
      <c r="D2" s="1">
        <v>82</v>
      </c>
      <c r="E2" s="1">
        <v>28</v>
      </c>
      <c r="F2" s="1">
        <v>6</v>
      </c>
      <c r="G2" s="1">
        <v>57</v>
      </c>
      <c r="H2" s="1">
        <v>86</v>
      </c>
      <c r="I2" s="1">
        <v>44</v>
      </c>
      <c r="J2" s="1">
        <v>28</v>
      </c>
      <c r="K2" s="1">
        <v>45</v>
      </c>
      <c r="L2" s="1">
        <v>70</v>
      </c>
      <c r="M2" s="1">
        <v>10</v>
      </c>
      <c r="N2" s="1">
        <v>61</v>
      </c>
      <c r="O2" s="1">
        <v>98</v>
      </c>
      <c r="P2" s="1">
        <v>86</v>
      </c>
      <c r="Q2" s="1">
        <v>28</v>
      </c>
      <c r="R2" s="1">
        <v>37</v>
      </c>
      <c r="S2" s="1">
        <v>15</v>
      </c>
      <c r="T2" s="1">
        <v>62</v>
      </c>
      <c r="U2" s="1">
        <v>90</v>
      </c>
      <c r="V2" s="1">
        <v>72</v>
      </c>
      <c r="W2" s="1">
        <v>96</v>
      </c>
      <c r="X2" s="1">
        <v>11</v>
      </c>
      <c r="Y2" s="1">
        <v>96</v>
      </c>
      <c r="Z2" s="1">
        <v>53</v>
      </c>
      <c r="AA2" s="1">
        <v>74</v>
      </c>
      <c r="AB2" s="1">
        <v>87</v>
      </c>
      <c r="AC2" s="1">
        <v>15</v>
      </c>
      <c r="AD2" s="1">
        <v>52</v>
      </c>
      <c r="AE2" s="1">
        <v>62</v>
      </c>
      <c r="AF2" s="1">
        <v>25</v>
      </c>
      <c r="AG2" s="1">
        <v>94</v>
      </c>
    </row>
    <row r="3" spans="1:33" x14ac:dyDescent="0.2">
      <c r="A3" s="30">
        <v>2</v>
      </c>
      <c r="B3" s="1">
        <v>46</v>
      </c>
      <c r="C3" s="1">
        <v>84</v>
      </c>
      <c r="D3" s="1">
        <v>30</v>
      </c>
      <c r="E3" s="1">
        <v>23</v>
      </c>
      <c r="F3" s="1">
        <v>83</v>
      </c>
      <c r="G3" s="1">
        <v>24</v>
      </c>
      <c r="H3" s="1">
        <v>41</v>
      </c>
      <c r="I3" s="1">
        <v>95</v>
      </c>
      <c r="J3" s="1">
        <v>79</v>
      </c>
      <c r="K3" s="1">
        <v>33</v>
      </c>
      <c r="L3" s="1">
        <v>60</v>
      </c>
      <c r="M3" s="1">
        <v>17</v>
      </c>
      <c r="N3" s="1">
        <v>63</v>
      </c>
      <c r="O3" s="1">
        <v>68</v>
      </c>
      <c r="P3" s="1">
        <v>20</v>
      </c>
      <c r="Q3" s="1">
        <v>50</v>
      </c>
      <c r="R3" s="1">
        <v>17</v>
      </c>
      <c r="S3" s="1">
        <v>55</v>
      </c>
      <c r="T3" s="1">
        <v>36</v>
      </c>
      <c r="U3" s="1">
        <v>84</v>
      </c>
      <c r="V3" s="1">
        <v>23</v>
      </c>
      <c r="W3" s="1">
        <v>49</v>
      </c>
      <c r="X3" s="1">
        <v>45</v>
      </c>
      <c r="Y3" s="1">
        <v>38</v>
      </c>
      <c r="Z3" s="1">
        <v>71</v>
      </c>
      <c r="AA3" s="1">
        <v>56</v>
      </c>
      <c r="AB3" s="1">
        <v>52</v>
      </c>
      <c r="AC3" s="1">
        <v>95</v>
      </c>
      <c r="AD3" s="1">
        <v>24</v>
      </c>
      <c r="AE3" s="1">
        <v>41</v>
      </c>
      <c r="AF3" s="1">
        <v>82</v>
      </c>
      <c r="AG3" s="1">
        <v>11</v>
      </c>
    </row>
    <row r="4" spans="1:33" x14ac:dyDescent="0.2">
      <c r="A4" s="30">
        <v>3</v>
      </c>
      <c r="B4" s="1">
        <v>47</v>
      </c>
      <c r="C4" s="1">
        <v>11</v>
      </c>
      <c r="D4" s="1">
        <v>90</v>
      </c>
      <c r="E4" s="1">
        <v>54</v>
      </c>
      <c r="F4" s="1">
        <v>42</v>
      </c>
      <c r="G4" s="1">
        <v>31</v>
      </c>
      <c r="H4" s="1">
        <v>91</v>
      </c>
      <c r="I4" s="1">
        <v>47</v>
      </c>
      <c r="J4" s="1">
        <v>94</v>
      </c>
      <c r="K4" s="1">
        <v>6</v>
      </c>
      <c r="L4" s="1">
        <v>68</v>
      </c>
      <c r="M4" s="1">
        <v>37</v>
      </c>
      <c r="N4" s="1">
        <v>16</v>
      </c>
      <c r="O4" s="1">
        <v>31</v>
      </c>
      <c r="P4" s="1">
        <v>94</v>
      </c>
      <c r="Q4" s="1">
        <v>35</v>
      </c>
      <c r="R4" s="1">
        <v>3</v>
      </c>
      <c r="S4" s="1">
        <v>17</v>
      </c>
      <c r="T4" s="1">
        <v>17</v>
      </c>
      <c r="U4" s="1">
        <v>5</v>
      </c>
      <c r="V4" s="1">
        <v>21</v>
      </c>
      <c r="W4" s="1">
        <v>50</v>
      </c>
      <c r="X4" s="1">
        <v>64</v>
      </c>
      <c r="Y4" s="1">
        <v>36</v>
      </c>
      <c r="Z4" s="1">
        <v>65</v>
      </c>
      <c r="AA4" s="1">
        <v>80</v>
      </c>
      <c r="AB4" s="1">
        <v>94</v>
      </c>
      <c r="AC4" s="1">
        <v>51</v>
      </c>
      <c r="AD4" s="1">
        <v>90</v>
      </c>
      <c r="AE4" s="1">
        <v>54</v>
      </c>
      <c r="AF4" s="1">
        <v>88</v>
      </c>
      <c r="AG4" s="1">
        <v>10</v>
      </c>
    </row>
    <row r="5" spans="1:33" x14ac:dyDescent="0.2">
      <c r="A5" s="30">
        <v>4</v>
      </c>
      <c r="B5" s="1">
        <v>53</v>
      </c>
      <c r="C5" s="1">
        <v>4</v>
      </c>
      <c r="D5" s="1">
        <v>7</v>
      </c>
      <c r="E5" s="1">
        <v>86</v>
      </c>
      <c r="F5" s="1">
        <v>30</v>
      </c>
      <c r="G5" s="1">
        <v>14</v>
      </c>
      <c r="H5" s="1">
        <v>79</v>
      </c>
      <c r="I5" s="1">
        <v>52</v>
      </c>
      <c r="J5" s="1">
        <v>61</v>
      </c>
      <c r="K5" s="1">
        <v>75</v>
      </c>
      <c r="L5" s="1">
        <v>92</v>
      </c>
      <c r="M5" s="1">
        <v>61</v>
      </c>
      <c r="N5" s="1">
        <v>69</v>
      </c>
      <c r="O5" s="1">
        <v>71</v>
      </c>
      <c r="P5" s="1">
        <v>68</v>
      </c>
      <c r="Q5" s="1">
        <v>43</v>
      </c>
      <c r="R5" s="1">
        <v>62</v>
      </c>
      <c r="S5" s="1">
        <v>77</v>
      </c>
      <c r="T5" s="1">
        <v>92</v>
      </c>
      <c r="U5" s="1">
        <v>29</v>
      </c>
      <c r="V5" s="1">
        <v>5</v>
      </c>
      <c r="W5" s="1">
        <v>73</v>
      </c>
      <c r="X5" s="1">
        <v>58</v>
      </c>
      <c r="Y5" s="1">
        <v>12</v>
      </c>
      <c r="Z5" s="1">
        <v>2</v>
      </c>
      <c r="AA5" s="1">
        <v>99</v>
      </c>
      <c r="AB5" s="1">
        <v>45</v>
      </c>
      <c r="AC5" s="1">
        <v>61</v>
      </c>
      <c r="AD5" s="1">
        <v>61</v>
      </c>
      <c r="AE5" s="1">
        <v>9</v>
      </c>
      <c r="AF5" s="1">
        <v>10</v>
      </c>
      <c r="AG5" s="1">
        <v>32</v>
      </c>
    </row>
    <row r="6" spans="1:33" x14ac:dyDescent="0.2">
      <c r="A6" s="30">
        <v>5</v>
      </c>
      <c r="B6" s="1">
        <v>79</v>
      </c>
      <c r="C6" s="1">
        <v>64</v>
      </c>
      <c r="D6" s="1">
        <v>88</v>
      </c>
      <c r="E6" s="1">
        <v>8</v>
      </c>
      <c r="F6" s="1">
        <v>93</v>
      </c>
      <c r="G6" s="1">
        <v>25</v>
      </c>
      <c r="H6" s="1">
        <v>22</v>
      </c>
      <c r="I6" s="1">
        <v>41</v>
      </c>
      <c r="J6" s="1">
        <v>98</v>
      </c>
      <c r="K6" s="1">
        <v>41</v>
      </c>
      <c r="L6" s="1">
        <v>1</v>
      </c>
      <c r="M6" s="1">
        <v>18</v>
      </c>
      <c r="N6" s="1">
        <v>50</v>
      </c>
      <c r="O6" s="1">
        <v>19</v>
      </c>
      <c r="P6" s="1">
        <v>21</v>
      </c>
      <c r="Q6" s="1">
        <v>97</v>
      </c>
      <c r="R6" s="1">
        <v>87</v>
      </c>
      <c r="S6" s="1">
        <v>50</v>
      </c>
      <c r="T6" s="1">
        <v>68</v>
      </c>
      <c r="U6" s="1">
        <v>78</v>
      </c>
      <c r="V6" s="1">
        <v>5</v>
      </c>
      <c r="W6" s="1">
        <v>43</v>
      </c>
      <c r="X6" s="1">
        <v>9</v>
      </c>
      <c r="Y6" s="1">
        <v>18</v>
      </c>
      <c r="Z6" s="1">
        <v>70</v>
      </c>
      <c r="AA6" s="1">
        <v>89</v>
      </c>
      <c r="AB6" s="1">
        <v>91</v>
      </c>
      <c r="AC6" s="1">
        <v>25</v>
      </c>
      <c r="AD6" s="1">
        <v>39</v>
      </c>
      <c r="AE6" s="1">
        <v>36</v>
      </c>
      <c r="AF6" s="1">
        <v>71</v>
      </c>
      <c r="AG6" s="1">
        <v>86</v>
      </c>
    </row>
    <row r="7" spans="1:33" x14ac:dyDescent="0.2">
      <c r="A7" s="30">
        <v>6</v>
      </c>
      <c r="B7" s="1">
        <v>2</v>
      </c>
      <c r="C7" s="1">
        <v>29</v>
      </c>
      <c r="D7" s="1">
        <v>46</v>
      </c>
      <c r="E7" s="1">
        <v>48</v>
      </c>
      <c r="F7" s="1">
        <v>4</v>
      </c>
      <c r="G7" s="1">
        <v>78</v>
      </c>
      <c r="H7" s="1">
        <v>48</v>
      </c>
      <c r="I7" s="1">
        <v>20</v>
      </c>
      <c r="J7" s="1">
        <v>88</v>
      </c>
      <c r="K7" s="1">
        <v>28</v>
      </c>
      <c r="L7" s="1">
        <v>58</v>
      </c>
      <c r="M7" s="1">
        <v>49</v>
      </c>
      <c r="N7" s="1">
        <v>31</v>
      </c>
      <c r="O7" s="1">
        <v>12</v>
      </c>
      <c r="P7" s="1">
        <v>97</v>
      </c>
      <c r="Q7" s="1">
        <v>84</v>
      </c>
      <c r="R7" s="1">
        <v>90</v>
      </c>
      <c r="S7" s="1">
        <v>36</v>
      </c>
      <c r="T7" s="1">
        <v>30</v>
      </c>
      <c r="U7" s="1">
        <v>44</v>
      </c>
      <c r="V7" s="1">
        <v>73</v>
      </c>
      <c r="W7" s="1">
        <v>42</v>
      </c>
      <c r="X7" s="1">
        <v>92</v>
      </c>
      <c r="Y7" s="1">
        <v>33</v>
      </c>
      <c r="Z7" s="1">
        <v>16</v>
      </c>
      <c r="AA7" s="1">
        <v>24</v>
      </c>
      <c r="AB7" s="1">
        <v>10</v>
      </c>
      <c r="AC7" s="1">
        <v>42</v>
      </c>
      <c r="AD7" s="1">
        <v>2</v>
      </c>
      <c r="AE7" s="1">
        <v>31</v>
      </c>
      <c r="AF7" s="1">
        <v>9</v>
      </c>
      <c r="AG7" s="1">
        <v>25</v>
      </c>
    </row>
    <row r="8" spans="1:33" x14ac:dyDescent="0.2">
      <c r="A8" s="30">
        <v>7</v>
      </c>
      <c r="B8" s="1">
        <v>31</v>
      </c>
      <c r="C8" s="1">
        <v>14</v>
      </c>
      <c r="D8" s="1">
        <v>3</v>
      </c>
      <c r="E8" s="1">
        <v>29</v>
      </c>
      <c r="F8" s="1">
        <v>48</v>
      </c>
      <c r="G8" s="1">
        <v>35</v>
      </c>
      <c r="H8" s="1">
        <v>6</v>
      </c>
      <c r="I8" s="1">
        <v>31</v>
      </c>
      <c r="J8" s="1">
        <v>61</v>
      </c>
      <c r="K8" s="1">
        <v>30</v>
      </c>
      <c r="L8" s="1">
        <v>55</v>
      </c>
      <c r="M8" s="1">
        <v>22</v>
      </c>
      <c r="N8" s="1">
        <v>39</v>
      </c>
      <c r="O8" s="1">
        <v>77</v>
      </c>
      <c r="P8" s="1">
        <v>24</v>
      </c>
      <c r="Q8" s="1">
        <v>93</v>
      </c>
      <c r="R8" s="1">
        <v>64</v>
      </c>
      <c r="S8" s="1">
        <v>77</v>
      </c>
      <c r="T8" s="1">
        <v>75</v>
      </c>
      <c r="U8" s="1">
        <v>55</v>
      </c>
      <c r="V8" s="1">
        <v>61</v>
      </c>
      <c r="W8" s="1">
        <v>51</v>
      </c>
      <c r="X8" s="1">
        <v>43</v>
      </c>
      <c r="Y8" s="1">
        <v>80</v>
      </c>
      <c r="Z8" s="1">
        <v>1</v>
      </c>
      <c r="AA8" s="1">
        <v>55</v>
      </c>
      <c r="AB8" s="1">
        <v>58</v>
      </c>
      <c r="AC8" s="1">
        <v>65</v>
      </c>
      <c r="AD8" s="1">
        <v>81</v>
      </c>
      <c r="AE8" s="1">
        <v>85</v>
      </c>
      <c r="AF8" s="1">
        <v>99</v>
      </c>
      <c r="AG8" s="1">
        <v>29</v>
      </c>
    </row>
    <row r="9" spans="1:33" x14ac:dyDescent="0.2">
      <c r="A9" s="30">
        <v>8</v>
      </c>
      <c r="B9" s="1">
        <v>16</v>
      </c>
      <c r="C9" s="1">
        <v>23</v>
      </c>
      <c r="D9" s="1">
        <v>19</v>
      </c>
      <c r="E9" s="1">
        <v>18</v>
      </c>
      <c r="F9" s="1">
        <v>63</v>
      </c>
      <c r="G9" s="1">
        <v>74</v>
      </c>
      <c r="H9" s="1">
        <v>50</v>
      </c>
      <c r="I9" s="1">
        <v>20</v>
      </c>
      <c r="J9" s="1">
        <v>53</v>
      </c>
      <c r="K9" s="1">
        <v>9</v>
      </c>
      <c r="L9" s="1">
        <v>29</v>
      </c>
      <c r="M9" s="1">
        <v>90</v>
      </c>
      <c r="N9" s="1">
        <v>21</v>
      </c>
      <c r="O9" s="1">
        <v>75</v>
      </c>
      <c r="P9" s="1">
        <v>17</v>
      </c>
      <c r="Q9" s="1">
        <v>56</v>
      </c>
      <c r="R9" s="1">
        <v>17</v>
      </c>
      <c r="S9" s="1">
        <v>93</v>
      </c>
      <c r="T9" s="1">
        <v>83</v>
      </c>
      <c r="U9" s="1">
        <v>72</v>
      </c>
      <c r="V9" s="1">
        <v>18</v>
      </c>
      <c r="W9" s="1">
        <v>49</v>
      </c>
      <c r="X9" s="1">
        <v>49</v>
      </c>
      <c r="Y9" s="1">
        <v>1</v>
      </c>
      <c r="Z9" s="1">
        <v>11</v>
      </c>
      <c r="AA9" s="1">
        <v>45</v>
      </c>
      <c r="AB9" s="1">
        <v>46</v>
      </c>
      <c r="AC9" s="1">
        <v>70</v>
      </c>
      <c r="AD9" s="1">
        <v>78</v>
      </c>
      <c r="AE9" s="1">
        <v>9</v>
      </c>
      <c r="AF9" s="1">
        <v>57</v>
      </c>
      <c r="AG9" s="1">
        <v>83</v>
      </c>
    </row>
    <row r="10" spans="1:33" x14ac:dyDescent="0.2">
      <c r="A10" s="30">
        <v>9</v>
      </c>
      <c r="B10" s="1">
        <v>36</v>
      </c>
      <c r="C10" s="1">
        <v>38</v>
      </c>
      <c r="D10" s="1">
        <v>30</v>
      </c>
      <c r="E10" s="1">
        <v>50</v>
      </c>
      <c r="F10" s="1">
        <v>33</v>
      </c>
      <c r="G10" s="1">
        <v>51</v>
      </c>
      <c r="H10" s="1">
        <v>19</v>
      </c>
      <c r="I10" s="1">
        <v>59</v>
      </c>
      <c r="J10" s="1">
        <v>2</v>
      </c>
      <c r="K10" s="1">
        <v>28</v>
      </c>
      <c r="L10" s="1">
        <v>90</v>
      </c>
      <c r="M10" s="1">
        <v>49</v>
      </c>
      <c r="N10" s="1">
        <v>43</v>
      </c>
      <c r="O10" s="1">
        <v>21</v>
      </c>
      <c r="P10" s="1">
        <v>90</v>
      </c>
      <c r="Q10" s="1">
        <v>61</v>
      </c>
      <c r="R10" s="1">
        <v>35</v>
      </c>
      <c r="S10" s="1">
        <v>95</v>
      </c>
      <c r="T10" s="1">
        <v>3</v>
      </c>
      <c r="U10" s="1">
        <v>1</v>
      </c>
      <c r="V10" s="1">
        <v>77</v>
      </c>
      <c r="W10" s="1">
        <v>14</v>
      </c>
      <c r="X10" s="1">
        <v>36</v>
      </c>
      <c r="Y10" s="1">
        <v>99</v>
      </c>
      <c r="Z10" s="1">
        <v>32</v>
      </c>
      <c r="AA10" s="1">
        <v>72</v>
      </c>
      <c r="AB10" s="1">
        <v>64</v>
      </c>
      <c r="AC10" s="1">
        <v>62</v>
      </c>
      <c r="AD10" s="1">
        <v>83</v>
      </c>
      <c r="AE10" s="1">
        <v>66</v>
      </c>
      <c r="AF10" s="1">
        <v>43</v>
      </c>
      <c r="AG10" s="1">
        <v>9</v>
      </c>
    </row>
    <row r="11" spans="1:33" x14ac:dyDescent="0.2">
      <c r="A11" s="30">
        <v>10</v>
      </c>
      <c r="B11" s="1">
        <v>48</v>
      </c>
      <c r="C11" s="1">
        <v>6</v>
      </c>
      <c r="D11" s="1">
        <v>61</v>
      </c>
      <c r="E11" s="1">
        <v>62</v>
      </c>
      <c r="F11" s="1">
        <v>40</v>
      </c>
      <c r="G11" s="1">
        <v>35</v>
      </c>
      <c r="H11" s="1">
        <v>51</v>
      </c>
      <c r="I11" s="1">
        <v>38</v>
      </c>
      <c r="J11" s="1">
        <v>81</v>
      </c>
      <c r="K11" s="1">
        <v>11</v>
      </c>
      <c r="L11" s="1">
        <v>25</v>
      </c>
      <c r="M11" s="1">
        <v>34</v>
      </c>
      <c r="N11" s="1">
        <v>50</v>
      </c>
      <c r="O11" s="1">
        <v>49</v>
      </c>
      <c r="P11" s="1">
        <v>63</v>
      </c>
      <c r="Q11" s="1">
        <v>50</v>
      </c>
      <c r="R11" s="1">
        <v>54</v>
      </c>
      <c r="S11" s="1">
        <v>77</v>
      </c>
      <c r="T11" s="1">
        <v>23</v>
      </c>
      <c r="U11" s="1">
        <v>12</v>
      </c>
      <c r="V11" s="1">
        <v>41</v>
      </c>
      <c r="W11" s="1">
        <v>35</v>
      </c>
      <c r="X11" s="1">
        <v>1</v>
      </c>
      <c r="Y11" s="1">
        <v>8</v>
      </c>
      <c r="Z11" s="1">
        <v>82</v>
      </c>
      <c r="AA11" s="1">
        <v>73</v>
      </c>
      <c r="AB11" s="1">
        <v>80</v>
      </c>
      <c r="AC11" s="1">
        <v>66</v>
      </c>
      <c r="AD11" s="1">
        <v>24</v>
      </c>
      <c r="AE11" s="1">
        <v>5</v>
      </c>
      <c r="AF11" s="1">
        <v>60</v>
      </c>
      <c r="AG11" s="1">
        <v>70</v>
      </c>
    </row>
    <row r="12" spans="1:33" x14ac:dyDescent="0.2">
      <c r="A12" s="30">
        <v>11</v>
      </c>
      <c r="B12" s="1">
        <v>90</v>
      </c>
      <c r="C12" s="1">
        <v>32</v>
      </c>
      <c r="D12" s="1">
        <v>74</v>
      </c>
      <c r="E12" s="1">
        <v>15</v>
      </c>
      <c r="F12" s="1">
        <v>63</v>
      </c>
      <c r="G12" s="1">
        <v>19</v>
      </c>
      <c r="H12" s="1">
        <v>37</v>
      </c>
      <c r="I12" s="1">
        <v>46</v>
      </c>
      <c r="J12" s="1">
        <v>38</v>
      </c>
      <c r="K12" s="1">
        <v>43</v>
      </c>
      <c r="L12" s="1">
        <v>1</v>
      </c>
      <c r="M12" s="1">
        <v>82</v>
      </c>
      <c r="N12" s="1">
        <v>90</v>
      </c>
      <c r="O12" s="1">
        <v>18</v>
      </c>
      <c r="P12" s="1">
        <v>73</v>
      </c>
      <c r="Q12" s="1">
        <v>83</v>
      </c>
      <c r="R12" s="1">
        <v>21</v>
      </c>
      <c r="S12" s="1">
        <v>44</v>
      </c>
      <c r="T12" s="1">
        <v>41</v>
      </c>
      <c r="U12" s="1">
        <v>48</v>
      </c>
      <c r="V12" s="1">
        <v>95</v>
      </c>
      <c r="W12" s="1">
        <v>49</v>
      </c>
      <c r="X12" s="1">
        <v>9</v>
      </c>
      <c r="Y12" s="1">
        <v>60</v>
      </c>
      <c r="Z12" s="1">
        <v>19</v>
      </c>
      <c r="AA12" s="1">
        <v>91</v>
      </c>
      <c r="AB12" s="1">
        <v>93</v>
      </c>
      <c r="AC12" s="1">
        <v>30</v>
      </c>
      <c r="AD12" s="1">
        <v>25</v>
      </c>
      <c r="AE12" s="1">
        <v>34</v>
      </c>
      <c r="AF12" s="1">
        <v>62</v>
      </c>
      <c r="AG12" s="1">
        <v>49</v>
      </c>
    </row>
    <row r="13" spans="1:33" x14ac:dyDescent="0.2">
      <c r="A13" s="30">
        <v>12</v>
      </c>
      <c r="B13" s="1">
        <v>64</v>
      </c>
      <c r="C13" s="1">
        <v>36</v>
      </c>
      <c r="D13" s="1">
        <v>70</v>
      </c>
      <c r="E13" s="1">
        <v>54</v>
      </c>
      <c r="F13" s="1">
        <v>23</v>
      </c>
      <c r="G13" s="1">
        <v>65</v>
      </c>
      <c r="H13" s="1">
        <v>66</v>
      </c>
      <c r="I13" s="1">
        <v>5</v>
      </c>
      <c r="J13" s="1">
        <v>33</v>
      </c>
      <c r="K13" s="1">
        <v>43</v>
      </c>
      <c r="L13" s="1">
        <v>60</v>
      </c>
      <c r="M13" s="1">
        <v>11</v>
      </c>
      <c r="N13" s="1">
        <v>22</v>
      </c>
      <c r="O13" s="1">
        <v>47</v>
      </c>
      <c r="P13" s="1">
        <v>1</v>
      </c>
      <c r="Q13" s="1">
        <v>91</v>
      </c>
      <c r="R13" s="1">
        <v>66</v>
      </c>
      <c r="S13" s="1">
        <v>10</v>
      </c>
      <c r="T13" s="1">
        <v>28</v>
      </c>
      <c r="U13" s="1">
        <v>82</v>
      </c>
      <c r="V13" s="1">
        <v>37</v>
      </c>
      <c r="W13" s="1">
        <v>74</v>
      </c>
      <c r="X13" s="1">
        <v>50</v>
      </c>
      <c r="Y13" s="1">
        <v>41</v>
      </c>
      <c r="Z13" s="1">
        <v>35</v>
      </c>
      <c r="AA13" s="1">
        <v>75</v>
      </c>
      <c r="AB13" s="1">
        <v>25</v>
      </c>
      <c r="AC13" s="1">
        <v>57</v>
      </c>
      <c r="AD13" s="1">
        <v>52</v>
      </c>
      <c r="AE13" s="1">
        <v>56</v>
      </c>
      <c r="AF13" s="1">
        <v>54</v>
      </c>
      <c r="AG13" s="1">
        <v>83</v>
      </c>
    </row>
    <row r="14" spans="1:33" x14ac:dyDescent="0.2">
      <c r="A14" s="30">
        <v>13</v>
      </c>
      <c r="B14" s="1">
        <v>92</v>
      </c>
      <c r="C14" s="1">
        <v>27</v>
      </c>
      <c r="D14" s="1">
        <v>25</v>
      </c>
      <c r="E14" s="1">
        <v>76</v>
      </c>
      <c r="F14" s="1">
        <v>20</v>
      </c>
      <c r="G14" s="1">
        <v>22</v>
      </c>
      <c r="H14" s="1">
        <v>7</v>
      </c>
      <c r="I14" s="1">
        <v>62</v>
      </c>
      <c r="J14" s="1">
        <v>29</v>
      </c>
      <c r="K14" s="1">
        <v>7</v>
      </c>
      <c r="L14" s="1">
        <v>45</v>
      </c>
      <c r="M14" s="1">
        <v>59</v>
      </c>
      <c r="N14" s="1">
        <v>68</v>
      </c>
      <c r="O14" s="1">
        <v>98</v>
      </c>
      <c r="P14" s="1">
        <v>61</v>
      </c>
      <c r="Q14" s="1">
        <v>3</v>
      </c>
      <c r="R14" s="1">
        <v>35</v>
      </c>
      <c r="S14" s="1">
        <v>23</v>
      </c>
      <c r="T14" s="1">
        <v>45</v>
      </c>
      <c r="U14" s="1">
        <v>19</v>
      </c>
      <c r="V14" s="1">
        <v>29</v>
      </c>
      <c r="W14" s="1">
        <v>7</v>
      </c>
      <c r="X14" s="1">
        <v>22</v>
      </c>
      <c r="Y14" s="1">
        <v>31</v>
      </c>
      <c r="Z14" s="1">
        <v>38</v>
      </c>
      <c r="AA14" s="1">
        <v>14</v>
      </c>
      <c r="AB14" s="1">
        <v>44</v>
      </c>
      <c r="AC14" s="1">
        <v>41</v>
      </c>
      <c r="AD14" s="1">
        <v>3</v>
      </c>
      <c r="AE14" s="1">
        <v>97</v>
      </c>
      <c r="AF14" s="1">
        <v>41</v>
      </c>
      <c r="AG14" s="1">
        <v>80</v>
      </c>
    </row>
    <row r="15" spans="1:33" x14ac:dyDescent="0.2">
      <c r="A15" s="30">
        <v>14</v>
      </c>
      <c r="B15" s="1">
        <v>64</v>
      </c>
      <c r="C15" s="1">
        <v>82</v>
      </c>
      <c r="D15" s="1">
        <v>76</v>
      </c>
      <c r="E15" s="1">
        <v>63</v>
      </c>
      <c r="F15" s="1">
        <v>25</v>
      </c>
      <c r="G15" s="1">
        <v>57</v>
      </c>
      <c r="H15" s="1">
        <v>99</v>
      </c>
      <c r="I15" s="1">
        <v>16</v>
      </c>
      <c r="J15" s="1">
        <v>47</v>
      </c>
      <c r="K15" s="1">
        <v>28</v>
      </c>
      <c r="L15" s="1">
        <v>22</v>
      </c>
      <c r="M15" s="1">
        <v>10</v>
      </c>
      <c r="N15" s="1">
        <v>93</v>
      </c>
      <c r="O15" s="1">
        <v>1</v>
      </c>
      <c r="P15" s="1">
        <v>37</v>
      </c>
      <c r="Q15" s="1">
        <v>34</v>
      </c>
      <c r="R15" s="1">
        <v>50</v>
      </c>
      <c r="S15" s="1">
        <v>83</v>
      </c>
      <c r="T15" s="1">
        <v>20</v>
      </c>
      <c r="U15" s="1">
        <v>12</v>
      </c>
      <c r="V15" s="1">
        <v>4</v>
      </c>
      <c r="W15" s="1">
        <v>88</v>
      </c>
      <c r="X15" s="1">
        <v>20</v>
      </c>
      <c r="Y15" s="1">
        <v>7</v>
      </c>
      <c r="Z15" s="1">
        <v>91</v>
      </c>
      <c r="AA15" s="1">
        <v>90</v>
      </c>
      <c r="AB15" s="1">
        <v>88</v>
      </c>
      <c r="AC15" s="1">
        <v>54</v>
      </c>
      <c r="AD15" s="1">
        <v>77</v>
      </c>
      <c r="AE15" s="1">
        <v>37</v>
      </c>
      <c r="AF15" s="1">
        <v>24</v>
      </c>
      <c r="AG15" s="1">
        <v>24</v>
      </c>
    </row>
    <row r="16" spans="1:33" x14ac:dyDescent="0.2">
      <c r="A16" s="30">
        <v>15</v>
      </c>
      <c r="B16" s="1">
        <v>46</v>
      </c>
      <c r="C16" s="1">
        <v>61</v>
      </c>
      <c r="D16" s="1">
        <v>3</v>
      </c>
      <c r="E16" s="1">
        <v>96</v>
      </c>
      <c r="F16" s="1">
        <v>16</v>
      </c>
      <c r="G16" s="1">
        <v>66</v>
      </c>
      <c r="H16" s="1">
        <v>51</v>
      </c>
      <c r="I16" s="1">
        <v>53</v>
      </c>
      <c r="J16" s="1">
        <v>17</v>
      </c>
      <c r="K16" s="1">
        <v>70</v>
      </c>
      <c r="L16" s="1">
        <v>5</v>
      </c>
      <c r="M16" s="1">
        <v>17</v>
      </c>
      <c r="N16" s="1">
        <v>77</v>
      </c>
      <c r="O16" s="1">
        <v>67</v>
      </c>
      <c r="P16" s="1">
        <v>13</v>
      </c>
      <c r="Q16" s="1">
        <v>5</v>
      </c>
      <c r="R16" s="1">
        <v>40</v>
      </c>
      <c r="S16" s="1">
        <v>92</v>
      </c>
      <c r="T16" s="1">
        <v>23</v>
      </c>
      <c r="U16" s="1">
        <v>41</v>
      </c>
      <c r="V16" s="1">
        <v>87</v>
      </c>
      <c r="W16" s="1">
        <v>44</v>
      </c>
      <c r="X16" s="1">
        <v>91</v>
      </c>
      <c r="Y16" s="1">
        <v>69</v>
      </c>
      <c r="Z16" s="1">
        <v>2</v>
      </c>
      <c r="AA16" s="1">
        <v>73</v>
      </c>
      <c r="AB16" s="1">
        <v>40</v>
      </c>
      <c r="AC16" s="1">
        <v>70</v>
      </c>
      <c r="AD16" s="1">
        <v>84</v>
      </c>
      <c r="AE16" s="1">
        <v>89</v>
      </c>
      <c r="AF16" s="1">
        <v>55</v>
      </c>
      <c r="AG16" s="1">
        <v>39</v>
      </c>
    </row>
    <row r="17" spans="1:33" x14ac:dyDescent="0.2">
      <c r="A17" s="30">
        <v>16</v>
      </c>
      <c r="B17" s="1">
        <v>8</v>
      </c>
      <c r="C17" s="1">
        <v>77</v>
      </c>
      <c r="D17" s="1">
        <v>95</v>
      </c>
      <c r="E17" s="1">
        <v>77</v>
      </c>
      <c r="F17" s="1">
        <v>34</v>
      </c>
      <c r="G17" s="1">
        <v>26</v>
      </c>
      <c r="H17" s="1">
        <v>50</v>
      </c>
      <c r="I17" s="1">
        <v>18</v>
      </c>
      <c r="J17" s="1">
        <v>97</v>
      </c>
      <c r="K17" s="1">
        <v>19</v>
      </c>
      <c r="L17" s="1">
        <v>62</v>
      </c>
      <c r="M17" s="1">
        <v>91</v>
      </c>
      <c r="N17" s="1">
        <v>91</v>
      </c>
      <c r="O17" s="1">
        <v>83</v>
      </c>
      <c r="P17" s="1">
        <v>96</v>
      </c>
      <c r="Q17" s="1">
        <v>5</v>
      </c>
      <c r="R17" s="1">
        <v>17</v>
      </c>
      <c r="S17" s="1">
        <v>58</v>
      </c>
      <c r="T17" s="1">
        <v>85</v>
      </c>
      <c r="U17" s="1">
        <v>66</v>
      </c>
      <c r="V17" s="1">
        <v>89</v>
      </c>
      <c r="W17" s="1">
        <v>76</v>
      </c>
      <c r="X17" s="1">
        <v>56</v>
      </c>
      <c r="Y17" s="1">
        <v>11</v>
      </c>
      <c r="Z17" s="1">
        <v>53</v>
      </c>
      <c r="AA17" s="1">
        <v>16</v>
      </c>
      <c r="AB17" s="1">
        <v>74</v>
      </c>
      <c r="AC17" s="1">
        <v>31</v>
      </c>
      <c r="AD17" s="1">
        <v>60</v>
      </c>
      <c r="AE17" s="1">
        <v>33</v>
      </c>
      <c r="AF17" s="1">
        <v>1</v>
      </c>
      <c r="AG17" s="1">
        <v>53</v>
      </c>
    </row>
    <row r="18" spans="1:33" x14ac:dyDescent="0.2">
      <c r="A18" s="30">
        <v>17</v>
      </c>
      <c r="B18" s="1">
        <v>45</v>
      </c>
      <c r="C18" s="1">
        <v>46</v>
      </c>
      <c r="D18" s="1">
        <v>30</v>
      </c>
      <c r="E18" s="1">
        <v>2</v>
      </c>
      <c r="F18" s="1">
        <v>66</v>
      </c>
      <c r="G18" s="1">
        <v>17</v>
      </c>
      <c r="H18" s="1">
        <v>51</v>
      </c>
      <c r="I18" s="1">
        <v>50</v>
      </c>
      <c r="J18" s="1">
        <v>54</v>
      </c>
      <c r="K18" s="1">
        <v>31</v>
      </c>
      <c r="L18" s="1">
        <v>82</v>
      </c>
      <c r="M18" s="1">
        <v>30</v>
      </c>
      <c r="N18" s="1">
        <v>22</v>
      </c>
      <c r="O18" s="1">
        <v>31</v>
      </c>
      <c r="P18" s="1">
        <v>56</v>
      </c>
      <c r="Q18" s="1">
        <v>57</v>
      </c>
      <c r="R18" s="1">
        <v>27</v>
      </c>
      <c r="S18" s="1">
        <v>32</v>
      </c>
      <c r="T18" s="1">
        <v>82</v>
      </c>
      <c r="U18" s="1">
        <v>44</v>
      </c>
      <c r="V18" s="1">
        <v>8</v>
      </c>
      <c r="W18" s="1">
        <v>32</v>
      </c>
      <c r="X18" s="1">
        <v>67</v>
      </c>
      <c r="Y18" s="1">
        <v>17</v>
      </c>
      <c r="Z18" s="1">
        <v>8</v>
      </c>
      <c r="AA18" s="1">
        <v>60</v>
      </c>
      <c r="AB18" s="1">
        <v>78</v>
      </c>
      <c r="AC18" s="1">
        <v>9</v>
      </c>
      <c r="AD18" s="1">
        <v>50</v>
      </c>
      <c r="AE18" s="1">
        <v>43</v>
      </c>
      <c r="AF18" s="1">
        <v>20</v>
      </c>
      <c r="AG18" s="1">
        <v>49</v>
      </c>
    </row>
    <row r="19" spans="1:33" x14ac:dyDescent="0.2">
      <c r="A19" s="30">
        <v>18</v>
      </c>
      <c r="B19" s="1">
        <v>88</v>
      </c>
      <c r="C19" s="1">
        <v>29</v>
      </c>
      <c r="D19" s="1">
        <v>64</v>
      </c>
      <c r="E19" s="1">
        <v>76</v>
      </c>
      <c r="F19" s="1">
        <v>50</v>
      </c>
      <c r="G19" s="1">
        <v>24</v>
      </c>
      <c r="H19" s="1">
        <v>3</v>
      </c>
      <c r="I19" s="1">
        <v>13</v>
      </c>
      <c r="J19" s="1">
        <v>96</v>
      </c>
      <c r="K19" s="1">
        <v>78</v>
      </c>
      <c r="L19" s="1">
        <v>9</v>
      </c>
      <c r="M19" s="1">
        <v>29</v>
      </c>
      <c r="N19" s="1">
        <v>22</v>
      </c>
      <c r="O19" s="1">
        <v>38</v>
      </c>
      <c r="P19" s="1">
        <v>18</v>
      </c>
      <c r="Q19" s="1">
        <v>42</v>
      </c>
      <c r="R19" s="1">
        <v>95</v>
      </c>
      <c r="S19" s="1">
        <v>3</v>
      </c>
      <c r="T19" s="1">
        <v>68</v>
      </c>
      <c r="U19" s="1">
        <v>3</v>
      </c>
      <c r="V19" s="1">
        <v>92</v>
      </c>
      <c r="W19" s="1">
        <v>60</v>
      </c>
      <c r="X19" s="1">
        <v>8</v>
      </c>
      <c r="Y19" s="1">
        <v>35</v>
      </c>
      <c r="Z19" s="1">
        <v>40</v>
      </c>
      <c r="AA19" s="1">
        <v>51</v>
      </c>
      <c r="AB19" s="1">
        <v>76</v>
      </c>
      <c r="AC19" s="1">
        <v>34</v>
      </c>
      <c r="AD19" s="1">
        <v>86</v>
      </c>
      <c r="AE19" s="1">
        <v>16</v>
      </c>
      <c r="AF19" s="1">
        <v>51</v>
      </c>
      <c r="AG19" s="1">
        <v>80</v>
      </c>
    </row>
    <row r="20" spans="1:33" x14ac:dyDescent="0.2">
      <c r="A20" s="30">
        <v>19</v>
      </c>
      <c r="B20" s="1">
        <v>9</v>
      </c>
      <c r="C20" s="1">
        <v>57</v>
      </c>
      <c r="D20" s="1">
        <v>70</v>
      </c>
      <c r="E20" s="1">
        <v>84</v>
      </c>
      <c r="F20" s="1">
        <v>51</v>
      </c>
      <c r="G20" s="1">
        <v>26</v>
      </c>
      <c r="H20" s="1">
        <v>9</v>
      </c>
      <c r="I20" s="1">
        <v>57</v>
      </c>
      <c r="J20" s="1">
        <v>30</v>
      </c>
      <c r="K20" s="1">
        <v>88</v>
      </c>
      <c r="L20" s="1">
        <v>59</v>
      </c>
      <c r="M20" s="1">
        <v>5</v>
      </c>
      <c r="N20" s="1">
        <v>91</v>
      </c>
      <c r="O20" s="1">
        <v>93</v>
      </c>
      <c r="P20" s="1">
        <v>22</v>
      </c>
      <c r="Q20" s="1">
        <v>81</v>
      </c>
      <c r="R20" s="1">
        <v>44</v>
      </c>
      <c r="S20" s="1">
        <v>71</v>
      </c>
      <c r="T20" s="1">
        <v>90</v>
      </c>
      <c r="U20" s="1">
        <v>18</v>
      </c>
      <c r="V20" s="1">
        <v>70</v>
      </c>
      <c r="W20" s="1">
        <v>80</v>
      </c>
      <c r="X20" s="1">
        <v>49</v>
      </c>
      <c r="Y20" s="1">
        <v>72</v>
      </c>
      <c r="Z20" s="1">
        <v>84</v>
      </c>
      <c r="AA20" s="1">
        <v>54</v>
      </c>
      <c r="AB20" s="1">
        <v>23</v>
      </c>
      <c r="AC20" s="1">
        <v>15</v>
      </c>
      <c r="AD20" s="1">
        <v>94</v>
      </c>
      <c r="AE20" s="1">
        <v>68</v>
      </c>
      <c r="AF20" s="1">
        <v>5</v>
      </c>
      <c r="AG20" s="1">
        <v>91</v>
      </c>
    </row>
    <row r="21" spans="1:33" ht="15.75" customHeight="1" x14ac:dyDescent="0.2">
      <c r="A21" s="30">
        <v>20</v>
      </c>
      <c r="B21" s="1">
        <v>10</v>
      </c>
      <c r="C21" s="1">
        <v>31</v>
      </c>
      <c r="D21" s="1">
        <v>84</v>
      </c>
      <c r="E21" s="1">
        <v>31</v>
      </c>
      <c r="F21" s="1">
        <v>75</v>
      </c>
      <c r="G21" s="1">
        <v>86</v>
      </c>
      <c r="H21" s="1">
        <v>28</v>
      </c>
      <c r="I21" s="1">
        <v>78</v>
      </c>
      <c r="J21" s="1">
        <v>33</v>
      </c>
      <c r="K21" s="1">
        <v>63</v>
      </c>
      <c r="L21" s="1">
        <v>76</v>
      </c>
      <c r="M21" s="1">
        <v>79</v>
      </c>
      <c r="N21" s="1">
        <v>9</v>
      </c>
      <c r="O21" s="1">
        <v>95</v>
      </c>
      <c r="P21" s="1">
        <v>26</v>
      </c>
      <c r="Q21" s="1">
        <v>23</v>
      </c>
      <c r="R21" s="1">
        <v>76</v>
      </c>
      <c r="S21" s="1">
        <v>87</v>
      </c>
      <c r="T21" s="1">
        <v>49</v>
      </c>
      <c r="U21" s="1">
        <v>72</v>
      </c>
      <c r="V21" s="1">
        <v>15</v>
      </c>
      <c r="W21" s="1">
        <v>87</v>
      </c>
      <c r="X21" s="1">
        <v>61</v>
      </c>
      <c r="Y21" s="1">
        <v>80</v>
      </c>
      <c r="Z21" s="1">
        <v>40</v>
      </c>
      <c r="AA21" s="1">
        <v>83</v>
      </c>
      <c r="AB21" s="1">
        <v>91</v>
      </c>
      <c r="AC21" s="1">
        <v>10</v>
      </c>
      <c r="AD21" s="1">
        <v>92</v>
      </c>
      <c r="AE21" s="1">
        <v>2</v>
      </c>
      <c r="AF21" s="1">
        <v>76</v>
      </c>
      <c r="AG21" s="1">
        <v>77</v>
      </c>
    </row>
    <row r="22" spans="1:33" ht="15.75" customHeight="1" x14ac:dyDescent="0.2">
      <c r="A22" s="30">
        <v>21</v>
      </c>
      <c r="B22" s="1">
        <v>35</v>
      </c>
      <c r="C22" s="1">
        <v>60</v>
      </c>
      <c r="D22" s="1">
        <v>84</v>
      </c>
      <c r="E22" s="1">
        <v>7</v>
      </c>
      <c r="F22" s="1">
        <v>91</v>
      </c>
      <c r="G22" s="1">
        <v>23</v>
      </c>
      <c r="H22" s="1">
        <v>4</v>
      </c>
      <c r="I22" s="1">
        <v>6</v>
      </c>
      <c r="J22" s="1">
        <v>44</v>
      </c>
      <c r="K22" s="1">
        <v>1</v>
      </c>
      <c r="L22" s="1">
        <v>27</v>
      </c>
      <c r="M22" s="1">
        <v>84</v>
      </c>
      <c r="N22" s="1">
        <v>94</v>
      </c>
      <c r="O22" s="1">
        <v>28</v>
      </c>
      <c r="P22" s="1">
        <v>42</v>
      </c>
      <c r="Q22" s="1">
        <v>8</v>
      </c>
      <c r="R22" s="1">
        <v>2</v>
      </c>
      <c r="S22" s="1">
        <v>71</v>
      </c>
      <c r="T22" s="1">
        <v>76</v>
      </c>
      <c r="U22" s="1">
        <v>4</v>
      </c>
      <c r="V22" s="1">
        <v>99</v>
      </c>
      <c r="W22" s="1">
        <v>61</v>
      </c>
      <c r="X22" s="1">
        <v>80</v>
      </c>
      <c r="Y22" s="1">
        <v>30</v>
      </c>
      <c r="Z22" s="1">
        <v>22</v>
      </c>
      <c r="AA22" s="1">
        <v>29</v>
      </c>
      <c r="AB22" s="1">
        <v>16</v>
      </c>
      <c r="AC22" s="1">
        <v>30</v>
      </c>
      <c r="AD22" s="1">
        <v>39</v>
      </c>
      <c r="AE22" s="1">
        <v>65</v>
      </c>
      <c r="AF22" s="1">
        <v>49</v>
      </c>
      <c r="AG22" s="1">
        <v>38</v>
      </c>
    </row>
    <row r="23" spans="1:33" ht="15.75" customHeight="1" x14ac:dyDescent="0.2">
      <c r="A23" s="30">
        <v>22</v>
      </c>
      <c r="B23" s="1">
        <v>88</v>
      </c>
      <c r="C23" s="1">
        <v>83</v>
      </c>
      <c r="D23" s="1">
        <v>17</v>
      </c>
      <c r="E23" s="1">
        <v>54</v>
      </c>
      <c r="F23" s="1">
        <v>36</v>
      </c>
      <c r="G23" s="1">
        <v>43</v>
      </c>
      <c r="H23" s="1">
        <v>57</v>
      </c>
      <c r="I23" s="1">
        <v>61</v>
      </c>
      <c r="J23" s="1">
        <v>71</v>
      </c>
      <c r="K23" s="1">
        <v>91</v>
      </c>
      <c r="L23" s="1">
        <v>81</v>
      </c>
      <c r="M23" s="1">
        <v>95</v>
      </c>
      <c r="N23" s="1">
        <v>7</v>
      </c>
      <c r="O23" s="1">
        <v>67</v>
      </c>
      <c r="P23" s="1">
        <v>78</v>
      </c>
      <c r="Q23" s="1">
        <v>88</v>
      </c>
      <c r="R23" s="1">
        <v>10</v>
      </c>
      <c r="S23" s="1">
        <v>37</v>
      </c>
      <c r="T23" s="1">
        <v>97</v>
      </c>
      <c r="U23" s="1">
        <v>99</v>
      </c>
      <c r="V23" s="1">
        <v>45</v>
      </c>
      <c r="W23" s="1">
        <v>61</v>
      </c>
      <c r="X23" s="1">
        <v>54</v>
      </c>
      <c r="Y23" s="1">
        <v>52</v>
      </c>
      <c r="Z23" s="1">
        <v>57</v>
      </c>
      <c r="AA23" s="1">
        <v>14</v>
      </c>
      <c r="AB23" s="1">
        <v>63</v>
      </c>
      <c r="AC23" s="1">
        <v>88</v>
      </c>
      <c r="AD23" s="1">
        <v>21</v>
      </c>
      <c r="AE23" s="1">
        <v>97</v>
      </c>
      <c r="AF23" s="1">
        <v>33</v>
      </c>
      <c r="AG23" s="1">
        <v>85</v>
      </c>
    </row>
    <row r="24" spans="1:33" ht="15.75" customHeight="1" x14ac:dyDescent="0.2">
      <c r="A24" s="30">
        <v>23</v>
      </c>
      <c r="B24" s="1">
        <v>70</v>
      </c>
      <c r="C24" s="1">
        <v>92</v>
      </c>
      <c r="D24" s="1">
        <v>26</v>
      </c>
      <c r="E24" s="1">
        <v>80</v>
      </c>
      <c r="F24" s="1">
        <v>37</v>
      </c>
      <c r="G24" s="1">
        <v>82</v>
      </c>
      <c r="H24" s="1">
        <v>87</v>
      </c>
      <c r="I24" s="1">
        <v>52</v>
      </c>
      <c r="J24" s="1">
        <v>70</v>
      </c>
      <c r="K24" s="1">
        <v>42</v>
      </c>
      <c r="L24" s="1">
        <v>70</v>
      </c>
      <c r="M24" s="1">
        <v>78</v>
      </c>
      <c r="N24" s="1">
        <v>53</v>
      </c>
      <c r="O24" s="1">
        <v>62</v>
      </c>
      <c r="P24" s="1">
        <v>8</v>
      </c>
      <c r="Q24" s="1">
        <v>14</v>
      </c>
      <c r="R24" s="1">
        <v>65</v>
      </c>
      <c r="S24" s="1">
        <v>90</v>
      </c>
      <c r="T24" s="1">
        <v>22</v>
      </c>
      <c r="U24" s="1">
        <v>75</v>
      </c>
      <c r="V24" s="1">
        <v>84</v>
      </c>
      <c r="W24" s="1">
        <v>52</v>
      </c>
      <c r="X24" s="1">
        <v>53</v>
      </c>
      <c r="Y24" s="1">
        <v>32</v>
      </c>
      <c r="Z24" s="1">
        <v>3</v>
      </c>
      <c r="AA24" s="1">
        <v>12</v>
      </c>
      <c r="AB24" s="1">
        <v>14</v>
      </c>
      <c r="AC24" s="1">
        <v>57</v>
      </c>
      <c r="AD24" s="1">
        <v>52</v>
      </c>
      <c r="AE24" s="1">
        <v>25</v>
      </c>
      <c r="AF24" s="1">
        <v>42</v>
      </c>
      <c r="AG24" s="1">
        <v>62</v>
      </c>
    </row>
    <row r="25" spans="1:33" ht="15.75" customHeight="1" x14ac:dyDescent="0.2">
      <c r="A25" s="30">
        <v>24</v>
      </c>
      <c r="B25" s="1">
        <v>81</v>
      </c>
      <c r="C25" s="1">
        <v>67</v>
      </c>
      <c r="D25" s="1">
        <v>19</v>
      </c>
      <c r="E25" s="1">
        <v>66</v>
      </c>
      <c r="F25" s="1">
        <v>12</v>
      </c>
      <c r="G25" s="1">
        <v>53</v>
      </c>
      <c r="H25" s="1">
        <v>23</v>
      </c>
      <c r="I25" s="1">
        <v>92</v>
      </c>
      <c r="J25" s="1">
        <v>53</v>
      </c>
      <c r="K25" s="1">
        <v>55</v>
      </c>
      <c r="L25" s="1">
        <v>67</v>
      </c>
      <c r="M25" s="1">
        <v>86</v>
      </c>
      <c r="N25" s="1">
        <v>30</v>
      </c>
      <c r="O25" s="1">
        <v>5</v>
      </c>
      <c r="P25" s="1">
        <v>20</v>
      </c>
      <c r="Q25" s="1">
        <v>81</v>
      </c>
      <c r="R25" s="1">
        <v>27</v>
      </c>
      <c r="S25" s="1">
        <v>56</v>
      </c>
      <c r="T25" s="1">
        <v>58</v>
      </c>
      <c r="U25" s="1">
        <v>71</v>
      </c>
      <c r="V25" s="1">
        <v>62</v>
      </c>
      <c r="W25" s="1">
        <v>5</v>
      </c>
      <c r="X25" s="1">
        <v>22</v>
      </c>
      <c r="Y25" s="1">
        <v>55</v>
      </c>
      <c r="Z25" s="1">
        <v>91</v>
      </c>
      <c r="AA25" s="1">
        <v>72</v>
      </c>
      <c r="AB25" s="1">
        <v>52</v>
      </c>
      <c r="AC25" s="1">
        <v>48</v>
      </c>
      <c r="AD25" s="1">
        <v>71</v>
      </c>
      <c r="AE25" s="1">
        <v>68</v>
      </c>
      <c r="AF25" s="1">
        <v>93</v>
      </c>
      <c r="AG25" s="1">
        <v>20</v>
      </c>
    </row>
    <row r="26" spans="1:33" ht="15.75" customHeight="1" x14ac:dyDescent="0.2">
      <c r="A26" s="30">
        <v>25</v>
      </c>
      <c r="B26" s="1">
        <v>80</v>
      </c>
      <c r="C26" s="1">
        <v>74</v>
      </c>
      <c r="D26" s="1">
        <v>56</v>
      </c>
      <c r="E26" s="1">
        <v>17</v>
      </c>
      <c r="F26" s="1">
        <v>55</v>
      </c>
      <c r="G26" s="1">
        <v>38</v>
      </c>
      <c r="H26" s="1">
        <v>43</v>
      </c>
      <c r="I26" s="1">
        <v>94</v>
      </c>
      <c r="J26" s="1">
        <v>55</v>
      </c>
      <c r="K26" s="1">
        <v>65</v>
      </c>
      <c r="L26" s="1">
        <v>15</v>
      </c>
      <c r="M26" s="1">
        <v>53</v>
      </c>
      <c r="N26" s="1">
        <v>86</v>
      </c>
      <c r="O26" s="1">
        <v>84</v>
      </c>
      <c r="P26" s="1">
        <v>71</v>
      </c>
      <c r="Q26" s="1">
        <v>84</v>
      </c>
      <c r="R26" s="1">
        <v>74</v>
      </c>
      <c r="S26" s="1">
        <v>6</v>
      </c>
      <c r="T26" s="1">
        <v>9</v>
      </c>
      <c r="U26" s="1">
        <v>67</v>
      </c>
      <c r="V26" s="1">
        <v>92</v>
      </c>
      <c r="W26" s="1">
        <v>63</v>
      </c>
      <c r="X26" s="1">
        <v>91</v>
      </c>
      <c r="Y26" s="1">
        <v>93</v>
      </c>
      <c r="Z26" s="1">
        <v>46</v>
      </c>
      <c r="AA26" s="1">
        <v>65</v>
      </c>
      <c r="AB26" s="1">
        <v>57</v>
      </c>
      <c r="AC26" s="1">
        <v>1</v>
      </c>
      <c r="AD26" s="1">
        <v>13</v>
      </c>
      <c r="AE26" s="1">
        <v>37</v>
      </c>
      <c r="AF26" s="1">
        <v>98</v>
      </c>
      <c r="AG26" s="1">
        <v>91</v>
      </c>
    </row>
    <row r="27" spans="1:33" ht="15.75" customHeight="1" x14ac:dyDescent="0.2">
      <c r="A27" s="30">
        <v>26</v>
      </c>
      <c r="B27" s="1">
        <v>22</v>
      </c>
      <c r="C27" s="1">
        <v>52</v>
      </c>
      <c r="D27" s="1">
        <v>44</v>
      </c>
      <c r="E27" s="1">
        <v>28</v>
      </c>
      <c r="F27" s="1">
        <v>30</v>
      </c>
      <c r="G27" s="1">
        <v>60</v>
      </c>
      <c r="H27" s="1">
        <v>91</v>
      </c>
      <c r="I27" s="1">
        <v>64</v>
      </c>
      <c r="J27" s="1">
        <v>61</v>
      </c>
      <c r="K27" s="1">
        <v>77</v>
      </c>
      <c r="L27" s="1">
        <v>31</v>
      </c>
      <c r="M27" s="1">
        <v>19</v>
      </c>
      <c r="N27" s="1">
        <v>57</v>
      </c>
      <c r="O27" s="1">
        <v>34</v>
      </c>
      <c r="P27" s="1">
        <v>93</v>
      </c>
      <c r="Q27" s="1">
        <v>93</v>
      </c>
      <c r="R27" s="1">
        <v>28</v>
      </c>
      <c r="S27" s="1">
        <v>94</v>
      </c>
      <c r="T27" s="1">
        <v>35</v>
      </c>
      <c r="U27" s="1">
        <v>50</v>
      </c>
      <c r="V27" s="1">
        <v>95</v>
      </c>
      <c r="W27" s="1">
        <v>19</v>
      </c>
      <c r="X27" s="1">
        <v>53</v>
      </c>
      <c r="Y27" s="1">
        <v>57</v>
      </c>
      <c r="Z27" s="1">
        <v>39</v>
      </c>
      <c r="AA27" s="1">
        <v>41</v>
      </c>
      <c r="AB27" s="1">
        <v>82</v>
      </c>
      <c r="AC27" s="1">
        <v>93</v>
      </c>
      <c r="AD27" s="1">
        <v>42</v>
      </c>
      <c r="AE27" s="1">
        <v>51</v>
      </c>
      <c r="AF27" s="1">
        <v>60</v>
      </c>
      <c r="AG27" s="1">
        <v>87</v>
      </c>
    </row>
    <row r="28" spans="1:33" ht="15.75" customHeight="1" x14ac:dyDescent="0.2">
      <c r="A28" s="30">
        <v>27</v>
      </c>
      <c r="B28" s="1">
        <v>58</v>
      </c>
      <c r="C28" s="1">
        <v>60</v>
      </c>
      <c r="D28" s="1">
        <v>61</v>
      </c>
      <c r="E28" s="1">
        <v>16</v>
      </c>
      <c r="F28" s="1">
        <v>35</v>
      </c>
      <c r="G28" s="1">
        <v>54</v>
      </c>
      <c r="H28" s="1">
        <v>78</v>
      </c>
      <c r="I28" s="1">
        <v>99</v>
      </c>
      <c r="J28" s="1">
        <v>10</v>
      </c>
      <c r="K28" s="1">
        <v>97</v>
      </c>
      <c r="L28" s="1">
        <v>83</v>
      </c>
      <c r="M28" s="1">
        <v>59</v>
      </c>
      <c r="N28" s="1">
        <v>22</v>
      </c>
      <c r="O28" s="1">
        <v>95</v>
      </c>
      <c r="P28" s="1">
        <v>78</v>
      </c>
      <c r="Q28" s="1">
        <v>60</v>
      </c>
      <c r="R28" s="1">
        <v>73</v>
      </c>
      <c r="S28" s="1">
        <v>76</v>
      </c>
      <c r="T28" s="1">
        <v>65</v>
      </c>
      <c r="U28" s="1">
        <v>18</v>
      </c>
      <c r="V28" s="1">
        <v>32</v>
      </c>
      <c r="W28" s="1">
        <v>20</v>
      </c>
      <c r="X28" s="1">
        <v>66</v>
      </c>
      <c r="Y28" s="1">
        <v>76</v>
      </c>
      <c r="Z28" s="1">
        <v>76</v>
      </c>
      <c r="AA28" s="1">
        <v>77</v>
      </c>
      <c r="AB28" s="1">
        <v>69</v>
      </c>
      <c r="AC28" s="1">
        <v>66</v>
      </c>
      <c r="AD28" s="1">
        <v>70</v>
      </c>
      <c r="AE28" s="1">
        <v>12</v>
      </c>
      <c r="AF28" s="1">
        <v>71</v>
      </c>
      <c r="AG28" s="1">
        <v>51</v>
      </c>
    </row>
    <row r="29" spans="1:33" ht="15.75" customHeight="1" x14ac:dyDescent="0.2">
      <c r="A29" s="30">
        <v>28</v>
      </c>
      <c r="B29" s="1">
        <v>24</v>
      </c>
      <c r="C29" s="1">
        <v>86</v>
      </c>
      <c r="D29" s="1">
        <v>66</v>
      </c>
      <c r="E29" s="1">
        <v>4</v>
      </c>
      <c r="F29" s="1">
        <v>81</v>
      </c>
      <c r="G29" s="1">
        <v>95</v>
      </c>
      <c r="H29" s="1">
        <v>39</v>
      </c>
      <c r="I29" s="1">
        <v>22</v>
      </c>
      <c r="J29" s="1">
        <v>96</v>
      </c>
      <c r="K29" s="1">
        <v>75</v>
      </c>
      <c r="L29" s="1">
        <v>4</v>
      </c>
      <c r="M29" s="1">
        <v>9</v>
      </c>
      <c r="N29" s="1">
        <v>41</v>
      </c>
      <c r="O29" s="1">
        <v>50</v>
      </c>
      <c r="P29" s="1">
        <v>93</v>
      </c>
      <c r="Q29" s="1">
        <v>66</v>
      </c>
      <c r="R29" s="1">
        <v>50</v>
      </c>
      <c r="S29" s="1">
        <v>87</v>
      </c>
      <c r="T29" s="1">
        <v>24</v>
      </c>
      <c r="U29" s="1">
        <v>40</v>
      </c>
      <c r="V29" s="1">
        <v>55</v>
      </c>
      <c r="W29" s="1">
        <v>65</v>
      </c>
      <c r="X29" s="1">
        <v>13</v>
      </c>
      <c r="Y29" s="1">
        <v>66</v>
      </c>
      <c r="Z29" s="1">
        <v>91</v>
      </c>
      <c r="AA29" s="1">
        <v>55</v>
      </c>
      <c r="AB29" s="1">
        <v>58</v>
      </c>
      <c r="AC29" s="1">
        <v>13</v>
      </c>
      <c r="AD29" s="1">
        <v>82</v>
      </c>
      <c r="AE29" s="1">
        <v>12</v>
      </c>
      <c r="AF29" s="1">
        <v>82</v>
      </c>
      <c r="AG29" s="1">
        <v>61</v>
      </c>
    </row>
    <row r="30" spans="1:33" ht="15.75" customHeight="1" x14ac:dyDescent="0.2">
      <c r="A30" s="30">
        <v>29</v>
      </c>
      <c r="B30" s="1">
        <v>65</v>
      </c>
      <c r="C30" s="1">
        <v>47</v>
      </c>
      <c r="D30" s="1">
        <v>70</v>
      </c>
      <c r="E30" s="1">
        <v>41</v>
      </c>
      <c r="F30" s="1">
        <v>45</v>
      </c>
      <c r="G30" s="1">
        <v>60</v>
      </c>
      <c r="H30" s="1">
        <v>37</v>
      </c>
      <c r="I30" s="1">
        <v>9</v>
      </c>
      <c r="J30" s="1">
        <v>20</v>
      </c>
      <c r="K30" s="1">
        <v>15</v>
      </c>
      <c r="L30" s="1">
        <v>59</v>
      </c>
      <c r="M30" s="1">
        <v>47</v>
      </c>
      <c r="N30" s="1">
        <v>10</v>
      </c>
      <c r="O30" s="1">
        <v>71</v>
      </c>
      <c r="P30" s="1">
        <v>79</v>
      </c>
      <c r="Q30" s="1">
        <v>9</v>
      </c>
      <c r="R30" s="1">
        <v>68</v>
      </c>
      <c r="S30" s="1">
        <v>51</v>
      </c>
      <c r="T30" s="1">
        <v>94</v>
      </c>
      <c r="U30" s="1">
        <v>27</v>
      </c>
      <c r="V30" s="1">
        <v>70</v>
      </c>
      <c r="W30" s="1">
        <v>69</v>
      </c>
      <c r="X30" s="1">
        <v>94</v>
      </c>
      <c r="Y30" s="1">
        <v>45</v>
      </c>
      <c r="Z30" s="1">
        <v>26</v>
      </c>
      <c r="AA30" s="1">
        <v>94</v>
      </c>
      <c r="AB30" s="1">
        <v>69</v>
      </c>
      <c r="AC30" s="1">
        <v>72</v>
      </c>
      <c r="AD30" s="1">
        <v>29</v>
      </c>
      <c r="AE30" s="1">
        <v>90</v>
      </c>
      <c r="AF30" s="1">
        <v>60</v>
      </c>
      <c r="AG30" s="1">
        <v>89</v>
      </c>
    </row>
    <row r="31" spans="1:33" ht="15.75" customHeight="1" x14ac:dyDescent="0.2">
      <c r="A31" s="30">
        <v>30</v>
      </c>
      <c r="B31" s="1">
        <v>5</v>
      </c>
      <c r="C31" s="1">
        <v>1</v>
      </c>
      <c r="D31" s="1">
        <v>39</v>
      </c>
      <c r="E31" s="1">
        <v>28</v>
      </c>
      <c r="F31" s="1">
        <v>33</v>
      </c>
      <c r="G31" s="1">
        <v>91</v>
      </c>
      <c r="H31" s="1">
        <v>93</v>
      </c>
      <c r="I31" s="1">
        <v>84</v>
      </c>
      <c r="J31" s="1">
        <v>13</v>
      </c>
      <c r="K31" s="1">
        <v>53</v>
      </c>
      <c r="L31" s="1">
        <v>88</v>
      </c>
      <c r="M31" s="1">
        <v>70</v>
      </c>
      <c r="N31" s="1">
        <v>93</v>
      </c>
      <c r="O31" s="1">
        <v>91</v>
      </c>
      <c r="P31" s="1">
        <v>77</v>
      </c>
      <c r="Q31" s="1">
        <v>19</v>
      </c>
      <c r="R31" s="1">
        <v>34</v>
      </c>
      <c r="S31" s="1">
        <v>54</v>
      </c>
      <c r="T31" s="1">
        <v>46</v>
      </c>
      <c r="U31" s="1">
        <v>50</v>
      </c>
      <c r="V31" s="1">
        <v>40</v>
      </c>
      <c r="W31" s="1">
        <v>53</v>
      </c>
      <c r="X31" s="1">
        <v>6</v>
      </c>
      <c r="Y31" s="1">
        <v>86</v>
      </c>
      <c r="Z31" s="1">
        <v>84</v>
      </c>
      <c r="AA31" s="1">
        <v>15</v>
      </c>
      <c r="AB31" s="1">
        <v>88</v>
      </c>
      <c r="AC31" s="1">
        <v>94</v>
      </c>
      <c r="AD31" s="1">
        <v>64</v>
      </c>
      <c r="AE31" s="1">
        <v>69</v>
      </c>
      <c r="AF31" s="1">
        <v>41</v>
      </c>
      <c r="AG31" s="1">
        <v>50</v>
      </c>
    </row>
    <row r="32" spans="1:33" ht="15.75" customHeight="1" x14ac:dyDescent="0.2">
      <c r="A32" s="30">
        <v>31</v>
      </c>
      <c r="B32" s="1">
        <v>13</v>
      </c>
      <c r="C32" s="1">
        <v>50</v>
      </c>
      <c r="D32" s="1">
        <v>12</v>
      </c>
      <c r="E32" s="1">
        <v>47</v>
      </c>
      <c r="F32" s="1">
        <v>68</v>
      </c>
      <c r="G32" s="1">
        <v>11</v>
      </c>
      <c r="H32" s="1">
        <v>75</v>
      </c>
      <c r="I32" s="1">
        <v>63</v>
      </c>
      <c r="J32" s="1">
        <v>80</v>
      </c>
      <c r="K32" s="1">
        <v>70</v>
      </c>
      <c r="L32" s="1">
        <v>54</v>
      </c>
      <c r="M32" s="1">
        <v>68</v>
      </c>
      <c r="N32" s="1">
        <v>52</v>
      </c>
      <c r="O32" s="1">
        <v>45</v>
      </c>
      <c r="P32" s="1">
        <v>92</v>
      </c>
      <c r="Q32" s="1">
        <v>52</v>
      </c>
      <c r="R32" s="1">
        <v>84</v>
      </c>
      <c r="S32" s="1">
        <v>93</v>
      </c>
      <c r="T32" s="1">
        <v>57</v>
      </c>
      <c r="U32" s="1">
        <v>19</v>
      </c>
      <c r="V32" s="1">
        <v>50</v>
      </c>
      <c r="W32" s="1">
        <v>23</v>
      </c>
      <c r="X32" s="1">
        <v>27</v>
      </c>
      <c r="Y32" s="1">
        <v>20</v>
      </c>
      <c r="Z32" s="1">
        <v>97</v>
      </c>
      <c r="AA32" s="1">
        <v>92</v>
      </c>
      <c r="AB32" s="1">
        <v>32</v>
      </c>
      <c r="AC32" s="1">
        <v>56</v>
      </c>
      <c r="AD32" s="1">
        <v>58</v>
      </c>
      <c r="AE32" s="1">
        <v>18</v>
      </c>
      <c r="AF32" s="1">
        <v>75</v>
      </c>
      <c r="AG32" s="1">
        <v>7</v>
      </c>
    </row>
    <row r="33" spans="1:33" ht="15.75" customHeight="1" x14ac:dyDescent="0.2">
      <c r="A33" s="30">
        <v>32</v>
      </c>
      <c r="B33" s="1">
        <v>11</v>
      </c>
      <c r="C33" s="1">
        <v>65</v>
      </c>
      <c r="D33" s="1">
        <v>32</v>
      </c>
      <c r="E33" s="1">
        <v>46</v>
      </c>
      <c r="F33" s="1">
        <v>85</v>
      </c>
      <c r="G33" s="1">
        <v>26</v>
      </c>
      <c r="H33" s="1">
        <v>71</v>
      </c>
      <c r="I33" s="1">
        <v>70</v>
      </c>
      <c r="J33" s="1">
        <v>54</v>
      </c>
      <c r="K33" s="1">
        <v>25</v>
      </c>
      <c r="L33" s="1">
        <v>34</v>
      </c>
      <c r="M33" s="1">
        <v>59</v>
      </c>
      <c r="N33" s="1">
        <v>77</v>
      </c>
      <c r="O33" s="1">
        <v>46</v>
      </c>
      <c r="P33" s="1">
        <v>48</v>
      </c>
      <c r="Q33" s="1">
        <v>21</v>
      </c>
      <c r="R33" s="1">
        <v>28</v>
      </c>
      <c r="S33" s="1">
        <v>75</v>
      </c>
      <c r="T33" s="1">
        <v>76</v>
      </c>
      <c r="U33" s="1">
        <v>31</v>
      </c>
      <c r="V33" s="1">
        <v>36</v>
      </c>
      <c r="W33" s="1">
        <v>77</v>
      </c>
      <c r="X33" s="1">
        <v>31</v>
      </c>
      <c r="Y33" s="1">
        <v>32</v>
      </c>
      <c r="Z33" s="1">
        <v>90</v>
      </c>
      <c r="AA33" s="1">
        <v>46</v>
      </c>
      <c r="AB33" s="1">
        <v>58</v>
      </c>
      <c r="AC33" s="1">
        <v>78</v>
      </c>
      <c r="AD33" s="1">
        <v>99</v>
      </c>
      <c r="AE33" s="1">
        <v>72</v>
      </c>
      <c r="AF33" s="1">
        <v>77</v>
      </c>
      <c r="AG33" s="1">
        <v>13</v>
      </c>
    </row>
    <row r="34" spans="1:33" ht="15.75" customHeight="1" x14ac:dyDescent="0.15"/>
    <row r="35" spans="1:33" ht="15.75" customHeight="1" x14ac:dyDescent="0.2">
      <c r="B35" s="1">
        <f t="array" ref="B35:AG35">TRANSPOSE(AE2:AE33)</f>
        <v>62</v>
      </c>
      <c r="C35" s="1">
        <v>41</v>
      </c>
      <c r="D35" s="1">
        <v>54</v>
      </c>
      <c r="E35" s="1">
        <v>9</v>
      </c>
      <c r="F35" s="1">
        <v>36</v>
      </c>
      <c r="G35" s="1">
        <v>31</v>
      </c>
      <c r="H35" s="1">
        <v>85</v>
      </c>
      <c r="I35" s="1">
        <v>9</v>
      </c>
      <c r="J35" s="1">
        <v>66</v>
      </c>
      <c r="K35" s="1">
        <v>5</v>
      </c>
      <c r="L35" s="1">
        <v>34</v>
      </c>
      <c r="M35" s="1">
        <v>56</v>
      </c>
      <c r="N35" s="1">
        <v>97</v>
      </c>
      <c r="O35" s="1">
        <v>37</v>
      </c>
      <c r="P35" s="1">
        <v>89</v>
      </c>
      <c r="Q35" s="1">
        <v>33</v>
      </c>
      <c r="R35" s="1">
        <v>43</v>
      </c>
      <c r="S35" s="1">
        <v>16</v>
      </c>
      <c r="T35" s="1">
        <v>68</v>
      </c>
      <c r="U35" s="1">
        <v>2</v>
      </c>
      <c r="V35" s="1">
        <v>65</v>
      </c>
      <c r="W35" s="1">
        <v>97</v>
      </c>
      <c r="X35" s="1">
        <v>25</v>
      </c>
      <c r="Y35" s="1">
        <v>68</v>
      </c>
      <c r="Z35" s="1">
        <v>37</v>
      </c>
      <c r="AA35" s="1">
        <v>51</v>
      </c>
      <c r="AB35" s="1">
        <v>12</v>
      </c>
      <c r="AC35" s="1">
        <v>12</v>
      </c>
      <c r="AD35" s="1">
        <v>90</v>
      </c>
      <c r="AE35" s="1">
        <v>69</v>
      </c>
      <c r="AF35" s="1">
        <v>18</v>
      </c>
      <c r="AG35" s="1">
        <v>72</v>
      </c>
    </row>
    <row r="36" spans="1:33" ht="15.75" customHeight="1" x14ac:dyDescent="0.15"/>
    <row r="37" spans="1:33" ht="15.75" customHeight="1" x14ac:dyDescent="0.2">
      <c r="B37" s="1">
        <f t="array" ref="B37:AG37">TRANSPOSE(S2:S33)</f>
        <v>15</v>
      </c>
      <c r="C37" s="1">
        <v>55</v>
      </c>
      <c r="D37" s="1">
        <v>17</v>
      </c>
      <c r="E37" s="1">
        <v>77</v>
      </c>
      <c r="F37" s="1">
        <v>50</v>
      </c>
      <c r="G37" s="1">
        <v>36</v>
      </c>
      <c r="H37" s="1">
        <v>77</v>
      </c>
      <c r="I37" s="1">
        <v>93</v>
      </c>
      <c r="J37" s="1">
        <v>95</v>
      </c>
      <c r="K37" s="1">
        <v>77</v>
      </c>
      <c r="L37" s="1">
        <v>44</v>
      </c>
      <c r="M37" s="1">
        <v>10</v>
      </c>
      <c r="N37" s="1">
        <v>23</v>
      </c>
      <c r="O37" s="1">
        <v>83</v>
      </c>
      <c r="P37" s="1">
        <v>92</v>
      </c>
      <c r="Q37" s="1">
        <v>58</v>
      </c>
      <c r="R37" s="1">
        <v>32</v>
      </c>
      <c r="S37" s="1">
        <v>3</v>
      </c>
      <c r="T37" s="1">
        <v>71</v>
      </c>
      <c r="U37" s="1">
        <v>87</v>
      </c>
      <c r="V37" s="1">
        <v>71</v>
      </c>
      <c r="W37" s="1">
        <v>37</v>
      </c>
      <c r="X37" s="1">
        <v>90</v>
      </c>
      <c r="Y37" s="1">
        <v>56</v>
      </c>
      <c r="Z37" s="1">
        <v>6</v>
      </c>
      <c r="AA37" s="1">
        <v>94</v>
      </c>
      <c r="AB37" s="1">
        <v>76</v>
      </c>
      <c r="AC37" s="1">
        <v>87</v>
      </c>
      <c r="AD37" s="1">
        <v>51</v>
      </c>
      <c r="AE37" s="1">
        <v>54</v>
      </c>
      <c r="AF37" s="1">
        <v>93</v>
      </c>
      <c r="AG37" s="1">
        <v>75</v>
      </c>
    </row>
    <row r="38" spans="1:33" ht="15.75" customHeight="1" x14ac:dyDescent="0.15"/>
    <row r="39" spans="1:33" ht="15.75" customHeight="1" x14ac:dyDescent="0.2">
      <c r="B39">
        <f>SUM(SMALL(B21:AG21,{1,2,3,4,5,6,7,8,9,10}))</f>
        <v>185</v>
      </c>
      <c r="C39">
        <f>SUM(SMALL(B21:AG21,{1,2,3,4,5,6,7,8,9,10}))</f>
        <v>185</v>
      </c>
      <c r="D39" s="1">
        <f>SUM(SMALL(B21:AG21,{1,2,3,4,5,6,7,8,9,10}))</f>
        <v>185</v>
      </c>
      <c r="E39" s="17" t="s">
        <v>37</v>
      </c>
    </row>
    <row r="40" spans="1:33" ht="15.75" customHeight="1" x14ac:dyDescent="0.2">
      <c r="C40">
        <f>INDEX(B2:AG33,15,15)</f>
        <v>13</v>
      </c>
      <c r="D40" s="1">
        <f t="array" ref="D40">INDEX(B2:AG33,15,15)</f>
        <v>13</v>
      </c>
      <c r="E40" s="17" t="s">
        <v>38</v>
      </c>
    </row>
    <row r="41" spans="1:33" ht="15.75" customHeight="1" x14ac:dyDescent="0.2">
      <c r="C41">
        <f t="array" ref="C41">SUMPRODUCT(B12:AG12,TRANSPOSE(AE2:AE33))</f>
        <v>79204</v>
      </c>
      <c r="D41" s="1">
        <f>SUMPRODUCT(B12:AG12,B35:AG35)</f>
        <v>79204</v>
      </c>
      <c r="E41" s="17" t="s">
        <v>39</v>
      </c>
    </row>
    <row r="42" spans="1:33" ht="15.75" customHeight="1" x14ac:dyDescent="0.2">
      <c r="C42">
        <f>MATCH(LARGE(X2:X33,1),X2:X33,0)</f>
        <v>29</v>
      </c>
      <c r="D42" s="1">
        <f>MATCH(LARGE(X2:X33,1),X2:X33,0)</f>
        <v>29</v>
      </c>
      <c r="E42" s="17" t="s">
        <v>40</v>
      </c>
    </row>
    <row r="43" spans="1:33" ht="15.75" customHeight="1" x14ac:dyDescent="0.2">
      <c r="C43">
        <f>32*32-(32*32 - SUMPRODUCT(MOD(B2:AG33,2)))</f>
        <v>514</v>
      </c>
      <c r="D43" s="1">
        <f>SUMPRODUCT(MOD(B2:AG33,2))</f>
        <v>514</v>
      </c>
      <c r="E43" s="17" t="s">
        <v>41</v>
      </c>
    </row>
    <row r="44" spans="1:33" ht="15.75" customHeight="1" x14ac:dyDescent="0.2">
      <c r="C44">
        <f t="array" ref="C44">SUMXMY2(B2:AG2,TRANSPOSE(S2:S33))</f>
        <v>49054</v>
      </c>
      <c r="D44" s="1">
        <f>SUMXMY2(B2:AG2,B37:AG37)</f>
        <v>49054</v>
      </c>
      <c r="E44" s="17" t="s">
        <v>42</v>
      </c>
    </row>
    <row r="45" spans="1:33" ht="15.75" customHeight="1" x14ac:dyDescent="0.15"/>
    <row r="46" spans="1:33" ht="15.75" customHeight="1" x14ac:dyDescent="0.15"/>
    <row r="47" spans="1:33" ht="15.75" customHeight="1" x14ac:dyDescent="0.15"/>
    <row r="48" spans="1:3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00"/>
  <sheetViews>
    <sheetView tabSelected="1" topLeftCell="G1" workbookViewId="0">
      <selection activeCell="K13" sqref="K13"/>
    </sheetView>
  </sheetViews>
  <sheetFormatPr baseColWidth="10" defaultColWidth="12.6640625" defaultRowHeight="15" customHeight="1" x14ac:dyDescent="0.15"/>
  <cols>
    <col min="1" max="3" width="7.6640625" customWidth="1"/>
    <col min="4" max="4" width="11.33203125" customWidth="1"/>
    <col min="5" max="5" width="10.6640625" customWidth="1"/>
    <col min="6" max="6" width="11.1640625" customWidth="1"/>
    <col min="7" max="7" width="16.5" customWidth="1"/>
    <col min="8" max="9" width="7.6640625" customWidth="1"/>
    <col min="10" max="10" width="17" bestFit="1" customWidth="1"/>
    <col min="11" max="11" width="29" bestFit="1" customWidth="1"/>
    <col min="12" max="13" width="7.6640625" customWidth="1"/>
    <col min="14" max="14" width="87.6640625" customWidth="1"/>
    <col min="15" max="26" width="7.6640625" customWidth="1"/>
  </cols>
  <sheetData>
    <row r="1" spans="1:14" x14ac:dyDescent="0.15">
      <c r="A1" s="36"/>
      <c r="D1" s="15" t="s">
        <v>2516</v>
      </c>
      <c r="E1" s="15" t="s">
        <v>2517</v>
      </c>
      <c r="F1" s="15" t="s">
        <v>2518</v>
      </c>
      <c r="G1" s="15" t="s">
        <v>2519</v>
      </c>
      <c r="H1" s="15" t="s">
        <v>2520</v>
      </c>
    </row>
    <row r="2" spans="1:14" ht="64" x14ac:dyDescent="0.2">
      <c r="D2" s="24">
        <v>42011</v>
      </c>
      <c r="E2" s="21" t="s">
        <v>2521</v>
      </c>
      <c r="F2" s="21">
        <v>360</v>
      </c>
      <c r="G2" s="21">
        <f>IF(Сделки!$E2="Продажа",-1*Сделки!$F2,Сделки!$F2)</f>
        <v>-360</v>
      </c>
      <c r="H2" s="21">
        <f>VLOOKUP(Сделки!$D2,Акции!$E$2:$I$1353,2)*Сделки!$G2</f>
        <v>-5050.8</v>
      </c>
      <c r="L2">
        <f>(SUM(Table_4[Количество_net]))</f>
        <v>0</v>
      </c>
      <c r="M2" s="26">
        <v>31</v>
      </c>
      <c r="N2" s="7" t="s">
        <v>44</v>
      </c>
    </row>
    <row r="3" spans="1:14" ht="64" x14ac:dyDescent="0.2">
      <c r="D3" s="24">
        <v>42016</v>
      </c>
      <c r="E3" s="21" t="s">
        <v>2522</v>
      </c>
      <c r="F3" s="21">
        <v>60</v>
      </c>
      <c r="G3" s="21">
        <f>IF(Сделки!$E3="Продажа",-1*Сделки!$F3,Сделки!$F3)</f>
        <v>60</v>
      </c>
      <c r="H3" s="21">
        <f>VLOOKUP(Сделки!$D3,Акции!$E$2:$I$1353,2)*Сделки!$G3</f>
        <v>874.8</v>
      </c>
      <c r="M3" s="26">
        <v>32</v>
      </c>
      <c r="N3" s="7" t="s">
        <v>45</v>
      </c>
    </row>
    <row r="4" spans="1:14" ht="64" x14ac:dyDescent="0.2">
      <c r="D4" s="24">
        <v>42019</v>
      </c>
      <c r="E4" s="21" t="s">
        <v>2522</v>
      </c>
      <c r="F4" s="21">
        <v>480</v>
      </c>
      <c r="G4" s="21">
        <f>IF(Сделки!$E4="Продажа",-1*Сделки!$F4,Сделки!$F4)</f>
        <v>480</v>
      </c>
      <c r="H4" s="21">
        <f>VLOOKUP(Сделки!$D4,Акции!$E$2:$I$1353,2)*Сделки!$G4</f>
        <v>6868.8</v>
      </c>
      <c r="M4" s="26">
        <v>33</v>
      </c>
      <c r="N4" s="7" t="s">
        <v>46</v>
      </c>
    </row>
    <row r="5" spans="1:14" ht="48" x14ac:dyDescent="0.2">
      <c r="D5" s="24">
        <v>42020</v>
      </c>
      <c r="E5" s="21" t="s">
        <v>2521</v>
      </c>
      <c r="F5" s="21">
        <v>70</v>
      </c>
      <c r="G5" s="21">
        <f>IF(Сделки!$E5="Продажа",-1*Сделки!$F5,Сделки!$F5)</f>
        <v>-70</v>
      </c>
      <c r="H5" s="21">
        <f>VLOOKUP(Сделки!$D5,Акции!$E$2:$I$1353,2)*Сделки!$G5</f>
        <v>-1012.2</v>
      </c>
      <c r="M5" s="26">
        <v>34</v>
      </c>
      <c r="N5" s="7" t="s">
        <v>47</v>
      </c>
    </row>
    <row r="6" spans="1:14" ht="32" x14ac:dyDescent="0.2">
      <c r="D6" s="24">
        <v>42024</v>
      </c>
      <c r="E6" s="21" t="s">
        <v>2521</v>
      </c>
      <c r="F6" s="21">
        <v>350</v>
      </c>
      <c r="G6" s="21">
        <f>IF(Сделки!$E6="Продажа",-1*Сделки!$F6,Сделки!$F6)</f>
        <v>-350</v>
      </c>
      <c r="H6" s="21">
        <f>VLOOKUP(Сделки!$D6,Акции!$E$2:$I$1353,2)*Сделки!$G6</f>
        <v>-5015.5</v>
      </c>
      <c r="M6" s="26">
        <v>35</v>
      </c>
      <c r="N6" s="7" t="s">
        <v>48</v>
      </c>
    </row>
    <row r="7" spans="1:14" ht="32" x14ac:dyDescent="0.2">
      <c r="D7" s="24">
        <v>42024</v>
      </c>
      <c r="E7" s="21" t="s">
        <v>2521</v>
      </c>
      <c r="F7" s="21">
        <v>150</v>
      </c>
      <c r="G7" s="21">
        <f>IF(Сделки!$E7="Продажа",-1*Сделки!$F7,Сделки!$F7)</f>
        <v>-150</v>
      </c>
      <c r="H7" s="21">
        <f>VLOOKUP(Сделки!$D7,Акции!$E$2:$I$1353,2)*Сделки!$G7</f>
        <v>-2149.5</v>
      </c>
      <c r="M7" s="26">
        <v>36</v>
      </c>
      <c r="N7" s="7" t="s">
        <v>49</v>
      </c>
    </row>
    <row r="8" spans="1:14" x14ac:dyDescent="0.2">
      <c r="D8" s="24">
        <v>42025</v>
      </c>
      <c r="E8" s="21" t="s">
        <v>2522</v>
      </c>
      <c r="F8" s="21">
        <v>130</v>
      </c>
      <c r="G8" s="21">
        <f>IF(Сделки!$E8="Продажа",-1*Сделки!$F8,Сделки!$F8)</f>
        <v>130</v>
      </c>
      <c r="H8" s="21">
        <f>VLOOKUP(Сделки!$D8,Акции!$E$2:$I$1353,2)*Сделки!$G8</f>
        <v>1870.7</v>
      </c>
    </row>
    <row r="9" spans="1:14" x14ac:dyDescent="0.2">
      <c r="D9" s="24">
        <v>42030</v>
      </c>
      <c r="E9" s="21" t="s">
        <v>2522</v>
      </c>
      <c r="F9" s="21">
        <v>340</v>
      </c>
      <c r="G9" s="21">
        <f>IF(Сделки!$E9="Продажа",-1*Сделки!$F9,Сделки!$F9)</f>
        <v>340</v>
      </c>
      <c r="H9" s="21">
        <f>VLOOKUP(Сделки!$D9,Акции!$E$2:$I$1353,2)*Сделки!$G9</f>
        <v>5086.4000000000005</v>
      </c>
    </row>
    <row r="10" spans="1:14" x14ac:dyDescent="0.2">
      <c r="D10" s="24">
        <v>42031</v>
      </c>
      <c r="E10" s="21" t="s">
        <v>2522</v>
      </c>
      <c r="F10" s="21">
        <v>490</v>
      </c>
      <c r="G10" s="21">
        <f>IF(Сделки!$E10="Продажа",-1*Сделки!$F10,Сделки!$F10)</f>
        <v>490</v>
      </c>
      <c r="H10" s="21">
        <f>VLOOKUP(Сделки!$D10,Акции!$E$2:$I$1353,2)*Сделки!$G10</f>
        <v>7222.6</v>
      </c>
      <c r="J10" s="38"/>
      <c r="K10" s="39"/>
      <c r="L10" s="40"/>
    </row>
    <row r="11" spans="1:14" x14ac:dyDescent="0.2">
      <c r="D11" s="24">
        <v>42032</v>
      </c>
      <c r="E11" s="21" t="s">
        <v>2521</v>
      </c>
      <c r="F11" s="21">
        <v>260</v>
      </c>
      <c r="G11" s="21">
        <f>IF(Сделки!$E11="Продажа",-1*Сделки!$F11,Сделки!$F11)</f>
        <v>-260</v>
      </c>
      <c r="H11" s="21">
        <f>VLOOKUP(Сделки!$D11,Акции!$E$2:$I$1353,2)*Сделки!$G11</f>
        <v>-3793.4</v>
      </c>
      <c r="J11" s="41"/>
      <c r="K11" s="42"/>
      <c r="L11" s="43"/>
    </row>
    <row r="12" spans="1:14" x14ac:dyDescent="0.2">
      <c r="D12" s="24">
        <v>42041</v>
      </c>
      <c r="E12" s="21" t="s">
        <v>2522</v>
      </c>
      <c r="F12" s="21">
        <v>350</v>
      </c>
      <c r="G12" s="21">
        <f>IF(Сделки!$E12="Продажа",-1*Сделки!$F12,Сделки!$F12)</f>
        <v>350</v>
      </c>
      <c r="H12" s="21">
        <f>VLOOKUP(Сделки!$D12,Акции!$E$2:$I$1353,2)*Сделки!$G12</f>
        <v>5152</v>
      </c>
      <c r="J12" s="41"/>
      <c r="K12" s="42"/>
      <c r="L12" s="43"/>
    </row>
    <row r="13" spans="1:14" x14ac:dyDescent="0.2">
      <c r="D13" s="24">
        <v>42054</v>
      </c>
      <c r="E13" s="21" t="s">
        <v>2522</v>
      </c>
      <c r="F13" s="21">
        <v>130</v>
      </c>
      <c r="G13" s="21">
        <f>IF(Сделки!$E13="Продажа",-1*Сделки!$F13,Сделки!$F13)</f>
        <v>130</v>
      </c>
      <c r="H13" s="21">
        <f>VLOOKUP(Сделки!$D13,Акции!$E$2:$I$1353,2)*Сделки!$G13</f>
        <v>2138.5</v>
      </c>
      <c r="J13" s="41"/>
      <c r="K13" s="42"/>
      <c r="L13" s="43"/>
    </row>
    <row r="14" spans="1:14" x14ac:dyDescent="0.2">
      <c r="D14" s="24">
        <v>42055</v>
      </c>
      <c r="E14" s="21" t="s">
        <v>2521</v>
      </c>
      <c r="F14" s="21">
        <v>200</v>
      </c>
      <c r="G14" s="21">
        <f>IF(Сделки!$E14="Продажа",-1*Сделки!$F14,Сделки!$F14)</f>
        <v>-200</v>
      </c>
      <c r="H14" s="21">
        <f>VLOOKUP(Сделки!$D14,Акции!$E$2:$I$1353,2)*Сделки!$G14</f>
        <v>-3294</v>
      </c>
      <c r="J14" s="41"/>
      <c r="K14" s="42"/>
      <c r="L14" s="43"/>
    </row>
    <row r="15" spans="1:14" x14ac:dyDescent="0.2">
      <c r="D15" s="24">
        <v>42059</v>
      </c>
      <c r="E15" s="21" t="s">
        <v>2522</v>
      </c>
      <c r="F15" s="21">
        <v>270</v>
      </c>
      <c r="G15" s="21">
        <f>IF(Сделки!$E15="Продажа",-1*Сделки!$F15,Сделки!$F15)</f>
        <v>270</v>
      </c>
      <c r="H15" s="21">
        <f>VLOOKUP(Сделки!$D15,Акции!$E$2:$I$1353,2)*Сделки!$G15</f>
        <v>4487.4000000000005</v>
      </c>
      <c r="J15" s="41"/>
      <c r="K15" s="42"/>
      <c r="L15" s="43"/>
    </row>
    <row r="16" spans="1:14" x14ac:dyDescent="0.2">
      <c r="D16" s="24">
        <v>42068</v>
      </c>
      <c r="E16" s="21" t="s">
        <v>2522</v>
      </c>
      <c r="F16" s="21">
        <v>80</v>
      </c>
      <c r="G16" s="21">
        <f>IF(Сделки!$E16="Продажа",-1*Сделки!$F16,Сделки!$F16)</f>
        <v>80</v>
      </c>
      <c r="H16" s="21">
        <f>VLOOKUP(Сделки!$D16,Акции!$E$2:$I$1353,2)*Сделки!$G16</f>
        <v>1357.6</v>
      </c>
      <c r="J16" s="41"/>
      <c r="K16" s="42"/>
      <c r="L16" s="43"/>
    </row>
    <row r="17" spans="4:12" x14ac:dyDescent="0.2">
      <c r="D17" s="24">
        <v>42069</v>
      </c>
      <c r="E17" s="21" t="s">
        <v>2521</v>
      </c>
      <c r="F17" s="21">
        <v>340</v>
      </c>
      <c r="G17" s="21">
        <f>IF(Сделки!$E17="Продажа",-1*Сделки!$F17,Сделки!$F17)</f>
        <v>-340</v>
      </c>
      <c r="H17" s="21">
        <f>VLOOKUP(Сделки!$D17,Акции!$E$2:$I$1353,2)*Сделки!$G17</f>
        <v>-5630.4</v>
      </c>
      <c r="J17" s="41"/>
      <c r="K17" s="42"/>
      <c r="L17" s="43"/>
    </row>
    <row r="18" spans="4:12" x14ac:dyDescent="0.2">
      <c r="D18" s="24">
        <v>42075</v>
      </c>
      <c r="E18" s="21" t="s">
        <v>2522</v>
      </c>
      <c r="F18" s="21">
        <v>190</v>
      </c>
      <c r="G18" s="21">
        <f>IF(Сделки!$E18="Продажа",-1*Сделки!$F18,Сделки!$F18)</f>
        <v>190</v>
      </c>
      <c r="H18" s="21">
        <f>VLOOKUP(Сделки!$D18,Акции!$E$2:$I$1353,2)*Сделки!$G18</f>
        <v>3209.1</v>
      </c>
      <c r="J18" s="41"/>
      <c r="K18" s="42"/>
      <c r="L18" s="43"/>
    </row>
    <row r="19" spans="4:12" x14ac:dyDescent="0.2">
      <c r="D19" s="24">
        <v>42079</v>
      </c>
      <c r="E19" s="21" t="s">
        <v>2521</v>
      </c>
      <c r="F19" s="21">
        <v>290</v>
      </c>
      <c r="G19" s="21">
        <f>IF(Сделки!$E19="Продажа",-1*Сделки!$F19,Сделки!$F19)</f>
        <v>-290</v>
      </c>
      <c r="H19" s="21">
        <f>VLOOKUP(Сделки!$D19,Акции!$E$2:$I$1353,2)*Сделки!$G19</f>
        <v>-4999.5999999999995</v>
      </c>
      <c r="J19" s="41"/>
      <c r="K19" s="42"/>
      <c r="L19" s="43"/>
    </row>
    <row r="20" spans="4:12" x14ac:dyDescent="0.2">
      <c r="D20" s="24">
        <v>42079</v>
      </c>
      <c r="E20" s="21" t="s">
        <v>2521</v>
      </c>
      <c r="F20" s="21">
        <v>440</v>
      </c>
      <c r="G20" s="21">
        <f>IF(Сделки!$E20="Продажа",-1*Сделки!$F20,Сделки!$F20)</f>
        <v>-440</v>
      </c>
      <c r="H20" s="21">
        <f>VLOOKUP(Сделки!$D20,Акции!$E$2:$I$1353,2)*Сделки!$G20</f>
        <v>-7585.5999999999995</v>
      </c>
      <c r="J20" s="41"/>
      <c r="K20" s="42"/>
      <c r="L20" s="43"/>
    </row>
    <row r="21" spans="4:12" ht="15.75" customHeight="1" x14ac:dyDescent="0.2">
      <c r="D21" s="24">
        <v>42093</v>
      </c>
      <c r="E21" s="21" t="s">
        <v>2521</v>
      </c>
      <c r="F21" s="21">
        <v>10</v>
      </c>
      <c r="G21" s="21">
        <f>IF(Сделки!$E21="Продажа",-1*Сделки!$F21,Сделки!$F21)</f>
        <v>-10</v>
      </c>
      <c r="H21" s="21">
        <f>VLOOKUP(Сделки!$D21,Акции!$E$2:$I$1353,2)*Сделки!$G21</f>
        <v>-180.7</v>
      </c>
      <c r="J21" s="41"/>
      <c r="K21" s="42"/>
      <c r="L21" s="43"/>
    </row>
    <row r="22" spans="4:12" ht="15.75" customHeight="1" x14ac:dyDescent="0.2">
      <c r="D22" s="24">
        <v>42100</v>
      </c>
      <c r="E22" s="21" t="s">
        <v>2521</v>
      </c>
      <c r="F22" s="21">
        <v>60</v>
      </c>
      <c r="G22" s="21">
        <f>IF(Сделки!$E22="Продажа",-1*Сделки!$F22,Сделки!$F22)</f>
        <v>-60</v>
      </c>
      <c r="H22" s="21">
        <f>VLOOKUP(Сделки!$D22,Акции!$E$2:$I$1353,2)*Сделки!$G22</f>
        <v>-1060.8</v>
      </c>
      <c r="J22" s="41"/>
      <c r="K22" s="42"/>
      <c r="L22" s="43"/>
    </row>
    <row r="23" spans="4:12" ht="15.75" customHeight="1" x14ac:dyDescent="0.2">
      <c r="D23" s="24">
        <v>42101</v>
      </c>
      <c r="E23" s="21" t="s">
        <v>2521</v>
      </c>
      <c r="F23" s="21">
        <v>40</v>
      </c>
      <c r="G23" s="21">
        <f>IF(Сделки!$E23="Продажа",-1*Сделки!$F23,Сделки!$F23)</f>
        <v>-40</v>
      </c>
      <c r="H23" s="21">
        <f>VLOOKUP(Сделки!$D23,Акции!$E$2:$I$1353,2)*Сделки!$G23</f>
        <v>-707.6</v>
      </c>
      <c r="J23" s="41"/>
      <c r="K23" s="42"/>
      <c r="L23" s="43"/>
    </row>
    <row r="24" spans="4:12" ht="15.75" customHeight="1" x14ac:dyDescent="0.2">
      <c r="D24" s="24">
        <v>42107</v>
      </c>
      <c r="E24" s="21" t="s">
        <v>2522</v>
      </c>
      <c r="F24" s="21">
        <v>290</v>
      </c>
      <c r="G24" s="21">
        <f>IF(Сделки!$E24="Продажа",-1*Сделки!$F24,Сделки!$F24)</f>
        <v>290</v>
      </c>
      <c r="H24" s="21">
        <f>VLOOKUP(Сделки!$D24,Акции!$E$2:$I$1353,2)*Сделки!$G24</f>
        <v>5162</v>
      </c>
      <c r="J24" s="41"/>
      <c r="K24" s="42"/>
      <c r="L24" s="43"/>
    </row>
    <row r="25" spans="4:12" ht="15.75" customHeight="1" x14ac:dyDescent="0.2">
      <c r="D25" s="24">
        <v>42110</v>
      </c>
      <c r="E25" s="21" t="s">
        <v>2522</v>
      </c>
      <c r="F25" s="21">
        <v>410</v>
      </c>
      <c r="G25" s="21">
        <f>IF(Сделки!$E25="Продажа",-1*Сделки!$F25,Сделки!$F25)</f>
        <v>410</v>
      </c>
      <c r="H25" s="21">
        <f>VLOOKUP(Сделки!$D25,Акции!$E$2:$I$1353,2)*Сделки!$G25</f>
        <v>7445.6</v>
      </c>
      <c r="J25" s="41"/>
      <c r="K25" s="42"/>
      <c r="L25" s="43"/>
    </row>
    <row r="26" spans="4:12" ht="15.75" customHeight="1" x14ac:dyDescent="0.2">
      <c r="D26" s="24">
        <v>42125</v>
      </c>
      <c r="E26" s="21" t="s">
        <v>2522</v>
      </c>
      <c r="F26" s="21">
        <v>470</v>
      </c>
      <c r="G26" s="21">
        <f>IF(Сделки!$E26="Продажа",-1*Сделки!$F26,Сделки!$F26)</f>
        <v>470</v>
      </c>
      <c r="H26" s="21">
        <f>VLOOKUP(Сделки!$D26,Акции!$E$2:$I$1353,2)*Сделки!$G26</f>
        <v>8337.7999999999993</v>
      </c>
      <c r="J26" s="41"/>
      <c r="K26" s="42"/>
      <c r="L26" s="43"/>
    </row>
    <row r="27" spans="4:12" ht="15.75" customHeight="1" x14ac:dyDescent="0.2">
      <c r="D27" s="24">
        <v>42130</v>
      </c>
      <c r="E27" s="21" t="s">
        <v>2522</v>
      </c>
      <c r="F27" s="21">
        <v>330</v>
      </c>
      <c r="G27" s="21">
        <f>IF(Сделки!$E27="Продажа",-1*Сделки!$F27,Сделки!$F27)</f>
        <v>330</v>
      </c>
      <c r="H27" s="21">
        <f>VLOOKUP(Сделки!$D27,Акции!$E$2:$I$1353,2)*Сделки!$G27</f>
        <v>5709</v>
      </c>
      <c r="J27" s="44"/>
      <c r="K27" s="45"/>
      <c r="L27" s="46"/>
    </row>
    <row r="28" spans="4:12" ht="15.75" customHeight="1" x14ac:dyDescent="0.2">
      <c r="D28" s="24">
        <v>42137</v>
      </c>
      <c r="E28" s="21" t="s">
        <v>2522</v>
      </c>
      <c r="F28" s="21">
        <v>60</v>
      </c>
      <c r="G28" s="21">
        <f>IF(Сделки!$E28="Продажа",-1*Сделки!$F28,Сделки!$F28)</f>
        <v>60</v>
      </c>
      <c r="H28" s="21">
        <f>VLOOKUP(Сделки!$D28,Акции!$E$2:$I$1353,2)*Сделки!$G28</f>
        <v>1033.8</v>
      </c>
    </row>
    <row r="29" spans="4:12" ht="15.75" customHeight="1" x14ac:dyDescent="0.2">
      <c r="D29" s="24">
        <v>42138</v>
      </c>
      <c r="E29" s="21" t="s">
        <v>2522</v>
      </c>
      <c r="F29" s="21">
        <v>170</v>
      </c>
      <c r="G29" s="21">
        <f>IF(Сделки!$E29="Продажа",-1*Сделки!$F29,Сделки!$F29)</f>
        <v>170</v>
      </c>
      <c r="H29" s="21">
        <f>VLOOKUP(Сделки!$D29,Акции!$E$2:$I$1353,2)*Сделки!$G29</f>
        <v>3044.7</v>
      </c>
    </row>
    <row r="30" spans="4:12" ht="15.75" customHeight="1" x14ac:dyDescent="0.2">
      <c r="D30" s="24">
        <v>42139</v>
      </c>
      <c r="E30" s="21" t="s">
        <v>2522</v>
      </c>
      <c r="F30" s="21">
        <v>150</v>
      </c>
      <c r="G30" s="21">
        <f>IF(Сделки!$E30="Продажа",-1*Сделки!$F30,Сделки!$F30)</f>
        <v>150</v>
      </c>
      <c r="H30" s="21">
        <f>VLOOKUP(Сделки!$D30,Акции!$E$2:$I$1353,2)*Сделки!$G30</f>
        <v>2677.5</v>
      </c>
    </row>
    <row r="31" spans="4:12" ht="15.75" customHeight="1" x14ac:dyDescent="0.2">
      <c r="D31" s="24">
        <v>42144</v>
      </c>
      <c r="E31" s="21" t="s">
        <v>2521</v>
      </c>
      <c r="F31" s="21">
        <v>170</v>
      </c>
      <c r="G31" s="21">
        <f>IF(Сделки!$E31="Продажа",-1*Сделки!$F31,Сделки!$F31)</f>
        <v>-170</v>
      </c>
      <c r="H31" s="21">
        <f>VLOOKUP(Сделки!$D31,Акции!$E$2:$I$1353,2)*Сделки!$G31</f>
        <v>-3056.6</v>
      </c>
    </row>
    <row r="32" spans="4:12" ht="15.75" customHeight="1" x14ac:dyDescent="0.2">
      <c r="D32" s="24">
        <v>42151</v>
      </c>
      <c r="E32" s="21" t="s">
        <v>2522</v>
      </c>
      <c r="F32" s="21">
        <v>160</v>
      </c>
      <c r="G32" s="21">
        <f>IF(Сделки!$E32="Продажа",-1*Сделки!$F32,Сделки!$F32)</f>
        <v>160</v>
      </c>
      <c r="H32" s="21">
        <f>VLOOKUP(Сделки!$D32,Акции!$E$2:$I$1353,2)*Сделки!$G32</f>
        <v>2878.3999999999996</v>
      </c>
    </row>
    <row r="33" spans="4:8" ht="15.75" customHeight="1" x14ac:dyDescent="0.2">
      <c r="D33" s="24">
        <v>42151</v>
      </c>
      <c r="E33" s="21" t="s">
        <v>2522</v>
      </c>
      <c r="F33" s="21">
        <v>110</v>
      </c>
      <c r="G33" s="21">
        <f>IF(Сделки!$E33="Продажа",-1*Сделки!$F33,Сделки!$F33)</f>
        <v>110</v>
      </c>
      <c r="H33" s="21">
        <f>VLOOKUP(Сделки!$D33,Акции!$E$2:$I$1353,2)*Сделки!$G33</f>
        <v>1978.8999999999999</v>
      </c>
    </row>
    <row r="34" spans="4:8" ht="15.75" customHeight="1" x14ac:dyDescent="0.2">
      <c r="D34" s="24">
        <v>42152</v>
      </c>
      <c r="E34" s="21" t="s">
        <v>2522</v>
      </c>
      <c r="F34" s="21">
        <v>100</v>
      </c>
      <c r="G34" s="21">
        <f>IF(Сделки!$E34="Продажа",-1*Сделки!$F34,Сделки!$F34)</f>
        <v>100</v>
      </c>
      <c r="H34" s="21">
        <f>VLOOKUP(Сделки!$D34,Акции!$E$2:$I$1353,2)*Сделки!$G34</f>
        <v>1827</v>
      </c>
    </row>
    <row r="35" spans="4:8" ht="15.75" customHeight="1" x14ac:dyDescent="0.2">
      <c r="D35" s="24">
        <v>42156</v>
      </c>
      <c r="E35" s="21" t="s">
        <v>2521</v>
      </c>
      <c r="F35" s="21">
        <v>210</v>
      </c>
      <c r="G35" s="21">
        <f>IF(Сделки!$E35="Продажа",-1*Сделки!$F35,Сделки!$F35)</f>
        <v>-210</v>
      </c>
      <c r="H35" s="21">
        <f>VLOOKUP(Сделки!$D35,Акции!$E$2:$I$1353,2)*Сделки!$G35</f>
        <v>-3887.1000000000004</v>
      </c>
    </row>
    <row r="36" spans="4:8" ht="15.75" customHeight="1" x14ac:dyDescent="0.2">
      <c r="D36" s="24">
        <v>42158</v>
      </c>
      <c r="E36" s="21" t="s">
        <v>2521</v>
      </c>
      <c r="F36" s="21">
        <v>20</v>
      </c>
      <c r="G36" s="21">
        <f>IF(Сделки!$E36="Продажа",-1*Сделки!$F36,Сделки!$F36)</f>
        <v>-20</v>
      </c>
      <c r="H36" s="21">
        <f>VLOOKUP(Сделки!$D36,Акции!$E$2:$I$1353,2)*Сделки!$G36</f>
        <v>-364.6</v>
      </c>
    </row>
    <row r="37" spans="4:8" ht="15.75" customHeight="1" x14ac:dyDescent="0.2">
      <c r="D37" s="24">
        <v>42158</v>
      </c>
      <c r="E37" s="21" t="s">
        <v>2521</v>
      </c>
      <c r="F37" s="21">
        <v>70</v>
      </c>
      <c r="G37" s="21">
        <f>IF(Сделки!$E37="Продажа",-1*Сделки!$F37,Сделки!$F37)</f>
        <v>-70</v>
      </c>
      <c r="H37" s="21">
        <f>VLOOKUP(Сделки!$D37,Акции!$E$2:$I$1353,2)*Сделки!$G37</f>
        <v>-1276.1000000000001</v>
      </c>
    </row>
    <row r="38" spans="4:8" ht="15.75" customHeight="1" x14ac:dyDescent="0.2">
      <c r="D38" s="24">
        <v>42171</v>
      </c>
      <c r="E38" s="21" t="s">
        <v>2521</v>
      </c>
      <c r="F38" s="21">
        <v>230</v>
      </c>
      <c r="G38" s="21">
        <f>IF(Сделки!$E38="Продажа",-1*Сделки!$F38,Сделки!$F38)</f>
        <v>-230</v>
      </c>
      <c r="H38" s="21">
        <f>VLOOKUP(Сделки!$D38,Акции!$E$2:$I$1353,2)*Сделки!$G38</f>
        <v>-4043.3999999999996</v>
      </c>
    </row>
    <row r="39" spans="4:8" ht="15.75" customHeight="1" x14ac:dyDescent="0.2">
      <c r="D39" s="24">
        <v>42173</v>
      </c>
      <c r="E39" s="21" t="s">
        <v>2521</v>
      </c>
      <c r="F39" s="21">
        <v>230</v>
      </c>
      <c r="G39" s="21">
        <f>IF(Сделки!$E39="Продажа",-1*Сделки!$F39,Сделки!$F39)</f>
        <v>-230</v>
      </c>
      <c r="H39" s="21">
        <f>VLOOKUP(Сделки!$D39,Акции!$E$2:$I$1353,2)*Сделки!$G39</f>
        <v>-4144.5999999999995</v>
      </c>
    </row>
    <row r="40" spans="4:8" ht="15.75" customHeight="1" x14ac:dyDescent="0.2">
      <c r="D40" s="24">
        <v>42179</v>
      </c>
      <c r="E40" s="21" t="s">
        <v>2521</v>
      </c>
      <c r="F40" s="21">
        <v>210</v>
      </c>
      <c r="G40" s="21">
        <f>IF(Сделки!$E40="Продажа",-1*Сделки!$F40,Сделки!$F40)</f>
        <v>-210</v>
      </c>
      <c r="H40" s="21">
        <f>VLOOKUP(Сделки!$D40,Акции!$E$2:$I$1353,2)*Сделки!$G40</f>
        <v>-3767.4</v>
      </c>
    </row>
    <row r="41" spans="4:8" ht="15.75" customHeight="1" x14ac:dyDescent="0.2">
      <c r="D41" s="24">
        <v>42187</v>
      </c>
      <c r="E41" s="21" t="s">
        <v>2521</v>
      </c>
      <c r="F41" s="21">
        <v>260</v>
      </c>
      <c r="G41" s="21">
        <f>IF(Сделки!$E41="Продажа",-1*Сделки!$F41,Сделки!$F41)</f>
        <v>-260</v>
      </c>
      <c r="H41" s="21">
        <f>VLOOKUP(Сделки!$D41,Акции!$E$2:$I$1353,2)*Сделки!$G41</f>
        <v>-4568.2</v>
      </c>
    </row>
    <row r="42" spans="4:8" ht="15.75" customHeight="1" x14ac:dyDescent="0.2">
      <c r="D42" s="24">
        <v>42191</v>
      </c>
      <c r="E42" s="21" t="s">
        <v>2521</v>
      </c>
      <c r="F42" s="21">
        <v>470</v>
      </c>
      <c r="G42" s="21">
        <f>IF(Сделки!$E42="Продажа",-1*Сделки!$F42,Сделки!$F42)</f>
        <v>-470</v>
      </c>
      <c r="H42" s="21">
        <f>VLOOKUP(Сделки!$D42,Акции!$E$2:$I$1353,2)*Сделки!$G42</f>
        <v>-8248.5</v>
      </c>
    </row>
    <row r="43" spans="4:8" ht="15.75" customHeight="1" x14ac:dyDescent="0.2">
      <c r="D43" s="24">
        <v>42191</v>
      </c>
      <c r="E43" s="21" t="s">
        <v>2522</v>
      </c>
      <c r="F43" s="21">
        <v>410</v>
      </c>
      <c r="G43" s="21">
        <f>IF(Сделки!$E43="Продажа",-1*Сделки!$F43,Сделки!$F43)</f>
        <v>410</v>
      </c>
      <c r="H43" s="21">
        <f>VLOOKUP(Сделки!$D43,Акции!$E$2:$I$1353,2)*Сделки!$G43</f>
        <v>7195.5</v>
      </c>
    </row>
    <row r="44" spans="4:8" ht="15.75" customHeight="1" x14ac:dyDescent="0.2">
      <c r="D44" s="24">
        <v>42192</v>
      </c>
      <c r="E44" s="21" t="s">
        <v>2522</v>
      </c>
      <c r="F44" s="21">
        <v>160</v>
      </c>
      <c r="G44" s="21">
        <f>IF(Сделки!$E44="Продажа",-1*Сделки!$F44,Сделки!$F44)</f>
        <v>160</v>
      </c>
      <c r="H44" s="21">
        <f>VLOOKUP(Сделки!$D44,Акции!$E$2:$I$1353,2)*Сделки!$G44</f>
        <v>2846.3999999999996</v>
      </c>
    </row>
    <row r="45" spans="4:8" ht="15.75" customHeight="1" x14ac:dyDescent="0.2">
      <c r="D45" s="24">
        <v>42205</v>
      </c>
      <c r="E45" s="21" t="s">
        <v>2521</v>
      </c>
      <c r="F45" s="21">
        <v>200</v>
      </c>
      <c r="G45" s="21">
        <f>IF(Сделки!$E45="Продажа",-1*Сделки!$F45,Сделки!$F45)</f>
        <v>-200</v>
      </c>
      <c r="H45" s="21">
        <f>VLOOKUP(Сделки!$D45,Акции!$E$2:$I$1353,2)*Сделки!$G45</f>
        <v>-3576</v>
      </c>
    </row>
    <row r="46" spans="4:8" ht="15.75" customHeight="1" x14ac:dyDescent="0.2">
      <c r="D46" s="24">
        <v>42206</v>
      </c>
      <c r="E46" s="21" t="s">
        <v>2522</v>
      </c>
      <c r="F46" s="21">
        <v>290</v>
      </c>
      <c r="G46" s="21">
        <f>IF(Сделки!$E46="Продажа",-1*Сделки!$F46,Сделки!$F46)</f>
        <v>290</v>
      </c>
      <c r="H46" s="21">
        <f>VLOOKUP(Сделки!$D46,Акции!$E$2:$I$1353,2)*Сделки!$G46</f>
        <v>5150.4000000000005</v>
      </c>
    </row>
    <row r="47" spans="4:8" ht="15.75" customHeight="1" x14ac:dyDescent="0.2">
      <c r="D47" s="24">
        <v>42209</v>
      </c>
      <c r="E47" s="21" t="s">
        <v>2521</v>
      </c>
      <c r="F47" s="21">
        <v>130</v>
      </c>
      <c r="G47" s="21">
        <f>IF(Сделки!$E47="Продажа",-1*Сделки!$F47,Сделки!$F47)</f>
        <v>-130</v>
      </c>
      <c r="H47" s="21">
        <f>VLOOKUP(Сделки!$D47,Акции!$E$2:$I$1353,2)*Сделки!$G47</f>
        <v>-2256.7999999999997</v>
      </c>
    </row>
    <row r="48" spans="4:8" ht="15.75" customHeight="1" x14ac:dyDescent="0.2">
      <c r="D48" s="24">
        <v>42216</v>
      </c>
      <c r="E48" s="21" t="s">
        <v>2522</v>
      </c>
      <c r="F48" s="21">
        <v>110</v>
      </c>
      <c r="G48" s="21">
        <f>IF(Сделки!$E48="Продажа",-1*Сделки!$F48,Сделки!$F48)</f>
        <v>110</v>
      </c>
      <c r="H48" s="21">
        <f>VLOOKUP(Сделки!$D48,Акции!$E$2:$I$1353,2)*Сделки!$G48</f>
        <v>1907.4</v>
      </c>
    </row>
    <row r="49" spans="4:8" ht="15.75" customHeight="1" x14ac:dyDescent="0.2">
      <c r="D49" s="24">
        <v>42220</v>
      </c>
      <c r="E49" s="21" t="s">
        <v>2521</v>
      </c>
      <c r="F49" s="21">
        <v>390</v>
      </c>
      <c r="G49" s="21">
        <f>IF(Сделки!$E49="Продажа",-1*Сделки!$F49,Сделки!$F49)</f>
        <v>-390</v>
      </c>
      <c r="H49" s="21">
        <f>VLOOKUP(Сделки!$D49,Акции!$E$2:$I$1353,2)*Сделки!$G49</f>
        <v>-6665.1</v>
      </c>
    </row>
    <row r="50" spans="4:8" ht="15.75" customHeight="1" x14ac:dyDescent="0.2">
      <c r="D50" s="24">
        <v>42221</v>
      </c>
      <c r="E50" s="21" t="s">
        <v>2522</v>
      </c>
      <c r="F50" s="21">
        <v>230</v>
      </c>
      <c r="G50" s="21">
        <f>IF(Сделки!$E50="Продажа",-1*Сделки!$F50,Сделки!$F50)</f>
        <v>230</v>
      </c>
      <c r="H50" s="21">
        <f>VLOOKUP(Сделки!$D50,Акции!$E$2:$I$1353,2)*Сделки!$G50</f>
        <v>4064.1000000000004</v>
      </c>
    </row>
    <row r="51" spans="4:8" ht="15.75" customHeight="1" x14ac:dyDescent="0.2">
      <c r="D51" s="24">
        <v>42221</v>
      </c>
      <c r="E51" s="21" t="s">
        <v>2521</v>
      </c>
      <c r="F51" s="21">
        <v>480</v>
      </c>
      <c r="G51" s="21">
        <f>IF(Сделки!$E51="Продажа",-1*Сделки!$F51,Сделки!$F51)</f>
        <v>-480</v>
      </c>
      <c r="H51" s="21">
        <f>VLOOKUP(Сделки!$D51,Акции!$E$2:$I$1353,2)*Сделки!$G51</f>
        <v>-8481.6</v>
      </c>
    </row>
    <row r="52" spans="4:8" ht="15.75" customHeight="1" x14ac:dyDescent="0.2">
      <c r="D52" s="24">
        <v>42222</v>
      </c>
      <c r="E52" s="21" t="s">
        <v>2522</v>
      </c>
      <c r="F52" s="21">
        <v>340</v>
      </c>
      <c r="G52" s="21">
        <f>IF(Сделки!$E52="Продажа",-1*Сделки!$F52,Сделки!$F52)</f>
        <v>340</v>
      </c>
      <c r="H52" s="21">
        <f>VLOOKUP(Сделки!$D52,Акции!$E$2:$I$1353,2)*Сделки!$G52</f>
        <v>5922.8</v>
      </c>
    </row>
    <row r="53" spans="4:8" ht="15.75" customHeight="1" x14ac:dyDescent="0.2">
      <c r="D53" s="24">
        <v>42226</v>
      </c>
      <c r="E53" s="21" t="s">
        <v>2522</v>
      </c>
      <c r="F53" s="21">
        <v>220</v>
      </c>
      <c r="G53" s="21">
        <f>IF(Сделки!$E53="Продажа",-1*Сделки!$F53,Сделки!$F53)</f>
        <v>220</v>
      </c>
      <c r="H53" s="21">
        <f>VLOOKUP(Сделки!$D53,Акции!$E$2:$I$1353,2)*Сделки!$G53</f>
        <v>3812.5999999999995</v>
      </c>
    </row>
    <row r="54" spans="4:8" ht="15.75" customHeight="1" x14ac:dyDescent="0.2">
      <c r="D54" s="24">
        <v>42234</v>
      </c>
      <c r="E54" s="21" t="s">
        <v>2521</v>
      </c>
      <c r="F54" s="21">
        <v>210</v>
      </c>
      <c r="G54" s="21">
        <f>IF(Сделки!$E54="Продажа",-1*Сделки!$F54,Сделки!$F54)</f>
        <v>-210</v>
      </c>
      <c r="H54" s="21">
        <f>VLOOKUP(Сделки!$D54,Акции!$E$2:$I$1353,2)*Сделки!$G54</f>
        <v>-3687.6</v>
      </c>
    </row>
    <row r="55" spans="4:8" ht="15.75" customHeight="1" x14ac:dyDescent="0.2">
      <c r="D55" s="24">
        <v>42236</v>
      </c>
      <c r="E55" s="21" t="s">
        <v>2522</v>
      </c>
      <c r="F55" s="21">
        <v>340</v>
      </c>
      <c r="G55" s="21">
        <f>IF(Сделки!$E55="Продажа",-1*Сделки!$F55,Сделки!$F55)</f>
        <v>340</v>
      </c>
      <c r="H55" s="21">
        <f>VLOOKUP(Сделки!$D55,Акции!$E$2:$I$1353,2)*Сделки!$G55</f>
        <v>5735.8</v>
      </c>
    </row>
    <row r="56" spans="4:8" ht="15.75" customHeight="1" x14ac:dyDescent="0.2">
      <c r="D56" s="24">
        <v>42237</v>
      </c>
      <c r="E56" s="21" t="s">
        <v>2522</v>
      </c>
      <c r="F56" s="21">
        <v>280</v>
      </c>
      <c r="G56" s="21">
        <f>IF(Сделки!$E56="Продажа",-1*Сделки!$F56,Сделки!$F56)</f>
        <v>280</v>
      </c>
      <c r="H56" s="21">
        <f>VLOOKUP(Сделки!$D56,Акции!$E$2:$I$1353,2)*Сделки!$G56</f>
        <v>4578</v>
      </c>
    </row>
    <row r="57" spans="4:8" ht="15.75" customHeight="1" x14ac:dyDescent="0.2">
      <c r="D57" s="24">
        <v>42249</v>
      </c>
      <c r="E57" s="21" t="s">
        <v>2521</v>
      </c>
      <c r="F57" s="21">
        <v>280</v>
      </c>
      <c r="G57" s="21">
        <f>IF(Сделки!$E57="Продажа",-1*Сделки!$F57,Сделки!$F57)</f>
        <v>-280</v>
      </c>
      <c r="H57" s="21">
        <f>VLOOKUP(Сделки!$D57,Акции!$E$2:$I$1353,2)*Сделки!$G57</f>
        <v>-4622.8</v>
      </c>
    </row>
    <row r="58" spans="4:8" ht="15.75" customHeight="1" x14ac:dyDescent="0.2">
      <c r="D58" s="24">
        <v>42251</v>
      </c>
      <c r="E58" s="21" t="s">
        <v>2521</v>
      </c>
      <c r="F58" s="21">
        <v>470</v>
      </c>
      <c r="G58" s="21">
        <f>IF(Сделки!$E58="Продажа",-1*Сделки!$F58,Сделки!$F58)</f>
        <v>-470</v>
      </c>
      <c r="H58" s="21">
        <f>VLOOKUP(Сделки!$D58,Акции!$E$2:$I$1353,2)*Сделки!$G58</f>
        <v>-7632.7999999999993</v>
      </c>
    </row>
    <row r="59" spans="4:8" ht="15.75" customHeight="1" x14ac:dyDescent="0.2">
      <c r="D59" s="24">
        <v>42256</v>
      </c>
      <c r="E59" s="21" t="s">
        <v>2522</v>
      </c>
      <c r="F59" s="21">
        <v>70</v>
      </c>
      <c r="G59" s="21">
        <f>IF(Сделки!$E59="Продажа",-1*Сделки!$F59,Сделки!$F59)</f>
        <v>70</v>
      </c>
      <c r="H59" s="21">
        <f>VLOOKUP(Сделки!$D59,Акции!$E$2:$I$1353,2)*Сделки!$G59</f>
        <v>1164.0999999999999</v>
      </c>
    </row>
    <row r="60" spans="4:8" ht="15.75" customHeight="1" x14ac:dyDescent="0.2">
      <c r="D60" s="24">
        <v>42261</v>
      </c>
      <c r="E60" s="21" t="s">
        <v>2522</v>
      </c>
      <c r="F60" s="21">
        <v>420</v>
      </c>
      <c r="G60" s="21">
        <f>IF(Сделки!$E60="Продажа",-1*Сделки!$F60,Сделки!$F60)</f>
        <v>420</v>
      </c>
      <c r="H60" s="21">
        <f>VLOOKUP(Сделки!$D60,Акции!$E$2:$I$1353,2)*Сделки!$G60</f>
        <v>7026.6</v>
      </c>
    </row>
    <row r="61" spans="4:8" ht="15.75" customHeight="1" x14ac:dyDescent="0.2">
      <c r="D61" s="24">
        <v>42264</v>
      </c>
      <c r="E61" s="21" t="s">
        <v>2521</v>
      </c>
      <c r="F61" s="21">
        <v>30</v>
      </c>
      <c r="G61" s="21">
        <f>IF(Сделки!$E61="Продажа",-1*Сделки!$F61,Сделки!$F61)</f>
        <v>-30</v>
      </c>
      <c r="H61" s="21">
        <f>VLOOKUP(Сделки!$D61,Акции!$E$2:$I$1353,2)*Сделки!$G61</f>
        <v>-516</v>
      </c>
    </row>
    <row r="62" spans="4:8" ht="15.75" customHeight="1" x14ac:dyDescent="0.2">
      <c r="D62" s="24">
        <v>42277</v>
      </c>
      <c r="E62" s="21" t="s">
        <v>2522</v>
      </c>
      <c r="F62" s="21">
        <v>130</v>
      </c>
      <c r="G62" s="21">
        <f>IF(Сделки!$E62="Продажа",-1*Сделки!$F62,Сделки!$F62)</f>
        <v>130</v>
      </c>
      <c r="H62" s="21">
        <f>VLOOKUP(Сделки!$D62,Акции!$E$2:$I$1353,2)*Сделки!$G62</f>
        <v>2133.3000000000002</v>
      </c>
    </row>
    <row r="63" spans="4:8" ht="15.75" customHeight="1" x14ac:dyDescent="0.2">
      <c r="D63" s="24">
        <v>42293</v>
      </c>
      <c r="E63" s="21" t="s">
        <v>2522</v>
      </c>
      <c r="F63" s="21">
        <v>380</v>
      </c>
      <c r="G63" s="21">
        <f>IF(Сделки!$E63="Продажа",-1*Сделки!$F63,Сделки!$F63)</f>
        <v>380</v>
      </c>
      <c r="H63" s="21">
        <f>VLOOKUP(Сделки!$D63,Акции!$E$2:$I$1353,2)*Сделки!$G63</f>
        <v>6486.6</v>
      </c>
    </row>
    <row r="64" spans="4:8" ht="15.75" customHeight="1" x14ac:dyDescent="0.2">
      <c r="D64" s="24">
        <v>42296</v>
      </c>
      <c r="E64" s="21" t="s">
        <v>2521</v>
      </c>
      <c r="F64" s="21">
        <v>200</v>
      </c>
      <c r="G64" s="21">
        <f>IF(Сделки!$E64="Продажа",-1*Сделки!$F64,Сделки!$F64)</f>
        <v>-200</v>
      </c>
      <c r="H64" s="21">
        <f>VLOOKUP(Сделки!$D64,Акции!$E$2:$I$1353,2)*Сделки!$G64</f>
        <v>-3415.9999999999995</v>
      </c>
    </row>
    <row r="65" spans="4:8" ht="15.75" customHeight="1" x14ac:dyDescent="0.2">
      <c r="D65" s="24">
        <v>42297</v>
      </c>
      <c r="E65" s="21" t="s">
        <v>2522</v>
      </c>
      <c r="F65" s="21">
        <v>480</v>
      </c>
      <c r="G65" s="21">
        <f>IF(Сделки!$E65="Продажа",-1*Сделки!$F65,Сделки!$F65)</f>
        <v>480</v>
      </c>
      <c r="H65" s="21">
        <f>VLOOKUP(Сделки!$D65,Акции!$E$2:$I$1353,2)*Сделки!$G65</f>
        <v>8251.2000000000007</v>
      </c>
    </row>
    <row r="66" spans="4:8" ht="15.75" customHeight="1" x14ac:dyDescent="0.2">
      <c r="D66" s="24">
        <v>42299</v>
      </c>
      <c r="E66" s="21" t="s">
        <v>2522</v>
      </c>
      <c r="F66" s="21">
        <v>430</v>
      </c>
      <c r="G66" s="21">
        <f>IF(Сделки!$E66="Продажа",-1*Сделки!$F66,Сделки!$F66)</f>
        <v>430</v>
      </c>
      <c r="H66" s="21">
        <f>VLOOKUP(Сделки!$D66,Акции!$E$2:$I$1353,2)*Сделки!$G66</f>
        <v>7060.6</v>
      </c>
    </row>
    <row r="67" spans="4:8" ht="15.75" customHeight="1" x14ac:dyDescent="0.2">
      <c r="D67" s="24">
        <v>42303</v>
      </c>
      <c r="E67" s="21" t="s">
        <v>2522</v>
      </c>
      <c r="F67" s="21">
        <v>100</v>
      </c>
      <c r="G67" s="21">
        <f>IF(Сделки!$E67="Продажа",-1*Сделки!$F67,Сделки!$F67)</f>
        <v>100</v>
      </c>
      <c r="H67" s="21">
        <f>VLOOKUP(Сделки!$D67,Акции!$E$2:$I$1353,2)*Сделки!$G67</f>
        <v>1670</v>
      </c>
    </row>
    <row r="68" spans="4:8" ht="15.75" customHeight="1" x14ac:dyDescent="0.2">
      <c r="D68" s="24">
        <v>42310</v>
      </c>
      <c r="E68" s="21" t="s">
        <v>2521</v>
      </c>
      <c r="F68" s="21">
        <v>390</v>
      </c>
      <c r="G68" s="21">
        <f>IF(Сделки!$E68="Продажа",-1*Сделки!$F68,Сделки!$F68)</f>
        <v>-390</v>
      </c>
      <c r="H68" s="21">
        <f>VLOOKUP(Сделки!$D68,Акции!$E$2:$I$1353,2)*Сделки!$G68</f>
        <v>-7355.4</v>
      </c>
    </row>
    <row r="69" spans="4:8" ht="15.75" customHeight="1" x14ac:dyDescent="0.2">
      <c r="D69" s="24">
        <v>42326</v>
      </c>
      <c r="E69" s="21" t="s">
        <v>2521</v>
      </c>
      <c r="F69" s="21">
        <v>350</v>
      </c>
      <c r="G69" s="21">
        <f>IF(Сделки!$E69="Продажа",-1*Сделки!$F69,Сделки!$F69)</f>
        <v>-350</v>
      </c>
      <c r="H69" s="21">
        <f>VLOOKUP(Сделки!$D69,Акции!$E$2:$I$1353,2)*Сделки!$G69</f>
        <v>-6219.5</v>
      </c>
    </row>
    <row r="70" spans="4:8" ht="15.75" customHeight="1" x14ac:dyDescent="0.2">
      <c r="D70" s="24">
        <v>42326</v>
      </c>
      <c r="E70" s="21" t="s">
        <v>2521</v>
      </c>
      <c r="F70" s="21">
        <v>60</v>
      </c>
      <c r="G70" s="21">
        <f>IF(Сделки!$E70="Продажа",-1*Сделки!$F70,Сделки!$F70)</f>
        <v>-60</v>
      </c>
      <c r="H70" s="21">
        <f>VLOOKUP(Сделки!$D70,Акции!$E$2:$I$1353,2)*Сделки!$G70</f>
        <v>-1066.2</v>
      </c>
    </row>
    <row r="71" spans="4:8" ht="15.75" customHeight="1" x14ac:dyDescent="0.2">
      <c r="D71" s="24">
        <v>42331</v>
      </c>
      <c r="E71" s="21" t="s">
        <v>2522</v>
      </c>
      <c r="F71" s="21">
        <v>80</v>
      </c>
      <c r="G71" s="21">
        <f>IF(Сделки!$E71="Продажа",-1*Сделки!$F71,Сделки!$F71)</f>
        <v>80</v>
      </c>
      <c r="H71" s="21">
        <f>VLOOKUP(Сделки!$D71,Акции!$E$2:$I$1353,2)*Сделки!$G71</f>
        <v>1448</v>
      </c>
    </row>
    <row r="72" spans="4:8" ht="15.75" customHeight="1" x14ac:dyDescent="0.2">
      <c r="D72" s="24">
        <v>42339</v>
      </c>
      <c r="E72" s="21" t="s">
        <v>2522</v>
      </c>
      <c r="F72" s="21">
        <v>380</v>
      </c>
      <c r="G72" s="21">
        <f>IF(Сделки!$E72="Продажа",-1*Сделки!$F72,Сделки!$F72)</f>
        <v>380</v>
      </c>
      <c r="H72" s="21">
        <f>VLOOKUP(Сделки!$D72,Акции!$E$2:$I$1353,2)*Сделки!$G72</f>
        <v>7037.5999999999995</v>
      </c>
    </row>
    <row r="73" spans="4:8" ht="15.75" customHeight="1" x14ac:dyDescent="0.2">
      <c r="D73" s="24">
        <v>42339</v>
      </c>
      <c r="E73" s="21" t="s">
        <v>2522</v>
      </c>
      <c r="F73" s="21">
        <v>170</v>
      </c>
      <c r="G73" s="21">
        <f>IF(Сделки!$E73="Продажа",-1*Сделки!$F73,Сделки!$F73)</f>
        <v>170</v>
      </c>
      <c r="H73" s="21">
        <f>VLOOKUP(Сделки!$D73,Акции!$E$2:$I$1353,2)*Сделки!$G73</f>
        <v>3148.4</v>
      </c>
    </row>
    <row r="74" spans="4:8" ht="15.75" customHeight="1" x14ac:dyDescent="0.2">
      <c r="D74" s="24">
        <v>42345</v>
      </c>
      <c r="E74" s="21" t="s">
        <v>2521</v>
      </c>
      <c r="F74" s="21">
        <v>190</v>
      </c>
      <c r="G74" s="21">
        <f>IF(Сделки!$E74="Продажа",-1*Сделки!$F74,Сделки!$F74)</f>
        <v>-190</v>
      </c>
      <c r="H74" s="21">
        <f>VLOOKUP(Сделки!$D74,Акции!$E$2:$I$1353,2)*Сделки!$G74</f>
        <v>-3528.3</v>
      </c>
    </row>
    <row r="75" spans="4:8" ht="15.75" customHeight="1" x14ac:dyDescent="0.2">
      <c r="D75" s="24">
        <v>42345</v>
      </c>
      <c r="E75" s="21" t="s">
        <v>2522</v>
      </c>
      <c r="F75" s="21">
        <v>490</v>
      </c>
      <c r="G75" s="21">
        <f>IF(Сделки!$E75="Продажа",-1*Сделки!$F75,Сделки!$F75)</f>
        <v>490</v>
      </c>
      <c r="H75" s="21">
        <f>VLOOKUP(Сделки!$D75,Акции!$E$2:$I$1353,2)*Сделки!$G75</f>
        <v>9099.2999999999993</v>
      </c>
    </row>
    <row r="76" spans="4:8" ht="15.75" customHeight="1" x14ac:dyDescent="0.2">
      <c r="D76" s="24">
        <v>42346</v>
      </c>
      <c r="E76" s="21" t="s">
        <v>2521</v>
      </c>
      <c r="F76" s="21">
        <v>160</v>
      </c>
      <c r="G76" s="21">
        <f>IF(Сделки!$E76="Продажа",-1*Сделки!$F76,Сделки!$F76)</f>
        <v>-160</v>
      </c>
      <c r="H76" s="21">
        <f>VLOOKUP(Сделки!$D76,Акции!$E$2:$I$1353,2)*Сделки!$G76</f>
        <v>-2996.8</v>
      </c>
    </row>
    <row r="77" spans="4:8" ht="15.75" customHeight="1" x14ac:dyDescent="0.2">
      <c r="D77" s="24">
        <v>42362</v>
      </c>
      <c r="E77" s="21" t="s">
        <v>2521</v>
      </c>
      <c r="F77" s="21">
        <v>410</v>
      </c>
      <c r="G77" s="21">
        <f>IF(Сделки!$E77="Продажа",-1*Сделки!$F77,Сделки!$F77)</f>
        <v>-410</v>
      </c>
      <c r="H77" s="21">
        <f>VLOOKUP(Сделки!$D77,Акции!$E$2:$I$1353,2)*Сделки!$G77</f>
        <v>-7675.2</v>
      </c>
    </row>
    <row r="78" spans="4:8" ht="15.75" customHeight="1" x14ac:dyDescent="0.2">
      <c r="D78" s="24">
        <v>42375</v>
      </c>
      <c r="E78" s="21" t="s">
        <v>2521</v>
      </c>
      <c r="F78" s="21">
        <v>470</v>
      </c>
      <c r="G78" s="21">
        <f>IF(Сделки!$E78="Продажа",-1*Сделки!$F78,Сделки!$F78)</f>
        <v>-470</v>
      </c>
      <c r="H78" s="21">
        <f>VLOOKUP(Сделки!$D78,Акции!$E$2:$I$1353,2)*Сделки!$G78</f>
        <v>-8460</v>
      </c>
    </row>
    <row r="79" spans="4:8" ht="15.75" customHeight="1" x14ac:dyDescent="0.2">
      <c r="D79" s="24">
        <v>42376</v>
      </c>
      <c r="E79" s="21" t="s">
        <v>2522</v>
      </c>
      <c r="F79" s="21">
        <v>390</v>
      </c>
      <c r="G79" s="21">
        <f>IF(Сделки!$E79="Продажа",-1*Сделки!$F79,Сделки!$F79)</f>
        <v>390</v>
      </c>
      <c r="H79" s="21">
        <f>VLOOKUP(Сделки!$D79,Акции!$E$2:$I$1353,2)*Сделки!$G79</f>
        <v>6879.6</v>
      </c>
    </row>
    <row r="80" spans="4:8" ht="15.75" customHeight="1" x14ac:dyDescent="0.2">
      <c r="D80" s="24">
        <v>42377</v>
      </c>
      <c r="E80" s="21" t="s">
        <v>2521</v>
      </c>
      <c r="F80" s="21">
        <v>380</v>
      </c>
      <c r="G80" s="21">
        <f>IF(Сделки!$E80="Продажа",-1*Сделки!$F80,Сделки!$F80)</f>
        <v>-380</v>
      </c>
      <c r="H80" s="21">
        <f>VLOOKUP(Сделки!$D80,Акции!$E$2:$I$1353,2)*Сделки!$G80</f>
        <v>-6623.4</v>
      </c>
    </row>
    <row r="81" spans="4:8" ht="15.75" customHeight="1" x14ac:dyDescent="0.2">
      <c r="D81" s="24">
        <v>42380</v>
      </c>
      <c r="E81" s="21" t="s">
        <v>2522</v>
      </c>
      <c r="F81" s="21">
        <v>170</v>
      </c>
      <c r="G81" s="21">
        <f>IF(Сделки!$E81="Продажа",-1*Сделки!$F81,Сделки!$F81)</f>
        <v>170</v>
      </c>
      <c r="H81" s="21">
        <f>VLOOKUP(Сделки!$D81,Акции!$E$2:$I$1353,2)*Сделки!$G81</f>
        <v>2912.1</v>
      </c>
    </row>
    <row r="82" spans="4:8" ht="15.75" customHeight="1" x14ac:dyDescent="0.2">
      <c r="D82" s="24">
        <v>42382</v>
      </c>
      <c r="E82" s="21" t="s">
        <v>2522</v>
      </c>
      <c r="F82" s="21">
        <v>440</v>
      </c>
      <c r="G82" s="21">
        <f>IF(Сделки!$E82="Продажа",-1*Сделки!$F82,Сделки!$F82)</f>
        <v>440</v>
      </c>
      <c r="H82" s="21">
        <f>VLOOKUP(Сделки!$D82,Акции!$E$2:$I$1353,2)*Сделки!$G82</f>
        <v>7722</v>
      </c>
    </row>
    <row r="83" spans="4:8" ht="15.75" customHeight="1" x14ac:dyDescent="0.2">
      <c r="D83" s="24">
        <v>42384</v>
      </c>
      <c r="E83" s="21" t="s">
        <v>2521</v>
      </c>
      <c r="F83" s="21">
        <v>160</v>
      </c>
      <c r="G83" s="21">
        <f>IF(Сделки!$E83="Продажа",-1*Сделки!$F83,Сделки!$F83)</f>
        <v>-160</v>
      </c>
      <c r="H83" s="21">
        <f>VLOOKUP(Сделки!$D83,Акции!$E$2:$I$1353,2)*Сделки!$G83</f>
        <v>-2859.2000000000003</v>
      </c>
    </row>
    <row r="84" spans="4:8" ht="15.75" customHeight="1" x14ac:dyDescent="0.2">
      <c r="D84" s="24">
        <v>42403</v>
      </c>
      <c r="E84" s="21" t="s">
        <v>2521</v>
      </c>
      <c r="F84" s="21">
        <v>330</v>
      </c>
      <c r="G84" s="21">
        <f>IF(Сделки!$E84="Продажа",-1*Сделки!$F84,Сделки!$F84)</f>
        <v>-330</v>
      </c>
      <c r="H84" s="21">
        <f>VLOOKUP(Сделки!$D84,Акции!$E$2:$I$1353,2)*Сделки!$G84</f>
        <v>-5850.9000000000005</v>
      </c>
    </row>
    <row r="85" spans="4:8" ht="15.75" customHeight="1" x14ac:dyDescent="0.2">
      <c r="D85" s="24">
        <v>42408</v>
      </c>
      <c r="E85" s="21" t="s">
        <v>2522</v>
      </c>
      <c r="F85" s="21">
        <v>50</v>
      </c>
      <c r="G85" s="21">
        <f>IF(Сделки!$E85="Продажа",-1*Сделки!$F85,Сделки!$F85)</f>
        <v>50</v>
      </c>
      <c r="H85" s="21">
        <f>VLOOKUP(Сделки!$D85,Акции!$E$2:$I$1353,2)*Сделки!$G85</f>
        <v>803.5</v>
      </c>
    </row>
    <row r="86" spans="4:8" ht="15.75" customHeight="1" x14ac:dyDescent="0.2">
      <c r="D86" s="24">
        <v>42411</v>
      </c>
      <c r="E86" s="21" t="s">
        <v>2521</v>
      </c>
      <c r="F86" s="21">
        <v>350</v>
      </c>
      <c r="G86" s="21">
        <f>IF(Сделки!$E86="Продажа",-1*Сделки!$F86,Сделки!$F86)</f>
        <v>-350</v>
      </c>
      <c r="H86" s="21">
        <f>VLOOKUP(Сделки!$D86,Акции!$E$2:$I$1353,2)*Сделки!$G86</f>
        <v>-5802.9999999999991</v>
      </c>
    </row>
    <row r="87" spans="4:8" ht="15.75" customHeight="1" x14ac:dyDescent="0.2">
      <c r="D87" s="24">
        <v>42412</v>
      </c>
      <c r="E87" s="21" t="s">
        <v>2521</v>
      </c>
      <c r="F87" s="21">
        <v>320</v>
      </c>
      <c r="G87" s="21">
        <f>IF(Сделки!$E87="Продажа",-1*Сделки!$F87,Сделки!$F87)</f>
        <v>-320</v>
      </c>
      <c r="H87" s="21">
        <f>VLOOKUP(Сделки!$D87,Акции!$E$2:$I$1353,2)*Сделки!$G87</f>
        <v>-5324.8</v>
      </c>
    </row>
    <row r="88" spans="4:8" ht="15.75" customHeight="1" x14ac:dyDescent="0.2">
      <c r="D88" s="24">
        <v>42416</v>
      </c>
      <c r="E88" s="21" t="s">
        <v>2522</v>
      </c>
      <c r="F88" s="21">
        <v>480</v>
      </c>
      <c r="G88" s="21">
        <f>IF(Сделки!$E88="Продажа",-1*Сделки!$F88,Сделки!$F88)</f>
        <v>480</v>
      </c>
      <c r="H88" s="21">
        <f>VLOOKUP(Сделки!$D88,Акции!$E$2:$I$1353,2)*Сделки!$G88</f>
        <v>8236.7999999999993</v>
      </c>
    </row>
    <row r="89" spans="4:8" ht="15.75" customHeight="1" x14ac:dyDescent="0.2">
      <c r="D89" s="24">
        <v>42417</v>
      </c>
      <c r="E89" s="21" t="s">
        <v>2521</v>
      </c>
      <c r="F89" s="21">
        <v>20</v>
      </c>
      <c r="G89" s="21">
        <f>IF(Сделки!$E89="Продажа",-1*Сделки!$F89,Сделки!$F89)</f>
        <v>-20</v>
      </c>
      <c r="H89" s="21">
        <f>VLOOKUP(Сделки!$D89,Акции!$E$2:$I$1353,2)*Сделки!$G89</f>
        <v>-351.4</v>
      </c>
    </row>
    <row r="90" spans="4:8" ht="15.75" customHeight="1" x14ac:dyDescent="0.2">
      <c r="D90" s="24">
        <v>42418</v>
      </c>
      <c r="E90" s="21" t="s">
        <v>2521</v>
      </c>
      <c r="F90" s="21">
        <v>110</v>
      </c>
      <c r="G90" s="21">
        <f>IF(Сделки!$E90="Продажа",-1*Сделки!$F90,Сделки!$F90)</f>
        <v>-110</v>
      </c>
      <c r="H90" s="21">
        <f>VLOOKUP(Сделки!$D90,Акции!$E$2:$I$1353,2)*Сделки!$G90</f>
        <v>-1893.1000000000001</v>
      </c>
    </row>
    <row r="91" spans="4:8" ht="15.75" customHeight="1" x14ac:dyDescent="0.2">
      <c r="D91" s="24">
        <v>42419</v>
      </c>
      <c r="E91" s="21" t="s">
        <v>2521</v>
      </c>
      <c r="F91" s="21">
        <v>90</v>
      </c>
      <c r="G91" s="21">
        <f>IF(Сделки!$E91="Продажа",-1*Сделки!$F91,Сделки!$F91)</f>
        <v>-90</v>
      </c>
      <c r="H91" s="21">
        <f>VLOOKUP(Сделки!$D91,Акции!$E$2:$I$1353,2)*Сделки!$G91</f>
        <v>-1544.4</v>
      </c>
    </row>
    <row r="92" spans="4:8" ht="15.75" customHeight="1" x14ac:dyDescent="0.2">
      <c r="D92" s="24">
        <v>42422</v>
      </c>
      <c r="E92" s="21" t="s">
        <v>2521</v>
      </c>
      <c r="F92" s="21">
        <v>170</v>
      </c>
      <c r="G92" s="21">
        <f>IF(Сделки!$E92="Продажа",-1*Сделки!$F92,Сделки!$F92)</f>
        <v>-170</v>
      </c>
      <c r="H92" s="21">
        <f>VLOOKUP(Сделки!$D92,Акции!$E$2:$I$1353,2)*Сделки!$G92</f>
        <v>-2934.2000000000003</v>
      </c>
    </row>
    <row r="93" spans="4:8" ht="15.75" customHeight="1" x14ac:dyDescent="0.2">
      <c r="D93" s="24">
        <v>42432</v>
      </c>
      <c r="E93" s="21" t="s">
        <v>2521</v>
      </c>
      <c r="F93" s="21">
        <v>170</v>
      </c>
      <c r="G93" s="21">
        <f>IF(Сделки!$E93="Продажа",-1*Сделки!$F93,Сделки!$F93)</f>
        <v>-170</v>
      </c>
      <c r="H93" s="21">
        <f>VLOOKUP(Сделки!$D93,Акции!$E$2:$I$1353,2)*Сделки!$G93</f>
        <v>-2959.7</v>
      </c>
    </row>
    <row r="94" spans="4:8" ht="15.75" customHeight="1" x14ac:dyDescent="0.2">
      <c r="D94" s="24">
        <v>42436</v>
      </c>
      <c r="E94" s="21" t="s">
        <v>2522</v>
      </c>
      <c r="F94" s="21">
        <v>290</v>
      </c>
      <c r="G94" s="21">
        <f>IF(Сделки!$E94="Продажа",-1*Сделки!$F94,Сделки!$F94)</f>
        <v>290</v>
      </c>
      <c r="H94" s="21">
        <f>VLOOKUP(Сделки!$D94,Акции!$E$2:$I$1353,2)*Сделки!$G94</f>
        <v>5025.7</v>
      </c>
    </row>
    <row r="95" spans="4:8" ht="15.75" customHeight="1" x14ac:dyDescent="0.2">
      <c r="D95" s="24">
        <v>42439</v>
      </c>
      <c r="E95" s="21" t="s">
        <v>2522</v>
      </c>
      <c r="F95" s="21">
        <v>110</v>
      </c>
      <c r="G95" s="21">
        <f>IF(Сделки!$E95="Продажа",-1*Сделки!$F95,Сделки!$F95)</f>
        <v>110</v>
      </c>
      <c r="H95" s="21">
        <f>VLOOKUP(Сделки!$D95,Акции!$E$2:$I$1353,2)*Сделки!$G95</f>
        <v>1922.8</v>
      </c>
    </row>
    <row r="96" spans="4:8" ht="15.75" customHeight="1" x14ac:dyDescent="0.2">
      <c r="D96" s="24">
        <v>42446</v>
      </c>
      <c r="E96" s="21" t="s">
        <v>2521</v>
      </c>
      <c r="F96" s="21">
        <v>230</v>
      </c>
      <c r="G96" s="21">
        <f>IF(Сделки!$E96="Продажа",-1*Сделки!$F96,Сделки!$F96)</f>
        <v>-230</v>
      </c>
      <c r="H96" s="21">
        <f>VLOOKUP(Сделки!$D96,Акции!$E$2:$I$1353,2)*Сделки!$G96</f>
        <v>-4123.8999999999996</v>
      </c>
    </row>
    <row r="97" spans="4:8" ht="15.75" customHeight="1" x14ac:dyDescent="0.2">
      <c r="D97" s="24">
        <v>42446</v>
      </c>
      <c r="E97" s="21" t="s">
        <v>2521</v>
      </c>
      <c r="F97" s="21">
        <v>110</v>
      </c>
      <c r="G97" s="21">
        <f>IF(Сделки!$E97="Продажа",-1*Сделки!$F97,Сделки!$F97)</f>
        <v>-110</v>
      </c>
      <c r="H97" s="21">
        <f>VLOOKUP(Сделки!$D97,Акции!$E$2:$I$1353,2)*Сделки!$G97</f>
        <v>-1972.3</v>
      </c>
    </row>
    <row r="98" spans="4:8" ht="15.75" customHeight="1" x14ac:dyDescent="0.2">
      <c r="D98" s="24">
        <v>42447</v>
      </c>
      <c r="E98" s="21" t="s">
        <v>2522</v>
      </c>
      <c r="F98" s="21">
        <v>10</v>
      </c>
      <c r="G98" s="21">
        <f>IF(Сделки!$E98="Продажа",-1*Сделки!$F98,Сделки!$F98)</f>
        <v>10</v>
      </c>
      <c r="H98" s="21">
        <f>VLOOKUP(Сделки!$D98,Акции!$E$2:$I$1353,2)*Сделки!$G98</f>
        <v>181.20000000000002</v>
      </c>
    </row>
    <row r="99" spans="4:8" ht="15.75" customHeight="1" x14ac:dyDescent="0.2">
      <c r="D99" s="24">
        <v>42451</v>
      </c>
      <c r="E99" s="21" t="s">
        <v>2521</v>
      </c>
      <c r="F99" s="21">
        <v>440</v>
      </c>
      <c r="G99" s="21">
        <f>IF(Сделки!$E99="Продажа",-1*Сделки!$F99,Сделки!$F99)</f>
        <v>-440</v>
      </c>
      <c r="H99" s="21">
        <f>VLOOKUP(Сделки!$D99,Акции!$E$2:$I$1353,2)*Сделки!$G99</f>
        <v>-8047.5999999999995</v>
      </c>
    </row>
    <row r="100" spans="4:8" ht="15.75" customHeight="1" x14ac:dyDescent="0.2">
      <c r="D100" s="24">
        <v>42453</v>
      </c>
      <c r="E100" s="21" t="s">
        <v>2521</v>
      </c>
      <c r="F100" s="21">
        <v>60</v>
      </c>
      <c r="G100" s="21">
        <f>IF(Сделки!$E100="Продажа",-1*Сделки!$F100,Сделки!$F100)</f>
        <v>-60</v>
      </c>
      <c r="H100" s="21">
        <f>VLOOKUP(Сделки!$D100,Акции!$E$2:$I$1353,2)*Сделки!$G100</f>
        <v>-1075.8</v>
      </c>
    </row>
    <row r="101" spans="4:8" ht="15.75" customHeight="1" x14ac:dyDescent="0.2">
      <c r="D101" s="24">
        <v>42453</v>
      </c>
      <c r="E101" s="21" t="s">
        <v>2522</v>
      </c>
      <c r="F101" s="21">
        <v>60</v>
      </c>
      <c r="G101" s="21">
        <f>IF(Сделки!$E101="Продажа",-1*Сделки!$F101,Сделки!$F101)</f>
        <v>60</v>
      </c>
      <c r="H101" s="21">
        <f>VLOOKUP(Сделки!$D101,Акции!$E$2:$I$1353,2)*Сделки!$G101</f>
        <v>1075.8</v>
      </c>
    </row>
    <row r="102" spans="4:8" ht="15.75" customHeight="1" x14ac:dyDescent="0.2">
      <c r="D102" s="24">
        <v>42457</v>
      </c>
      <c r="E102" s="21" t="s">
        <v>2521</v>
      </c>
      <c r="F102" s="21">
        <v>150</v>
      </c>
      <c r="G102" s="21">
        <f>IF(Сделки!$E102="Продажа",-1*Сделки!$F102,Сделки!$F102)</f>
        <v>-150</v>
      </c>
      <c r="H102" s="21">
        <f>VLOOKUP(Сделки!$D102,Акции!$E$2:$I$1353,2)*Сделки!$G102</f>
        <v>-2706</v>
      </c>
    </row>
    <row r="103" spans="4:8" ht="15.75" customHeight="1" x14ac:dyDescent="0.2">
      <c r="D103" s="24">
        <v>42457</v>
      </c>
      <c r="E103" s="21" t="s">
        <v>2521</v>
      </c>
      <c r="F103" s="21">
        <v>420</v>
      </c>
      <c r="G103" s="21">
        <f>IF(Сделки!$E103="Продажа",-1*Сделки!$F103,Сделки!$F103)</f>
        <v>-420</v>
      </c>
      <c r="H103" s="21">
        <f>VLOOKUP(Сделки!$D103,Акции!$E$2:$I$1353,2)*Сделки!$G103</f>
        <v>-7576.7999999999993</v>
      </c>
    </row>
    <row r="104" spans="4:8" ht="15.75" customHeight="1" x14ac:dyDescent="0.2">
      <c r="D104" s="24">
        <v>42468</v>
      </c>
      <c r="E104" s="21" t="s">
        <v>2522</v>
      </c>
      <c r="F104" s="21">
        <v>50</v>
      </c>
      <c r="G104" s="21">
        <f>IF(Сделки!$E104="Продажа",-1*Сделки!$F104,Сделки!$F104)</f>
        <v>50</v>
      </c>
      <c r="H104" s="21">
        <f>VLOOKUP(Сделки!$D104,Акции!$E$2:$I$1353,2)*Сделки!$G104</f>
        <v>965.49999999999989</v>
      </c>
    </row>
    <row r="105" spans="4:8" ht="15.75" customHeight="1" x14ac:dyDescent="0.2">
      <c r="D105" s="24">
        <v>42474</v>
      </c>
      <c r="E105" s="21" t="s">
        <v>2521</v>
      </c>
      <c r="F105" s="21">
        <v>190</v>
      </c>
      <c r="G105" s="21">
        <f>IF(Сделки!$E105="Продажа",-1*Сделки!$F105,Сделки!$F105)</f>
        <v>-190</v>
      </c>
      <c r="H105" s="21">
        <f>VLOOKUP(Сделки!$D105,Акции!$E$2:$I$1353,2)*Сделки!$G105</f>
        <v>-3714.5</v>
      </c>
    </row>
    <row r="106" spans="4:8" ht="15.75" customHeight="1" x14ac:dyDescent="0.2">
      <c r="D106" s="24">
        <v>42475</v>
      </c>
      <c r="E106" s="21" t="s">
        <v>2522</v>
      </c>
      <c r="F106" s="21">
        <v>120</v>
      </c>
      <c r="G106" s="21">
        <f>IF(Сделки!$E106="Продажа",-1*Сделки!$F106,Сделки!$F106)</f>
        <v>120</v>
      </c>
      <c r="H106" s="21">
        <f>VLOOKUP(Сделки!$D106,Акции!$E$2:$I$1353,2)*Сделки!$G106</f>
        <v>2335.2000000000003</v>
      </c>
    </row>
    <row r="107" spans="4:8" ht="15.75" customHeight="1" x14ac:dyDescent="0.2">
      <c r="D107" s="24">
        <v>42482</v>
      </c>
      <c r="E107" s="21" t="s">
        <v>2522</v>
      </c>
      <c r="F107" s="21">
        <v>60</v>
      </c>
      <c r="G107" s="21">
        <f>IF(Сделки!$E107="Продажа",-1*Сделки!$F107,Сделки!$F107)</f>
        <v>60</v>
      </c>
      <c r="H107" s="21">
        <f>VLOOKUP(Сделки!$D107,Акции!$E$2:$I$1353,2)*Сделки!$G107</f>
        <v>1185.6000000000001</v>
      </c>
    </row>
    <row r="108" spans="4:8" ht="15.75" customHeight="1" x14ac:dyDescent="0.2">
      <c r="D108" s="24">
        <v>42489</v>
      </c>
      <c r="E108" s="21" t="s">
        <v>2522</v>
      </c>
      <c r="F108" s="21">
        <v>50</v>
      </c>
      <c r="G108" s="21">
        <f>IF(Сделки!$E108="Продажа",-1*Сделки!$F108,Сделки!$F108)</f>
        <v>50</v>
      </c>
      <c r="H108" s="21">
        <f>VLOOKUP(Сделки!$D108,Акции!$E$2:$I$1353,2)*Сделки!$G108</f>
        <v>1096</v>
      </c>
    </row>
    <row r="109" spans="4:8" ht="15.75" customHeight="1" x14ac:dyDescent="0.2">
      <c r="D109" s="24">
        <v>42502</v>
      </c>
      <c r="E109" s="21" t="s">
        <v>2522</v>
      </c>
      <c r="F109" s="21">
        <v>140</v>
      </c>
      <c r="G109" s="21">
        <f>IF(Сделки!$E109="Продажа",-1*Сделки!$F109,Сделки!$F109)</f>
        <v>140</v>
      </c>
      <c r="H109" s="21">
        <f>VLOOKUP(Сделки!$D109,Акции!$E$2:$I$1353,2)*Сделки!$G109</f>
        <v>3087</v>
      </c>
    </row>
    <row r="110" spans="4:8" ht="15.75" customHeight="1" x14ac:dyDescent="0.2">
      <c r="D110" s="24">
        <v>42507</v>
      </c>
      <c r="E110" s="21" t="s">
        <v>2521</v>
      </c>
      <c r="F110" s="21">
        <v>370</v>
      </c>
      <c r="G110" s="21">
        <f>IF(Сделки!$E110="Продажа",-1*Сделки!$F110,Сделки!$F110)</f>
        <v>-370</v>
      </c>
      <c r="H110" s="21">
        <f>VLOOKUP(Сделки!$D110,Акции!$E$2:$I$1353,2)*Сделки!$G110</f>
        <v>-8254.6999999999989</v>
      </c>
    </row>
    <row r="111" spans="4:8" ht="15.75" customHeight="1" x14ac:dyDescent="0.2">
      <c r="D111" s="24">
        <v>42508</v>
      </c>
      <c r="E111" s="21" t="s">
        <v>2522</v>
      </c>
      <c r="F111" s="21">
        <v>40</v>
      </c>
      <c r="G111" s="21">
        <f>IF(Сделки!$E111="Продажа",-1*Сделки!$F111,Сделки!$F111)</f>
        <v>40</v>
      </c>
      <c r="H111" s="21">
        <f>VLOOKUP(Сделки!$D111,Акции!$E$2:$I$1353,2)*Сделки!$G111</f>
        <v>891.59999999999991</v>
      </c>
    </row>
    <row r="112" spans="4:8" ht="15.75" customHeight="1" x14ac:dyDescent="0.2">
      <c r="D112" s="24">
        <v>42509</v>
      </c>
      <c r="E112" s="21" t="s">
        <v>2522</v>
      </c>
      <c r="F112" s="21">
        <v>230</v>
      </c>
      <c r="G112" s="21">
        <f>IF(Сделки!$E112="Продажа",-1*Сделки!$F112,Сделки!$F112)</f>
        <v>230</v>
      </c>
      <c r="H112" s="21">
        <f>VLOOKUP(Сделки!$D112,Акции!$E$2:$I$1353,2)*Сделки!$G112</f>
        <v>5099.1000000000004</v>
      </c>
    </row>
    <row r="113" spans="4:8" ht="15.75" customHeight="1" x14ac:dyDescent="0.2">
      <c r="D113" s="24">
        <v>42515</v>
      </c>
      <c r="E113" s="21" t="s">
        <v>2521</v>
      </c>
      <c r="F113" s="21">
        <v>390</v>
      </c>
      <c r="G113" s="21">
        <f>IF(Сделки!$E113="Продажа",-1*Сделки!$F113,Сделки!$F113)</f>
        <v>-390</v>
      </c>
      <c r="H113" s="21">
        <f>VLOOKUP(Сделки!$D113,Акции!$E$2:$I$1353,2)*Сделки!$G113</f>
        <v>-8732.1</v>
      </c>
    </row>
    <row r="114" spans="4:8" ht="15.75" customHeight="1" x14ac:dyDescent="0.2">
      <c r="D114" s="24">
        <v>42516</v>
      </c>
      <c r="E114" s="21" t="s">
        <v>2522</v>
      </c>
      <c r="F114" s="21">
        <v>110</v>
      </c>
      <c r="G114" s="21">
        <f>IF(Сделки!$E114="Продажа",-1*Сделки!$F114,Сделки!$F114)</f>
        <v>110</v>
      </c>
      <c r="H114" s="21">
        <f>VLOOKUP(Сделки!$D114,Акции!$E$2:$I$1353,2)*Сделки!$G114</f>
        <v>2481.6</v>
      </c>
    </row>
    <row r="115" spans="4:8" ht="15.75" customHeight="1" x14ac:dyDescent="0.2">
      <c r="D115" s="24">
        <v>42523</v>
      </c>
      <c r="E115" s="21" t="s">
        <v>2521</v>
      </c>
      <c r="F115" s="21">
        <v>180</v>
      </c>
      <c r="G115" s="21">
        <f>IF(Сделки!$E115="Продажа",-1*Сделки!$F115,Сделки!$F115)</f>
        <v>-180</v>
      </c>
      <c r="H115" s="21">
        <f>VLOOKUP(Сделки!$D115,Акции!$E$2:$I$1353,2)*Сделки!$G115</f>
        <v>-4138.2</v>
      </c>
    </row>
    <row r="116" spans="4:8" ht="15.75" customHeight="1" x14ac:dyDescent="0.2">
      <c r="D116" s="24">
        <v>42529</v>
      </c>
      <c r="E116" s="21" t="s">
        <v>2521</v>
      </c>
      <c r="F116" s="21">
        <v>480</v>
      </c>
      <c r="G116" s="21">
        <f>IF(Сделки!$E116="Продажа",-1*Сделки!$F116,Сделки!$F116)</f>
        <v>-480</v>
      </c>
      <c r="H116" s="21">
        <f>VLOOKUP(Сделки!$D116,Акции!$E$2:$I$1353,2)*Сделки!$G116</f>
        <v>-10944</v>
      </c>
    </row>
    <row r="117" spans="4:8" ht="15.75" customHeight="1" x14ac:dyDescent="0.2">
      <c r="D117" s="24">
        <v>42529</v>
      </c>
      <c r="E117" s="21" t="s">
        <v>2521</v>
      </c>
      <c r="F117" s="21">
        <v>330</v>
      </c>
      <c r="G117" s="21">
        <f>IF(Сделки!$E117="Продажа",-1*Сделки!$F117,Сделки!$F117)</f>
        <v>-330</v>
      </c>
      <c r="H117" s="21">
        <f>VLOOKUP(Сделки!$D117,Акции!$E$2:$I$1353,2)*Сделки!$G117</f>
        <v>-7524</v>
      </c>
    </row>
    <row r="118" spans="4:8" ht="15.75" customHeight="1" x14ac:dyDescent="0.2">
      <c r="D118" s="24">
        <v>42545</v>
      </c>
      <c r="E118" s="21" t="s">
        <v>2521</v>
      </c>
      <c r="F118" s="21">
        <v>140</v>
      </c>
      <c r="G118" s="21">
        <f>IF(Сделки!$E118="Продажа",-1*Сделки!$F118,Сделки!$F118)</f>
        <v>-140</v>
      </c>
      <c r="H118" s="21">
        <f>VLOOKUP(Сделки!$D118,Акции!$E$2:$I$1353,2)*Сделки!$G118</f>
        <v>-3131.8</v>
      </c>
    </row>
    <row r="119" spans="4:8" ht="15.75" customHeight="1" x14ac:dyDescent="0.2">
      <c r="D119" s="24">
        <v>42552</v>
      </c>
      <c r="E119" s="21" t="s">
        <v>2521</v>
      </c>
      <c r="F119" s="21">
        <v>490</v>
      </c>
      <c r="G119" s="21">
        <f>IF(Сделки!$E119="Продажа",-1*Сделки!$F119,Сделки!$F119)</f>
        <v>-490</v>
      </c>
      <c r="H119" s="21">
        <f>VLOOKUP(Сделки!$D119,Акции!$E$2:$I$1353,2)*Сделки!$G119</f>
        <v>-11470.9</v>
      </c>
    </row>
    <row r="120" spans="4:8" ht="15.75" customHeight="1" x14ac:dyDescent="0.2">
      <c r="D120" s="24">
        <v>42552</v>
      </c>
      <c r="E120" s="21" t="s">
        <v>2521</v>
      </c>
      <c r="F120" s="21">
        <v>460</v>
      </c>
      <c r="G120" s="21">
        <f>IF(Сделки!$E120="Продажа",-1*Сделки!$F120,Сделки!$F120)</f>
        <v>-460</v>
      </c>
      <c r="H120" s="21">
        <f>VLOOKUP(Сделки!$D120,Акции!$E$2:$I$1353,2)*Сделки!$G120</f>
        <v>-10768.6</v>
      </c>
    </row>
    <row r="121" spans="4:8" ht="15.75" customHeight="1" x14ac:dyDescent="0.2">
      <c r="D121" s="24">
        <v>42556</v>
      </c>
      <c r="E121" s="21" t="s">
        <v>2522</v>
      </c>
      <c r="F121" s="21">
        <v>460</v>
      </c>
      <c r="G121" s="21">
        <f>IF(Сделки!$E121="Продажа",-1*Сделки!$F121,Сделки!$F121)</f>
        <v>460</v>
      </c>
      <c r="H121" s="21">
        <f>VLOOKUP(Сделки!$D121,Акции!$E$2:$I$1353,2)*Сделки!$G121</f>
        <v>10718</v>
      </c>
    </row>
    <row r="122" spans="4:8" ht="15.75" customHeight="1" x14ac:dyDescent="0.2">
      <c r="D122" s="24">
        <v>42559</v>
      </c>
      <c r="E122" s="21" t="s">
        <v>2522</v>
      </c>
      <c r="F122" s="21">
        <v>130</v>
      </c>
      <c r="G122" s="21">
        <f>IF(Сделки!$E122="Продажа",-1*Сделки!$F122,Сделки!$F122)</f>
        <v>130</v>
      </c>
      <c r="H122" s="21">
        <f>VLOOKUP(Сделки!$D122,Акции!$E$2:$I$1353,2)*Сделки!$G122</f>
        <v>3107</v>
      </c>
    </row>
    <row r="123" spans="4:8" ht="15.75" customHeight="1" x14ac:dyDescent="0.2">
      <c r="D123" s="24">
        <v>42587</v>
      </c>
      <c r="E123" s="21" t="s">
        <v>2521</v>
      </c>
      <c r="F123" s="21">
        <v>90</v>
      </c>
      <c r="G123" s="21">
        <f>IF(Сделки!$E123="Продажа",-1*Сделки!$F123,Сделки!$F123)</f>
        <v>-90</v>
      </c>
      <c r="H123" s="21">
        <f>VLOOKUP(Сделки!$D123,Акции!$E$2:$I$1353,2)*Сделки!$G123</f>
        <v>-2172.6</v>
      </c>
    </row>
    <row r="124" spans="4:8" ht="15.75" customHeight="1" x14ac:dyDescent="0.2">
      <c r="D124" s="24">
        <v>42590</v>
      </c>
      <c r="E124" s="21" t="s">
        <v>2521</v>
      </c>
      <c r="F124" s="21">
        <v>180</v>
      </c>
      <c r="G124" s="21">
        <f>IF(Сделки!$E124="Продажа",-1*Сделки!$F124,Сделки!$F124)</f>
        <v>-180</v>
      </c>
      <c r="H124" s="21">
        <f>VLOOKUP(Сделки!$D124,Акции!$E$2:$I$1353,2)*Сделки!$G124</f>
        <v>-4298.3999999999996</v>
      </c>
    </row>
    <row r="125" spans="4:8" ht="15.75" customHeight="1" x14ac:dyDescent="0.2">
      <c r="D125" s="24">
        <v>42599</v>
      </c>
      <c r="E125" s="21" t="s">
        <v>2521</v>
      </c>
      <c r="F125" s="21">
        <v>60</v>
      </c>
      <c r="G125" s="21">
        <f>IF(Сделки!$E125="Продажа",-1*Сделки!$F125,Сделки!$F125)</f>
        <v>-60</v>
      </c>
      <c r="H125" s="21">
        <f>VLOOKUP(Сделки!$D125,Акции!$E$2:$I$1353,2)*Сделки!$G125</f>
        <v>-1434</v>
      </c>
    </row>
    <row r="126" spans="4:8" ht="15.75" customHeight="1" x14ac:dyDescent="0.2">
      <c r="D126" s="24">
        <v>42600</v>
      </c>
      <c r="E126" s="21" t="s">
        <v>2522</v>
      </c>
      <c r="F126" s="21">
        <v>230</v>
      </c>
      <c r="G126" s="21">
        <f>IF(Сделки!$E126="Продажа",-1*Сделки!$F126,Сделки!$F126)</f>
        <v>230</v>
      </c>
      <c r="H126" s="21">
        <f>VLOOKUP(Сделки!$D126,Акции!$E$2:$I$1353,2)*Сделки!$G126</f>
        <v>5510.8</v>
      </c>
    </row>
    <row r="127" spans="4:8" ht="15.75" customHeight="1" x14ac:dyDescent="0.2">
      <c r="D127" s="24">
        <v>42606</v>
      </c>
      <c r="E127" s="21" t="s">
        <v>2521</v>
      </c>
      <c r="F127" s="21">
        <v>400</v>
      </c>
      <c r="G127" s="21">
        <f>IF(Сделки!$E127="Продажа",-1*Сделки!$F127,Сделки!$F127)</f>
        <v>-400</v>
      </c>
      <c r="H127" s="21">
        <f>VLOOKUP(Сделки!$D127,Акции!$E$2:$I$1353,2)*Сделки!$G127</f>
        <v>-9452</v>
      </c>
    </row>
    <row r="128" spans="4:8" ht="15.75" customHeight="1" x14ac:dyDescent="0.2">
      <c r="D128" s="24">
        <v>42608</v>
      </c>
      <c r="E128" s="21" t="s">
        <v>2522</v>
      </c>
      <c r="F128" s="21">
        <v>500</v>
      </c>
      <c r="G128" s="21">
        <f>IF(Сделки!$E128="Продажа",-1*Сделки!$F128,Сделки!$F128)</f>
        <v>500</v>
      </c>
      <c r="H128" s="21">
        <f>VLOOKUP(Сделки!$D128,Акции!$E$2:$I$1353,2)*Сделки!$G128</f>
        <v>11985</v>
      </c>
    </row>
    <row r="129" spans="4:8" ht="15.75" customHeight="1" x14ac:dyDescent="0.2">
      <c r="D129" s="24">
        <v>42612</v>
      </c>
      <c r="E129" s="21" t="s">
        <v>2521</v>
      </c>
      <c r="F129" s="21">
        <v>130</v>
      </c>
      <c r="G129" s="21">
        <f>IF(Сделки!$E129="Продажа",-1*Сделки!$F129,Сделки!$F129)</f>
        <v>-130</v>
      </c>
      <c r="H129" s="21">
        <f>VLOOKUP(Сделки!$D129,Акции!$E$2:$I$1353,2)*Сделки!$G129</f>
        <v>-3147.3</v>
      </c>
    </row>
    <row r="130" spans="4:8" ht="15.75" customHeight="1" x14ac:dyDescent="0.2">
      <c r="D130" s="24">
        <v>42619</v>
      </c>
      <c r="E130" s="21" t="s">
        <v>2522</v>
      </c>
      <c r="F130" s="21">
        <v>70</v>
      </c>
      <c r="G130" s="21">
        <f>IF(Сделки!$E130="Продажа",-1*Сделки!$F130,Сделки!$F130)</f>
        <v>70</v>
      </c>
      <c r="H130" s="21">
        <f>VLOOKUP(Сделки!$D130,Акции!$E$2:$I$1353,2)*Сделки!$G130</f>
        <v>1703.1</v>
      </c>
    </row>
    <row r="131" spans="4:8" ht="15.75" customHeight="1" x14ac:dyDescent="0.2">
      <c r="D131" s="24">
        <v>42625</v>
      </c>
      <c r="E131" s="21" t="s">
        <v>2521</v>
      </c>
      <c r="F131" s="21">
        <v>290</v>
      </c>
      <c r="G131" s="21">
        <f>IF(Сделки!$E131="Продажа",-1*Сделки!$F131,Сделки!$F131)</f>
        <v>-290</v>
      </c>
      <c r="H131" s="21">
        <f>VLOOKUP(Сделки!$D131,Акции!$E$2:$I$1353,2)*Сделки!$G131</f>
        <v>-6887.5</v>
      </c>
    </row>
    <row r="132" spans="4:8" ht="15.75" customHeight="1" x14ac:dyDescent="0.2">
      <c r="D132" s="24">
        <v>42626</v>
      </c>
      <c r="E132" s="21" t="s">
        <v>2521</v>
      </c>
      <c r="F132" s="21">
        <v>490</v>
      </c>
      <c r="G132" s="21">
        <f>IF(Сделки!$E132="Продажа",-1*Сделки!$F132,Сделки!$F132)</f>
        <v>-490</v>
      </c>
      <c r="H132" s="21">
        <f>VLOOKUP(Сделки!$D132,Акции!$E$2:$I$1353,2)*Сделки!$G132</f>
        <v>-11397.400000000001</v>
      </c>
    </row>
    <row r="133" spans="4:8" ht="15.75" customHeight="1" x14ac:dyDescent="0.2">
      <c r="D133" s="24">
        <v>42627</v>
      </c>
      <c r="E133" s="21" t="s">
        <v>2522</v>
      </c>
      <c r="F133" s="21">
        <v>500</v>
      </c>
      <c r="G133" s="21">
        <f>IF(Сделки!$E133="Продажа",-1*Сделки!$F133,Сделки!$F133)</f>
        <v>500</v>
      </c>
      <c r="H133" s="21">
        <f>VLOOKUP(Сделки!$D133,Акции!$E$2:$I$1353,2)*Сделки!$G133</f>
        <v>11555</v>
      </c>
    </row>
    <row r="134" spans="4:8" ht="15.75" customHeight="1" x14ac:dyDescent="0.2">
      <c r="D134" s="24">
        <v>42628</v>
      </c>
      <c r="E134" s="21" t="s">
        <v>2521</v>
      </c>
      <c r="F134" s="21">
        <v>70</v>
      </c>
      <c r="G134" s="21">
        <f>IF(Сделки!$E134="Продажа",-1*Сделки!$F134,Сделки!$F134)</f>
        <v>-70</v>
      </c>
      <c r="H134" s="21">
        <f>VLOOKUP(Сделки!$D134,Акции!$E$2:$I$1353,2)*Сделки!$G134</f>
        <v>-1653.4</v>
      </c>
    </row>
    <row r="135" spans="4:8" ht="15.75" customHeight="1" x14ac:dyDescent="0.2">
      <c r="D135" s="24">
        <v>42633</v>
      </c>
      <c r="E135" s="21" t="s">
        <v>2521</v>
      </c>
      <c r="F135" s="21">
        <v>350</v>
      </c>
      <c r="G135" s="21">
        <f>IF(Сделки!$E135="Продажа",-1*Сделки!$F135,Сделки!$F135)</f>
        <v>-350</v>
      </c>
      <c r="H135" s="21">
        <f>VLOOKUP(Сделки!$D135,Акции!$E$2:$I$1353,2)*Сделки!$G135</f>
        <v>-8158.5</v>
      </c>
    </row>
    <row r="136" spans="4:8" ht="15.75" customHeight="1" x14ac:dyDescent="0.2">
      <c r="D136" s="24">
        <v>42634</v>
      </c>
      <c r="E136" s="21" t="s">
        <v>2521</v>
      </c>
      <c r="F136" s="21">
        <v>480</v>
      </c>
      <c r="G136" s="21">
        <f>IF(Сделки!$E136="Продажа",-1*Сделки!$F136,Сделки!$F136)</f>
        <v>-480</v>
      </c>
      <c r="H136" s="21">
        <f>VLOOKUP(Сделки!$D136,Акции!$E$2:$I$1353,2)*Сделки!$G136</f>
        <v>-11390.4</v>
      </c>
    </row>
    <row r="137" spans="4:8" ht="15.75" customHeight="1" x14ac:dyDescent="0.2">
      <c r="D137" s="24">
        <v>42636</v>
      </c>
      <c r="E137" s="21" t="s">
        <v>2522</v>
      </c>
      <c r="F137" s="21">
        <v>380</v>
      </c>
      <c r="G137" s="21">
        <f>IF(Сделки!$E137="Продажа",-1*Сделки!$F137,Сделки!$F137)</f>
        <v>380</v>
      </c>
      <c r="H137" s="21">
        <f>VLOOKUP(Сделки!$D137,Акции!$E$2:$I$1353,2)*Сделки!$G137</f>
        <v>9009.8000000000011</v>
      </c>
    </row>
    <row r="138" spans="4:8" ht="15.75" customHeight="1" x14ac:dyDescent="0.2">
      <c r="D138" s="24">
        <v>42639</v>
      </c>
      <c r="E138" s="21" t="s">
        <v>2521</v>
      </c>
      <c r="F138" s="21">
        <v>440</v>
      </c>
      <c r="G138" s="21">
        <f>IF(Сделки!$E138="Продажа",-1*Сделки!$F138,Сделки!$F138)</f>
        <v>-440</v>
      </c>
      <c r="H138" s="21">
        <f>VLOOKUP(Сделки!$D138,Акции!$E$2:$I$1353,2)*Сделки!$G138</f>
        <v>-10441.200000000001</v>
      </c>
    </row>
    <row r="139" spans="4:8" ht="15.75" customHeight="1" x14ac:dyDescent="0.2">
      <c r="D139" s="24">
        <v>42643</v>
      </c>
      <c r="E139" s="21" t="s">
        <v>2522</v>
      </c>
      <c r="F139" s="21">
        <v>330</v>
      </c>
      <c r="G139" s="21">
        <f>IF(Сделки!$E139="Продажа",-1*Сделки!$F139,Сделки!$F139)</f>
        <v>330</v>
      </c>
      <c r="H139" s="21">
        <f>VLOOKUP(Сделки!$D139,Акции!$E$2:$I$1353,2)*Сделки!$G139</f>
        <v>7854</v>
      </c>
    </row>
    <row r="140" spans="4:8" ht="15.75" customHeight="1" x14ac:dyDescent="0.2">
      <c r="D140" s="24">
        <v>42648</v>
      </c>
      <c r="E140" s="21" t="s">
        <v>2521</v>
      </c>
      <c r="F140" s="21">
        <v>340</v>
      </c>
      <c r="G140" s="21">
        <f>IF(Сделки!$E140="Продажа",-1*Сделки!$F140,Сделки!$F140)</f>
        <v>-340</v>
      </c>
      <c r="H140" s="21">
        <f>VLOOKUP(Сделки!$D140,Акции!$E$2:$I$1353,2)*Сделки!$G140</f>
        <v>-7966.2</v>
      </c>
    </row>
    <row r="141" spans="4:8" ht="15.75" customHeight="1" x14ac:dyDescent="0.2">
      <c r="D141" s="24">
        <v>42664</v>
      </c>
      <c r="E141" s="21" t="s">
        <v>2521</v>
      </c>
      <c r="F141" s="21">
        <v>100</v>
      </c>
      <c r="G141" s="21">
        <f>IF(Сделки!$E141="Продажа",-1*Сделки!$F141,Сделки!$F141)</f>
        <v>-100</v>
      </c>
      <c r="H141" s="21">
        <f>VLOOKUP(Сделки!$D141,Акции!$E$2:$I$1353,2)*Сделки!$G141</f>
        <v>-2282</v>
      </c>
    </row>
    <row r="142" spans="4:8" ht="15.75" customHeight="1" x14ac:dyDescent="0.2">
      <c r="D142" s="24">
        <v>42669</v>
      </c>
      <c r="E142" s="21" t="s">
        <v>2522</v>
      </c>
      <c r="F142" s="21">
        <v>130</v>
      </c>
      <c r="G142" s="21">
        <f>IF(Сделки!$E142="Продажа",-1*Сделки!$F142,Сделки!$F142)</f>
        <v>130</v>
      </c>
      <c r="H142" s="21">
        <f>VLOOKUP(Сделки!$D142,Акции!$E$2:$I$1353,2)*Сделки!$G142</f>
        <v>2871.7</v>
      </c>
    </row>
    <row r="143" spans="4:8" ht="15.75" customHeight="1" x14ac:dyDescent="0.2">
      <c r="D143" s="24">
        <v>42670</v>
      </c>
      <c r="E143" s="21" t="s">
        <v>2522</v>
      </c>
      <c r="F143" s="21">
        <v>320</v>
      </c>
      <c r="G143" s="21">
        <f>IF(Сделки!$E143="Продажа",-1*Сделки!$F143,Сделки!$F143)</f>
        <v>320</v>
      </c>
      <c r="H143" s="21">
        <f>VLOOKUP(Сделки!$D143,Акции!$E$2:$I$1353,2)*Сделки!$G143</f>
        <v>6876.7999999999993</v>
      </c>
    </row>
    <row r="144" spans="4:8" ht="15.75" customHeight="1" x14ac:dyDescent="0.2">
      <c r="D144" s="24">
        <v>42671</v>
      </c>
      <c r="E144" s="21" t="s">
        <v>2521</v>
      </c>
      <c r="F144" s="21">
        <v>170</v>
      </c>
      <c r="G144" s="21">
        <f>IF(Сделки!$E144="Продажа",-1*Сделки!$F144,Сделки!$F144)</f>
        <v>-170</v>
      </c>
      <c r="H144" s="21">
        <f>VLOOKUP(Сделки!$D144,Акции!$E$2:$I$1353,2)*Сделки!$G144</f>
        <v>-3755.3</v>
      </c>
    </row>
    <row r="145" spans="4:8" ht="15.75" customHeight="1" x14ac:dyDescent="0.2">
      <c r="D145" s="24">
        <v>42675</v>
      </c>
      <c r="E145" s="21" t="s">
        <v>2521</v>
      </c>
      <c r="F145" s="21">
        <v>450</v>
      </c>
      <c r="G145" s="21">
        <f>IF(Сделки!$E145="Продажа",-1*Сделки!$F145,Сделки!$F145)</f>
        <v>-450</v>
      </c>
      <c r="H145" s="21">
        <f>VLOOKUP(Сделки!$D145,Акции!$E$2:$I$1353,2)*Сделки!$G145</f>
        <v>-9769.5</v>
      </c>
    </row>
    <row r="146" spans="4:8" ht="15.75" customHeight="1" x14ac:dyDescent="0.2">
      <c r="D146" s="24">
        <v>42682</v>
      </c>
      <c r="E146" s="21" t="s">
        <v>2522</v>
      </c>
      <c r="F146" s="21">
        <v>280</v>
      </c>
      <c r="G146" s="21">
        <f>IF(Сделки!$E146="Продажа",-1*Сделки!$F146,Сделки!$F146)</f>
        <v>280</v>
      </c>
      <c r="H146" s="21">
        <f>VLOOKUP(Сделки!$D146,Акции!$E$2:$I$1353,2)*Сделки!$G146</f>
        <v>6230</v>
      </c>
    </row>
    <row r="147" spans="4:8" ht="15.75" customHeight="1" x14ac:dyDescent="0.2">
      <c r="D147" s="24">
        <v>42684</v>
      </c>
      <c r="E147" s="21" t="s">
        <v>2522</v>
      </c>
      <c r="F147" s="21">
        <v>210</v>
      </c>
      <c r="G147" s="21">
        <f>IF(Сделки!$E147="Продажа",-1*Сделки!$F147,Сделки!$F147)</f>
        <v>210</v>
      </c>
      <c r="H147" s="21">
        <f>VLOOKUP(Сделки!$D147,Акции!$E$2:$I$1353,2)*Сделки!$G147</f>
        <v>4594.8</v>
      </c>
    </row>
    <row r="148" spans="4:8" ht="15.75" customHeight="1" x14ac:dyDescent="0.2">
      <c r="D148" s="24">
        <v>42688</v>
      </c>
      <c r="E148" s="21" t="s">
        <v>2521</v>
      </c>
      <c r="F148" s="21">
        <v>350</v>
      </c>
      <c r="G148" s="21">
        <f>IF(Сделки!$E148="Продажа",-1*Сделки!$F148,Сделки!$F148)</f>
        <v>-350</v>
      </c>
      <c r="H148" s="21">
        <f>VLOOKUP(Сделки!$D148,Акции!$E$2:$I$1353,2)*Сделки!$G148</f>
        <v>-7276.5</v>
      </c>
    </row>
    <row r="149" spans="4:8" ht="15.75" customHeight="1" x14ac:dyDescent="0.2">
      <c r="D149" s="24">
        <v>42688</v>
      </c>
      <c r="E149" s="21" t="s">
        <v>2521</v>
      </c>
      <c r="F149" s="21">
        <v>110</v>
      </c>
      <c r="G149" s="21">
        <f>IF(Сделки!$E149="Продажа",-1*Сделки!$F149,Сделки!$F149)</f>
        <v>-110</v>
      </c>
      <c r="H149" s="21">
        <f>VLOOKUP(Сделки!$D149,Акции!$E$2:$I$1353,2)*Сделки!$G149</f>
        <v>-2286.9</v>
      </c>
    </row>
    <row r="150" spans="4:8" ht="15.75" customHeight="1" x14ac:dyDescent="0.2">
      <c r="D150" s="24">
        <v>42709</v>
      </c>
      <c r="E150" s="21" t="s">
        <v>2521</v>
      </c>
      <c r="F150" s="21">
        <v>100</v>
      </c>
      <c r="G150" s="21">
        <f>IF(Сделки!$E150="Продажа",-1*Сделки!$F150,Сделки!$F150)</f>
        <v>-100</v>
      </c>
      <c r="H150" s="21">
        <f>VLOOKUP(Сделки!$D150,Акции!$E$2:$I$1353,2)*Сделки!$G150</f>
        <v>-2071</v>
      </c>
    </row>
    <row r="151" spans="4:8" ht="15.75" customHeight="1" x14ac:dyDescent="0.2">
      <c r="D151" s="24">
        <v>42709</v>
      </c>
      <c r="E151" s="21" t="s">
        <v>2521</v>
      </c>
      <c r="F151" s="21">
        <v>420</v>
      </c>
      <c r="G151" s="21">
        <f>IF(Сделки!$E151="Продажа",-1*Сделки!$F151,Сделки!$F151)</f>
        <v>-420</v>
      </c>
      <c r="H151" s="21">
        <f>VLOOKUP(Сделки!$D151,Акции!$E$2:$I$1353,2)*Сделки!$G151</f>
        <v>-8698.2000000000007</v>
      </c>
    </row>
    <row r="152" spans="4:8" ht="15.75" customHeight="1" x14ac:dyDescent="0.2">
      <c r="D152" s="24">
        <v>42726</v>
      </c>
      <c r="E152" s="21" t="s">
        <v>2522</v>
      </c>
      <c r="F152" s="21">
        <v>190</v>
      </c>
      <c r="G152" s="21">
        <f>IF(Сделки!$E152="Продажа",-1*Сделки!$F152,Сделки!$F152)</f>
        <v>190</v>
      </c>
      <c r="H152" s="21">
        <f>VLOOKUP(Сделки!$D152,Акции!$E$2:$I$1353,2)*Сделки!$G152</f>
        <v>4115.3999999999996</v>
      </c>
    </row>
    <row r="153" spans="4:8" ht="15.75" customHeight="1" x14ac:dyDescent="0.2">
      <c r="D153" s="24">
        <v>42760</v>
      </c>
      <c r="E153" s="21" t="s">
        <v>2521</v>
      </c>
      <c r="F153" s="21">
        <v>490</v>
      </c>
      <c r="G153" s="21">
        <f>IF(Сделки!$E153="Продажа",-1*Сделки!$F153,Сделки!$F153)</f>
        <v>-490</v>
      </c>
      <c r="H153" s="21">
        <f>VLOOKUP(Сделки!$D153,Акции!$E$2:$I$1353,2)*Сделки!$G153</f>
        <v>-11554.199999999999</v>
      </c>
    </row>
    <row r="154" spans="4:8" ht="15.75" customHeight="1" x14ac:dyDescent="0.2">
      <c r="D154" s="24">
        <v>42762</v>
      </c>
      <c r="E154" s="21" t="s">
        <v>2522</v>
      </c>
      <c r="F154" s="21">
        <v>350</v>
      </c>
      <c r="G154" s="21">
        <f>IF(Сделки!$E154="Продажа",-1*Сделки!$F154,Сделки!$F154)</f>
        <v>350</v>
      </c>
      <c r="H154" s="21">
        <f>VLOOKUP(Сделки!$D154,Акции!$E$2:$I$1353,2)*Сделки!$G154</f>
        <v>8354.5</v>
      </c>
    </row>
    <row r="155" spans="4:8" ht="15.75" customHeight="1" x14ac:dyDescent="0.2">
      <c r="D155" s="24">
        <v>42766</v>
      </c>
      <c r="E155" s="21" t="s">
        <v>2522</v>
      </c>
      <c r="F155" s="21">
        <v>390</v>
      </c>
      <c r="G155" s="21">
        <f>IF(Сделки!$E155="Продажа",-1*Сделки!$F155,Сделки!$F155)</f>
        <v>390</v>
      </c>
      <c r="H155" s="21">
        <f>VLOOKUP(Сделки!$D155,Акции!$E$2:$I$1353,2)*Сделки!$G155</f>
        <v>9383.4</v>
      </c>
    </row>
    <row r="156" spans="4:8" ht="15.75" customHeight="1" x14ac:dyDescent="0.2">
      <c r="D156" s="24">
        <v>42767</v>
      </c>
      <c r="E156" s="21" t="s">
        <v>2521</v>
      </c>
      <c r="F156" s="21">
        <v>50</v>
      </c>
      <c r="G156" s="21">
        <f>IF(Сделки!$E156="Продажа",-1*Сделки!$F156,Сделки!$F156)</f>
        <v>-50</v>
      </c>
      <c r="H156" s="21">
        <f>VLOOKUP(Сделки!$D156,Акции!$E$2:$I$1353,2)*Сделки!$G156</f>
        <v>-1198</v>
      </c>
    </row>
    <row r="157" spans="4:8" ht="15.75" customHeight="1" x14ac:dyDescent="0.2">
      <c r="D157" s="24">
        <v>42767</v>
      </c>
      <c r="E157" s="21" t="s">
        <v>2522</v>
      </c>
      <c r="F157" s="21">
        <v>250</v>
      </c>
      <c r="G157" s="21">
        <f>IF(Сделки!$E157="Продажа",-1*Сделки!$F157,Сделки!$F157)</f>
        <v>250</v>
      </c>
      <c r="H157" s="21">
        <f>VLOOKUP(Сделки!$D157,Акции!$E$2:$I$1353,2)*Сделки!$G157</f>
        <v>5990</v>
      </c>
    </row>
    <row r="158" spans="4:8" ht="15.75" customHeight="1" x14ac:dyDescent="0.2">
      <c r="D158" s="24">
        <v>42776</v>
      </c>
      <c r="E158" s="21" t="s">
        <v>2522</v>
      </c>
      <c r="F158" s="21">
        <v>240</v>
      </c>
      <c r="G158" s="21">
        <f>IF(Сделки!$E158="Продажа",-1*Сделки!$F158,Сделки!$F158)</f>
        <v>240</v>
      </c>
      <c r="H158" s="21">
        <f>VLOOKUP(Сделки!$D158,Акции!$E$2:$I$1353,2)*Сделки!$G158</f>
        <v>6048</v>
      </c>
    </row>
    <row r="159" spans="4:8" ht="15.75" customHeight="1" x14ac:dyDescent="0.2">
      <c r="D159" s="24">
        <v>42783</v>
      </c>
      <c r="E159" s="21" t="s">
        <v>2521</v>
      </c>
      <c r="F159" s="21">
        <v>370</v>
      </c>
      <c r="G159" s="21">
        <f>IF(Сделки!$E159="Продажа",-1*Сделки!$F159,Сделки!$F159)</f>
        <v>-370</v>
      </c>
      <c r="H159" s="21">
        <f>VLOOKUP(Сделки!$D159,Акции!$E$2:$I$1353,2)*Сделки!$G159</f>
        <v>-9394.3000000000011</v>
      </c>
    </row>
    <row r="160" spans="4:8" ht="15.75" customHeight="1" x14ac:dyDescent="0.2">
      <c r="D160" s="24">
        <v>42802</v>
      </c>
      <c r="E160" s="21" t="s">
        <v>2521</v>
      </c>
      <c r="F160" s="21">
        <v>350</v>
      </c>
      <c r="G160" s="21">
        <f>IF(Сделки!$E160="Продажа",-1*Сделки!$F160,Сделки!$F160)</f>
        <v>-350</v>
      </c>
      <c r="H160" s="21">
        <f>VLOOKUP(Сделки!$D160,Акции!$E$2:$I$1353,2)*Сделки!$G160</f>
        <v>-8582</v>
      </c>
    </row>
    <row r="161" spans="4:8" ht="15.75" customHeight="1" x14ac:dyDescent="0.2">
      <c r="D161" s="24">
        <v>42809</v>
      </c>
      <c r="E161" s="21" t="s">
        <v>2521</v>
      </c>
      <c r="F161" s="21">
        <v>200</v>
      </c>
      <c r="G161" s="21">
        <f>IF(Сделки!$E161="Продажа",-1*Сделки!$F161,Сделки!$F161)</f>
        <v>-200</v>
      </c>
      <c r="H161" s="21">
        <f>VLOOKUP(Сделки!$D161,Акции!$E$2:$I$1353,2)*Сделки!$G161</f>
        <v>-4930</v>
      </c>
    </row>
    <row r="162" spans="4:8" ht="15.75" customHeight="1" x14ac:dyDescent="0.2">
      <c r="D162" s="24">
        <v>42811</v>
      </c>
      <c r="E162" s="21" t="s">
        <v>2521</v>
      </c>
      <c r="F162" s="21">
        <v>230</v>
      </c>
      <c r="G162" s="21">
        <f>IF(Сделки!$E162="Продажа",-1*Сделки!$F162,Сделки!$F162)</f>
        <v>-230</v>
      </c>
      <c r="H162" s="21">
        <f>VLOOKUP(Сделки!$D162,Акции!$E$2:$I$1353,2)*Сделки!$G162</f>
        <v>-5618.9</v>
      </c>
    </row>
    <row r="163" spans="4:8" ht="15.75" customHeight="1" x14ac:dyDescent="0.2">
      <c r="D163" s="24">
        <v>42814</v>
      </c>
      <c r="E163" s="21" t="s">
        <v>2522</v>
      </c>
      <c r="F163" s="21">
        <v>390</v>
      </c>
      <c r="G163" s="21">
        <f>IF(Сделки!$E163="Продажа",-1*Сделки!$F163,Сделки!$F163)</f>
        <v>390</v>
      </c>
      <c r="H163" s="21">
        <f>VLOOKUP(Сделки!$D163,Акции!$E$2:$I$1353,2)*Сделки!$G163</f>
        <v>9512.1</v>
      </c>
    </row>
    <row r="164" spans="4:8" ht="15.75" customHeight="1" x14ac:dyDescent="0.2">
      <c r="D164" s="24">
        <v>42830</v>
      </c>
      <c r="E164" s="21" t="s">
        <v>2521</v>
      </c>
      <c r="F164" s="21">
        <v>430</v>
      </c>
      <c r="G164" s="21">
        <f>IF(Сделки!$E164="Продажа",-1*Сделки!$F164,Сделки!$F164)</f>
        <v>-430</v>
      </c>
      <c r="H164" s="21">
        <f>VLOOKUP(Сделки!$D164,Акции!$E$2:$I$1353,2)*Сделки!$G164</f>
        <v>-10500.6</v>
      </c>
    </row>
    <row r="165" spans="4:8" ht="15.75" customHeight="1" x14ac:dyDescent="0.2">
      <c r="D165" s="24">
        <v>42836</v>
      </c>
      <c r="E165" s="21" t="s">
        <v>2522</v>
      </c>
      <c r="F165" s="21">
        <v>310</v>
      </c>
      <c r="G165" s="21">
        <f>IF(Сделки!$E165="Продажа",-1*Сделки!$F165,Сделки!$F165)</f>
        <v>310</v>
      </c>
      <c r="H165" s="21">
        <f>VLOOKUP(Сделки!$D165,Акции!$E$2:$I$1353,2)*Сделки!$G165</f>
        <v>7616.7</v>
      </c>
    </row>
    <row r="166" spans="4:8" ht="15.75" customHeight="1" x14ac:dyDescent="0.2">
      <c r="D166" s="24">
        <v>42842</v>
      </c>
      <c r="E166" s="21" t="s">
        <v>2521</v>
      </c>
      <c r="F166" s="21">
        <v>360</v>
      </c>
      <c r="G166" s="21">
        <f>IF(Сделки!$E166="Продажа",-1*Сделки!$F166,Сделки!$F166)</f>
        <v>-360</v>
      </c>
      <c r="H166" s="21">
        <f>VLOOKUP(Сделки!$D166,Акции!$E$2:$I$1353,2)*Сделки!$G166</f>
        <v>-8863.2000000000007</v>
      </c>
    </row>
    <row r="167" spans="4:8" ht="15.75" customHeight="1" x14ac:dyDescent="0.2">
      <c r="D167" s="24">
        <v>42842</v>
      </c>
      <c r="E167" s="21" t="s">
        <v>2522</v>
      </c>
      <c r="F167" s="21">
        <v>250</v>
      </c>
      <c r="G167" s="21">
        <f>IF(Сделки!$E167="Продажа",-1*Сделки!$F167,Сделки!$F167)</f>
        <v>250</v>
      </c>
      <c r="H167" s="21">
        <f>VLOOKUP(Сделки!$D167,Акции!$E$2:$I$1353,2)*Сделки!$G167</f>
        <v>6155</v>
      </c>
    </row>
    <row r="168" spans="4:8" ht="15.75" customHeight="1" x14ac:dyDescent="0.2">
      <c r="D168" s="24">
        <v>42850</v>
      </c>
      <c r="E168" s="21" t="s">
        <v>2521</v>
      </c>
      <c r="F168" s="21">
        <v>440</v>
      </c>
      <c r="G168" s="21">
        <f>IF(Сделки!$E168="Продажа",-1*Сделки!$F168,Сделки!$F168)</f>
        <v>-440</v>
      </c>
      <c r="H168" s="21">
        <f>VLOOKUP(Сделки!$D168,Акции!$E$2:$I$1353,2)*Сделки!$G168</f>
        <v>-11325.599999999999</v>
      </c>
    </row>
    <row r="169" spans="4:8" ht="15.75" customHeight="1" x14ac:dyDescent="0.2">
      <c r="D169" s="24">
        <v>42853</v>
      </c>
      <c r="E169" s="21" t="s">
        <v>2521</v>
      </c>
      <c r="F169" s="21">
        <v>170</v>
      </c>
      <c r="G169" s="21">
        <f>IF(Сделки!$E169="Продажа",-1*Сделки!$F169,Сделки!$F169)</f>
        <v>-170</v>
      </c>
      <c r="H169" s="21">
        <f>VLOOKUP(Сделки!$D169,Акции!$E$2:$I$1353,2)*Сделки!$G169</f>
        <v>-4484.5999999999995</v>
      </c>
    </row>
    <row r="170" spans="4:8" ht="15.75" customHeight="1" x14ac:dyDescent="0.2">
      <c r="D170" s="24">
        <v>42856</v>
      </c>
      <c r="E170" s="21" t="s">
        <v>2522</v>
      </c>
      <c r="F170" s="21">
        <v>130</v>
      </c>
      <c r="G170" s="21">
        <f>IF(Сделки!$E170="Продажа",-1*Сделки!$F170,Сделки!$F170)</f>
        <v>130</v>
      </c>
      <c r="H170" s="21">
        <f>VLOOKUP(Сделки!$D170,Акции!$E$2:$I$1353,2)*Сделки!$G170</f>
        <v>3432</v>
      </c>
    </row>
    <row r="171" spans="4:8" ht="15.75" customHeight="1" x14ac:dyDescent="0.2">
      <c r="D171" s="24">
        <v>42857</v>
      </c>
      <c r="E171" s="21" t="s">
        <v>2521</v>
      </c>
      <c r="F171" s="21">
        <v>270</v>
      </c>
      <c r="G171" s="21">
        <f>IF(Сделки!$E171="Продажа",-1*Сделки!$F171,Сделки!$F171)</f>
        <v>-270</v>
      </c>
      <c r="H171" s="21">
        <f>VLOOKUP(Сделки!$D171,Акции!$E$2:$I$1353,2)*Сделки!$G171</f>
        <v>-7179.3</v>
      </c>
    </row>
    <row r="172" spans="4:8" ht="15.75" customHeight="1" x14ac:dyDescent="0.2">
      <c r="D172" s="24">
        <v>42857</v>
      </c>
      <c r="E172" s="21" t="s">
        <v>2521</v>
      </c>
      <c r="F172" s="21">
        <v>370</v>
      </c>
      <c r="G172" s="21">
        <f>IF(Сделки!$E172="Продажа",-1*Сделки!$F172,Сделки!$F172)</f>
        <v>-370</v>
      </c>
      <c r="H172" s="21">
        <f>VLOOKUP(Сделки!$D172,Акции!$E$2:$I$1353,2)*Сделки!$G172</f>
        <v>-9838.2999999999993</v>
      </c>
    </row>
    <row r="173" spans="4:8" ht="15.75" customHeight="1" x14ac:dyDescent="0.2">
      <c r="D173" s="24">
        <v>42857</v>
      </c>
      <c r="E173" s="21" t="s">
        <v>2521</v>
      </c>
      <c r="F173" s="21">
        <v>100</v>
      </c>
      <c r="G173" s="21">
        <f>IF(Сделки!$E173="Продажа",-1*Сделки!$F173,Сделки!$F173)</f>
        <v>-100</v>
      </c>
      <c r="H173" s="21">
        <f>VLOOKUP(Сделки!$D173,Акции!$E$2:$I$1353,2)*Сделки!$G173</f>
        <v>-2659</v>
      </c>
    </row>
    <row r="174" spans="4:8" ht="15.75" customHeight="1" x14ac:dyDescent="0.2">
      <c r="D174" s="24">
        <v>42859</v>
      </c>
      <c r="E174" s="21" t="s">
        <v>2522</v>
      </c>
      <c r="F174" s="21">
        <v>180</v>
      </c>
      <c r="G174" s="21">
        <f>IF(Сделки!$E174="Продажа",-1*Сделки!$F174,Сделки!$F174)</f>
        <v>180</v>
      </c>
      <c r="H174" s="21">
        <f>VLOOKUP(Сделки!$D174,Акции!$E$2:$I$1353,2)*Сделки!$G174</f>
        <v>4743</v>
      </c>
    </row>
    <row r="175" spans="4:8" ht="15.75" customHeight="1" x14ac:dyDescent="0.2">
      <c r="D175" s="24">
        <v>42860</v>
      </c>
      <c r="E175" s="21" t="s">
        <v>2522</v>
      </c>
      <c r="F175" s="21">
        <v>410</v>
      </c>
      <c r="G175" s="21">
        <f>IF(Сделки!$E175="Продажа",-1*Сделки!$F175,Сделки!$F175)</f>
        <v>410</v>
      </c>
      <c r="H175" s="21">
        <f>VLOOKUP(Сделки!$D175,Акции!$E$2:$I$1353,2)*Сделки!$G175</f>
        <v>10869.1</v>
      </c>
    </row>
    <row r="176" spans="4:8" ht="15.75" customHeight="1" x14ac:dyDescent="0.2">
      <c r="D176" s="24">
        <v>42880</v>
      </c>
      <c r="E176" s="21" t="s">
        <v>2522</v>
      </c>
      <c r="F176" s="21">
        <v>80</v>
      </c>
      <c r="G176" s="21">
        <f>IF(Сделки!$E176="Продажа",-1*Сделки!$F176,Сделки!$F176)</f>
        <v>80</v>
      </c>
      <c r="H176" s="21">
        <f>VLOOKUP(Сделки!$D176,Акции!$E$2:$I$1353,2)*Сделки!$G176</f>
        <v>2180.8000000000002</v>
      </c>
    </row>
    <row r="177" spans="4:8" ht="15.75" customHeight="1" x14ac:dyDescent="0.2">
      <c r="D177" s="24">
        <v>42895</v>
      </c>
      <c r="E177" s="21" t="s">
        <v>2522</v>
      </c>
      <c r="F177" s="21">
        <v>370</v>
      </c>
      <c r="G177" s="21">
        <f>IF(Сделки!$E177="Продажа",-1*Сделки!$F177,Сделки!$F177)</f>
        <v>370</v>
      </c>
      <c r="H177" s="21">
        <f>VLOOKUP(Сделки!$D177,Акции!$E$2:$I$1353,2)*Сделки!$G177</f>
        <v>10293.4</v>
      </c>
    </row>
    <row r="178" spans="4:8" ht="15.75" customHeight="1" x14ac:dyDescent="0.2">
      <c r="D178" s="24">
        <v>42898</v>
      </c>
      <c r="E178" s="21" t="s">
        <v>2522</v>
      </c>
      <c r="F178" s="21">
        <v>490</v>
      </c>
      <c r="G178" s="21">
        <f>IF(Сделки!$E178="Продажа",-1*Сделки!$F178,Сделки!$F178)</f>
        <v>490</v>
      </c>
      <c r="H178" s="21">
        <f>VLOOKUP(Сделки!$D178,Акции!$E$2:$I$1353,2)*Сделки!$G178</f>
        <v>13597.5</v>
      </c>
    </row>
    <row r="179" spans="4:8" ht="15.75" customHeight="1" x14ac:dyDescent="0.2">
      <c r="D179" s="24">
        <v>42905</v>
      </c>
      <c r="E179" s="21" t="s">
        <v>2521</v>
      </c>
      <c r="F179" s="21">
        <v>460</v>
      </c>
      <c r="G179" s="21">
        <f>IF(Сделки!$E179="Продажа",-1*Сделки!$F179,Сделки!$F179)</f>
        <v>-460</v>
      </c>
      <c r="H179" s="21">
        <f>VLOOKUP(Сделки!$D179,Акции!$E$2:$I$1353,2)*Сделки!$G179</f>
        <v>-12995</v>
      </c>
    </row>
    <row r="180" spans="4:8" ht="15.75" customHeight="1" x14ac:dyDescent="0.2">
      <c r="D180" s="24">
        <v>42912</v>
      </c>
      <c r="E180" s="21" t="s">
        <v>2522</v>
      </c>
      <c r="F180" s="21">
        <v>80</v>
      </c>
      <c r="G180" s="21">
        <f>IF(Сделки!$E180="Продажа",-1*Сделки!$F180,Сделки!$F180)</f>
        <v>80</v>
      </c>
      <c r="H180" s="21">
        <f>VLOOKUP(Сделки!$D180,Акции!$E$2:$I$1353,2)*Сделки!$G180</f>
        <v>2217.6</v>
      </c>
    </row>
    <row r="181" spans="4:8" ht="15.75" customHeight="1" x14ac:dyDescent="0.2">
      <c r="D181" s="24">
        <v>42914</v>
      </c>
      <c r="E181" s="21" t="s">
        <v>2522</v>
      </c>
      <c r="F181" s="21">
        <v>200</v>
      </c>
      <c r="G181" s="21">
        <f>IF(Сделки!$E181="Продажа",-1*Сделки!$F181,Сделки!$F181)</f>
        <v>200</v>
      </c>
      <c r="H181" s="21">
        <f>VLOOKUP(Сделки!$D181,Акции!$E$2:$I$1353,2)*Сделки!$G181</f>
        <v>5624</v>
      </c>
    </row>
    <row r="182" spans="4:8" ht="15.75" customHeight="1" x14ac:dyDescent="0.2">
      <c r="D182" s="24">
        <v>42921</v>
      </c>
      <c r="E182" s="21" t="s">
        <v>2522</v>
      </c>
      <c r="F182" s="21">
        <v>80</v>
      </c>
      <c r="G182" s="21">
        <f>IF(Сделки!$E182="Продажа",-1*Сделки!$F182,Сделки!$F182)</f>
        <v>80</v>
      </c>
      <c r="H182" s="21">
        <f>VLOOKUP(Сделки!$D182,Акции!$E$2:$I$1353,2)*Сделки!$G182</f>
        <v>2210.4</v>
      </c>
    </row>
    <row r="183" spans="4:8" ht="15.75" customHeight="1" x14ac:dyDescent="0.2">
      <c r="D183" s="24">
        <v>42922</v>
      </c>
      <c r="E183" s="21" t="s">
        <v>2522</v>
      </c>
      <c r="F183" s="21">
        <v>390</v>
      </c>
      <c r="G183" s="21">
        <f>IF(Сделки!$E183="Продажа",-1*Сделки!$F183,Сделки!$F183)</f>
        <v>390</v>
      </c>
      <c r="H183" s="21">
        <f>VLOOKUP(Сделки!$D183,Акции!$E$2:$I$1353,2)*Сделки!$G183</f>
        <v>10650.9</v>
      </c>
    </row>
    <row r="184" spans="4:8" ht="15.75" customHeight="1" x14ac:dyDescent="0.2">
      <c r="D184" s="24">
        <v>42923</v>
      </c>
      <c r="E184" s="21" t="s">
        <v>2522</v>
      </c>
      <c r="F184" s="21">
        <v>380</v>
      </c>
      <c r="G184" s="21">
        <f>IF(Сделки!$E184="Продажа",-1*Сделки!$F184,Сделки!$F184)</f>
        <v>380</v>
      </c>
      <c r="H184" s="21">
        <f>VLOOKUP(Сделки!$D184,Акции!$E$2:$I$1353,2)*Сделки!$G184</f>
        <v>10484.200000000001</v>
      </c>
    </row>
    <row r="185" spans="4:8" ht="15.75" customHeight="1" x14ac:dyDescent="0.2">
      <c r="D185" s="24">
        <v>42928</v>
      </c>
      <c r="E185" s="21" t="s">
        <v>2521</v>
      </c>
      <c r="F185" s="21">
        <v>120</v>
      </c>
      <c r="G185" s="21">
        <f>IF(Сделки!$E185="Продажа",-1*Сделки!$F185,Сделки!$F185)</f>
        <v>-120</v>
      </c>
      <c r="H185" s="21">
        <f>VLOOKUP(Сделки!$D185,Акции!$E$2:$I$1353,2)*Сделки!$G185</f>
        <v>-3338.4</v>
      </c>
    </row>
    <row r="186" spans="4:8" ht="15.75" customHeight="1" x14ac:dyDescent="0.2">
      <c r="D186" s="24">
        <v>42929</v>
      </c>
      <c r="E186" s="21" t="s">
        <v>2521</v>
      </c>
      <c r="F186" s="21">
        <v>190</v>
      </c>
      <c r="G186" s="21">
        <f>IF(Сделки!$E186="Продажа",-1*Сделки!$F186,Сделки!$F186)</f>
        <v>-190</v>
      </c>
      <c r="H186" s="21">
        <f>VLOOKUP(Сделки!$D186,Акции!$E$2:$I$1353,2)*Сделки!$G186</f>
        <v>-5242.1000000000004</v>
      </c>
    </row>
    <row r="187" spans="4:8" ht="15.75" customHeight="1" x14ac:dyDescent="0.2">
      <c r="D187" s="24">
        <v>42942</v>
      </c>
      <c r="E187" s="21" t="s">
        <v>2521</v>
      </c>
      <c r="F187" s="21">
        <v>20</v>
      </c>
      <c r="G187" s="21">
        <f>IF(Сделки!$E187="Продажа",-1*Сделки!$F187,Сделки!$F187)</f>
        <v>-20</v>
      </c>
      <c r="H187" s="21">
        <f>VLOOKUP(Сделки!$D187,Акции!$E$2:$I$1353,2)*Сделки!$G187</f>
        <v>-548.40000000000009</v>
      </c>
    </row>
    <row r="188" spans="4:8" ht="15.75" customHeight="1" x14ac:dyDescent="0.2">
      <c r="D188" s="24">
        <v>42951</v>
      </c>
      <c r="E188" s="21" t="s">
        <v>2522</v>
      </c>
      <c r="F188" s="21">
        <v>220</v>
      </c>
      <c r="G188" s="21">
        <f>IF(Сделки!$E188="Продажа",-1*Сделки!$F188,Сделки!$F188)</f>
        <v>220</v>
      </c>
      <c r="H188" s="21">
        <f>VLOOKUP(Сделки!$D188,Акции!$E$2:$I$1353,2)*Сделки!$G188</f>
        <v>5902.5999999999995</v>
      </c>
    </row>
    <row r="189" spans="4:8" ht="15.75" customHeight="1" x14ac:dyDescent="0.2">
      <c r="D189" s="24">
        <v>42965</v>
      </c>
      <c r="E189" s="21" t="s">
        <v>2522</v>
      </c>
      <c r="F189" s="21">
        <v>350</v>
      </c>
      <c r="G189" s="21">
        <f>IF(Сделки!$E189="Продажа",-1*Сделки!$F189,Сделки!$F189)</f>
        <v>350</v>
      </c>
      <c r="H189" s="21">
        <f>VLOOKUP(Сделки!$D189,Акции!$E$2:$I$1353,2)*Сделки!$G189</f>
        <v>9411.5</v>
      </c>
    </row>
    <row r="190" spans="4:8" ht="15.75" customHeight="1" x14ac:dyDescent="0.2">
      <c r="D190" s="24">
        <v>42970</v>
      </c>
      <c r="E190" s="21" t="s">
        <v>2522</v>
      </c>
      <c r="F190" s="21">
        <v>30</v>
      </c>
      <c r="G190" s="21">
        <f>IF(Сделки!$E190="Продажа",-1*Сделки!$F190,Сделки!$F190)</f>
        <v>30</v>
      </c>
      <c r="H190" s="21">
        <f>VLOOKUP(Сделки!$D190,Акции!$E$2:$I$1353,2)*Сделки!$G190</f>
        <v>805.2</v>
      </c>
    </row>
    <row r="191" spans="4:8" ht="15.75" customHeight="1" x14ac:dyDescent="0.2">
      <c r="D191" s="24">
        <v>42971</v>
      </c>
      <c r="E191" s="21" t="s">
        <v>2521</v>
      </c>
      <c r="F191" s="21">
        <v>360</v>
      </c>
      <c r="G191" s="21">
        <f>IF(Сделки!$E191="Продажа",-1*Сделки!$F191,Сделки!$F191)</f>
        <v>-360</v>
      </c>
      <c r="H191" s="21">
        <f>VLOOKUP(Сделки!$D191,Акции!$E$2:$I$1353,2)*Сделки!$G191</f>
        <v>-9615.6</v>
      </c>
    </row>
    <row r="192" spans="4:8" ht="15.75" customHeight="1" x14ac:dyDescent="0.2">
      <c r="D192" s="24">
        <v>42976</v>
      </c>
      <c r="E192" s="21" t="s">
        <v>2522</v>
      </c>
      <c r="F192" s="21">
        <v>290</v>
      </c>
      <c r="G192" s="21">
        <f>IF(Сделки!$E192="Продажа",-1*Сделки!$F192,Сделки!$F192)</f>
        <v>290</v>
      </c>
      <c r="H192" s="21">
        <f>VLOOKUP(Сделки!$D192,Акции!$E$2:$I$1353,2)*Сделки!$G192</f>
        <v>7844.5</v>
      </c>
    </row>
    <row r="193" spans="4:8" ht="15.75" customHeight="1" x14ac:dyDescent="0.2">
      <c r="D193" s="24">
        <v>42990</v>
      </c>
      <c r="E193" s="21" t="s">
        <v>2521</v>
      </c>
      <c r="F193" s="21">
        <v>120</v>
      </c>
      <c r="G193" s="21">
        <f>IF(Сделки!$E193="Продажа",-1*Сделки!$F193,Сделки!$F193)</f>
        <v>-120</v>
      </c>
      <c r="H193" s="21">
        <f>VLOOKUP(Сделки!$D193,Акции!$E$2:$I$1353,2)*Сделки!$G193</f>
        <v>-3481.2000000000003</v>
      </c>
    </row>
    <row r="194" spans="4:8" ht="15.75" customHeight="1" x14ac:dyDescent="0.2">
      <c r="D194" s="24">
        <v>42996</v>
      </c>
      <c r="E194" s="21" t="s">
        <v>2521</v>
      </c>
      <c r="F194" s="21">
        <v>370</v>
      </c>
      <c r="G194" s="21">
        <f>IF(Сделки!$E194="Продажа",-1*Сделки!$F194,Сделки!$F194)</f>
        <v>-370</v>
      </c>
      <c r="H194" s="21">
        <f>VLOOKUP(Сделки!$D194,Акции!$E$2:$I$1353,2)*Сделки!$G194</f>
        <v>-10726.3</v>
      </c>
    </row>
    <row r="195" spans="4:8" ht="15.75" customHeight="1" x14ac:dyDescent="0.2">
      <c r="D195" s="24">
        <v>43000</v>
      </c>
      <c r="E195" s="21" t="s">
        <v>2522</v>
      </c>
      <c r="F195" s="21">
        <v>270</v>
      </c>
      <c r="G195" s="21">
        <f>IF(Сделки!$E195="Продажа",-1*Сделки!$F195,Сделки!$F195)</f>
        <v>270</v>
      </c>
      <c r="H195" s="21">
        <f>VLOOKUP(Сделки!$D195,Акции!$E$2:$I$1353,2)*Сделки!$G195</f>
        <v>7789.5</v>
      </c>
    </row>
    <row r="196" spans="4:8" ht="15.75" customHeight="1" x14ac:dyDescent="0.2">
      <c r="D196" s="24">
        <v>43010</v>
      </c>
      <c r="E196" s="21" t="s">
        <v>2521</v>
      </c>
      <c r="F196" s="21">
        <v>30</v>
      </c>
      <c r="G196" s="21">
        <f>IF(Сделки!$E196="Продажа",-1*Сделки!$F196,Сделки!$F196)</f>
        <v>-30</v>
      </c>
      <c r="H196" s="21">
        <f>VLOOKUP(Сделки!$D196,Акции!$E$2:$I$1353,2)*Сделки!$G196</f>
        <v>-884.09999999999991</v>
      </c>
    </row>
    <row r="197" spans="4:8" ht="15.75" customHeight="1" x14ac:dyDescent="0.2">
      <c r="D197" s="24">
        <v>43019</v>
      </c>
      <c r="E197" s="21" t="s">
        <v>2522</v>
      </c>
      <c r="F197" s="21">
        <v>110</v>
      </c>
      <c r="G197" s="21">
        <f>IF(Сделки!$E197="Продажа",-1*Сделки!$F197,Сделки!$F197)</f>
        <v>110</v>
      </c>
      <c r="H197" s="21">
        <f>VLOOKUP(Сделки!$D197,Акции!$E$2:$I$1353,2)*Сделки!$G197</f>
        <v>3219.7</v>
      </c>
    </row>
    <row r="198" spans="4:8" ht="15.75" customHeight="1" x14ac:dyDescent="0.2">
      <c r="D198" s="24">
        <v>43021</v>
      </c>
      <c r="E198" s="21" t="s">
        <v>2521</v>
      </c>
      <c r="F198" s="21">
        <v>40</v>
      </c>
      <c r="G198" s="21">
        <f>IF(Сделки!$E198="Продажа",-1*Сделки!$F198,Сделки!$F198)</f>
        <v>-40</v>
      </c>
      <c r="H198" s="21">
        <f>VLOOKUP(Сделки!$D198,Акции!$E$2:$I$1353,2)*Сделки!$G198</f>
        <v>-1177.6000000000001</v>
      </c>
    </row>
    <row r="199" spans="4:8" ht="15.75" customHeight="1" x14ac:dyDescent="0.2">
      <c r="D199" s="24">
        <v>43028</v>
      </c>
      <c r="E199" s="21" t="s">
        <v>2522</v>
      </c>
      <c r="F199" s="21">
        <v>200</v>
      </c>
      <c r="G199" s="21">
        <f>IF(Сделки!$E199="Продажа",-1*Сделки!$F199,Сделки!$F199)</f>
        <v>200</v>
      </c>
      <c r="H199" s="21">
        <f>VLOOKUP(Сделки!$D199,Акции!$E$2:$I$1353,2)*Сделки!$G199</f>
        <v>5938</v>
      </c>
    </row>
    <row r="200" spans="4:8" ht="15.75" customHeight="1" x14ac:dyDescent="0.2">
      <c r="D200" s="24">
        <v>43033</v>
      </c>
      <c r="E200" s="21" t="s">
        <v>2522</v>
      </c>
      <c r="F200" s="21">
        <v>210</v>
      </c>
      <c r="G200" s="21">
        <f>IF(Сделки!$E200="Продажа",-1*Сделки!$F200,Сделки!$F200)</f>
        <v>210</v>
      </c>
      <c r="H200" s="21">
        <f>VLOOKUP(Сделки!$D200,Акции!$E$2:$I$1353,2)*Сделки!$G200</f>
        <v>6218.0999999999995</v>
      </c>
    </row>
    <row r="201" spans="4:8" ht="15.75" customHeight="1" x14ac:dyDescent="0.2">
      <c r="D201" s="24">
        <v>43033</v>
      </c>
      <c r="E201" s="21" t="s">
        <v>2521</v>
      </c>
      <c r="F201" s="21">
        <v>80</v>
      </c>
      <c r="G201" s="21">
        <f>IF(Сделки!$E201="Продажа",-1*Сделки!$F201,Сделки!$F201)</f>
        <v>-80</v>
      </c>
      <c r="H201" s="21">
        <f>VLOOKUP(Сделки!$D201,Акции!$E$2:$I$1353,2)*Сделки!$G201</f>
        <v>-2368.8000000000002</v>
      </c>
    </row>
    <row r="202" spans="4:8" ht="15.75" customHeight="1" x14ac:dyDescent="0.2">
      <c r="D202" s="24">
        <v>43035</v>
      </c>
      <c r="E202" s="21" t="s">
        <v>2522</v>
      </c>
      <c r="F202" s="21">
        <v>380</v>
      </c>
      <c r="G202" s="21">
        <f>IF(Сделки!$E202="Продажа",-1*Сделки!$F202,Сделки!$F202)</f>
        <v>380</v>
      </c>
      <c r="H202" s="21">
        <f>VLOOKUP(Сделки!$D202,Акции!$E$2:$I$1353,2)*Сделки!$G202</f>
        <v>10830</v>
      </c>
    </row>
    <row r="203" spans="4:8" ht="15.75" customHeight="1" x14ac:dyDescent="0.2">
      <c r="D203" s="24">
        <v>43038</v>
      </c>
      <c r="E203" s="21" t="s">
        <v>2522</v>
      </c>
      <c r="F203" s="21">
        <v>20</v>
      </c>
      <c r="G203" s="21">
        <f>IF(Сделки!$E203="Продажа",-1*Сделки!$F203,Сделки!$F203)</f>
        <v>20</v>
      </c>
      <c r="H203" s="21">
        <f>VLOOKUP(Сделки!$D203,Акции!$E$2:$I$1353,2)*Сделки!$G203</f>
        <v>563.20000000000005</v>
      </c>
    </row>
    <row r="204" spans="4:8" ht="15.75" customHeight="1" x14ac:dyDescent="0.2">
      <c r="D204" s="24">
        <v>43048</v>
      </c>
      <c r="E204" s="21" t="s">
        <v>2522</v>
      </c>
      <c r="F204" s="21">
        <v>370</v>
      </c>
      <c r="G204" s="21">
        <f>IF(Сделки!$E204="Продажа",-1*Сделки!$F204,Сделки!$F204)</f>
        <v>370</v>
      </c>
      <c r="H204" s="21">
        <f>VLOOKUP(Сделки!$D204,Акции!$E$2:$I$1353,2)*Сделки!$G204</f>
        <v>10578.3</v>
      </c>
    </row>
    <row r="205" spans="4:8" ht="15.75" customHeight="1" x14ac:dyDescent="0.2">
      <c r="D205" s="24">
        <v>43048</v>
      </c>
      <c r="E205" s="21" t="s">
        <v>2521</v>
      </c>
      <c r="F205" s="21">
        <v>10</v>
      </c>
      <c r="G205" s="21">
        <f>IF(Сделки!$E205="Продажа",-1*Сделки!$F205,Сделки!$F205)</f>
        <v>-10</v>
      </c>
      <c r="H205" s="21">
        <f>VLOOKUP(Сделки!$D205,Акции!$E$2:$I$1353,2)*Сделки!$G205</f>
        <v>-285.89999999999998</v>
      </c>
    </row>
    <row r="206" spans="4:8" ht="15.75" customHeight="1" x14ac:dyDescent="0.2">
      <c r="D206" s="24">
        <v>43061</v>
      </c>
      <c r="E206" s="21" t="s">
        <v>2521</v>
      </c>
      <c r="F206" s="21">
        <v>210</v>
      </c>
      <c r="G206" s="21">
        <f>IF(Сделки!$E206="Продажа",-1*Сделки!$F206,Сделки!$F206)</f>
        <v>-210</v>
      </c>
      <c r="H206" s="21">
        <f>VLOOKUP(Сделки!$D206,Акции!$E$2:$I$1353,2)*Сделки!$G206</f>
        <v>-5978.7</v>
      </c>
    </row>
    <row r="207" spans="4:8" ht="15.75" customHeight="1" x14ac:dyDescent="0.2">
      <c r="D207" s="24">
        <v>43063</v>
      </c>
      <c r="E207" s="21" t="s">
        <v>2522</v>
      </c>
      <c r="F207" s="21">
        <v>210</v>
      </c>
      <c r="G207" s="21">
        <f>IF(Сделки!$E207="Продажа",-1*Сделки!$F207,Сделки!$F207)</f>
        <v>210</v>
      </c>
      <c r="H207" s="21">
        <f>VLOOKUP(Сделки!$D207,Акции!$E$2:$I$1353,2)*Сделки!$G207</f>
        <v>6018.6</v>
      </c>
    </row>
    <row r="208" spans="4:8" ht="15.75" customHeight="1" x14ac:dyDescent="0.2">
      <c r="D208" s="24">
        <v>43063</v>
      </c>
      <c r="E208" s="21" t="s">
        <v>2521</v>
      </c>
      <c r="F208" s="21">
        <v>80</v>
      </c>
      <c r="G208" s="21">
        <f>IF(Сделки!$E208="Продажа",-1*Сделки!$F208,Сделки!$F208)</f>
        <v>-80</v>
      </c>
      <c r="H208" s="21">
        <f>VLOOKUP(Сделки!$D208,Акции!$E$2:$I$1353,2)*Сделки!$G208</f>
        <v>-2292.8000000000002</v>
      </c>
    </row>
    <row r="209" spans="4:8" ht="15.75" customHeight="1" x14ac:dyDescent="0.2">
      <c r="D209" s="24">
        <v>43075</v>
      </c>
      <c r="E209" s="21" t="s">
        <v>2521</v>
      </c>
      <c r="F209" s="21">
        <v>350</v>
      </c>
      <c r="G209" s="21">
        <f>IF(Сделки!$E209="Продажа",-1*Сделки!$F209,Сделки!$F209)</f>
        <v>-350</v>
      </c>
      <c r="H209" s="21">
        <f>VLOOKUP(Сделки!$D209,Акции!$E$2:$I$1353,2)*Сделки!$G209</f>
        <v>-8834</v>
      </c>
    </row>
    <row r="210" spans="4:8" ht="15.75" customHeight="1" x14ac:dyDescent="0.2">
      <c r="D210" s="24">
        <v>43077</v>
      </c>
      <c r="E210" s="21" t="s">
        <v>2521</v>
      </c>
      <c r="F210" s="21">
        <v>80</v>
      </c>
      <c r="G210" s="21">
        <f>IF(Сделки!$E210="Продажа",-1*Сделки!$F210,Сделки!$F210)</f>
        <v>-80</v>
      </c>
      <c r="H210" s="21">
        <f>VLOOKUP(Сделки!$D210,Акции!$E$2:$I$1353,2)*Сделки!$G210</f>
        <v>-2061.6</v>
      </c>
    </row>
    <row r="211" spans="4:8" ht="15.75" customHeight="1" x14ac:dyDescent="0.2">
      <c r="D211" s="24">
        <v>43083</v>
      </c>
      <c r="E211" s="21" t="s">
        <v>2521</v>
      </c>
      <c r="F211" s="21">
        <v>240</v>
      </c>
      <c r="G211" s="21">
        <f>IF(Сделки!$E211="Продажа",-1*Сделки!$F211,Сделки!$F211)</f>
        <v>-240</v>
      </c>
      <c r="H211" s="21">
        <f>VLOOKUP(Сделки!$D211,Акции!$E$2:$I$1353,2)*Сделки!$G211</f>
        <v>-6148.8</v>
      </c>
    </row>
    <row r="212" spans="4:8" ht="15.75" customHeight="1" x14ac:dyDescent="0.2">
      <c r="D212" s="24">
        <v>43102</v>
      </c>
      <c r="E212" s="21" t="s">
        <v>2521</v>
      </c>
      <c r="F212" s="21">
        <v>90</v>
      </c>
      <c r="G212" s="21">
        <f>IF(Сделки!$E212="Продажа",-1*Сделки!$F212,Сделки!$F212)</f>
        <v>-90</v>
      </c>
      <c r="H212" s="21">
        <f>VLOOKUP(Сделки!$D212,Акции!$E$2:$I$1353,2)*Сделки!$G212</f>
        <v>-2275.2000000000003</v>
      </c>
    </row>
    <row r="213" spans="4:8" ht="15.75" customHeight="1" x14ac:dyDescent="0.2">
      <c r="D213" s="24">
        <v>43109</v>
      </c>
      <c r="E213" s="21" t="s">
        <v>2521</v>
      </c>
      <c r="F213" s="21">
        <v>100</v>
      </c>
      <c r="G213" s="21">
        <f>IF(Сделки!$E213="Продажа",-1*Сделки!$F213,Сделки!$F213)</f>
        <v>-100</v>
      </c>
      <c r="H213" s="21">
        <f>VLOOKUP(Сделки!$D213,Акции!$E$2:$I$1353,2)*Сделки!$G213</f>
        <v>-2796</v>
      </c>
    </row>
    <row r="214" spans="4:8" ht="15.75" customHeight="1" x14ac:dyDescent="0.2">
      <c r="D214" s="24">
        <v>43111</v>
      </c>
      <c r="E214" s="21" t="s">
        <v>2521</v>
      </c>
      <c r="F214" s="21">
        <v>30</v>
      </c>
      <c r="G214" s="21">
        <f>IF(Сделки!$E214="Продажа",-1*Сделки!$F214,Сделки!$F214)</f>
        <v>-30</v>
      </c>
      <c r="H214" s="21">
        <f>VLOOKUP(Сделки!$D214,Акции!$E$2:$I$1353,2)*Сделки!$G214</f>
        <v>-822.9</v>
      </c>
    </row>
    <row r="215" spans="4:8" ht="15.75" customHeight="1" x14ac:dyDescent="0.2">
      <c r="D215" s="24">
        <v>43112</v>
      </c>
      <c r="E215" s="21" t="s">
        <v>2521</v>
      </c>
      <c r="F215" s="21">
        <v>120</v>
      </c>
      <c r="G215" s="21">
        <f>IF(Сделки!$E215="Продажа",-1*Сделки!$F215,Сделки!$F215)</f>
        <v>-120</v>
      </c>
      <c r="H215" s="21">
        <f>VLOOKUP(Сделки!$D215,Акции!$E$2:$I$1353,2)*Сделки!$G215</f>
        <v>-3295.2000000000003</v>
      </c>
    </row>
    <row r="216" spans="4:8" ht="15.75" customHeight="1" x14ac:dyDescent="0.2">
      <c r="D216" s="24">
        <v>43122</v>
      </c>
      <c r="E216" s="21" t="s">
        <v>2521</v>
      </c>
      <c r="F216" s="21">
        <v>330</v>
      </c>
      <c r="G216" s="21">
        <f>IF(Сделки!$E216="Продажа",-1*Сделки!$F216,Сделки!$F216)</f>
        <v>-330</v>
      </c>
      <c r="H216" s="21">
        <f>VLOOKUP(Сделки!$D216,Акции!$E$2:$I$1353,2)*Сделки!$G216</f>
        <v>-9144.3000000000011</v>
      </c>
    </row>
    <row r="217" spans="4:8" ht="15.75" customHeight="1" x14ac:dyDescent="0.2">
      <c r="D217" s="24">
        <v>43125</v>
      </c>
      <c r="E217" s="21" t="s">
        <v>2521</v>
      </c>
      <c r="F217" s="21">
        <v>450</v>
      </c>
      <c r="G217" s="21">
        <f>IF(Сделки!$E217="Продажа",-1*Сделки!$F217,Сделки!$F217)</f>
        <v>-450</v>
      </c>
      <c r="H217" s="21">
        <f>VLOOKUP(Сделки!$D217,Акции!$E$2:$I$1353,2)*Сделки!$G217</f>
        <v>-12717</v>
      </c>
    </row>
    <row r="218" spans="4:8" ht="15.75" customHeight="1" x14ac:dyDescent="0.2">
      <c r="D218" s="24">
        <v>43126</v>
      </c>
      <c r="E218" s="21" t="s">
        <v>2521</v>
      </c>
      <c r="F218" s="21">
        <v>370</v>
      </c>
      <c r="G218" s="21">
        <f>IF(Сделки!$E218="Продажа",-1*Сделки!$F218,Сделки!$F218)</f>
        <v>-370</v>
      </c>
      <c r="H218" s="21">
        <f>VLOOKUP(Сделки!$D218,Акции!$E$2:$I$1353,2)*Сделки!$G218</f>
        <v>-10515.400000000001</v>
      </c>
    </row>
    <row r="219" spans="4:8" ht="15.75" customHeight="1" x14ac:dyDescent="0.2">
      <c r="D219" s="24">
        <v>43126</v>
      </c>
      <c r="E219" s="21" t="s">
        <v>2522</v>
      </c>
      <c r="F219" s="21">
        <v>280</v>
      </c>
      <c r="G219" s="21">
        <f>IF(Сделки!$E219="Продажа",-1*Сделки!$F219,Сделки!$F219)</f>
        <v>280</v>
      </c>
      <c r="H219" s="21">
        <f>VLOOKUP(Сделки!$D219,Акции!$E$2:$I$1353,2)*Сделки!$G219</f>
        <v>7957.6</v>
      </c>
    </row>
    <row r="220" spans="4:8" ht="15.75" customHeight="1" x14ac:dyDescent="0.2">
      <c r="D220" s="24">
        <v>43129</v>
      </c>
      <c r="E220" s="21" t="s">
        <v>2522</v>
      </c>
      <c r="F220" s="21">
        <v>100</v>
      </c>
      <c r="G220" s="21">
        <f>IF(Сделки!$E220="Продажа",-1*Сделки!$F220,Сделки!$F220)</f>
        <v>100</v>
      </c>
      <c r="H220" s="21">
        <f>VLOOKUP(Сделки!$D220,Акции!$E$2:$I$1353,2)*Сделки!$G220</f>
        <v>2833</v>
      </c>
    </row>
    <row r="221" spans="4:8" ht="15.75" customHeight="1" x14ac:dyDescent="0.2">
      <c r="D221" s="24">
        <v>43131</v>
      </c>
      <c r="E221" s="21" t="s">
        <v>2522</v>
      </c>
      <c r="F221" s="21">
        <v>330</v>
      </c>
      <c r="G221" s="21">
        <f>IF(Сделки!$E221="Продажа",-1*Сделки!$F221,Сделки!$F221)</f>
        <v>330</v>
      </c>
      <c r="H221" s="21">
        <f>VLOOKUP(Сделки!$D221,Акции!$E$2:$I$1353,2)*Сделки!$G221</f>
        <v>9226.8000000000011</v>
      </c>
    </row>
    <row r="222" spans="4:8" ht="15.75" customHeight="1" x14ac:dyDescent="0.2">
      <c r="D222" s="24">
        <v>43136</v>
      </c>
      <c r="E222" s="21" t="s">
        <v>2522</v>
      </c>
      <c r="F222" s="21">
        <v>420</v>
      </c>
      <c r="G222" s="21">
        <f>IF(Сделки!$E222="Продажа",-1*Сделки!$F222,Сделки!$F222)</f>
        <v>420</v>
      </c>
      <c r="H222" s="21">
        <f>VLOOKUP(Сделки!$D222,Акции!$E$2:$I$1353,2)*Сделки!$G222</f>
        <v>11088</v>
      </c>
    </row>
    <row r="223" spans="4:8" ht="15.75" customHeight="1" x14ac:dyDescent="0.2">
      <c r="D223" s="24">
        <v>43137</v>
      </c>
      <c r="E223" s="21" t="s">
        <v>2522</v>
      </c>
      <c r="F223" s="21">
        <v>260</v>
      </c>
      <c r="G223" s="21">
        <f>IF(Сделки!$E223="Продажа",-1*Сделки!$F223,Сделки!$F223)</f>
        <v>260</v>
      </c>
      <c r="H223" s="21">
        <f>VLOOKUP(Сделки!$D223,Акции!$E$2:$I$1353,2)*Сделки!$G223</f>
        <v>6947.2</v>
      </c>
    </row>
    <row r="224" spans="4:8" ht="15.75" customHeight="1" x14ac:dyDescent="0.2">
      <c r="D224" s="24">
        <v>43138</v>
      </c>
      <c r="E224" s="21" t="s">
        <v>2522</v>
      </c>
      <c r="F224" s="21">
        <v>220</v>
      </c>
      <c r="G224" s="21">
        <f>IF(Сделки!$E224="Продажа",-1*Сделки!$F224,Сделки!$F224)</f>
        <v>220</v>
      </c>
      <c r="H224" s="21">
        <f>VLOOKUP(Сделки!$D224,Акции!$E$2:$I$1353,2)*Сделки!$G224</f>
        <v>5790.4</v>
      </c>
    </row>
    <row r="225" spans="4:8" ht="15.75" customHeight="1" x14ac:dyDescent="0.2">
      <c r="D225" s="24">
        <v>43139</v>
      </c>
      <c r="E225" s="21" t="s">
        <v>2522</v>
      </c>
      <c r="F225" s="21">
        <v>290</v>
      </c>
      <c r="G225" s="21">
        <f>IF(Сделки!$E225="Продажа",-1*Сделки!$F225,Сделки!$F225)</f>
        <v>290</v>
      </c>
      <c r="H225" s="21">
        <f>VLOOKUP(Сделки!$D225,Акции!$E$2:$I$1353,2)*Сделки!$G225</f>
        <v>7308</v>
      </c>
    </row>
    <row r="226" spans="4:8" ht="15.75" customHeight="1" x14ac:dyDescent="0.2">
      <c r="D226" s="24">
        <v>43140</v>
      </c>
      <c r="E226" s="21" t="s">
        <v>2521</v>
      </c>
      <c r="F226" s="21">
        <v>460</v>
      </c>
      <c r="G226" s="21">
        <f>IF(Сделки!$E226="Продажа",-1*Сделки!$F226,Сделки!$F226)</f>
        <v>-460</v>
      </c>
      <c r="H226" s="21">
        <f>VLOOKUP(Сделки!$D226,Акции!$E$2:$I$1353,2)*Сделки!$G226</f>
        <v>-11923.2</v>
      </c>
    </row>
    <row r="227" spans="4:8" ht="15.75" customHeight="1" x14ac:dyDescent="0.2">
      <c r="D227" s="24">
        <v>43140</v>
      </c>
      <c r="E227" s="21" t="s">
        <v>2521</v>
      </c>
      <c r="F227" s="21">
        <v>190</v>
      </c>
      <c r="G227" s="21">
        <f>IF(Сделки!$E227="Продажа",-1*Сделки!$F227,Сделки!$F227)</f>
        <v>-190</v>
      </c>
      <c r="H227" s="21">
        <f>VLOOKUP(Сделки!$D227,Акции!$E$2:$I$1353,2)*Сделки!$G227</f>
        <v>-4924.8</v>
      </c>
    </row>
    <row r="228" spans="4:8" ht="15.75" customHeight="1" x14ac:dyDescent="0.2">
      <c r="D228" s="24">
        <v>43146</v>
      </c>
      <c r="E228" s="21" t="s">
        <v>2522</v>
      </c>
      <c r="F228" s="21">
        <v>160</v>
      </c>
      <c r="G228" s="21">
        <f>IF(Сделки!$E228="Продажа",-1*Сделки!$F228,Сделки!$F228)</f>
        <v>160</v>
      </c>
      <c r="H228" s="21">
        <f>VLOOKUP(Сделки!$D228,Акции!$E$2:$I$1353,2)*Сделки!$G228</f>
        <v>4334.3999999999996</v>
      </c>
    </row>
    <row r="229" spans="4:8" ht="15.75" customHeight="1" x14ac:dyDescent="0.2">
      <c r="D229" s="24">
        <v>43147</v>
      </c>
      <c r="E229" s="21" t="s">
        <v>2521</v>
      </c>
      <c r="F229" s="21">
        <v>140</v>
      </c>
      <c r="G229" s="21">
        <f>IF(Сделки!$E229="Продажа",-1*Сделки!$F229,Сделки!$F229)</f>
        <v>-140</v>
      </c>
      <c r="H229" s="21">
        <f>VLOOKUP(Сделки!$D229,Акции!$E$2:$I$1353,2)*Сделки!$G229</f>
        <v>-3808</v>
      </c>
    </row>
    <row r="230" spans="4:8" ht="15.75" customHeight="1" x14ac:dyDescent="0.2">
      <c r="D230" s="24">
        <v>43171</v>
      </c>
      <c r="E230" s="21" t="s">
        <v>2521</v>
      </c>
      <c r="F230" s="21">
        <v>180</v>
      </c>
      <c r="G230" s="21">
        <f>IF(Сделки!$E230="Продажа",-1*Сделки!$F230,Сделки!$F230)</f>
        <v>-180</v>
      </c>
      <c r="H230" s="21">
        <f>VLOOKUP(Сделки!$D230,Акции!$E$2:$I$1353,2)*Сделки!$G230</f>
        <v>-5137.2</v>
      </c>
    </row>
    <row r="231" spans="4:8" ht="15.75" customHeight="1" x14ac:dyDescent="0.2">
      <c r="D231" s="24">
        <v>43179</v>
      </c>
      <c r="E231" s="21" t="s">
        <v>2521</v>
      </c>
      <c r="F231" s="21">
        <v>420</v>
      </c>
      <c r="G231" s="21">
        <f>IF(Сделки!$E231="Продажа",-1*Сделки!$F231,Сделки!$F231)</f>
        <v>-420</v>
      </c>
      <c r="H231" s="21">
        <f>VLOOKUP(Сделки!$D231,Акции!$E$2:$I$1353,2)*Сделки!$G231</f>
        <v>-11621.400000000001</v>
      </c>
    </row>
    <row r="232" spans="4:8" ht="15.75" customHeight="1" x14ac:dyDescent="0.2">
      <c r="D232" s="24">
        <v>43181</v>
      </c>
      <c r="E232" s="21" t="s">
        <v>2522</v>
      </c>
      <c r="F232" s="21">
        <v>420</v>
      </c>
      <c r="G232" s="21">
        <f>IF(Сделки!$E232="Продажа",-1*Сделки!$F232,Сделки!$F232)</f>
        <v>420</v>
      </c>
      <c r="H232" s="21">
        <f>VLOOKUP(Сделки!$D232,Акции!$E$2:$I$1353,2)*Сделки!$G232</f>
        <v>11314.800000000001</v>
      </c>
    </row>
    <row r="233" spans="4:8" ht="15.75" customHeight="1" x14ac:dyDescent="0.2">
      <c r="D233" s="24">
        <v>43181</v>
      </c>
      <c r="E233" s="21" t="s">
        <v>2521</v>
      </c>
      <c r="F233" s="21">
        <v>370</v>
      </c>
      <c r="G233" s="21">
        <f>IF(Сделки!$E233="Продажа",-1*Сделки!$F233,Сделки!$F233)</f>
        <v>-370</v>
      </c>
      <c r="H233" s="21">
        <f>VLOOKUP(Сделки!$D233,Акции!$E$2:$I$1353,2)*Сделки!$G233</f>
        <v>-9967.8000000000011</v>
      </c>
    </row>
    <row r="234" spans="4:8" ht="15.75" customHeight="1" x14ac:dyDescent="0.2">
      <c r="D234" s="24">
        <v>43186</v>
      </c>
      <c r="E234" s="21" t="s">
        <v>2521</v>
      </c>
      <c r="F234" s="21">
        <v>40</v>
      </c>
      <c r="G234" s="21">
        <f>IF(Сделки!$E234="Продажа",-1*Сделки!$F234,Сделки!$F234)</f>
        <v>-40</v>
      </c>
      <c r="H234" s="21">
        <f>VLOOKUP(Сделки!$D234,Акции!$E$2:$I$1353,2)*Сделки!$G234</f>
        <v>-1081.2</v>
      </c>
    </row>
    <row r="235" spans="4:8" ht="15.75" customHeight="1" x14ac:dyDescent="0.2">
      <c r="D235" s="24">
        <v>43188</v>
      </c>
      <c r="E235" s="21" t="s">
        <v>2522</v>
      </c>
      <c r="F235" s="21">
        <v>490</v>
      </c>
      <c r="G235" s="21">
        <f>IF(Сделки!$E235="Продажа",-1*Сделки!$F235,Сделки!$F235)</f>
        <v>490</v>
      </c>
      <c r="H235" s="21">
        <f>VLOOKUP(Сделки!$D235,Акции!$E$2:$I$1353,2)*Сделки!$G235</f>
        <v>13386.8</v>
      </c>
    </row>
    <row r="236" spans="4:8" ht="15.75" customHeight="1" x14ac:dyDescent="0.2">
      <c r="D236" s="24">
        <v>43192</v>
      </c>
      <c r="E236" s="21" t="s">
        <v>2521</v>
      </c>
      <c r="F236" s="21">
        <v>50</v>
      </c>
      <c r="G236" s="21">
        <f>IF(Сделки!$E236="Продажа",-1*Сделки!$F236,Сделки!$F236)</f>
        <v>-50</v>
      </c>
      <c r="H236" s="21">
        <f>VLOOKUP(Сделки!$D236,Акции!$E$2:$I$1353,2)*Сделки!$G236</f>
        <v>-1342</v>
      </c>
    </row>
    <row r="237" spans="4:8" ht="15.75" customHeight="1" x14ac:dyDescent="0.2">
      <c r="D237" s="24">
        <v>43196</v>
      </c>
      <c r="E237" s="21" t="s">
        <v>2521</v>
      </c>
      <c r="F237" s="21">
        <v>190</v>
      </c>
      <c r="G237" s="21">
        <f>IF(Сделки!$E237="Продажа",-1*Сделки!$F237,Сделки!$F237)</f>
        <v>-190</v>
      </c>
      <c r="H237" s="21">
        <f>VLOOKUP(Сделки!$D237,Акции!$E$2:$I$1353,2)*Сделки!$G237</f>
        <v>-5196.5</v>
      </c>
    </row>
    <row r="238" spans="4:8" ht="15.75" customHeight="1" x14ac:dyDescent="0.2">
      <c r="D238" s="24">
        <v>43199</v>
      </c>
      <c r="E238" s="21" t="s">
        <v>2522</v>
      </c>
      <c r="F238" s="21">
        <v>350</v>
      </c>
      <c r="G238" s="21">
        <f>IF(Сделки!$E238="Продажа",-1*Сделки!$F238,Сделки!$F238)</f>
        <v>350</v>
      </c>
      <c r="H238" s="21">
        <f>VLOOKUP(Сделки!$D238,Акции!$E$2:$I$1353,2)*Сделки!$G238</f>
        <v>9628.5</v>
      </c>
    </row>
    <row r="239" spans="4:8" ht="15.75" customHeight="1" x14ac:dyDescent="0.2">
      <c r="D239" s="24">
        <v>43200</v>
      </c>
      <c r="E239" s="21" t="s">
        <v>2522</v>
      </c>
      <c r="F239" s="21">
        <v>270</v>
      </c>
      <c r="G239" s="21">
        <f>IF(Сделки!$E239="Продажа",-1*Сделки!$F239,Сделки!$F239)</f>
        <v>270</v>
      </c>
      <c r="H239" s="21">
        <f>VLOOKUP(Сделки!$D239,Акции!$E$2:$I$1353,2)*Сделки!$G239</f>
        <v>7533</v>
      </c>
    </row>
    <row r="240" spans="4:8" ht="15.75" customHeight="1" x14ac:dyDescent="0.2">
      <c r="D240" s="24">
        <v>43202</v>
      </c>
      <c r="E240" s="21" t="s">
        <v>2521</v>
      </c>
      <c r="F240" s="21">
        <v>180</v>
      </c>
      <c r="G240" s="21">
        <f>IF(Сделки!$E240="Продажа",-1*Сделки!$F240,Сделки!$F240)</f>
        <v>-180</v>
      </c>
      <c r="H240" s="21">
        <f>VLOOKUP(Сделки!$D240,Акции!$E$2:$I$1353,2)*Сделки!$G240</f>
        <v>-5081.3999999999996</v>
      </c>
    </row>
    <row r="241" spans="4:8" ht="15.75" customHeight="1" x14ac:dyDescent="0.2">
      <c r="D241" s="24">
        <v>43209</v>
      </c>
      <c r="E241" s="21" t="s">
        <v>2522</v>
      </c>
      <c r="F241" s="21">
        <v>60</v>
      </c>
      <c r="G241" s="21">
        <f>IF(Сделки!$E241="Продажа",-1*Сделки!$F241,Сделки!$F241)</f>
        <v>60</v>
      </c>
      <c r="H241" s="21">
        <f>VLOOKUP(Сделки!$D241,Акции!$E$2:$I$1353,2)*Сделки!$G241</f>
        <v>1733.4</v>
      </c>
    </row>
    <row r="242" spans="4:8" ht="15.75" customHeight="1" x14ac:dyDescent="0.2">
      <c r="D242" s="24">
        <v>43209</v>
      </c>
      <c r="E242" s="21" t="s">
        <v>2521</v>
      </c>
      <c r="F242" s="21">
        <v>130</v>
      </c>
      <c r="G242" s="21">
        <f>IF(Сделки!$E242="Продажа",-1*Сделки!$F242,Сделки!$F242)</f>
        <v>-130</v>
      </c>
      <c r="H242" s="21">
        <f>VLOOKUP(Сделки!$D242,Акции!$E$2:$I$1353,2)*Сделки!$G242</f>
        <v>-3755.7000000000003</v>
      </c>
    </row>
    <row r="243" spans="4:8" ht="15.75" customHeight="1" x14ac:dyDescent="0.2">
      <c r="D243" s="24">
        <v>43220</v>
      </c>
      <c r="E243" s="21" t="s">
        <v>2522</v>
      </c>
      <c r="F243" s="21">
        <v>490</v>
      </c>
      <c r="G243" s="21">
        <f>IF(Сделки!$E243="Продажа",-1*Сделки!$F243,Сделки!$F243)</f>
        <v>490</v>
      </c>
      <c r="H243" s="21">
        <f>VLOOKUP(Сделки!$D243,Акции!$E$2:$I$1353,2)*Сделки!$G243</f>
        <v>14072.8</v>
      </c>
    </row>
    <row r="244" spans="4:8" ht="15.75" customHeight="1" x14ac:dyDescent="0.2">
      <c r="D244" s="24">
        <v>43235</v>
      </c>
      <c r="E244" s="21" t="s">
        <v>2521</v>
      </c>
      <c r="F244" s="21">
        <v>260</v>
      </c>
      <c r="G244" s="21">
        <f>IF(Сделки!$E244="Продажа",-1*Сделки!$F244,Сделки!$F244)</f>
        <v>-260</v>
      </c>
      <c r="H244" s="21">
        <f>VLOOKUP(Сделки!$D244,Акции!$E$2:$I$1353,2)*Сделки!$G244</f>
        <v>-7701.2</v>
      </c>
    </row>
    <row r="245" spans="4:8" ht="15.75" customHeight="1" x14ac:dyDescent="0.2">
      <c r="D245" s="24">
        <v>43235</v>
      </c>
      <c r="E245" s="21" t="s">
        <v>2521</v>
      </c>
      <c r="F245" s="21">
        <v>100</v>
      </c>
      <c r="G245" s="21">
        <f>IF(Сделки!$E245="Продажа",-1*Сделки!$F245,Сделки!$F245)</f>
        <v>-100</v>
      </c>
      <c r="H245" s="21">
        <f>VLOOKUP(Сделки!$D245,Акции!$E$2:$I$1353,2)*Сделки!$G245</f>
        <v>-2962</v>
      </c>
    </row>
    <row r="246" spans="4:8" ht="15.75" customHeight="1" x14ac:dyDescent="0.2">
      <c r="D246" s="24">
        <v>43237</v>
      </c>
      <c r="E246" s="21" t="s">
        <v>2522</v>
      </c>
      <c r="F246" s="21">
        <v>240</v>
      </c>
      <c r="G246" s="21">
        <f>IF(Сделки!$E246="Продажа",-1*Сделки!$F246,Сделки!$F246)</f>
        <v>240</v>
      </c>
      <c r="H246" s="21">
        <f>VLOOKUP(Сделки!$D246,Акции!$E$2:$I$1353,2)*Сделки!$G246</f>
        <v>7276.8</v>
      </c>
    </row>
    <row r="247" spans="4:8" ht="15.75" customHeight="1" x14ac:dyDescent="0.2">
      <c r="D247" s="24">
        <v>43238</v>
      </c>
      <c r="E247" s="21" t="s">
        <v>2522</v>
      </c>
      <c r="F247" s="21">
        <v>210</v>
      </c>
      <c r="G247" s="21">
        <f>IF(Сделки!$E247="Продажа",-1*Сделки!$F247,Сделки!$F247)</f>
        <v>210</v>
      </c>
      <c r="H247" s="21">
        <f>VLOOKUP(Сделки!$D247,Акции!$E$2:$I$1353,2)*Сделки!$G247</f>
        <v>6394.5</v>
      </c>
    </row>
    <row r="248" spans="4:8" ht="15.75" customHeight="1" x14ac:dyDescent="0.2">
      <c r="D248" s="24">
        <v>43238</v>
      </c>
      <c r="E248" s="21" t="s">
        <v>2522</v>
      </c>
      <c r="F248" s="21">
        <v>280</v>
      </c>
      <c r="G248" s="21">
        <f>IF(Сделки!$E248="Продажа",-1*Сделки!$F248,Сделки!$F248)</f>
        <v>280</v>
      </c>
      <c r="H248" s="21">
        <f>VLOOKUP(Сделки!$D248,Акции!$E$2:$I$1353,2)*Сделки!$G248</f>
        <v>8526</v>
      </c>
    </row>
    <row r="249" spans="4:8" ht="15.75" customHeight="1" x14ac:dyDescent="0.2">
      <c r="D249" s="24">
        <v>43238</v>
      </c>
      <c r="E249" s="21" t="s">
        <v>2522</v>
      </c>
      <c r="F249" s="21">
        <v>120</v>
      </c>
      <c r="G249" s="21">
        <f>IF(Сделки!$E249="Продажа",-1*Сделки!$F249,Сделки!$F249)</f>
        <v>120</v>
      </c>
      <c r="H249" s="21">
        <f>VLOOKUP(Сделки!$D249,Акции!$E$2:$I$1353,2)*Сделки!$G249</f>
        <v>3654</v>
      </c>
    </row>
    <row r="250" spans="4:8" ht="15.75" customHeight="1" x14ac:dyDescent="0.2">
      <c r="D250" s="24">
        <v>43250</v>
      </c>
      <c r="E250" s="21" t="s">
        <v>2522</v>
      </c>
      <c r="F250" s="21">
        <v>440</v>
      </c>
      <c r="G250" s="21">
        <f>IF(Сделки!$E250="Продажа",-1*Сделки!$F250,Сделки!$F250)</f>
        <v>440</v>
      </c>
      <c r="H250" s="21">
        <f>VLOOKUP(Сделки!$D250,Акции!$E$2:$I$1353,2)*Сделки!$G250</f>
        <v>13424.400000000001</v>
      </c>
    </row>
    <row r="251" spans="4:8" ht="15.75" customHeight="1" x14ac:dyDescent="0.2">
      <c r="D251" s="24">
        <v>43255</v>
      </c>
      <c r="E251" s="21" t="s">
        <v>2521</v>
      </c>
      <c r="F251" s="21">
        <v>380</v>
      </c>
      <c r="G251" s="21">
        <f>IF(Сделки!$E251="Продажа",-1*Сделки!$F251,Сделки!$F251)</f>
        <v>-380</v>
      </c>
      <c r="H251" s="21">
        <f>VLOOKUP(Сделки!$D251,Акции!$E$2:$I$1353,2)*Сделки!$G251</f>
        <v>-11628</v>
      </c>
    </row>
    <row r="252" spans="4:8" ht="15.75" customHeight="1" x14ac:dyDescent="0.2">
      <c r="D252" s="24">
        <v>43262</v>
      </c>
      <c r="E252" s="21" t="s">
        <v>2522</v>
      </c>
      <c r="F252" s="21">
        <v>10</v>
      </c>
      <c r="G252" s="21">
        <f>IF(Сделки!$E252="Продажа",-1*Сделки!$F252,Сделки!$F252)</f>
        <v>10</v>
      </c>
      <c r="H252" s="21">
        <f>VLOOKUP(Сделки!$D252,Акции!$E$2:$I$1353,2)*Сделки!$G252</f>
        <v>343.2</v>
      </c>
    </row>
    <row r="253" spans="4:8" ht="15.75" customHeight="1" x14ac:dyDescent="0.2">
      <c r="D253" s="24">
        <v>43266</v>
      </c>
      <c r="E253" s="21" t="s">
        <v>2522</v>
      </c>
      <c r="F253" s="21">
        <v>330</v>
      </c>
      <c r="G253" s="21">
        <f>IF(Сделки!$E253="Продажа",-1*Сделки!$F253,Сделки!$F253)</f>
        <v>330</v>
      </c>
      <c r="H253" s="21">
        <f>VLOOKUP(Сделки!$D253,Акции!$E$2:$I$1353,2)*Сделки!$G253</f>
        <v>10876.800000000001</v>
      </c>
    </row>
    <row r="254" spans="4:8" ht="15.75" customHeight="1" x14ac:dyDescent="0.2">
      <c r="D254" s="24">
        <v>43271</v>
      </c>
      <c r="E254" s="21" t="s">
        <v>2521</v>
      </c>
      <c r="F254" s="21">
        <v>270</v>
      </c>
      <c r="G254" s="21">
        <f>IF(Сделки!$E254="Продажа",-1*Сделки!$F254,Сделки!$F254)</f>
        <v>-270</v>
      </c>
      <c r="H254" s="21">
        <f>VLOOKUP(Сделки!$D254,Акции!$E$2:$I$1353,2)*Сделки!$G254</f>
        <v>-8702.0999999999985</v>
      </c>
    </row>
    <row r="255" spans="4:8" ht="15.75" customHeight="1" x14ac:dyDescent="0.2">
      <c r="D255" s="24">
        <v>43279</v>
      </c>
      <c r="E255" s="21" t="s">
        <v>2521</v>
      </c>
      <c r="F255" s="21">
        <v>60</v>
      </c>
      <c r="G255" s="21">
        <f>IF(Сделки!$E255="Продажа",-1*Сделки!$F255,Сделки!$F255)</f>
        <v>-60</v>
      </c>
      <c r="H255" s="21">
        <f>VLOOKUP(Сделки!$D255,Акции!$E$2:$I$1353,2)*Сделки!$G255</f>
        <v>-1950</v>
      </c>
    </row>
    <row r="256" spans="4:8" ht="15.75" customHeight="1" x14ac:dyDescent="0.2">
      <c r="D256" s="24">
        <v>43286</v>
      </c>
      <c r="E256" s="21" t="s">
        <v>2522</v>
      </c>
      <c r="F256" s="21">
        <v>300</v>
      </c>
      <c r="G256" s="21">
        <f>IF(Сделки!$E256="Продажа",-1*Сделки!$F256,Сделки!$F256)</f>
        <v>300</v>
      </c>
      <c r="H256" s="21">
        <f>VLOOKUP(Сделки!$D256,Акции!$E$2:$I$1353,2)*Сделки!$G256</f>
        <v>9966</v>
      </c>
    </row>
    <row r="257" spans="4:8" ht="15.75" customHeight="1" x14ac:dyDescent="0.2">
      <c r="D257" s="24">
        <v>43290</v>
      </c>
      <c r="E257" s="21" t="s">
        <v>2521</v>
      </c>
      <c r="F257" s="21">
        <v>150</v>
      </c>
      <c r="G257" s="21">
        <f>IF(Сделки!$E257="Продажа",-1*Сделки!$F257,Сделки!$F257)</f>
        <v>-150</v>
      </c>
      <c r="H257" s="21">
        <f>VLOOKUP(Сделки!$D257,Акции!$E$2:$I$1353,2)*Сделки!$G257</f>
        <v>-5068.5</v>
      </c>
    </row>
    <row r="258" spans="4:8" ht="15.75" customHeight="1" x14ac:dyDescent="0.2">
      <c r="D258" s="24">
        <v>43291</v>
      </c>
      <c r="E258" s="21" t="s">
        <v>2521</v>
      </c>
      <c r="F258" s="21">
        <v>200</v>
      </c>
      <c r="G258" s="21">
        <f>IF(Сделки!$E258="Продажа",-1*Сделки!$F258,Сделки!$F258)</f>
        <v>-200</v>
      </c>
      <c r="H258" s="21">
        <f>VLOOKUP(Сделки!$D258,Акции!$E$2:$I$1353,2)*Сделки!$G258</f>
        <v>-6712</v>
      </c>
    </row>
    <row r="259" spans="4:8" ht="15.75" customHeight="1" x14ac:dyDescent="0.2">
      <c r="D259" s="24">
        <v>43292</v>
      </c>
      <c r="E259" s="21" t="s">
        <v>2522</v>
      </c>
      <c r="F259" s="21">
        <v>190</v>
      </c>
      <c r="G259" s="21">
        <f>IF(Сделки!$E259="Продажа",-1*Сделки!$F259,Сделки!$F259)</f>
        <v>190</v>
      </c>
      <c r="H259" s="21">
        <f>VLOOKUP(Сделки!$D259,Акции!$E$2:$I$1353,2)*Сделки!$G259</f>
        <v>6334.6</v>
      </c>
    </row>
    <row r="260" spans="4:8" ht="15.75" customHeight="1" x14ac:dyDescent="0.2">
      <c r="D260" s="24">
        <v>43301</v>
      </c>
      <c r="E260" s="21" t="s">
        <v>2521</v>
      </c>
      <c r="F260" s="21">
        <v>340</v>
      </c>
      <c r="G260" s="21">
        <f>IF(Сделки!$E260="Продажа",-1*Сделки!$F260,Сделки!$F260)</f>
        <v>-340</v>
      </c>
      <c r="H260" s="21">
        <f>VLOOKUP(Сделки!$D260,Акции!$E$2:$I$1353,2)*Сделки!$G260</f>
        <v>-11481.800000000001</v>
      </c>
    </row>
    <row r="261" spans="4:8" ht="15.75" customHeight="1" x14ac:dyDescent="0.2">
      <c r="D261" s="24">
        <v>43301</v>
      </c>
      <c r="E261" s="21" t="s">
        <v>2521</v>
      </c>
      <c r="F261" s="21">
        <v>180</v>
      </c>
      <c r="G261" s="21">
        <f>IF(Сделки!$E261="Продажа",-1*Сделки!$F261,Сделки!$F261)</f>
        <v>-180</v>
      </c>
      <c r="H261" s="21">
        <f>VLOOKUP(Сделки!$D261,Акции!$E$2:$I$1353,2)*Сделки!$G261</f>
        <v>-6078.6</v>
      </c>
    </row>
    <row r="262" spans="4:8" ht="15.75" customHeight="1" x14ac:dyDescent="0.2">
      <c r="D262" s="24">
        <v>43304</v>
      </c>
      <c r="E262" s="21" t="s">
        <v>2521</v>
      </c>
      <c r="F262" s="21">
        <v>120</v>
      </c>
      <c r="G262" s="21">
        <f>IF(Сделки!$E262="Продажа",-1*Сделки!$F262,Сделки!$F262)</f>
        <v>-120</v>
      </c>
      <c r="H262" s="21">
        <f>VLOOKUP(Сделки!$D262,Акции!$E$2:$I$1353,2)*Сделки!$G262</f>
        <v>-4045.2000000000003</v>
      </c>
    </row>
    <row r="263" spans="4:8" ht="15.75" customHeight="1" x14ac:dyDescent="0.2">
      <c r="D263" s="24">
        <v>43304</v>
      </c>
      <c r="E263" s="21" t="s">
        <v>2521</v>
      </c>
      <c r="F263" s="21">
        <v>270</v>
      </c>
      <c r="G263" s="21">
        <f>IF(Сделки!$E263="Продажа",-1*Сделки!$F263,Сделки!$F263)</f>
        <v>-270</v>
      </c>
      <c r="H263" s="21">
        <f>VLOOKUP(Сделки!$D263,Акции!$E$2:$I$1353,2)*Сделки!$G263</f>
        <v>-9101.7000000000007</v>
      </c>
    </row>
    <row r="264" spans="4:8" ht="15.75" customHeight="1" x14ac:dyDescent="0.2">
      <c r="D264" s="24">
        <v>43306</v>
      </c>
      <c r="E264" s="21" t="s">
        <v>2521</v>
      </c>
      <c r="F264" s="21">
        <v>50</v>
      </c>
      <c r="G264" s="21">
        <f>IF(Сделки!$E264="Продажа",-1*Сделки!$F264,Сделки!$F264)</f>
        <v>-50</v>
      </c>
      <c r="H264" s="21">
        <f>VLOOKUP(Сделки!$D264,Акции!$E$2:$I$1353,2)*Сделки!$G264</f>
        <v>-1716</v>
      </c>
    </row>
    <row r="265" spans="4:8" ht="15.75" customHeight="1" x14ac:dyDescent="0.2">
      <c r="D265" s="24">
        <v>43321</v>
      </c>
      <c r="E265" s="21" t="s">
        <v>2522</v>
      </c>
      <c r="F265" s="21">
        <v>390</v>
      </c>
      <c r="G265" s="21">
        <f>IF(Сделки!$E265="Продажа",-1*Сделки!$F265,Сделки!$F265)</f>
        <v>390</v>
      </c>
      <c r="H265" s="21">
        <f>VLOOKUP(Сделки!$D265,Акции!$E$2:$I$1353,2)*Сделки!$G265</f>
        <v>13201.5</v>
      </c>
    </row>
    <row r="266" spans="4:8" ht="15.75" customHeight="1" x14ac:dyDescent="0.2">
      <c r="D266" s="24">
        <v>43322</v>
      </c>
      <c r="E266" s="21" t="s">
        <v>2522</v>
      </c>
      <c r="F266" s="21">
        <v>440</v>
      </c>
      <c r="G266" s="21">
        <f>IF(Сделки!$E266="Продажа",-1*Сделки!$F266,Сделки!$F266)</f>
        <v>440</v>
      </c>
      <c r="H266" s="21">
        <f>VLOOKUP(Сделки!$D266,Акции!$E$2:$I$1353,2)*Сделки!$G266</f>
        <v>14761.999999999998</v>
      </c>
    </row>
    <row r="267" spans="4:8" ht="15.75" customHeight="1" x14ac:dyDescent="0.2">
      <c r="D267" s="24">
        <v>43328</v>
      </c>
      <c r="E267" s="21" t="s">
        <v>2521</v>
      </c>
      <c r="F267" s="21">
        <v>480</v>
      </c>
      <c r="G267" s="21">
        <f>IF(Сделки!$E267="Продажа",-1*Сделки!$F267,Сделки!$F267)</f>
        <v>-480</v>
      </c>
      <c r="H267" s="21">
        <f>VLOOKUP(Сделки!$D267,Акции!$E$2:$I$1353,2)*Сделки!$G267</f>
        <v>-16459.2</v>
      </c>
    </row>
    <row r="268" spans="4:8" ht="15.75" customHeight="1" x14ac:dyDescent="0.2">
      <c r="D268" s="24">
        <v>43342</v>
      </c>
      <c r="E268" s="21" t="s">
        <v>2521</v>
      </c>
      <c r="F268" s="21">
        <v>100</v>
      </c>
      <c r="G268" s="21">
        <f>IF(Сделки!$E268="Продажа",-1*Сделки!$F268,Сделки!$F268)</f>
        <v>-100</v>
      </c>
      <c r="H268" s="21">
        <f>VLOOKUP(Сделки!$D268,Акции!$E$2:$I$1353,2)*Сделки!$G268</f>
        <v>-3540</v>
      </c>
    </row>
    <row r="269" spans="4:8" ht="15.75" customHeight="1" x14ac:dyDescent="0.2">
      <c r="D269" s="24">
        <v>43347</v>
      </c>
      <c r="E269" s="21" t="s">
        <v>2522</v>
      </c>
      <c r="F269" s="21">
        <v>20</v>
      </c>
      <c r="G269" s="21">
        <f>IF(Сделки!$E269="Продажа",-1*Сделки!$F269,Сделки!$F269)</f>
        <v>20</v>
      </c>
      <c r="H269" s="21">
        <f>VLOOKUP(Сделки!$D269,Акции!$E$2:$I$1353,2)*Сделки!$G269</f>
        <v>721</v>
      </c>
    </row>
    <row r="270" spans="4:8" ht="15.75" customHeight="1" x14ac:dyDescent="0.2">
      <c r="D270" s="24">
        <v>43350</v>
      </c>
      <c r="E270" s="21" t="s">
        <v>2522</v>
      </c>
      <c r="F270" s="21">
        <v>140</v>
      </c>
      <c r="G270" s="21">
        <f>IF(Сделки!$E270="Продажа",-1*Сделки!$F270,Сделки!$F270)</f>
        <v>140</v>
      </c>
      <c r="H270" s="21">
        <f>VLOOKUP(Сделки!$D270,Акции!$E$2:$I$1353,2)*Сделки!$G270</f>
        <v>5019</v>
      </c>
    </row>
    <row r="271" spans="4:8" ht="15.75" customHeight="1" x14ac:dyDescent="0.2">
      <c r="D271" s="24">
        <v>43354</v>
      </c>
      <c r="E271" s="21" t="s">
        <v>2522</v>
      </c>
      <c r="F271" s="21">
        <v>490</v>
      </c>
      <c r="G271" s="21">
        <f>IF(Сделки!$E271="Продажа",-1*Сделки!$F271,Сделки!$F271)</f>
        <v>490</v>
      </c>
      <c r="H271" s="21">
        <f>VLOOKUP(Сделки!$D271,Акции!$E$2:$I$1353,2)*Сделки!$G271</f>
        <v>17708.599999999999</v>
      </c>
    </row>
    <row r="272" spans="4:8" ht="15.75" customHeight="1" x14ac:dyDescent="0.2">
      <c r="D272" s="24">
        <v>43355</v>
      </c>
      <c r="E272" s="21" t="s">
        <v>2522</v>
      </c>
      <c r="F272" s="21">
        <v>350</v>
      </c>
      <c r="G272" s="21">
        <f>IF(Сделки!$E272="Продажа",-1*Сделки!$F272,Сделки!$F272)</f>
        <v>350</v>
      </c>
      <c r="H272" s="21">
        <f>VLOOKUP(Сделки!$D272,Акции!$E$2:$I$1353,2)*Сделки!$G272</f>
        <v>12754</v>
      </c>
    </row>
    <row r="273" spans="4:8" ht="15.75" customHeight="1" x14ac:dyDescent="0.2">
      <c r="D273" s="24">
        <v>43357</v>
      </c>
      <c r="E273" s="21" t="s">
        <v>2522</v>
      </c>
      <c r="F273" s="21">
        <v>300</v>
      </c>
      <c r="G273" s="21">
        <f>IF(Сделки!$E273="Продажа",-1*Сделки!$F273,Сделки!$F273)</f>
        <v>300</v>
      </c>
      <c r="H273" s="21">
        <f>VLOOKUP(Сделки!$D273,Акции!$E$2:$I$1353,2)*Сделки!$G273</f>
        <v>11217</v>
      </c>
    </row>
    <row r="274" spans="4:8" ht="15.75" customHeight="1" x14ac:dyDescent="0.2">
      <c r="D274" s="24">
        <v>43360</v>
      </c>
      <c r="E274" s="21" t="s">
        <v>2521</v>
      </c>
      <c r="F274" s="21">
        <v>310</v>
      </c>
      <c r="G274" s="21">
        <f>IF(Сделки!$E274="Продажа",-1*Сделки!$F274,Сделки!$F274)</f>
        <v>-310</v>
      </c>
      <c r="H274" s="21">
        <f>VLOOKUP(Сделки!$D274,Акции!$E$2:$I$1353,2)*Сделки!$G274</f>
        <v>-11553.7</v>
      </c>
    </row>
    <row r="275" spans="4:8" ht="15.75" customHeight="1" x14ac:dyDescent="0.2">
      <c r="D275" s="24">
        <v>43362</v>
      </c>
      <c r="E275" s="21" t="s">
        <v>2522</v>
      </c>
      <c r="F275" s="21">
        <v>110</v>
      </c>
      <c r="G275" s="21">
        <f>IF(Сделки!$E275="Продажа",-1*Сделки!$F275,Сделки!$F275)</f>
        <v>110</v>
      </c>
      <c r="H275" s="21">
        <f>VLOOKUP(Сделки!$D275,Акции!$E$2:$I$1353,2)*Сделки!$G275</f>
        <v>4123.9000000000005</v>
      </c>
    </row>
    <row r="276" spans="4:8" ht="15.75" customHeight="1" x14ac:dyDescent="0.2">
      <c r="D276" s="24">
        <v>43371</v>
      </c>
      <c r="E276" s="21" t="s">
        <v>2521</v>
      </c>
      <c r="F276" s="21">
        <v>80</v>
      </c>
      <c r="G276" s="21">
        <f>IF(Сделки!$E276="Продажа",-1*Сделки!$F276,Сделки!$F276)</f>
        <v>-80</v>
      </c>
      <c r="H276" s="21">
        <f>VLOOKUP(Сделки!$D276,Акции!$E$2:$I$1353,2)*Сделки!$G276</f>
        <v>-3080</v>
      </c>
    </row>
    <row r="277" spans="4:8" ht="15.75" customHeight="1" x14ac:dyDescent="0.2">
      <c r="D277" s="24">
        <v>43374</v>
      </c>
      <c r="E277" s="21" t="s">
        <v>2521</v>
      </c>
      <c r="F277" s="21">
        <v>210</v>
      </c>
      <c r="G277" s="21">
        <f>IF(Сделки!$E277="Продажа",-1*Сделки!$F277,Сделки!$F277)</f>
        <v>-210</v>
      </c>
      <c r="H277" s="21">
        <f>VLOOKUP(Сделки!$D277,Акции!$E$2:$I$1353,2)*Сделки!$G277</f>
        <v>-8185.7999999999993</v>
      </c>
    </row>
    <row r="278" spans="4:8" ht="15.75" customHeight="1" x14ac:dyDescent="0.2">
      <c r="D278" s="24">
        <v>43374</v>
      </c>
      <c r="E278" s="21" t="s">
        <v>2522</v>
      </c>
      <c r="F278" s="21">
        <v>440</v>
      </c>
      <c r="G278" s="21">
        <f>IF(Сделки!$E278="Продажа",-1*Сделки!$F278,Сделки!$F278)</f>
        <v>440</v>
      </c>
      <c r="H278" s="21">
        <f>VLOOKUP(Сделки!$D278,Акции!$E$2:$I$1353,2)*Сделки!$G278</f>
        <v>17151.199999999997</v>
      </c>
    </row>
    <row r="279" spans="4:8" ht="15.75" customHeight="1" x14ac:dyDescent="0.2">
      <c r="D279" s="24">
        <v>43382</v>
      </c>
      <c r="E279" s="21" t="s">
        <v>2521</v>
      </c>
      <c r="F279" s="21">
        <v>260</v>
      </c>
      <c r="G279" s="21">
        <f>IF(Сделки!$E279="Продажа",-1*Сделки!$F279,Сделки!$F279)</f>
        <v>-260</v>
      </c>
      <c r="H279" s="21">
        <f>VLOOKUP(Сделки!$D279,Акции!$E$2:$I$1353,2)*Сделки!$G279</f>
        <v>-9726.5999999999985</v>
      </c>
    </row>
    <row r="280" spans="4:8" ht="15.75" customHeight="1" x14ac:dyDescent="0.2">
      <c r="D280" s="24">
        <v>43384</v>
      </c>
      <c r="E280" s="21" t="s">
        <v>2522</v>
      </c>
      <c r="F280" s="21">
        <v>190</v>
      </c>
      <c r="G280" s="21">
        <f>IF(Сделки!$E280="Продажа",-1*Сделки!$F280,Сделки!$F280)</f>
        <v>190</v>
      </c>
      <c r="H280" s="21">
        <f>VLOOKUP(Сделки!$D280,Акции!$E$2:$I$1353,2)*Сделки!$G280</f>
        <v>6840</v>
      </c>
    </row>
    <row r="281" spans="4:8" ht="15.75" customHeight="1" x14ac:dyDescent="0.2">
      <c r="D281" s="24">
        <v>43389</v>
      </c>
      <c r="E281" s="21" t="s">
        <v>2521</v>
      </c>
      <c r="F281" s="21">
        <v>70</v>
      </c>
      <c r="G281" s="21">
        <f>IF(Сделки!$E281="Продажа",-1*Сделки!$F281,Сделки!$F281)</f>
        <v>-70</v>
      </c>
      <c r="H281" s="21">
        <f>VLOOKUP(Сделки!$D281,Акции!$E$2:$I$1353,2)*Сделки!$G281</f>
        <v>-2667.7</v>
      </c>
    </row>
    <row r="282" spans="4:8" ht="15.75" customHeight="1" x14ac:dyDescent="0.2">
      <c r="D282" s="24">
        <v>43390</v>
      </c>
      <c r="E282" s="21" t="s">
        <v>2522</v>
      </c>
      <c r="F282" s="21">
        <v>0</v>
      </c>
      <c r="G282" s="21">
        <f>IF(Сделки!$E282="Продажа",-1*Сделки!$F282,Сделки!$F282)</f>
        <v>0</v>
      </c>
      <c r="H282" s="21">
        <f>VLOOKUP(Сделки!$D282,Акции!$E$2:$I$1353,2)*Сделки!$G282</f>
        <v>0</v>
      </c>
    </row>
    <row r="283" spans="4:8" ht="15.75" customHeight="1" x14ac:dyDescent="0.2">
      <c r="D283" s="24">
        <v>43391</v>
      </c>
      <c r="E283" s="21" t="s">
        <v>2522</v>
      </c>
      <c r="F283" s="21">
        <v>320</v>
      </c>
      <c r="G283" s="21">
        <f>IF(Сделки!$E283="Продажа",-1*Сделки!$F283,Сделки!$F283)</f>
        <v>320</v>
      </c>
      <c r="H283" s="21">
        <f>VLOOKUP(Сделки!$D283,Акции!$E$2:$I$1353,2)*Сделки!$G283</f>
        <v>12009.6</v>
      </c>
    </row>
    <row r="284" spans="4:8" ht="15.75" customHeight="1" x14ac:dyDescent="0.2">
      <c r="D284" s="24">
        <v>43391</v>
      </c>
      <c r="E284" s="21" t="s">
        <v>2521</v>
      </c>
      <c r="F284" s="21">
        <v>320</v>
      </c>
      <c r="G284" s="21">
        <f>IF(Сделки!$E284="Продажа",-1*Сделки!$F284,Сделки!$F284)</f>
        <v>-320</v>
      </c>
      <c r="H284" s="21">
        <f>VLOOKUP(Сделки!$D284,Акции!$E$2:$I$1353,2)*Сделки!$G284</f>
        <v>-12009.6</v>
      </c>
    </row>
    <row r="285" spans="4:8" ht="15.75" customHeight="1" x14ac:dyDescent="0.2">
      <c r="D285" s="24">
        <v>43391</v>
      </c>
      <c r="E285" s="21" t="s">
        <v>2522</v>
      </c>
      <c r="F285" s="21">
        <v>330</v>
      </c>
      <c r="G285" s="21">
        <f>IF(Сделки!$E285="Продажа",-1*Сделки!$F285,Сделки!$F285)</f>
        <v>330</v>
      </c>
      <c r="H285" s="21">
        <f>VLOOKUP(Сделки!$D285,Акции!$E$2:$I$1353,2)*Сделки!$G285</f>
        <v>12384.9</v>
      </c>
    </row>
    <row r="286" spans="4:8" ht="15.75" customHeight="1" x14ac:dyDescent="0.2">
      <c r="D286" s="24">
        <v>43398</v>
      </c>
      <c r="E286" s="21" t="s">
        <v>2522</v>
      </c>
      <c r="F286" s="21">
        <v>470</v>
      </c>
      <c r="G286" s="21">
        <f>IF(Сделки!$E286="Продажа",-1*Сделки!$F286,Сделки!$F286)</f>
        <v>470</v>
      </c>
      <c r="H286" s="21">
        <f>VLOOKUP(Сделки!$D286,Акции!$E$2:$I$1353,2)*Сделки!$G286</f>
        <v>17103.3</v>
      </c>
    </row>
    <row r="287" spans="4:8" ht="15.75" customHeight="1" x14ac:dyDescent="0.2">
      <c r="D287" s="24">
        <v>43404</v>
      </c>
      <c r="E287" s="21" t="s">
        <v>2521</v>
      </c>
      <c r="F287" s="21">
        <v>260</v>
      </c>
      <c r="G287" s="21">
        <f>IF(Сделки!$E287="Продажа",-1*Сделки!$F287,Сделки!$F287)</f>
        <v>-260</v>
      </c>
      <c r="H287" s="21">
        <f>VLOOKUP(Сделки!$D287,Акции!$E$2:$I$1353,2)*Сделки!$G287</f>
        <v>-9396.4</v>
      </c>
    </row>
    <row r="288" spans="4:8" ht="15.75" customHeight="1" x14ac:dyDescent="0.2">
      <c r="D288" s="24">
        <v>43405</v>
      </c>
      <c r="E288" s="21" t="s">
        <v>2522</v>
      </c>
      <c r="F288" s="21">
        <v>370</v>
      </c>
      <c r="G288" s="21">
        <f>IF(Сделки!$E288="Продажа",-1*Сделки!$F288,Сделки!$F288)</f>
        <v>370</v>
      </c>
      <c r="H288" s="21">
        <f>VLOOKUP(Сделки!$D288,Акции!$E$2:$I$1353,2)*Сделки!$G288</f>
        <v>13686.300000000001</v>
      </c>
    </row>
    <row r="289" spans="4:8" ht="15.75" customHeight="1" x14ac:dyDescent="0.2">
      <c r="D289" s="24">
        <v>43410</v>
      </c>
      <c r="E289" s="21" t="s">
        <v>2521</v>
      </c>
      <c r="F289" s="21">
        <v>270</v>
      </c>
      <c r="G289" s="21">
        <f>IF(Сделки!$E289="Продажа",-1*Сделки!$F289,Сделки!$F289)</f>
        <v>-270</v>
      </c>
      <c r="H289" s="21">
        <f>VLOOKUP(Сделки!$D289,Акции!$E$2:$I$1353,2)*Сделки!$G289</f>
        <v>-9949.5</v>
      </c>
    </row>
    <row r="290" spans="4:8" ht="15.75" customHeight="1" x14ac:dyDescent="0.2">
      <c r="D290" s="24">
        <v>43412</v>
      </c>
      <c r="E290" s="21" t="s">
        <v>2521</v>
      </c>
      <c r="F290" s="21">
        <v>100</v>
      </c>
      <c r="G290" s="21">
        <f>IF(Сделки!$E290="Продажа",-1*Сделки!$F290,Сделки!$F290)</f>
        <v>-100</v>
      </c>
      <c r="H290" s="21">
        <f>VLOOKUP(Сделки!$D290,Акции!$E$2:$I$1353,2)*Сделки!$G290</f>
        <v>-3844</v>
      </c>
    </row>
    <row r="291" spans="4:8" ht="15.75" customHeight="1" x14ac:dyDescent="0.2">
      <c r="D291" s="24">
        <v>43416</v>
      </c>
      <c r="E291" s="21" t="s">
        <v>2521</v>
      </c>
      <c r="F291" s="21">
        <v>430</v>
      </c>
      <c r="G291" s="21">
        <f>IF(Сделки!$E291="Продажа",-1*Сделки!$F291,Сделки!$F291)</f>
        <v>-430</v>
      </c>
      <c r="H291" s="21">
        <f>VLOOKUP(Сделки!$D291,Акции!$E$2:$I$1353,2)*Сделки!$G291</f>
        <v>-15879.9</v>
      </c>
    </row>
    <row r="292" spans="4:8" ht="15.75" customHeight="1" x14ac:dyDescent="0.2">
      <c r="D292" s="24">
        <v>43424</v>
      </c>
      <c r="E292" s="21" t="s">
        <v>2522</v>
      </c>
      <c r="F292" s="21">
        <v>90</v>
      </c>
      <c r="G292" s="21">
        <f>IF(Сделки!$E292="Продажа",-1*Сделки!$F292,Сделки!$F292)</f>
        <v>90</v>
      </c>
      <c r="H292" s="21">
        <f>VLOOKUP(Сделки!$D292,Акции!$E$2:$I$1353,2)*Сделки!$G292</f>
        <v>3064.4999999999995</v>
      </c>
    </row>
    <row r="293" spans="4:8" ht="15.75" customHeight="1" x14ac:dyDescent="0.2">
      <c r="D293" s="24">
        <v>43427</v>
      </c>
      <c r="E293" s="21" t="s">
        <v>2522</v>
      </c>
      <c r="F293" s="21">
        <v>500</v>
      </c>
      <c r="G293" s="21">
        <f>IF(Сделки!$E293="Продажа",-1*Сделки!$F293,Сделки!$F293)</f>
        <v>500</v>
      </c>
      <c r="H293" s="21">
        <f>VLOOKUP(Сделки!$D293,Акции!$E$2:$I$1353,2)*Сделки!$G293</f>
        <v>17400</v>
      </c>
    </row>
    <row r="294" spans="4:8" ht="15.75" customHeight="1" x14ac:dyDescent="0.2">
      <c r="D294" s="24">
        <v>43438</v>
      </c>
      <c r="E294" s="21" t="s">
        <v>2521</v>
      </c>
      <c r="F294" s="21">
        <v>480</v>
      </c>
      <c r="G294" s="21">
        <f>IF(Сделки!$E294="Продажа",-1*Сделки!$F294,Сделки!$F294)</f>
        <v>-480</v>
      </c>
      <c r="H294" s="21">
        <f>VLOOKUP(Сделки!$D294,Акции!$E$2:$I$1353,2)*Сделки!$G294</f>
        <v>-17529.600000000002</v>
      </c>
    </row>
    <row r="295" spans="4:8" ht="15.75" customHeight="1" x14ac:dyDescent="0.2">
      <c r="D295" s="24">
        <v>43441</v>
      </c>
      <c r="E295" s="21" t="s">
        <v>2522</v>
      </c>
      <c r="F295" s="21">
        <v>150</v>
      </c>
      <c r="G295" s="21">
        <f>IF(Сделки!$E295="Продажа",-1*Сделки!$F295,Сделки!$F295)</f>
        <v>150</v>
      </c>
      <c r="H295" s="21">
        <f>VLOOKUP(Сделки!$D295,Акции!$E$2:$I$1353,2)*Сделки!$G295</f>
        <v>5321.9999999999991</v>
      </c>
    </row>
    <row r="296" spans="4:8" ht="15.75" customHeight="1" x14ac:dyDescent="0.2">
      <c r="D296" s="24">
        <v>43445</v>
      </c>
      <c r="E296" s="21" t="s">
        <v>2521</v>
      </c>
      <c r="F296" s="21">
        <v>30</v>
      </c>
      <c r="G296" s="21">
        <f>IF(Сделки!$E296="Продажа",-1*Сделки!$F296,Сделки!$F296)</f>
        <v>-30</v>
      </c>
      <c r="H296" s="21">
        <f>VLOOKUP(Сделки!$D296,Акции!$E$2:$I$1353,2)*Сделки!$G296</f>
        <v>-1096.8000000000002</v>
      </c>
    </row>
    <row r="297" spans="4:8" ht="15.75" customHeight="1" x14ac:dyDescent="0.2">
      <c r="D297" s="24">
        <v>43448</v>
      </c>
      <c r="E297" s="21" t="s">
        <v>2521</v>
      </c>
      <c r="F297" s="21">
        <v>350</v>
      </c>
      <c r="G297" s="21">
        <f>IF(Сделки!$E297="Продажа",-1*Сделки!$F297,Сделки!$F297)</f>
        <v>-350</v>
      </c>
      <c r="H297" s="21">
        <f>VLOOKUP(Сделки!$D297,Акции!$E$2:$I$1353,2)*Сделки!$G297</f>
        <v>-12529.999999999998</v>
      </c>
    </row>
    <row r="298" spans="4:8" ht="15.75" customHeight="1" x14ac:dyDescent="0.2">
      <c r="D298" s="24">
        <v>43455</v>
      </c>
      <c r="E298" s="21" t="s">
        <v>2522</v>
      </c>
      <c r="F298" s="21">
        <v>160</v>
      </c>
      <c r="G298" s="21">
        <f>IF(Сделки!$E298="Продажа",-1*Сделки!$F298,Сделки!$F298)</f>
        <v>160</v>
      </c>
      <c r="H298" s="21">
        <f>VLOOKUP(Сделки!$D298,Акции!$E$2:$I$1353,2)*Сделки!$G298</f>
        <v>5252.7999999999993</v>
      </c>
    </row>
    <row r="299" spans="4:8" ht="15.75" customHeight="1" x14ac:dyDescent="0.2">
      <c r="D299" s="24">
        <v>43465</v>
      </c>
      <c r="E299" s="21" t="s">
        <v>2522</v>
      </c>
      <c r="F299" s="21">
        <v>120</v>
      </c>
      <c r="G299" s="21">
        <f>IF(Сделки!$E299="Продажа",-1*Сделки!$F299,Сделки!$F299)</f>
        <v>120</v>
      </c>
      <c r="H299" s="21">
        <f>VLOOKUP(Сделки!$D299,Акции!$E$2:$I$1353,2)*Сделки!$G299</f>
        <v>4240.8</v>
      </c>
    </row>
    <row r="300" spans="4:8" ht="15.75" customHeight="1" x14ac:dyDescent="0.2">
      <c r="D300" s="24">
        <v>43468</v>
      </c>
      <c r="E300" s="21" t="s">
        <v>2522</v>
      </c>
      <c r="F300" s="21">
        <v>10</v>
      </c>
      <c r="G300" s="21">
        <f>IF(Сделки!$E300="Продажа",-1*Сделки!$F300,Сделки!$F300)</f>
        <v>10</v>
      </c>
      <c r="H300" s="21">
        <f>VLOOKUP(Сделки!$D300,Акции!$E$2:$I$1353,2)*Сделки!$G300</f>
        <v>329.09999999999997</v>
      </c>
    </row>
    <row r="301" spans="4:8" ht="15.75" customHeight="1" x14ac:dyDescent="0.2">
      <c r="D301" s="24">
        <v>43469</v>
      </c>
      <c r="E301" s="21" t="s">
        <v>2522</v>
      </c>
      <c r="F301" s="21">
        <v>250</v>
      </c>
      <c r="G301" s="21">
        <f>IF(Сделки!$E301="Продажа",-1*Сделки!$F301,Сделки!$F301)</f>
        <v>250</v>
      </c>
      <c r="H301" s="21">
        <f>VLOOKUP(Сделки!$D301,Акции!$E$2:$I$1353,2)*Сделки!$G301</f>
        <v>8552.5</v>
      </c>
    </row>
    <row r="302" spans="4:8" ht="15.75" customHeight="1" x14ac:dyDescent="0.2">
      <c r="D302" s="24">
        <v>43474</v>
      </c>
      <c r="E302" s="21" t="s">
        <v>2522</v>
      </c>
      <c r="F302" s="21">
        <v>340</v>
      </c>
      <c r="G302" s="21">
        <f>IF(Сделки!$E302="Продажа",-1*Сделки!$F302,Сделки!$F302)</f>
        <v>340</v>
      </c>
      <c r="H302" s="21">
        <f>VLOOKUP(Сделки!$D302,Акции!$E$2:$I$1353,2)*Сделки!$G302</f>
        <v>12199.2</v>
      </c>
    </row>
    <row r="303" spans="4:8" ht="15.75" customHeight="1" x14ac:dyDescent="0.2">
      <c r="D303" s="24">
        <v>43476</v>
      </c>
      <c r="E303" s="21" t="s">
        <v>2521</v>
      </c>
      <c r="F303" s="21">
        <v>90</v>
      </c>
      <c r="G303" s="21">
        <f>IF(Сделки!$E303="Продажа",-1*Сделки!$F303,Сделки!$F303)</f>
        <v>-90</v>
      </c>
      <c r="H303" s="21">
        <f>VLOOKUP(Сделки!$D303,Акции!$E$2:$I$1353,2)*Сделки!$G303</f>
        <v>-3200.4</v>
      </c>
    </row>
    <row r="304" spans="4:8" ht="15.75" customHeight="1" x14ac:dyDescent="0.2">
      <c r="D304" s="24">
        <v>43483</v>
      </c>
      <c r="E304" s="21" t="s">
        <v>2522</v>
      </c>
      <c r="F304" s="21">
        <v>140</v>
      </c>
      <c r="G304" s="21">
        <f>IF(Сделки!$E304="Продажа",-1*Сделки!$F304,Сделки!$F304)</f>
        <v>140</v>
      </c>
      <c r="H304" s="21">
        <f>VLOOKUP(Сделки!$D304,Акции!$E$2:$I$1353,2)*Сделки!$G304</f>
        <v>5276.5999999999995</v>
      </c>
    </row>
    <row r="305" spans="4:8" ht="15.75" customHeight="1" x14ac:dyDescent="0.2">
      <c r="D305" s="24">
        <v>43483</v>
      </c>
      <c r="E305" s="21" t="s">
        <v>2522</v>
      </c>
      <c r="F305" s="21">
        <v>160</v>
      </c>
      <c r="G305" s="21">
        <f>IF(Сделки!$E305="Продажа",-1*Сделки!$F305,Сделки!$F305)</f>
        <v>160</v>
      </c>
      <c r="H305" s="21">
        <f>VLOOKUP(Сделки!$D305,Акции!$E$2:$I$1353,2)*Сделки!$G305</f>
        <v>6030.4</v>
      </c>
    </row>
    <row r="306" spans="4:8" ht="15.75" customHeight="1" x14ac:dyDescent="0.2">
      <c r="D306" s="24">
        <v>43493</v>
      </c>
      <c r="E306" s="21" t="s">
        <v>2521</v>
      </c>
      <c r="F306" s="21">
        <v>340</v>
      </c>
      <c r="G306" s="21">
        <f>IF(Сделки!$E306="Продажа",-1*Сделки!$F306,Сделки!$F306)</f>
        <v>-340</v>
      </c>
      <c r="H306" s="21">
        <f>VLOOKUP(Сделки!$D306,Акции!$E$2:$I$1353,2)*Сделки!$G306</f>
        <v>-12529</v>
      </c>
    </row>
    <row r="307" spans="4:8" ht="15.75" customHeight="1" x14ac:dyDescent="0.2">
      <c r="D307" s="24">
        <v>43502</v>
      </c>
      <c r="E307" s="21" t="s">
        <v>2521</v>
      </c>
      <c r="F307" s="21">
        <v>430</v>
      </c>
      <c r="G307" s="21">
        <f>IF(Сделки!$E307="Продажа",-1*Сделки!$F307,Сделки!$F307)</f>
        <v>-430</v>
      </c>
      <c r="H307" s="21">
        <f>VLOOKUP(Сделки!$D307,Акции!$E$2:$I$1353,2)*Сделки!$G307</f>
        <v>-16671.100000000002</v>
      </c>
    </row>
    <row r="308" spans="4:8" ht="15.75" customHeight="1" x14ac:dyDescent="0.2">
      <c r="D308" s="24">
        <v>43502</v>
      </c>
      <c r="E308" s="21" t="s">
        <v>2521</v>
      </c>
      <c r="F308" s="21">
        <v>320</v>
      </c>
      <c r="G308" s="21">
        <f>IF(Сделки!$E308="Продажа",-1*Сделки!$F308,Сделки!$F308)</f>
        <v>-320</v>
      </c>
      <c r="H308" s="21">
        <f>VLOOKUP(Сделки!$D308,Акции!$E$2:$I$1353,2)*Сделки!$G308</f>
        <v>-12406.400000000001</v>
      </c>
    </row>
    <row r="309" spans="4:8" ht="15.75" customHeight="1" x14ac:dyDescent="0.2">
      <c r="D309" s="24">
        <v>43503</v>
      </c>
      <c r="E309" s="21" t="s">
        <v>2522</v>
      </c>
      <c r="F309" s="21">
        <v>70</v>
      </c>
      <c r="G309" s="21">
        <f>IF(Сделки!$E309="Продажа",-1*Сделки!$F309,Сделки!$F309)</f>
        <v>70</v>
      </c>
      <c r="H309" s="21">
        <f>VLOOKUP(Сделки!$D309,Акции!$E$2:$I$1353,2)*Сделки!$G309</f>
        <v>2719.5</v>
      </c>
    </row>
    <row r="310" spans="4:8" ht="15.75" customHeight="1" x14ac:dyDescent="0.2">
      <c r="D310" s="24">
        <v>43504</v>
      </c>
      <c r="E310" s="21" t="s">
        <v>2521</v>
      </c>
      <c r="F310" s="21">
        <v>50</v>
      </c>
      <c r="G310" s="21">
        <f>IF(Сделки!$E310="Продажа",-1*Сделки!$F310,Сделки!$F310)</f>
        <v>-50</v>
      </c>
      <c r="H310" s="21">
        <f>VLOOKUP(Сделки!$D310,Акции!$E$2:$I$1353,2)*Сделки!$G310</f>
        <v>-1959.5</v>
      </c>
    </row>
    <row r="311" spans="4:8" ht="15.75" customHeight="1" x14ac:dyDescent="0.2">
      <c r="D311" s="24">
        <v>43504</v>
      </c>
      <c r="E311" s="21" t="s">
        <v>2521</v>
      </c>
      <c r="F311" s="21">
        <v>480</v>
      </c>
      <c r="G311" s="21">
        <f>IF(Сделки!$E311="Продажа",-1*Сделки!$F311,Сделки!$F311)</f>
        <v>-480</v>
      </c>
      <c r="H311" s="21">
        <f>VLOOKUP(Сделки!$D311,Акции!$E$2:$I$1353,2)*Сделки!$G311</f>
        <v>-18811.199999999997</v>
      </c>
    </row>
    <row r="312" spans="4:8" ht="15.75" customHeight="1" x14ac:dyDescent="0.2">
      <c r="D312" s="24">
        <v>43509</v>
      </c>
      <c r="E312" s="21" t="s">
        <v>2522</v>
      </c>
      <c r="F312" s="21">
        <v>390</v>
      </c>
      <c r="G312" s="21">
        <f>IF(Сделки!$E312="Продажа",-1*Сделки!$F312,Сделки!$F312)</f>
        <v>390</v>
      </c>
      <c r="H312" s="21">
        <f>VLOOKUP(Сделки!$D312,Акции!$E$2:$I$1353,2)*Сделки!$G312</f>
        <v>15444</v>
      </c>
    </row>
    <row r="313" spans="4:8" ht="15.75" customHeight="1" x14ac:dyDescent="0.2">
      <c r="D313" s="24">
        <v>43509</v>
      </c>
      <c r="E313" s="21" t="s">
        <v>2522</v>
      </c>
      <c r="F313" s="21">
        <v>160</v>
      </c>
      <c r="G313" s="21">
        <f>IF(Сделки!$E313="Продажа",-1*Сделки!$F313,Сделки!$F313)</f>
        <v>160</v>
      </c>
      <c r="H313" s="21">
        <f>VLOOKUP(Сделки!$D313,Акции!$E$2:$I$1353,2)*Сделки!$G313</f>
        <v>6336</v>
      </c>
    </row>
    <row r="314" spans="4:8" ht="15.75" customHeight="1" x14ac:dyDescent="0.2">
      <c r="D314" s="24">
        <v>43515</v>
      </c>
      <c r="E314" s="21" t="s">
        <v>2521</v>
      </c>
      <c r="F314" s="21">
        <v>70</v>
      </c>
      <c r="G314" s="21">
        <f>IF(Сделки!$E314="Продажа",-1*Сделки!$F314,Сделки!$F314)</f>
        <v>-70</v>
      </c>
      <c r="H314" s="21">
        <f>VLOOKUP(Сделки!$D314,Акции!$E$2:$I$1353,2)*Сделки!$G314</f>
        <v>-2790.2</v>
      </c>
    </row>
    <row r="315" spans="4:8" ht="15.75" customHeight="1" x14ac:dyDescent="0.2">
      <c r="D315" s="24">
        <v>43518</v>
      </c>
      <c r="E315" s="21" t="s">
        <v>2521</v>
      </c>
      <c r="F315" s="21">
        <v>270</v>
      </c>
      <c r="G315" s="21">
        <f>IF(Сделки!$E315="Продажа",-1*Сделки!$F315,Сделки!$F315)</f>
        <v>-270</v>
      </c>
      <c r="H315" s="21">
        <f>VLOOKUP(Сделки!$D315,Акции!$E$2:$I$1353,2)*Сделки!$G315</f>
        <v>-10940.400000000001</v>
      </c>
    </row>
    <row r="316" spans="4:8" ht="15.75" customHeight="1" x14ac:dyDescent="0.2">
      <c r="D316" s="24">
        <v>43524</v>
      </c>
      <c r="E316" s="21" t="s">
        <v>2522</v>
      </c>
      <c r="F316" s="21">
        <v>420</v>
      </c>
      <c r="G316" s="21">
        <f>IF(Сделки!$E316="Продажа",-1*Сделки!$F316,Сделки!$F316)</f>
        <v>420</v>
      </c>
      <c r="H316" s="21">
        <f>VLOOKUP(Сделки!$D316,Акции!$E$2:$I$1353,2)*Сделки!$G316</f>
        <v>16850.399999999998</v>
      </c>
    </row>
    <row r="317" spans="4:8" ht="15.75" customHeight="1" x14ac:dyDescent="0.2">
      <c r="D317" s="24">
        <v>43531</v>
      </c>
      <c r="E317" s="21" t="s">
        <v>2522</v>
      </c>
      <c r="F317" s="21">
        <v>60</v>
      </c>
      <c r="G317" s="21">
        <f>IF(Сделки!$E317="Продажа",-1*Сделки!$F317,Сделки!$F317)</f>
        <v>60</v>
      </c>
      <c r="H317" s="21">
        <f>VLOOKUP(Сделки!$D317,Акции!$E$2:$I$1353,2)*Сделки!$G317</f>
        <v>2375.4</v>
      </c>
    </row>
    <row r="318" spans="4:8" ht="15.75" customHeight="1" x14ac:dyDescent="0.2">
      <c r="D318" s="24">
        <v>43538</v>
      </c>
      <c r="E318" s="21" t="s">
        <v>2522</v>
      </c>
      <c r="F318" s="21">
        <v>60</v>
      </c>
      <c r="G318" s="21">
        <f>IF(Сделки!$E318="Продажа",-1*Сделки!$F318,Сделки!$F318)</f>
        <v>60</v>
      </c>
      <c r="H318" s="21">
        <f>VLOOKUP(Сделки!$D318,Акции!$E$2:$I$1353,2)*Сделки!$G318</f>
        <v>2403</v>
      </c>
    </row>
    <row r="319" spans="4:8" ht="15.75" customHeight="1" x14ac:dyDescent="0.2">
      <c r="D319" s="24">
        <v>43542</v>
      </c>
      <c r="E319" s="21" t="s">
        <v>2522</v>
      </c>
      <c r="F319" s="21">
        <v>10</v>
      </c>
      <c r="G319" s="21">
        <f>IF(Сделки!$E319="Продажа",-1*Сделки!$F319,Сделки!$F319)</f>
        <v>10</v>
      </c>
      <c r="H319" s="21">
        <f>VLOOKUP(Сделки!$D319,Акции!$E$2:$I$1353,2)*Сделки!$G319</f>
        <v>379.7</v>
      </c>
    </row>
    <row r="320" spans="4:8" ht="15.75" customHeight="1" x14ac:dyDescent="0.2">
      <c r="D320" s="24">
        <v>43543</v>
      </c>
      <c r="E320" s="21" t="s">
        <v>2522</v>
      </c>
      <c r="F320" s="21">
        <v>30</v>
      </c>
      <c r="G320" s="21">
        <f>IF(Сделки!$E320="Продажа",-1*Сделки!$F320,Сделки!$F320)</f>
        <v>30</v>
      </c>
      <c r="H320" s="21">
        <f>VLOOKUP(Сделки!$D320,Акции!$E$2:$I$1353,2)*Сделки!$G320</f>
        <v>1145.1000000000001</v>
      </c>
    </row>
    <row r="321" spans="4:8" ht="15.75" customHeight="1" x14ac:dyDescent="0.2">
      <c r="D321" s="24">
        <v>43551</v>
      </c>
      <c r="E321" s="21" t="s">
        <v>2522</v>
      </c>
      <c r="F321" s="21">
        <v>380</v>
      </c>
      <c r="G321" s="21">
        <f>IF(Сделки!$E321="Продажа",-1*Сделки!$F321,Сделки!$F321)</f>
        <v>380</v>
      </c>
      <c r="H321" s="21">
        <f>VLOOKUP(Сделки!$D321,Акции!$E$2:$I$1353,2)*Сделки!$G321</f>
        <v>14246.2</v>
      </c>
    </row>
    <row r="322" spans="4:8" ht="15.75" customHeight="1" x14ac:dyDescent="0.2">
      <c r="D322" s="24">
        <v>43558</v>
      </c>
      <c r="E322" s="21" t="s">
        <v>2522</v>
      </c>
      <c r="F322" s="21">
        <v>440</v>
      </c>
      <c r="G322" s="21">
        <f>IF(Сделки!$E322="Продажа",-1*Сделки!$F322,Сделки!$F322)</f>
        <v>440</v>
      </c>
      <c r="H322" s="21">
        <f>VLOOKUP(Сделки!$D322,Акции!$E$2:$I$1353,2)*Сделки!$G322</f>
        <v>16865.2</v>
      </c>
    </row>
    <row r="323" spans="4:8" ht="15.75" customHeight="1" x14ac:dyDescent="0.2">
      <c r="D323" s="24">
        <v>43559</v>
      </c>
      <c r="E323" s="21" t="s">
        <v>2521</v>
      </c>
      <c r="F323" s="21">
        <v>210</v>
      </c>
      <c r="G323" s="21">
        <f>IF(Сделки!$E323="Продажа",-1*Сделки!$F323,Сделки!$F323)</f>
        <v>-210</v>
      </c>
      <c r="H323" s="21">
        <f>VLOOKUP(Сделки!$D323,Акции!$E$2:$I$1353,2)*Сделки!$G323</f>
        <v>-8013.5999999999995</v>
      </c>
    </row>
    <row r="324" spans="4:8" ht="15.75" customHeight="1" x14ac:dyDescent="0.2">
      <c r="D324" s="24">
        <v>43563</v>
      </c>
      <c r="E324" s="21" t="s">
        <v>2521</v>
      </c>
      <c r="F324" s="21">
        <v>280</v>
      </c>
      <c r="G324" s="21">
        <f>IF(Сделки!$E324="Продажа",-1*Сделки!$F324,Сделки!$F324)</f>
        <v>-280</v>
      </c>
      <c r="H324" s="21">
        <f>VLOOKUP(Сделки!$D324,Акции!$E$2:$I$1353,2)*Сделки!$G324</f>
        <v>-10682</v>
      </c>
    </row>
    <row r="325" spans="4:8" ht="15.75" customHeight="1" x14ac:dyDescent="0.2">
      <c r="D325" s="24">
        <v>43566</v>
      </c>
      <c r="E325" s="21" t="s">
        <v>2521</v>
      </c>
      <c r="F325" s="21">
        <v>110</v>
      </c>
      <c r="G325" s="21">
        <f>IF(Сделки!$E325="Продажа",-1*Сделки!$F325,Сделки!$F325)</f>
        <v>-110</v>
      </c>
      <c r="H325" s="21">
        <f>VLOOKUP(Сделки!$D325,Акции!$E$2:$I$1353,2)*Сделки!$G325</f>
        <v>-4171.2</v>
      </c>
    </row>
    <row r="326" spans="4:8" ht="15.75" customHeight="1" x14ac:dyDescent="0.2">
      <c r="D326" s="24">
        <v>43573</v>
      </c>
      <c r="E326" s="21" t="s">
        <v>2522</v>
      </c>
      <c r="F326" s="21">
        <v>170</v>
      </c>
      <c r="G326" s="21">
        <f>IF(Сделки!$E326="Продажа",-1*Сделки!$F326,Сделки!$F326)</f>
        <v>170</v>
      </c>
      <c r="H326" s="21">
        <f>VLOOKUP(Сделки!$D326,Акции!$E$2:$I$1353,2)*Сделки!$G326</f>
        <v>5968.7</v>
      </c>
    </row>
    <row r="327" spans="4:8" ht="15.75" customHeight="1" x14ac:dyDescent="0.2">
      <c r="D327" s="24">
        <v>43579</v>
      </c>
      <c r="E327" s="21" t="s">
        <v>2522</v>
      </c>
      <c r="F327" s="21">
        <v>430</v>
      </c>
      <c r="G327" s="21">
        <f>IF(Сделки!$E327="Продажа",-1*Сделки!$F327,Сделки!$F327)</f>
        <v>430</v>
      </c>
      <c r="H327" s="21">
        <f>VLOOKUP(Сделки!$D327,Акции!$E$2:$I$1353,2)*Сделки!$G327</f>
        <v>15239.199999999999</v>
      </c>
    </row>
    <row r="328" spans="4:8" ht="15.75" customHeight="1" x14ac:dyDescent="0.2">
      <c r="D328" s="24">
        <v>43579</v>
      </c>
      <c r="E328" s="21" t="s">
        <v>2521</v>
      </c>
      <c r="F328" s="21">
        <v>170</v>
      </c>
      <c r="G328" s="21">
        <f>IF(Сделки!$E328="Продажа",-1*Сделки!$F328,Сделки!$F328)</f>
        <v>-170</v>
      </c>
      <c r="H328" s="21">
        <f>VLOOKUP(Сделки!$D328,Акции!$E$2:$I$1353,2)*Сделки!$G328</f>
        <v>-6024.7999999999993</v>
      </c>
    </row>
    <row r="329" spans="4:8" ht="15.75" customHeight="1" x14ac:dyDescent="0.2">
      <c r="D329" s="24">
        <v>43580</v>
      </c>
      <c r="E329" s="21" t="s">
        <v>2522</v>
      </c>
      <c r="F329" s="21">
        <v>60</v>
      </c>
      <c r="G329" s="21">
        <f>IF(Сделки!$E329="Продажа",-1*Сделки!$F329,Сделки!$F329)</f>
        <v>60</v>
      </c>
      <c r="H329" s="21">
        <f>VLOOKUP(Сделки!$D329,Акции!$E$2:$I$1353,2)*Сделки!$G329</f>
        <v>2215.8000000000002</v>
      </c>
    </row>
    <row r="330" spans="4:8" ht="15.75" customHeight="1" x14ac:dyDescent="0.2">
      <c r="D330" s="24">
        <v>43580</v>
      </c>
      <c r="E330" s="21" t="s">
        <v>2522</v>
      </c>
      <c r="F330" s="21">
        <v>420</v>
      </c>
      <c r="G330" s="21">
        <f>IF(Сделки!$E330="Продажа",-1*Сделки!$F330,Сделки!$F330)</f>
        <v>420</v>
      </c>
      <c r="H330" s="21">
        <f>VLOOKUP(Сделки!$D330,Акции!$E$2:$I$1353,2)*Сделки!$G330</f>
        <v>15510.6</v>
      </c>
    </row>
    <row r="331" spans="4:8" ht="15.75" customHeight="1" x14ac:dyDescent="0.2">
      <c r="D331" s="24">
        <v>43581</v>
      </c>
      <c r="E331" s="21" t="s">
        <v>2522</v>
      </c>
      <c r="F331" s="21">
        <v>440</v>
      </c>
      <c r="G331" s="21">
        <f>IF(Сделки!$E331="Продажа",-1*Сделки!$F331,Сделки!$F331)</f>
        <v>440</v>
      </c>
      <c r="H331" s="21">
        <f>VLOOKUP(Сделки!$D331,Акции!$E$2:$I$1353,2)*Сделки!$G331</f>
        <v>16447.2</v>
      </c>
    </row>
    <row r="332" spans="4:8" ht="15.75" customHeight="1" x14ac:dyDescent="0.2">
      <c r="D332" s="24">
        <v>43587</v>
      </c>
      <c r="E332" s="21" t="s">
        <v>2522</v>
      </c>
      <c r="F332" s="21">
        <v>340</v>
      </c>
      <c r="G332" s="21">
        <f>IF(Сделки!$E332="Продажа",-1*Сделки!$F332,Сделки!$F332)</f>
        <v>340</v>
      </c>
      <c r="H332" s="21">
        <f>VLOOKUP(Сделки!$D332,Акции!$E$2:$I$1353,2)*Сделки!$G332</f>
        <v>12542.6</v>
      </c>
    </row>
    <row r="333" spans="4:8" ht="15.75" customHeight="1" x14ac:dyDescent="0.2">
      <c r="D333" s="24">
        <v>43599</v>
      </c>
      <c r="E333" s="21" t="s">
        <v>2522</v>
      </c>
      <c r="F333" s="21">
        <v>450</v>
      </c>
      <c r="G333" s="21">
        <f>IF(Сделки!$E333="Продажа",-1*Сделки!$F333,Сделки!$F333)</f>
        <v>450</v>
      </c>
      <c r="H333" s="21">
        <f>VLOOKUP(Сделки!$D333,Акции!$E$2:$I$1353,2)*Сделки!$G333</f>
        <v>16542</v>
      </c>
    </row>
    <row r="334" spans="4:8" ht="15.75" customHeight="1" x14ac:dyDescent="0.2">
      <c r="D334" s="24">
        <v>43602</v>
      </c>
      <c r="E334" s="21" t="s">
        <v>2521</v>
      </c>
      <c r="F334" s="21">
        <v>440</v>
      </c>
      <c r="G334" s="21">
        <f>IF(Сделки!$E334="Продажа",-1*Сделки!$F334,Сделки!$F334)</f>
        <v>-440</v>
      </c>
      <c r="H334" s="21">
        <f>VLOOKUP(Сделки!$D334,Акции!$E$2:$I$1353,2)*Сделки!$G334</f>
        <v>-16420.8</v>
      </c>
    </row>
    <row r="335" spans="4:8" ht="15.75" customHeight="1" x14ac:dyDescent="0.2">
      <c r="D335" s="24">
        <v>43608</v>
      </c>
      <c r="E335" s="21" t="s">
        <v>2522</v>
      </c>
      <c r="F335" s="21">
        <v>0</v>
      </c>
      <c r="G335" s="21">
        <f>IF(Сделки!$E335="Продажа",-1*Сделки!$F335,Сделки!$F335)</f>
        <v>0</v>
      </c>
      <c r="H335" s="21">
        <f>VLOOKUP(Сделки!$D335,Акции!$E$2:$I$1353,2)*Сделки!$G335</f>
        <v>0</v>
      </c>
    </row>
    <row r="336" spans="4:8" ht="15.75" customHeight="1" x14ac:dyDescent="0.2">
      <c r="D336" s="24">
        <v>43615</v>
      </c>
      <c r="E336" s="21" t="s">
        <v>2522</v>
      </c>
      <c r="F336" s="21">
        <v>140</v>
      </c>
      <c r="G336" s="21">
        <f>IF(Сделки!$E336="Продажа",-1*Сделки!$F336,Сделки!$F336)</f>
        <v>140</v>
      </c>
      <c r="H336" s="21">
        <f>VLOOKUP(Сделки!$D336,Акции!$E$2:$I$1353,2)*Сделки!$G336</f>
        <v>5381.5999999999995</v>
      </c>
    </row>
    <row r="337" spans="4:8" ht="15.75" customHeight="1" x14ac:dyDescent="0.2">
      <c r="D337" s="24">
        <v>43622</v>
      </c>
      <c r="E337" s="21" t="s">
        <v>2522</v>
      </c>
      <c r="F337" s="21">
        <v>140</v>
      </c>
      <c r="G337" s="21">
        <f>IF(Сделки!$E337="Продажа",-1*Сделки!$F337,Сделки!$F337)</f>
        <v>140</v>
      </c>
      <c r="H337" s="21">
        <f>VLOOKUP(Сделки!$D337,Акции!$E$2:$I$1353,2)*Сделки!$G337</f>
        <v>5675.5999999999995</v>
      </c>
    </row>
    <row r="338" spans="4:8" ht="15.75" customHeight="1" x14ac:dyDescent="0.2">
      <c r="D338" s="24">
        <v>43630</v>
      </c>
      <c r="E338" s="21" t="s">
        <v>2522</v>
      </c>
      <c r="F338" s="21">
        <v>290</v>
      </c>
      <c r="G338" s="21">
        <f>IF(Сделки!$E338="Продажа",-1*Сделки!$F338,Сделки!$F338)</f>
        <v>290</v>
      </c>
      <c r="H338" s="21">
        <f>VLOOKUP(Сделки!$D338,Акции!$E$2:$I$1353,2)*Сделки!$G338</f>
        <v>11721.800000000001</v>
      </c>
    </row>
    <row r="339" spans="4:8" ht="15.75" customHeight="1" x14ac:dyDescent="0.2">
      <c r="D339" s="24">
        <v>43633</v>
      </c>
      <c r="E339" s="21" t="s">
        <v>2521</v>
      </c>
      <c r="F339" s="21">
        <v>390</v>
      </c>
      <c r="G339" s="21">
        <f>IF(Сделки!$E339="Продажа",-1*Сделки!$F339,Сделки!$F339)</f>
        <v>-390</v>
      </c>
      <c r="H339" s="21">
        <f>VLOOKUP(Сделки!$D339,Акции!$E$2:$I$1353,2)*Сделки!$G339</f>
        <v>-15865.2</v>
      </c>
    </row>
    <row r="340" spans="4:8" ht="15.75" customHeight="1" x14ac:dyDescent="0.2">
      <c r="D340" s="24">
        <v>43637</v>
      </c>
      <c r="E340" s="21" t="s">
        <v>2522</v>
      </c>
      <c r="F340" s="21">
        <v>430</v>
      </c>
      <c r="G340" s="21">
        <f>IF(Сделки!$E340="Продажа",-1*Сделки!$F340,Сделки!$F340)</f>
        <v>430</v>
      </c>
      <c r="H340" s="21">
        <f>VLOOKUP(Сделки!$D340,Акции!$E$2:$I$1353,2)*Сделки!$G340</f>
        <v>17926.7</v>
      </c>
    </row>
    <row r="341" spans="4:8" ht="15.75" customHeight="1" x14ac:dyDescent="0.2">
      <c r="D341" s="24">
        <v>43642</v>
      </c>
      <c r="E341" s="21" t="s">
        <v>2521</v>
      </c>
      <c r="F341" s="21">
        <v>120</v>
      </c>
      <c r="G341" s="21">
        <f>IF(Сделки!$E341="Продажа",-1*Сделки!$F341,Сделки!$F341)</f>
        <v>-120</v>
      </c>
      <c r="H341" s="21">
        <f>VLOOKUP(Сделки!$D341,Акции!$E$2:$I$1353,2)*Сделки!$G341</f>
        <v>-4966.8</v>
      </c>
    </row>
    <row r="342" spans="4:8" ht="15.75" customHeight="1" x14ac:dyDescent="0.2">
      <c r="D342" s="24">
        <v>43647</v>
      </c>
      <c r="E342" s="21" t="s">
        <v>2522</v>
      </c>
      <c r="F342" s="21">
        <v>120</v>
      </c>
      <c r="G342" s="21">
        <f>IF(Сделки!$E342="Продажа",-1*Сделки!$F342,Сделки!$F342)</f>
        <v>120</v>
      </c>
      <c r="H342" s="21">
        <f>VLOOKUP(Сделки!$D342,Акции!$E$2:$I$1353,2)*Сделки!$G342</f>
        <v>5148</v>
      </c>
    </row>
    <row r="343" spans="4:8" ht="15.75" customHeight="1" x14ac:dyDescent="0.2">
      <c r="D343" s="24">
        <v>43656</v>
      </c>
      <c r="E343" s="21" t="s">
        <v>2522</v>
      </c>
      <c r="F343" s="21">
        <v>410</v>
      </c>
      <c r="G343" s="21">
        <f>IF(Сделки!$E343="Продажа",-1*Сделки!$F343,Сделки!$F343)</f>
        <v>410</v>
      </c>
      <c r="H343" s="21">
        <f>VLOOKUP(Сделки!$D343,Акции!$E$2:$I$1353,2)*Сделки!$G343</f>
        <v>17584.900000000001</v>
      </c>
    </row>
    <row r="344" spans="4:8" ht="15.75" customHeight="1" x14ac:dyDescent="0.2">
      <c r="D344" s="24">
        <v>43657</v>
      </c>
      <c r="E344" s="21" t="s">
        <v>2521</v>
      </c>
      <c r="F344" s="21">
        <v>490</v>
      </c>
      <c r="G344" s="21">
        <f>IF(Сделки!$E344="Продажа",-1*Сделки!$F344,Сделки!$F344)</f>
        <v>-490</v>
      </c>
      <c r="H344" s="21">
        <f>VLOOKUP(Сделки!$D344,Акции!$E$2:$I$1353,2)*Сделки!$G344</f>
        <v>-21168</v>
      </c>
    </row>
    <row r="345" spans="4:8" ht="15.75" customHeight="1" x14ac:dyDescent="0.2">
      <c r="D345" s="24">
        <v>43658</v>
      </c>
      <c r="E345" s="21" t="s">
        <v>2522</v>
      </c>
      <c r="F345" s="21">
        <v>150</v>
      </c>
      <c r="G345" s="21">
        <f>IF(Сделки!$E345="Продажа",-1*Сделки!$F345,Сделки!$F345)</f>
        <v>150</v>
      </c>
      <c r="H345" s="21">
        <f>VLOOKUP(Сделки!$D345,Акции!$E$2:$I$1353,2)*Сделки!$G345</f>
        <v>6337.5</v>
      </c>
    </row>
    <row r="346" spans="4:8" ht="15.75" customHeight="1" x14ac:dyDescent="0.2">
      <c r="D346" s="24">
        <v>43683</v>
      </c>
      <c r="E346" s="21" t="s">
        <v>2521</v>
      </c>
      <c r="F346" s="21">
        <v>220</v>
      </c>
      <c r="G346" s="21">
        <f>IF(Сделки!$E346="Продажа",-1*Сделки!$F346,Сделки!$F346)</f>
        <v>-220</v>
      </c>
      <c r="H346" s="21">
        <f>VLOOKUP(Сделки!$D346,Акции!$E$2:$I$1353,2)*Сделки!$G346</f>
        <v>-9312.6</v>
      </c>
    </row>
    <row r="347" spans="4:8" ht="15.75" customHeight="1" x14ac:dyDescent="0.2">
      <c r="D347" s="24">
        <v>43683</v>
      </c>
      <c r="E347" s="21" t="s">
        <v>2521</v>
      </c>
      <c r="F347" s="21">
        <v>40</v>
      </c>
      <c r="G347" s="21">
        <f>IF(Сделки!$E347="Продажа",-1*Сделки!$F347,Сделки!$F347)</f>
        <v>-40</v>
      </c>
      <c r="H347" s="21">
        <f>VLOOKUP(Сделки!$D347,Акции!$E$2:$I$1353,2)*Сделки!$G347</f>
        <v>-1693.1999999999998</v>
      </c>
    </row>
    <row r="348" spans="4:8" ht="15.75" customHeight="1" x14ac:dyDescent="0.2">
      <c r="D348" s="24">
        <v>43683</v>
      </c>
      <c r="E348" s="21" t="s">
        <v>2521</v>
      </c>
      <c r="F348" s="21">
        <v>490</v>
      </c>
      <c r="G348" s="21">
        <f>IF(Сделки!$E348="Продажа",-1*Сделки!$F348,Сделки!$F348)</f>
        <v>-490</v>
      </c>
      <c r="H348" s="21">
        <f>VLOOKUP(Сделки!$D348,Акции!$E$2:$I$1353,2)*Сделки!$G348</f>
        <v>-20741.7</v>
      </c>
    </row>
    <row r="349" spans="4:8" ht="15.75" customHeight="1" x14ac:dyDescent="0.2">
      <c r="D349" s="24">
        <v>43684</v>
      </c>
      <c r="E349" s="21" t="s">
        <v>2522</v>
      </c>
      <c r="F349" s="21">
        <v>230</v>
      </c>
      <c r="G349" s="21">
        <f>IF(Сделки!$E349="Продажа",-1*Сделки!$F349,Сделки!$F349)</f>
        <v>230</v>
      </c>
      <c r="H349" s="21">
        <f>VLOOKUP(Сделки!$D349,Акции!$E$2:$I$1353,2)*Сделки!$G349</f>
        <v>9701.4</v>
      </c>
    </row>
    <row r="350" spans="4:8" ht="15.75" customHeight="1" x14ac:dyDescent="0.2">
      <c r="D350" s="24">
        <v>43690</v>
      </c>
      <c r="E350" s="21" t="s">
        <v>2521</v>
      </c>
      <c r="F350" s="21">
        <v>490</v>
      </c>
      <c r="G350" s="21">
        <f>IF(Сделки!$E350="Продажа",-1*Сделки!$F350,Сделки!$F350)</f>
        <v>-490</v>
      </c>
      <c r="H350" s="21">
        <f>VLOOKUP(Сделки!$D350,Акции!$E$2:$I$1353,2)*Сделки!$G350</f>
        <v>-21001.4</v>
      </c>
    </row>
    <row r="351" spans="4:8" ht="15.75" customHeight="1" x14ac:dyDescent="0.2">
      <c r="D351" s="24">
        <v>43691</v>
      </c>
      <c r="E351" s="21" t="s">
        <v>2521</v>
      </c>
      <c r="F351" s="21">
        <v>400</v>
      </c>
      <c r="G351" s="21">
        <f>IF(Сделки!$E351="Продажа",-1*Сделки!$F351,Сделки!$F351)</f>
        <v>-400</v>
      </c>
      <c r="H351" s="21">
        <f>VLOOKUP(Сделки!$D351,Акции!$E$2:$I$1353,2)*Сделки!$G351</f>
        <v>-16572</v>
      </c>
    </row>
    <row r="352" spans="4:8" ht="15.75" customHeight="1" x14ac:dyDescent="0.2">
      <c r="D352" s="24">
        <v>43692</v>
      </c>
      <c r="E352" s="21" t="s">
        <v>2522</v>
      </c>
      <c r="F352" s="21">
        <v>440</v>
      </c>
      <c r="G352" s="21">
        <f>IF(Сделки!$E352="Продажа",-1*Сделки!$F352,Сделки!$F352)</f>
        <v>440</v>
      </c>
      <c r="H352" s="21">
        <f>VLOOKUP(Сделки!$D352,Акции!$E$2:$I$1353,2)*Сделки!$G352</f>
        <v>18422.8</v>
      </c>
    </row>
    <row r="353" spans="4:8" ht="15.75" customHeight="1" x14ac:dyDescent="0.2">
      <c r="D353" s="24">
        <v>43699</v>
      </c>
      <c r="E353" s="21" t="s">
        <v>2522</v>
      </c>
      <c r="F353" s="21">
        <v>500</v>
      </c>
      <c r="G353" s="21">
        <f>IF(Сделки!$E353="Продажа",-1*Сделки!$F353,Сделки!$F353)</f>
        <v>500</v>
      </c>
      <c r="H353" s="21">
        <f>VLOOKUP(Сделки!$D353,Акции!$E$2:$I$1353,2)*Сделки!$G353</f>
        <v>21345</v>
      </c>
    </row>
    <row r="354" spans="4:8" ht="15.75" customHeight="1" x14ac:dyDescent="0.2">
      <c r="D354" s="24">
        <v>43704</v>
      </c>
      <c r="E354" s="21" t="s">
        <v>2522</v>
      </c>
      <c r="F354" s="21">
        <v>320</v>
      </c>
      <c r="G354" s="21">
        <f>IF(Сделки!$E354="Продажа",-1*Сделки!$F354,Сделки!$F354)</f>
        <v>320</v>
      </c>
      <c r="H354" s="21">
        <f>VLOOKUP(Сделки!$D354,Акции!$E$2:$I$1353,2)*Сделки!$G354</f>
        <v>13510.4</v>
      </c>
    </row>
    <row r="355" spans="4:8" ht="15.75" customHeight="1" x14ac:dyDescent="0.2">
      <c r="D355" s="24">
        <v>43704</v>
      </c>
      <c r="E355" s="21" t="s">
        <v>2521</v>
      </c>
      <c r="F355" s="21">
        <v>30</v>
      </c>
      <c r="G355" s="21">
        <f>IF(Сделки!$E355="Продажа",-1*Сделки!$F355,Сделки!$F355)</f>
        <v>-30</v>
      </c>
      <c r="H355" s="21">
        <f>VLOOKUP(Сделки!$D355,Акции!$E$2:$I$1353,2)*Сделки!$G355</f>
        <v>-1266.5999999999999</v>
      </c>
    </row>
    <row r="356" spans="4:8" ht="15.75" customHeight="1" x14ac:dyDescent="0.2">
      <c r="D356" s="24">
        <v>43707</v>
      </c>
      <c r="E356" s="21" t="s">
        <v>2522</v>
      </c>
      <c r="F356" s="21">
        <v>180</v>
      </c>
      <c r="G356" s="21">
        <f>IF(Сделки!$E356="Продажа",-1*Сделки!$F356,Сделки!$F356)</f>
        <v>180</v>
      </c>
      <c r="H356" s="21">
        <f>VLOOKUP(Сделки!$D356,Акции!$E$2:$I$1353,2)*Сделки!$G356</f>
        <v>7691.4</v>
      </c>
    </row>
    <row r="357" spans="4:8" ht="15.75" customHeight="1" x14ac:dyDescent="0.2">
      <c r="D357" s="24">
        <v>43707</v>
      </c>
      <c r="E357" s="21" t="s">
        <v>2521</v>
      </c>
      <c r="F357" s="21">
        <v>330</v>
      </c>
      <c r="G357" s="21">
        <f>IF(Сделки!$E357="Продажа",-1*Сделки!$F357,Сделки!$F357)</f>
        <v>-330</v>
      </c>
      <c r="H357" s="21">
        <f>VLOOKUP(Сделки!$D357,Акции!$E$2:$I$1353,2)*Сделки!$G357</f>
        <v>-14100.9</v>
      </c>
    </row>
    <row r="358" spans="4:8" ht="15.75" customHeight="1" x14ac:dyDescent="0.2">
      <c r="D358" s="24">
        <v>43712</v>
      </c>
      <c r="E358" s="21" t="s">
        <v>2521</v>
      </c>
      <c r="F358" s="21">
        <v>330</v>
      </c>
      <c r="G358" s="21">
        <f>IF(Сделки!$E358="Продажа",-1*Сделки!$F358,Сделки!$F358)</f>
        <v>-330</v>
      </c>
      <c r="H358" s="21">
        <f>VLOOKUP(Сделки!$D358,Акции!$E$2:$I$1353,2)*Сделки!$G358</f>
        <v>-13876.499999999998</v>
      </c>
    </row>
    <row r="359" spans="4:8" ht="15.75" customHeight="1" x14ac:dyDescent="0.2">
      <c r="D359" s="24">
        <v>43714</v>
      </c>
      <c r="E359" s="21" t="s">
        <v>2521</v>
      </c>
      <c r="F359" s="21">
        <v>40</v>
      </c>
      <c r="G359" s="21">
        <f>IF(Сделки!$E359="Продажа",-1*Сделки!$F359,Сделки!$F359)</f>
        <v>-40</v>
      </c>
      <c r="H359" s="21">
        <f>VLOOKUP(Сделки!$D359,Акции!$E$2:$I$1353,2)*Сделки!$G359</f>
        <v>-1738</v>
      </c>
    </row>
    <row r="360" spans="4:8" ht="15.75" customHeight="1" x14ac:dyDescent="0.2">
      <c r="D360" s="24">
        <v>43717</v>
      </c>
      <c r="E360" s="21" t="s">
        <v>2522</v>
      </c>
      <c r="F360" s="21">
        <v>280</v>
      </c>
      <c r="G360" s="21">
        <f>IF(Сделки!$E360="Продажа",-1*Сделки!$F360,Сделки!$F360)</f>
        <v>280</v>
      </c>
      <c r="H360" s="21">
        <f>VLOOKUP(Сделки!$D360,Акции!$E$2:$I$1353,2)*Сделки!$G360</f>
        <v>11687.2</v>
      </c>
    </row>
    <row r="361" spans="4:8" ht="15.75" customHeight="1" x14ac:dyDescent="0.2">
      <c r="D361" s="24">
        <v>43719</v>
      </c>
      <c r="E361" s="21" t="s">
        <v>2522</v>
      </c>
      <c r="F361" s="21">
        <v>490</v>
      </c>
      <c r="G361" s="21">
        <f>IF(Сделки!$E361="Продажа",-1*Сделки!$F361,Сделки!$F361)</f>
        <v>490</v>
      </c>
      <c r="H361" s="21">
        <f>VLOOKUP(Сделки!$D361,Акции!$E$2:$I$1353,2)*Сделки!$G361</f>
        <v>20727</v>
      </c>
    </row>
    <row r="362" spans="4:8" ht="15.75" customHeight="1" x14ac:dyDescent="0.2">
      <c r="D362" s="24">
        <v>43724</v>
      </c>
      <c r="E362" s="21" t="s">
        <v>2522</v>
      </c>
      <c r="F362" s="21">
        <v>210</v>
      </c>
      <c r="G362" s="21">
        <f>IF(Сделки!$E362="Продажа",-1*Сделки!$F362,Сделки!$F362)</f>
        <v>210</v>
      </c>
      <c r="H362" s="21">
        <f>VLOOKUP(Сделки!$D362,Акции!$E$2:$I$1353,2)*Сделки!$G362</f>
        <v>8807.4</v>
      </c>
    </row>
    <row r="363" spans="4:8" ht="15.75" customHeight="1" x14ac:dyDescent="0.2">
      <c r="D363" s="24">
        <v>43727</v>
      </c>
      <c r="E363" s="21" t="s">
        <v>2522</v>
      </c>
      <c r="F363" s="21">
        <v>210</v>
      </c>
      <c r="G363" s="21">
        <f>IF(Сделки!$E363="Продажа",-1*Сделки!$F363,Сделки!$F363)</f>
        <v>210</v>
      </c>
      <c r="H363" s="21">
        <f>VLOOKUP(Сделки!$D363,Акции!$E$2:$I$1353,2)*Сделки!$G363</f>
        <v>9042.6</v>
      </c>
    </row>
    <row r="364" spans="4:8" ht="15.75" customHeight="1" x14ac:dyDescent="0.2">
      <c r="D364" s="24">
        <v>43739</v>
      </c>
      <c r="E364" s="21" t="s">
        <v>2522</v>
      </c>
      <c r="F364" s="21">
        <v>30</v>
      </c>
      <c r="G364" s="21">
        <f>IF(Сделки!$E364="Продажа",-1*Сделки!$F364,Сделки!$F364)</f>
        <v>30</v>
      </c>
      <c r="H364" s="21">
        <f>VLOOKUP(Сделки!$D364,Акции!$E$2:$I$1353,2)*Сделки!$G364</f>
        <v>1207.2</v>
      </c>
    </row>
    <row r="365" spans="4:8" ht="15.75" customHeight="1" x14ac:dyDescent="0.2">
      <c r="D365" s="24">
        <v>43739</v>
      </c>
      <c r="E365" s="21" t="s">
        <v>2522</v>
      </c>
      <c r="F365" s="21">
        <v>130</v>
      </c>
      <c r="G365" s="21">
        <f>IF(Сделки!$E365="Продажа",-1*Сделки!$F365,Сделки!$F365)</f>
        <v>130</v>
      </c>
      <c r="H365" s="21">
        <f>VLOOKUP(Сделки!$D365,Акции!$E$2:$I$1353,2)*Сделки!$G365</f>
        <v>5231.2</v>
      </c>
    </row>
    <row r="366" spans="4:8" ht="15.75" customHeight="1" x14ac:dyDescent="0.2">
      <c r="D366" s="24">
        <v>43746</v>
      </c>
      <c r="E366" s="21" t="s">
        <v>2522</v>
      </c>
      <c r="F366" s="21">
        <v>240</v>
      </c>
      <c r="G366" s="21">
        <f>IF(Сделки!$E366="Продажа",-1*Сделки!$F366,Сделки!$F366)</f>
        <v>240</v>
      </c>
      <c r="H366" s="21">
        <f>VLOOKUP(Сделки!$D366,Акции!$E$2:$I$1353,2)*Сделки!$G366</f>
        <v>9088.7999999999993</v>
      </c>
    </row>
    <row r="367" spans="4:8" ht="15.75" customHeight="1" x14ac:dyDescent="0.2">
      <c r="D367" s="24">
        <v>43753</v>
      </c>
      <c r="E367" s="21" t="s">
        <v>2522</v>
      </c>
      <c r="F367" s="21">
        <v>100</v>
      </c>
      <c r="G367" s="21">
        <f>IF(Сделки!$E367="Продажа",-1*Сделки!$F367,Сделки!$F367)</f>
        <v>100</v>
      </c>
      <c r="H367" s="21">
        <f>VLOOKUP(Сделки!$D367,Акции!$E$2:$I$1353,2)*Сделки!$G367</f>
        <v>3846</v>
      </c>
    </row>
    <row r="368" spans="4:8" ht="15.75" customHeight="1" x14ac:dyDescent="0.2">
      <c r="D368" s="24">
        <v>43759</v>
      </c>
      <c r="E368" s="21" t="s">
        <v>2522</v>
      </c>
      <c r="F368" s="21">
        <v>440</v>
      </c>
      <c r="G368" s="21">
        <f>IF(Сделки!$E368="Продажа",-1*Сделки!$F368,Сделки!$F368)</f>
        <v>440</v>
      </c>
      <c r="H368" s="21">
        <f>VLOOKUP(Сделки!$D368,Акции!$E$2:$I$1353,2)*Сделки!$G368</f>
        <v>17006</v>
      </c>
    </row>
    <row r="369" spans="4:8" ht="15.75" customHeight="1" x14ac:dyDescent="0.2">
      <c r="D369" s="24">
        <v>43760</v>
      </c>
      <c r="E369" s="21" t="s">
        <v>2521</v>
      </c>
      <c r="F369" s="21">
        <v>460</v>
      </c>
      <c r="G369" s="21">
        <f>IF(Сделки!$E369="Продажа",-1*Сделки!$F369,Сделки!$F369)</f>
        <v>-460</v>
      </c>
      <c r="H369" s="21">
        <f>VLOOKUP(Сделки!$D369,Акции!$E$2:$I$1353,2)*Сделки!$G369</f>
        <v>-17562.8</v>
      </c>
    </row>
    <row r="370" spans="4:8" ht="15.75" customHeight="1" x14ac:dyDescent="0.2">
      <c r="D370" s="24">
        <v>43768</v>
      </c>
      <c r="E370" s="21" t="s">
        <v>2521</v>
      </c>
      <c r="F370" s="21">
        <v>80</v>
      </c>
      <c r="G370" s="21">
        <f>IF(Сделки!$E370="Продажа",-1*Сделки!$F370,Сделки!$F370)</f>
        <v>-80</v>
      </c>
      <c r="H370" s="21">
        <f>VLOOKUP(Сделки!$D370,Акции!$E$2:$I$1353,2)*Сделки!$G370</f>
        <v>-3360.7999999999997</v>
      </c>
    </row>
    <row r="371" spans="4:8" ht="15.75" customHeight="1" x14ac:dyDescent="0.2">
      <c r="D371" s="24">
        <v>43773</v>
      </c>
      <c r="E371" s="21" t="s">
        <v>2521</v>
      </c>
      <c r="F371" s="21">
        <v>90</v>
      </c>
      <c r="G371" s="21">
        <f>IF(Сделки!$E371="Продажа",-1*Сделки!$F371,Сделки!$F371)</f>
        <v>-90</v>
      </c>
      <c r="H371" s="21">
        <f>VLOOKUP(Сделки!$D371,Акции!$E$2:$I$1353,2)*Сделки!$G371</f>
        <v>-3688.2</v>
      </c>
    </row>
    <row r="372" spans="4:8" ht="15.75" customHeight="1" x14ac:dyDescent="0.2">
      <c r="D372" s="24">
        <v>43773</v>
      </c>
      <c r="E372" s="21" t="s">
        <v>2521</v>
      </c>
      <c r="F372" s="21">
        <v>450</v>
      </c>
      <c r="G372" s="21">
        <f>IF(Сделки!$E372="Продажа",-1*Сделки!$F372,Сделки!$F372)</f>
        <v>-450</v>
      </c>
      <c r="H372" s="21">
        <f>VLOOKUP(Сделки!$D372,Акции!$E$2:$I$1353,2)*Сделки!$G372</f>
        <v>-18441</v>
      </c>
    </row>
    <row r="373" spans="4:8" ht="15.75" customHeight="1" x14ac:dyDescent="0.2">
      <c r="D373" s="24">
        <v>43775</v>
      </c>
      <c r="E373" s="21" t="s">
        <v>2521</v>
      </c>
      <c r="F373" s="21">
        <v>490</v>
      </c>
      <c r="G373" s="21">
        <f>IF(Сделки!$E373="Продажа",-1*Сделки!$F373,Сделки!$F373)</f>
        <v>-490</v>
      </c>
      <c r="H373" s="21">
        <f>VLOOKUP(Сделки!$D373,Акции!$E$2:$I$1353,2)*Сделки!$G373</f>
        <v>-19952.8</v>
      </c>
    </row>
    <row r="374" spans="4:8" ht="15.75" customHeight="1" x14ac:dyDescent="0.2">
      <c r="D374" s="24">
        <v>43777</v>
      </c>
      <c r="E374" s="21" t="s">
        <v>2522</v>
      </c>
      <c r="F374" s="21">
        <v>290</v>
      </c>
      <c r="G374" s="21">
        <f>IF(Сделки!$E374="Продажа",-1*Сделки!$F374,Сделки!$F374)</f>
        <v>290</v>
      </c>
      <c r="H374" s="21">
        <f>VLOOKUP(Сделки!$D374,Акции!$E$2:$I$1353,2)*Сделки!$G374</f>
        <v>11747.9</v>
      </c>
    </row>
    <row r="375" spans="4:8" ht="15.75" customHeight="1" x14ac:dyDescent="0.2">
      <c r="D375" s="24">
        <v>43794</v>
      </c>
      <c r="E375" s="21" t="s">
        <v>2521</v>
      </c>
      <c r="F375" s="21">
        <v>330</v>
      </c>
      <c r="G375" s="21">
        <f>IF(Сделки!$E375="Продажа",-1*Сделки!$F375,Сделки!$F375)</f>
        <v>-330</v>
      </c>
      <c r="H375" s="21">
        <f>VLOOKUP(Сделки!$D375,Акции!$E$2:$I$1353,2)*Сделки!$G375</f>
        <v>-14140.5</v>
      </c>
    </row>
    <row r="376" spans="4:8" ht="15.75" customHeight="1" x14ac:dyDescent="0.2">
      <c r="D376" s="24">
        <v>43804</v>
      </c>
      <c r="E376" s="21" t="s">
        <v>2521</v>
      </c>
      <c r="F376" s="21">
        <v>360</v>
      </c>
      <c r="G376" s="21">
        <f>IF(Сделки!$E376="Продажа",-1*Сделки!$F376,Сделки!$F376)</f>
        <v>-360</v>
      </c>
      <c r="H376" s="21">
        <f>VLOOKUP(Сделки!$D376,Акции!$E$2:$I$1353,2)*Сделки!$G376</f>
        <v>-15573.599999999999</v>
      </c>
    </row>
    <row r="377" spans="4:8" ht="15.75" customHeight="1" x14ac:dyDescent="0.2">
      <c r="D377" s="24">
        <v>43805</v>
      </c>
      <c r="E377" s="21" t="s">
        <v>2522</v>
      </c>
      <c r="F377" s="21">
        <v>270</v>
      </c>
      <c r="G377" s="21">
        <f>IF(Сделки!$E377="Продажа",-1*Сделки!$F377,Сделки!$F377)</f>
        <v>270</v>
      </c>
      <c r="H377" s="21">
        <f>VLOOKUP(Сделки!$D377,Акции!$E$2:$I$1353,2)*Сделки!$G377</f>
        <v>11901.6</v>
      </c>
    </row>
    <row r="378" spans="4:8" ht="15.75" customHeight="1" x14ac:dyDescent="0.2">
      <c r="D378" s="24">
        <v>43816</v>
      </c>
      <c r="E378" s="21" t="s">
        <v>2522</v>
      </c>
      <c r="F378" s="21">
        <v>340</v>
      </c>
      <c r="G378" s="21">
        <f>IF(Сделки!$E378="Продажа",-1*Сделки!$F378,Сделки!$F378)</f>
        <v>340</v>
      </c>
      <c r="H378" s="21">
        <f>VLOOKUP(Сделки!$D378,Акции!$E$2:$I$1353,2)*Сделки!$G378</f>
        <v>15215</v>
      </c>
    </row>
    <row r="379" spans="4:8" ht="15.75" customHeight="1" x14ac:dyDescent="0.2">
      <c r="D379" s="24">
        <v>43819</v>
      </c>
      <c r="E379" s="21" t="s">
        <v>2521</v>
      </c>
      <c r="F379" s="21">
        <v>160</v>
      </c>
      <c r="G379" s="21">
        <f>IF(Сделки!$E379="Продажа",-1*Сделки!$F379,Сделки!$F379)</f>
        <v>-160</v>
      </c>
      <c r="H379" s="21">
        <f>VLOOKUP(Сделки!$D379,Акции!$E$2:$I$1353,2)*Сделки!$G379</f>
        <v>-7259.2</v>
      </c>
    </row>
    <row r="380" spans="4:8" ht="15.75" customHeight="1" x14ac:dyDescent="0.2">
      <c r="D380" s="24">
        <v>43822</v>
      </c>
      <c r="E380" s="21" t="s">
        <v>2521</v>
      </c>
      <c r="F380" s="21">
        <v>80</v>
      </c>
      <c r="G380" s="21">
        <f>IF(Сделки!$E380="Продажа",-1*Сделки!$F380,Сделки!$F380)</f>
        <v>-80</v>
      </c>
      <c r="H380" s="21">
        <f>VLOOKUP(Сделки!$D380,Акции!$E$2:$I$1353,2)*Сделки!$G380</f>
        <v>-3617.6</v>
      </c>
    </row>
    <row r="381" spans="4:8" ht="15.75" customHeight="1" x14ac:dyDescent="0.2">
      <c r="D381" s="24">
        <v>43823</v>
      </c>
      <c r="E381" s="21" t="s">
        <v>2522</v>
      </c>
      <c r="F381" s="21">
        <v>170</v>
      </c>
      <c r="G381" s="21">
        <f>IF(Сделки!$E381="Продажа",-1*Сделки!$F381,Сделки!$F381)</f>
        <v>170</v>
      </c>
      <c r="H381" s="21">
        <f>VLOOKUP(Сделки!$D381,Акции!$E$2:$I$1353,2)*Сделки!$G381</f>
        <v>7702.7000000000007</v>
      </c>
    </row>
    <row r="382" spans="4:8" ht="15.75" customHeight="1" x14ac:dyDescent="0.2">
      <c r="D382" s="24">
        <v>43830</v>
      </c>
      <c r="E382" s="21" t="s">
        <v>2522</v>
      </c>
      <c r="F382" s="21">
        <v>110</v>
      </c>
      <c r="G382" s="21">
        <f>IF(Сделки!$E382="Продажа",-1*Сделки!$F382,Сделки!$F382)</f>
        <v>110</v>
      </c>
      <c r="H382" s="21">
        <f>VLOOKUP(Сделки!$D382,Акции!$E$2:$I$1353,2)*Сделки!$G382</f>
        <v>4974.2</v>
      </c>
    </row>
    <row r="383" spans="4:8" ht="15.75" customHeight="1" x14ac:dyDescent="0.2">
      <c r="D383" s="24">
        <v>43847</v>
      </c>
      <c r="E383" s="21" t="s">
        <v>2522</v>
      </c>
      <c r="F383" s="21">
        <v>160</v>
      </c>
      <c r="G383" s="21">
        <f>IF(Сделки!$E383="Продажа",-1*Сделки!$F383,Сделки!$F383)</f>
        <v>160</v>
      </c>
      <c r="H383" s="21">
        <f>VLOOKUP(Сделки!$D383,Акции!$E$2:$I$1353,2)*Сделки!$G383</f>
        <v>7084.8</v>
      </c>
    </row>
    <row r="384" spans="4:8" ht="15.75" customHeight="1" x14ac:dyDescent="0.2">
      <c r="D384" s="24">
        <v>43857</v>
      </c>
      <c r="E384" s="21" t="s">
        <v>2521</v>
      </c>
      <c r="F384" s="21">
        <v>240</v>
      </c>
      <c r="G384" s="21">
        <f>IF(Сделки!$E384="Продажа",-1*Сделки!$F384,Сделки!$F384)</f>
        <v>-240</v>
      </c>
      <c r="H384" s="21">
        <f>VLOOKUP(Сделки!$D384,Акции!$E$2:$I$1353,2)*Сделки!$G384</f>
        <v>-10236</v>
      </c>
    </row>
    <row r="385" spans="4:8" ht="15.75" customHeight="1" x14ac:dyDescent="0.2">
      <c r="D385" s="24">
        <v>43857</v>
      </c>
      <c r="E385" s="21" t="s">
        <v>2521</v>
      </c>
      <c r="F385" s="21">
        <v>210</v>
      </c>
      <c r="G385" s="21">
        <f>IF(Сделки!$E385="Продажа",-1*Сделки!$F385,Сделки!$F385)</f>
        <v>-210</v>
      </c>
      <c r="H385" s="21">
        <f>VLOOKUP(Сделки!$D385,Акции!$E$2:$I$1353,2)*Сделки!$G385</f>
        <v>-8956.5</v>
      </c>
    </row>
    <row r="386" spans="4:8" ht="15.75" customHeight="1" x14ac:dyDescent="0.2">
      <c r="D386" s="24">
        <v>43860</v>
      </c>
      <c r="E386" s="21" t="s">
        <v>2522</v>
      </c>
      <c r="F386" s="21">
        <v>20</v>
      </c>
      <c r="G386" s="21">
        <f>IF(Сделки!$E386="Продажа",-1*Сделки!$F386,Сделки!$F386)</f>
        <v>20</v>
      </c>
      <c r="H386" s="21">
        <f>VLOOKUP(Сделки!$D386,Акции!$E$2:$I$1353,2)*Сделки!$G386</f>
        <v>868.19999999999993</v>
      </c>
    </row>
    <row r="387" spans="4:8" ht="15.75" customHeight="1" x14ac:dyDescent="0.2">
      <c r="D387" s="24">
        <v>43868</v>
      </c>
      <c r="E387" s="21" t="s">
        <v>2521</v>
      </c>
      <c r="F387" s="21">
        <v>130</v>
      </c>
      <c r="G387" s="21">
        <f>IF(Сделки!$E387="Продажа",-1*Сделки!$F387,Сделки!$F387)</f>
        <v>-130</v>
      </c>
      <c r="H387" s="21">
        <f>VLOOKUP(Сделки!$D387,Акции!$E$2:$I$1353,2)*Сделки!$G387</f>
        <v>-5484.7</v>
      </c>
    </row>
    <row r="388" spans="4:8" ht="15.75" customHeight="1" x14ac:dyDescent="0.2">
      <c r="D388" s="24">
        <v>43875</v>
      </c>
      <c r="E388" s="21" t="s">
        <v>2521</v>
      </c>
      <c r="F388" s="21">
        <v>370</v>
      </c>
      <c r="G388" s="21">
        <f>IF(Сделки!$E388="Продажа",-1*Сделки!$F388,Сделки!$F388)</f>
        <v>-370</v>
      </c>
      <c r="H388" s="21">
        <f>VLOOKUP(Сделки!$D388,Акции!$E$2:$I$1353,2)*Сделки!$G388</f>
        <v>-15654.7</v>
      </c>
    </row>
    <row r="389" spans="4:8" ht="15.75" customHeight="1" x14ac:dyDescent="0.2">
      <c r="D389" s="24">
        <v>43881</v>
      </c>
      <c r="E389" s="21" t="s">
        <v>2521</v>
      </c>
      <c r="F389" s="21">
        <v>120</v>
      </c>
      <c r="G389" s="21">
        <f>IF(Сделки!$E389="Продажа",-1*Сделки!$F389,Сделки!$F389)</f>
        <v>-120</v>
      </c>
      <c r="H389" s="21">
        <f>VLOOKUP(Сделки!$D389,Акции!$E$2:$I$1353,2)*Сделки!$G389</f>
        <v>-5100</v>
      </c>
    </row>
    <row r="390" spans="4:8" ht="15.75" customHeight="1" x14ac:dyDescent="0.2">
      <c r="D390" s="24">
        <v>43886</v>
      </c>
      <c r="E390" s="21" t="s">
        <v>2521</v>
      </c>
      <c r="F390" s="21">
        <v>360</v>
      </c>
      <c r="G390" s="21">
        <f>IF(Сделки!$E390="Продажа",-1*Сделки!$F390,Сделки!$F390)</f>
        <v>-360</v>
      </c>
      <c r="H390" s="21">
        <f>VLOOKUP(Сделки!$D390,Акции!$E$2:$I$1353,2)*Сделки!$G390</f>
        <v>-14367.599999999999</v>
      </c>
    </row>
    <row r="391" spans="4:8" ht="15.75" customHeight="1" x14ac:dyDescent="0.2">
      <c r="D391" s="24">
        <v>43887</v>
      </c>
      <c r="E391" s="21" t="s">
        <v>2521</v>
      </c>
      <c r="F391" s="21">
        <v>450</v>
      </c>
      <c r="G391" s="21">
        <f>IF(Сделки!$E391="Продажа",-1*Сделки!$F391,Сделки!$F391)</f>
        <v>-450</v>
      </c>
      <c r="H391" s="21">
        <f>VLOOKUP(Сделки!$D391,Акции!$E$2:$I$1353,2)*Сделки!$G391</f>
        <v>-17725.5</v>
      </c>
    </row>
    <row r="392" spans="4:8" ht="15.75" customHeight="1" x14ac:dyDescent="0.2">
      <c r="D392" s="24">
        <v>43893</v>
      </c>
      <c r="E392" s="21" t="s">
        <v>2521</v>
      </c>
      <c r="F392" s="21">
        <v>240</v>
      </c>
      <c r="G392" s="21">
        <f>IF(Сделки!$E392="Продажа",-1*Сделки!$F392,Сделки!$F392)</f>
        <v>-240</v>
      </c>
      <c r="H392" s="21">
        <f>VLOOKUP(Сделки!$D392,Акции!$E$2:$I$1353,2)*Сделки!$G392</f>
        <v>-8935.1999999999989</v>
      </c>
    </row>
    <row r="393" spans="4:8" ht="15.75" customHeight="1" x14ac:dyDescent="0.2">
      <c r="D393" s="24">
        <v>43896</v>
      </c>
      <c r="E393" s="21" t="s">
        <v>2521</v>
      </c>
      <c r="F393" s="21">
        <v>70</v>
      </c>
      <c r="G393" s="21">
        <f>IF(Сделки!$E393="Продажа",-1*Сделки!$F393,Сделки!$F393)</f>
        <v>-70</v>
      </c>
      <c r="H393" s="21">
        <f>VLOOKUP(Сделки!$D393,Акции!$E$2:$I$1353,2)*Сделки!$G393</f>
        <v>-2632</v>
      </c>
    </row>
    <row r="394" spans="4:8" ht="15.75" customHeight="1" x14ac:dyDescent="0.2">
      <c r="D394" s="24">
        <v>43901</v>
      </c>
      <c r="E394" s="21" t="s">
        <v>2521</v>
      </c>
      <c r="F394" s="21">
        <v>190</v>
      </c>
      <c r="G394" s="21">
        <f>IF(Сделки!$E394="Продажа",-1*Сделки!$F394,Сделки!$F394)</f>
        <v>-190</v>
      </c>
      <c r="H394" s="21">
        <f>VLOOKUP(Сделки!$D394,Акции!$E$2:$I$1353,2)*Сделки!$G394</f>
        <v>-6433.4</v>
      </c>
    </row>
    <row r="395" spans="4:8" ht="15.75" customHeight="1" x14ac:dyDescent="0.2">
      <c r="D395" s="24">
        <v>43903</v>
      </c>
      <c r="E395" s="21" t="s">
        <v>2521</v>
      </c>
      <c r="F395" s="21">
        <v>220</v>
      </c>
      <c r="G395" s="21">
        <f>IF(Сделки!$E395="Продажа",-1*Сделки!$F395,Сделки!$F395)</f>
        <v>-220</v>
      </c>
      <c r="H395" s="21">
        <f>VLOOKUP(Сделки!$D395,Акции!$E$2:$I$1353,2)*Сделки!$G395</f>
        <v>-7112.5999999999995</v>
      </c>
    </row>
    <row r="396" spans="4:8" ht="15.75" customHeight="1" x14ac:dyDescent="0.2">
      <c r="D396" s="24">
        <v>43910</v>
      </c>
      <c r="E396" s="21" t="s">
        <v>2522</v>
      </c>
      <c r="F396" s="21">
        <v>450</v>
      </c>
      <c r="G396" s="21">
        <f>IF(Сделки!$E396="Продажа",-1*Сделки!$F396,Сделки!$F396)</f>
        <v>450</v>
      </c>
      <c r="H396" s="21">
        <f>VLOOKUP(Сделки!$D396,Акции!$E$2:$I$1353,2)*Сделки!$G396</f>
        <v>12258</v>
      </c>
    </row>
    <row r="397" spans="4:8" ht="15.75" customHeight="1" x14ac:dyDescent="0.2">
      <c r="D397" s="24">
        <v>43914</v>
      </c>
      <c r="E397" s="21" t="s">
        <v>2522</v>
      </c>
      <c r="F397" s="21">
        <v>480</v>
      </c>
      <c r="G397" s="21">
        <f>IF(Сделки!$E397="Продажа",-1*Сделки!$F397,Сделки!$F397)</f>
        <v>480</v>
      </c>
      <c r="H397" s="21">
        <f>VLOOKUP(Сделки!$D397,Акции!$E$2:$I$1353,2)*Сделки!$G397</f>
        <v>13545.599999999999</v>
      </c>
    </row>
    <row r="398" spans="4:8" ht="15.75" customHeight="1" x14ac:dyDescent="0.2">
      <c r="D398" s="24">
        <v>43917</v>
      </c>
      <c r="E398" s="21" t="s">
        <v>2522</v>
      </c>
      <c r="F398" s="21">
        <v>200</v>
      </c>
      <c r="G398" s="21">
        <f>IF(Сделки!$E398="Продажа",-1*Сделки!$F398,Сделки!$F398)</f>
        <v>200</v>
      </c>
      <c r="H398" s="21">
        <f>VLOOKUP(Сделки!$D398,Акции!$E$2:$I$1353,2)*Сделки!$G398</f>
        <v>6122</v>
      </c>
    </row>
    <row r="399" spans="4:8" ht="15.75" customHeight="1" x14ac:dyDescent="0.2">
      <c r="D399" s="24">
        <v>43920</v>
      </c>
      <c r="E399" s="21" t="s">
        <v>2522</v>
      </c>
      <c r="F399" s="21">
        <v>220</v>
      </c>
      <c r="G399" s="21">
        <f>IF(Сделки!$E399="Продажа",-1*Сделки!$F399,Сделки!$F399)</f>
        <v>220</v>
      </c>
      <c r="H399" s="21">
        <f>VLOOKUP(Сделки!$D399,Акции!$E$2:$I$1353,2)*Сделки!$G399</f>
        <v>6960.8</v>
      </c>
    </row>
    <row r="400" spans="4:8" ht="15.75" customHeight="1" x14ac:dyDescent="0.2">
      <c r="D400" s="24">
        <v>43920</v>
      </c>
      <c r="E400" s="21" t="s">
        <v>2521</v>
      </c>
      <c r="F400" s="21">
        <v>320</v>
      </c>
      <c r="G400" s="21">
        <f>IF(Сделки!$E400="Продажа",-1*Сделки!$F400,Сделки!$F400)</f>
        <v>-320</v>
      </c>
      <c r="H400" s="21">
        <f>VLOOKUP(Сделки!$D400,Акции!$E$2:$I$1353,2)*Сделки!$G400</f>
        <v>-10124.799999999999</v>
      </c>
    </row>
    <row r="401" spans="4:8" ht="15.75" customHeight="1" x14ac:dyDescent="0.2">
      <c r="D401" s="24">
        <v>43928</v>
      </c>
      <c r="E401" s="21" t="s">
        <v>2522</v>
      </c>
      <c r="F401" s="21">
        <v>210</v>
      </c>
      <c r="G401" s="21">
        <f>IF(Сделки!$E401="Продажа",-1*Сделки!$F401,Сделки!$F401)</f>
        <v>210</v>
      </c>
      <c r="H401" s="21">
        <f>VLOOKUP(Сделки!$D401,Акции!$E$2:$I$1353,2)*Сделки!$G401</f>
        <v>7074.9</v>
      </c>
    </row>
    <row r="402" spans="4:8" ht="15.75" customHeight="1" x14ac:dyDescent="0.2">
      <c r="D402" s="24">
        <v>43929</v>
      </c>
      <c r="E402" s="21" t="s">
        <v>2522</v>
      </c>
      <c r="F402" s="21">
        <v>20</v>
      </c>
      <c r="G402" s="21">
        <f>IF(Сделки!$E402="Продажа",-1*Сделки!$F402,Сделки!$F402)</f>
        <v>20</v>
      </c>
      <c r="H402" s="21">
        <f>VLOOKUP(Сделки!$D402,Акции!$E$2:$I$1353,2)*Сделки!$G402</f>
        <v>702.6</v>
      </c>
    </row>
    <row r="403" spans="4:8" ht="15.75" customHeight="1" x14ac:dyDescent="0.2">
      <c r="D403" s="24">
        <v>43935</v>
      </c>
      <c r="E403" s="21" t="s">
        <v>2522</v>
      </c>
      <c r="F403" s="21">
        <v>0</v>
      </c>
      <c r="G403" s="21">
        <f>IF(Сделки!$E403="Продажа",-1*Сделки!$F403,Сделки!$F403)</f>
        <v>0</v>
      </c>
      <c r="H403" s="21">
        <f>VLOOKUP(Сделки!$D403,Акции!$E$2:$I$1353,2)*Сделки!$G403</f>
        <v>0</v>
      </c>
    </row>
    <row r="404" spans="4:8" ht="15.75" customHeight="1" x14ac:dyDescent="0.2">
      <c r="D404" s="24">
        <v>43944</v>
      </c>
      <c r="E404" s="21" t="s">
        <v>2522</v>
      </c>
      <c r="F404" s="21">
        <v>20</v>
      </c>
      <c r="G404" s="21">
        <f>IF(Сделки!$E404="Продажа",-1*Сделки!$F404,Сделки!$F404)</f>
        <v>20</v>
      </c>
      <c r="H404" s="21">
        <f>VLOOKUP(Сделки!$D404,Акции!$E$2:$I$1353,2)*Сделки!$G404</f>
        <v>728</v>
      </c>
    </row>
    <row r="405" spans="4:8" ht="15.75" customHeight="1" x14ac:dyDescent="0.2">
      <c r="D405" s="24">
        <v>43949</v>
      </c>
      <c r="E405" s="21" t="s">
        <v>2522</v>
      </c>
      <c r="F405" s="21">
        <v>10</v>
      </c>
      <c r="G405" s="21">
        <f>IF(Сделки!$E405="Продажа",-1*Сделки!$F405,Сделки!$F405)</f>
        <v>10</v>
      </c>
      <c r="H405" s="21">
        <f>VLOOKUP(Сделки!$D405,Акции!$E$2:$I$1353,2)*Сделки!$G405</f>
        <v>359.3</v>
      </c>
    </row>
    <row r="406" spans="4:8" ht="15.75" customHeight="1" x14ac:dyDescent="0.2">
      <c r="D406" s="24">
        <v>43949</v>
      </c>
      <c r="E406" s="21" t="s">
        <v>2521</v>
      </c>
      <c r="F406" s="21">
        <v>300</v>
      </c>
      <c r="G406" s="21">
        <f>IF(Сделки!$E406="Продажа",-1*Сделки!$F406,Сделки!$F406)</f>
        <v>-300</v>
      </c>
      <c r="H406" s="21">
        <f>VLOOKUP(Сделки!$D406,Акции!$E$2:$I$1353,2)*Сделки!$G406</f>
        <v>-10779</v>
      </c>
    </row>
    <row r="407" spans="4:8" ht="15.75" customHeight="1" x14ac:dyDescent="0.2">
      <c r="D407" s="24">
        <v>43951</v>
      </c>
      <c r="E407" s="21" t="s">
        <v>2522</v>
      </c>
      <c r="F407" s="21">
        <v>260</v>
      </c>
      <c r="G407" s="21">
        <f>IF(Сделки!$E407="Продажа",-1*Сделки!$F407,Сделки!$F407)</f>
        <v>260</v>
      </c>
      <c r="H407" s="21">
        <f>VLOOKUP(Сделки!$D407,Акции!$E$2:$I$1353,2)*Сделки!$G407</f>
        <v>9744.7999999999993</v>
      </c>
    </row>
    <row r="408" spans="4:8" ht="15.75" customHeight="1" x14ac:dyDescent="0.2">
      <c r="D408" s="24">
        <v>43951</v>
      </c>
      <c r="E408" s="21" t="s">
        <v>2521</v>
      </c>
      <c r="F408" s="21">
        <v>210</v>
      </c>
      <c r="G408" s="21">
        <f>IF(Сделки!$E408="Продажа",-1*Сделки!$F408,Сделки!$F408)</f>
        <v>-210</v>
      </c>
      <c r="H408" s="21">
        <f>VLOOKUP(Сделки!$D408,Акции!$E$2:$I$1353,2)*Сделки!$G408</f>
        <v>-7870.7999999999993</v>
      </c>
    </row>
    <row r="409" spans="4:8" ht="15.75" customHeight="1" x14ac:dyDescent="0.2">
      <c r="D409" s="24">
        <v>43963</v>
      </c>
      <c r="E409" s="21" t="s">
        <v>2522</v>
      </c>
      <c r="F409" s="21">
        <v>240</v>
      </c>
      <c r="G409" s="21">
        <f>IF(Сделки!$E409="Продажа",-1*Сделки!$F409,Сделки!$F409)</f>
        <v>240</v>
      </c>
      <c r="H409" s="21">
        <f>VLOOKUP(Сделки!$D409,Акции!$E$2:$I$1353,2)*Сделки!$G409</f>
        <v>8875.1999999999989</v>
      </c>
    </row>
    <row r="410" spans="4:8" ht="15.75" customHeight="1" x14ac:dyDescent="0.2">
      <c r="D410" s="24">
        <v>43964</v>
      </c>
      <c r="E410" s="21" t="s">
        <v>2521</v>
      </c>
      <c r="F410" s="21">
        <v>470</v>
      </c>
      <c r="G410" s="21">
        <f>IF(Сделки!$E410="Продажа",-1*Сделки!$F410,Сделки!$F410)</f>
        <v>-470</v>
      </c>
      <c r="H410" s="21">
        <f>VLOOKUP(Сделки!$D410,Акции!$E$2:$I$1353,2)*Сделки!$G410</f>
        <v>-16811.900000000001</v>
      </c>
    </row>
    <row r="411" spans="4:8" ht="15.75" customHeight="1" x14ac:dyDescent="0.2">
      <c r="D411" s="24">
        <v>43970</v>
      </c>
      <c r="E411" s="21" t="s">
        <v>2521</v>
      </c>
      <c r="F411" s="21">
        <v>250</v>
      </c>
      <c r="G411" s="21">
        <f>IF(Сделки!$E411="Продажа",-1*Сделки!$F411,Сделки!$F411)</f>
        <v>-250</v>
      </c>
      <c r="H411" s="21">
        <f>VLOOKUP(Сделки!$D411,Акции!$E$2:$I$1353,2)*Сделки!$G411</f>
        <v>-8857.5</v>
      </c>
    </row>
    <row r="412" spans="4:8" ht="15.75" customHeight="1" x14ac:dyDescent="0.15"/>
    <row r="413" spans="4:8" ht="15.75" customHeight="1" x14ac:dyDescent="0.15"/>
    <row r="414" spans="4:8" ht="15.75" customHeight="1" x14ac:dyDescent="0.15"/>
    <row r="415" spans="4:8" ht="15.75" customHeight="1" x14ac:dyDescent="0.15"/>
    <row r="416" spans="4:8"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landscape"/>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8</vt:i4>
      </vt:variant>
      <vt:variant>
        <vt:lpstr>Именованные диапазоны</vt:lpstr>
      </vt:variant>
      <vt:variant>
        <vt:i4>1</vt:i4>
      </vt:variant>
    </vt:vector>
  </HeadingPairs>
  <TitlesOfParts>
    <vt:vector size="9" baseType="lpstr">
      <vt:lpstr>Задание</vt:lpstr>
      <vt:lpstr>Акции</vt:lpstr>
      <vt:lpstr>КХЛ</vt:lpstr>
      <vt:lpstr>Текст</vt:lpstr>
      <vt:lpstr>Продажи</vt:lpstr>
      <vt:lpstr>Продажи (2)</vt:lpstr>
      <vt:lpstr>Массив</vt:lpstr>
      <vt:lpstr>Сделки</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2021-01-19T07:46:50Z</dcterms:created>
  <dcterms:modified xsi:type="dcterms:W3CDTF">2022-01-05T14:32:10Z</dcterms:modified>
</cp:coreProperties>
</file>