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yanalazareva/Downloads/"/>
    </mc:Choice>
  </mc:AlternateContent>
  <xr:revisionPtr revIDLastSave="0" documentId="13_ncr:1_{55060BCA-7AA0-0542-BD76-0EEEE6105F4B}" xr6:coauthVersionLast="46" xr6:coauthVersionMax="46" xr10:uidLastSave="{00000000-0000-0000-0000-000000000000}"/>
  <bookViews>
    <workbookView xWindow="640" yWindow="460" windowWidth="27640" windowHeight="15920" tabRatio="843" firstSheet="3" activeTab="9" xr2:uid="{00000000-000D-0000-FFFF-FFFF00000000}"/>
  </bookViews>
  <sheets>
    <sheet name="Бюджет прак т 1" sheetId="15" r:id="rId1"/>
    <sheet name="Бюджет прак т 2" sheetId="3" r:id="rId2"/>
    <sheet name="Бюджет прак т 3" sheetId="17" r:id="rId3"/>
    <sheet name="Бюджет прак т 4 " sheetId="18" r:id="rId4"/>
    <sheet name="Пример 1" sheetId="19" r:id="rId5"/>
    <sheet name="Пример 2" sheetId="20" r:id="rId6"/>
    <sheet name="Пример 3" sheetId="21" r:id="rId7"/>
    <sheet name="Пример 5" sheetId="22" r:id="rId8"/>
    <sheet name="Пример 6" sheetId="23" r:id="rId9"/>
    <sheet name="Задание 1" sheetId="24" r:id="rId10"/>
    <sheet name="Задание 2" sheetId="25" r:id="rId11"/>
    <sheet name="Задание 3" sheetId="26" r:id="rId12"/>
  </sheets>
  <definedNames>
    <definedName name="_ftn1" localSheetId="9">'Задание 1'!$A$37</definedName>
    <definedName name="_ftnref1" localSheetId="9">'Задание 1'!$A$34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6" l="1"/>
  <c r="C18" i="26"/>
  <c r="C28" i="26"/>
  <c r="E40" i="26"/>
  <c r="E38" i="26"/>
  <c r="D33" i="26"/>
  <c r="C31" i="26"/>
  <c r="C32" i="26"/>
  <c r="D25" i="26"/>
  <c r="C30" i="26"/>
  <c r="C29" i="26"/>
  <c r="C27" i="26"/>
  <c r="C26" i="26"/>
  <c r="D24" i="26"/>
  <c r="C19" i="26"/>
  <c r="C17" i="26"/>
  <c r="C16" i="26"/>
  <c r="C15" i="26"/>
  <c r="C14" i="26"/>
  <c r="I10" i="26"/>
  <c r="I8" i="26"/>
  <c r="C33" i="25"/>
  <c r="C34" i="25"/>
  <c r="C35" i="25"/>
  <c r="B33" i="25"/>
  <c r="C32" i="25"/>
  <c r="C29" i="24"/>
  <c r="B28" i="25"/>
  <c r="B21" i="25"/>
  <c r="H13" i="25"/>
  <c r="C13" i="25"/>
  <c r="D13" i="25"/>
  <c r="E13" i="25"/>
  <c r="F13" i="25"/>
  <c r="G13" i="25"/>
  <c r="C12" i="25"/>
  <c r="D12" i="25"/>
  <c r="E12" i="25"/>
  <c r="F12" i="25"/>
  <c r="G12" i="25"/>
  <c r="H12" i="25"/>
  <c r="B13" i="25"/>
  <c r="B12" i="24"/>
  <c r="B12" i="25"/>
  <c r="H10" i="25"/>
  <c r="C10" i="25"/>
  <c r="D10" i="25"/>
  <c r="E10" i="25"/>
  <c r="F10" i="25"/>
  <c r="G10" i="25"/>
  <c r="B10" i="25"/>
  <c r="C34" i="24"/>
  <c r="C30" i="24"/>
  <c r="H13" i="24"/>
  <c r="H12" i="24"/>
  <c r="C12" i="24"/>
  <c r="D12" i="24"/>
  <c r="E12" i="24"/>
  <c r="F12" i="24"/>
  <c r="F13" i="24" s="1"/>
  <c r="G12" i="24"/>
  <c r="C13" i="24"/>
  <c r="D13" i="24"/>
  <c r="E13" i="24"/>
  <c r="G13" i="24"/>
  <c r="B13" i="24"/>
  <c r="H4" i="24"/>
  <c r="H5" i="24"/>
  <c r="H6" i="24"/>
  <c r="H7" i="24"/>
  <c r="H10" i="24" s="1"/>
  <c r="H8" i="24"/>
  <c r="H9" i="24"/>
  <c r="H3" i="24"/>
  <c r="C10" i="24"/>
  <c r="D10" i="24"/>
  <c r="E10" i="24"/>
  <c r="F10" i="24"/>
  <c r="G10" i="24"/>
  <c r="B10" i="24"/>
  <c r="D8" i="23"/>
  <c r="E7" i="23" s="1"/>
  <c r="B8" i="23"/>
  <c r="C7" i="23" s="1"/>
  <c r="G7" i="23"/>
  <c r="F7" i="23"/>
  <c r="G6" i="23"/>
  <c r="J6" i="23" s="1"/>
  <c r="F6" i="23"/>
  <c r="C6" i="23"/>
  <c r="G5" i="23"/>
  <c r="F5" i="23"/>
  <c r="E5" i="23"/>
  <c r="C5" i="23"/>
  <c r="C8" i="23" s="1"/>
  <c r="J7" i="23" l="1"/>
  <c r="J5" i="23"/>
  <c r="J9" i="23" s="1"/>
  <c r="E6" i="23"/>
  <c r="E8" i="23" s="1"/>
  <c r="G8" i="23"/>
  <c r="B7" i="22" l="1"/>
  <c r="B6" i="22"/>
  <c r="B5" i="22"/>
  <c r="B16" i="21" l="1"/>
  <c r="B20" i="21"/>
  <c r="B4" i="21"/>
  <c r="B8" i="20"/>
  <c r="B9" i="20" s="1"/>
  <c r="F23" i="18" l="1"/>
  <c r="F22" i="18"/>
  <c r="F21" i="18" s="1"/>
  <c r="E22" i="18"/>
  <c r="D23" i="18"/>
  <c r="D22" i="18"/>
  <c r="D21" i="18" s="1"/>
  <c r="C22" i="18"/>
  <c r="C23" i="18"/>
  <c r="C28" i="3"/>
  <c r="C30" i="18" s="1"/>
  <c r="C27" i="3" l="1"/>
  <c r="C27" i="18" s="1"/>
  <c r="C26" i="3"/>
  <c r="C25" i="3"/>
  <c r="C24" i="3" s="1"/>
  <c r="F21" i="3"/>
  <c r="D22" i="3"/>
  <c r="D21" i="3" s="1"/>
  <c r="C23" i="3"/>
  <c r="E23" i="3" s="1"/>
  <c r="C22" i="3"/>
  <c r="C21" i="3" s="1"/>
  <c r="C25" i="18"/>
  <c r="C26" i="18"/>
  <c r="C17" i="18"/>
  <c r="F17" i="18" s="1"/>
  <c r="C12" i="18"/>
  <c r="E12" i="18" s="1"/>
  <c r="C13" i="18"/>
  <c r="D13" i="18" s="1"/>
  <c r="C14" i="18"/>
  <c r="D14" i="18" s="1"/>
  <c r="C15" i="18"/>
  <c r="F15" i="18" s="1"/>
  <c r="C16" i="18"/>
  <c r="F16" i="18" s="1"/>
  <c r="C11" i="18"/>
  <c r="E11" i="18" s="1"/>
  <c r="C5" i="18"/>
  <c r="C6" i="18"/>
  <c r="C7" i="18"/>
  <c r="C8" i="18"/>
  <c r="F8" i="18" s="1"/>
  <c r="C9" i="18"/>
  <c r="F9" i="18" s="1"/>
  <c r="C4" i="18"/>
  <c r="E4" i="18" s="1"/>
  <c r="F16" i="3"/>
  <c r="F17" i="3"/>
  <c r="F15" i="3"/>
  <c r="C15" i="3"/>
  <c r="E12" i="3"/>
  <c r="C12" i="3"/>
  <c r="E11" i="3"/>
  <c r="E10" i="3" s="1"/>
  <c r="E10" i="18" s="1"/>
  <c r="C11" i="3"/>
  <c r="D14" i="3"/>
  <c r="D10" i="3" s="1"/>
  <c r="D10" i="18" s="1"/>
  <c r="C14" i="3"/>
  <c r="D13" i="3"/>
  <c r="C13" i="3"/>
  <c r="C10" i="3"/>
  <c r="C10" i="18" s="1"/>
  <c r="C17" i="3"/>
  <c r="C16" i="3"/>
  <c r="D6" i="17"/>
  <c r="B6" i="17" s="1"/>
  <c r="B7" i="17"/>
  <c r="B10" i="17" s="1"/>
  <c r="C20" i="3" s="1"/>
  <c r="C20" i="18" s="1"/>
  <c r="B8" i="17"/>
  <c r="E6" i="17"/>
  <c r="D5" i="17"/>
  <c r="D9" i="17" s="1"/>
  <c r="E5" i="17"/>
  <c r="E9" i="17" s="1"/>
  <c r="C5" i="17"/>
  <c r="B5" i="17" s="1"/>
  <c r="C4" i="17"/>
  <c r="B4" i="17" s="1"/>
  <c r="C6" i="17"/>
  <c r="C9" i="17" s="1"/>
  <c r="D4" i="17"/>
  <c r="E4" i="17"/>
  <c r="C22" i="15"/>
  <c r="C24" i="18" s="1"/>
  <c r="C19" i="15"/>
  <c r="C21" i="18" s="1"/>
  <c r="C10" i="15"/>
  <c r="C3" i="15"/>
  <c r="B3" i="15"/>
  <c r="E19" i="3" l="1"/>
  <c r="E19" i="18" s="1"/>
  <c r="E18" i="3"/>
  <c r="E18" i="18" s="1"/>
  <c r="F18" i="3"/>
  <c r="F18" i="18" s="1"/>
  <c r="F19" i="3"/>
  <c r="F19" i="18" s="1"/>
  <c r="E23" i="18"/>
  <c r="E21" i="18" s="1"/>
  <c r="E21" i="3"/>
  <c r="D18" i="3"/>
  <c r="D18" i="18" s="1"/>
  <c r="D19" i="3"/>
  <c r="D19" i="18" s="1"/>
  <c r="F10" i="3"/>
  <c r="F10" i="18" s="1"/>
  <c r="C3" i="18"/>
  <c r="B9" i="17"/>
  <c r="H3" i="15"/>
  <c r="H14" i="15"/>
  <c r="H15" i="15"/>
  <c r="H16" i="15"/>
  <c r="H22" i="15"/>
  <c r="B11" i="17" l="1"/>
  <c r="C19" i="3"/>
  <c r="H10" i="15"/>
  <c r="H27" i="15" s="1"/>
  <c r="C19" i="18" l="1"/>
  <c r="C28" i="18" s="1"/>
  <c r="C31" i="18" s="1"/>
  <c r="C18" i="3"/>
  <c r="F9" i="17"/>
  <c r="C29" i="3" l="1"/>
  <c r="C18" i="18"/>
  <c r="C18" i="15"/>
  <c r="C27" i="15" s="1"/>
  <c r="D35" i="3"/>
  <c r="F35" i="3"/>
  <c r="D3" i="3"/>
  <c r="D29" i="3" s="1"/>
  <c r="F3" i="3"/>
  <c r="F29" i="3" s="1"/>
  <c r="E35" i="3" l="1"/>
  <c r="E3" i="3" l="1"/>
  <c r="E29" i="3" s="1"/>
  <c r="C35" i="3"/>
  <c r="C3" i="3" l="1"/>
  <c r="C36" i="3"/>
  <c r="C37" i="3" s="1"/>
  <c r="C12" i="17" l="1"/>
  <c r="D12" i="17"/>
  <c r="E12" i="17"/>
  <c r="E24" i="18" l="1"/>
  <c r="E27" i="18"/>
  <c r="E25" i="18"/>
  <c r="E26" i="18"/>
  <c r="E6" i="18"/>
  <c r="E5" i="18"/>
  <c r="E7" i="18"/>
  <c r="D24" i="18"/>
  <c r="C10" i="17"/>
  <c r="D20" i="3" s="1"/>
  <c r="D20" i="18" s="1"/>
  <c r="D6" i="18"/>
  <c r="D27" i="18"/>
  <c r="D26" i="18"/>
  <c r="D5" i="18"/>
  <c r="D7" i="18"/>
  <c r="D25" i="18"/>
  <c r="D10" i="17"/>
  <c r="E10" i="17"/>
  <c r="F20" i="3" s="1"/>
  <c r="F20" i="18" s="1"/>
  <c r="F24" i="18"/>
  <c r="F27" i="18"/>
  <c r="F6" i="18"/>
  <c r="F26" i="18"/>
  <c r="F25" i="18"/>
  <c r="F7" i="18"/>
  <c r="F5" i="18"/>
  <c r="F3" i="18" l="1"/>
  <c r="F28" i="18"/>
  <c r="F29" i="18" s="1"/>
  <c r="E3" i="18"/>
  <c r="B15" i="17"/>
  <c r="E20" i="3"/>
  <c r="E20" i="18" s="1"/>
  <c r="E28" i="18" s="1"/>
  <c r="E29" i="18" s="1"/>
  <c r="D3" i="18"/>
  <c r="D28" i="18"/>
  <c r="D29" i="18" l="1"/>
  <c r="C29" i="18" s="1"/>
  <c r="D34" i="18"/>
</calcChain>
</file>

<file path=xl/sharedStrings.xml><?xml version="1.0" encoding="utf-8"?>
<sst xmlns="http://schemas.openxmlformats.org/spreadsheetml/2006/main" count="486" uniqueCount="317">
  <si>
    <t>Статья затрат</t>
  </si>
  <si>
    <t>Затраты   на приобретение, долл.</t>
  </si>
  <si>
    <t>Ежегодные эксплуатационные расходы, долл.</t>
  </si>
  <si>
    <t>Затраты в годовом исчислении, долл.</t>
  </si>
  <si>
    <t>Аппаратное обеспечение</t>
  </si>
  <si>
    <t>UNIX-сервер</t>
  </si>
  <si>
    <t>Сервер Windows NT</t>
  </si>
  <si>
    <t>Контроллер домена</t>
  </si>
  <si>
    <t>PC (рабочие станции) — 50 шт.</t>
  </si>
  <si>
    <t>Роутер — 5 шт.</t>
  </si>
  <si>
    <t>LAN — кабельная система</t>
  </si>
  <si>
    <t>Программное обеспечение</t>
  </si>
  <si>
    <t>Oracle Database Server</t>
  </si>
  <si>
    <t>ERP SAP R3</t>
  </si>
  <si>
    <t>Microsoft Exchange server</t>
  </si>
  <si>
    <t>Novell NetWare</t>
  </si>
  <si>
    <t>Персонал</t>
  </si>
  <si>
    <t>Внешние сервисы</t>
  </si>
  <si>
    <t>Интернет-провайдер</t>
  </si>
  <si>
    <t>Сопровождение ERP-системы</t>
  </si>
  <si>
    <t>Производственные помещения</t>
  </si>
  <si>
    <t>Серверная</t>
  </si>
  <si>
    <t>Компьютерная</t>
  </si>
  <si>
    <t>Офис (Service Desk)</t>
  </si>
  <si>
    <t>Прочие затраты</t>
  </si>
  <si>
    <t>Всего</t>
  </si>
  <si>
    <t>Тип затрат</t>
  </si>
  <si>
    <t>E-mail, Internet, долл.</t>
  </si>
  <si>
    <t>ERP, долл.</t>
  </si>
  <si>
    <t>Техническая поддержка, долл.</t>
  </si>
  <si>
    <t>Hardware</t>
  </si>
  <si>
    <t>Прямые</t>
  </si>
  <si>
    <t>Косвенные</t>
  </si>
  <si>
    <t>LAN  — кабельная система</t>
  </si>
  <si>
    <t>Software</t>
  </si>
  <si>
    <t>Microsoft  Exchange Server</t>
  </si>
  <si>
    <t>Клиент Microsoft  Exchange   (50 пользователей)</t>
  </si>
  <si>
    <t>Microsoft  Office   (20 пользователей)</t>
  </si>
  <si>
    <t>Прямые затраты</t>
  </si>
  <si>
    <t>Накаладные расходы</t>
  </si>
  <si>
    <t>Офис</t>
  </si>
  <si>
    <t>Трансферт</t>
  </si>
  <si>
    <t>Разделение затрат на ИТ на прямые и косвенные</t>
  </si>
  <si>
    <t>Таблица 3. Структура затрат на ИТ-персонал</t>
  </si>
  <si>
    <t>Подразделение ИТ</t>
  </si>
  <si>
    <t>Всего за год, долл.</t>
  </si>
  <si>
    <t>Затраты на сервисы</t>
  </si>
  <si>
    <t>E-mail, Интернет, долл.</t>
  </si>
  <si>
    <t>Отдел администрирования</t>
  </si>
  <si>
    <t>Отдел технической поддержки</t>
  </si>
  <si>
    <t>Отдел сопровождения ERP</t>
  </si>
  <si>
    <t>Service Desk</t>
  </si>
  <si>
    <t>АУП</t>
  </si>
  <si>
    <t>Итого прямых затрат</t>
  </si>
  <si>
    <t>Драйвер для распределения (К)</t>
  </si>
  <si>
    <t>Таблица 4. Окончательный расчет себестоимости ИТ-усл</t>
  </si>
  <si>
    <t>Затраты   в годовом исчислении, долл.</t>
  </si>
  <si>
    <t>Соотнесенные</t>
  </si>
  <si>
    <t>LAN  —  кабельная система</t>
  </si>
  <si>
    <t>Microsoft  Windows (50 пользователей)</t>
  </si>
  <si>
    <t>Сумма прямых   и косвенных соотнесенных затрат</t>
  </si>
  <si>
    <t>Распределение косвенных несоотнесенных затрат</t>
  </si>
  <si>
    <t>Несоотнесенные</t>
  </si>
  <si>
    <t>Всего себестоимость ИТ-услуг</t>
  </si>
  <si>
    <t>Персонал:</t>
  </si>
  <si>
    <t>Внешние сервисы:</t>
  </si>
  <si>
    <t>Производственные помещения:</t>
  </si>
  <si>
    <t>Hardware:</t>
  </si>
  <si>
    <t>Цена</t>
  </si>
  <si>
    <t>Накладные расходы</t>
  </si>
  <si>
    <t>Прямые затраты всего</t>
  </si>
  <si>
    <t>Косвенные затраты соотнесенные всего</t>
  </si>
  <si>
    <t>Драйвер распределения</t>
  </si>
  <si>
    <t>Добавочный процент косвенных несоотнесенных затрат</t>
  </si>
  <si>
    <t>Итого косвенных сотнесенных затрат</t>
  </si>
  <si>
    <t>PC (рабочие станции) — 30 шт.</t>
  </si>
  <si>
    <t>Роутер — 7 шт.</t>
  </si>
  <si>
    <t>Клиент Microsoft Exchange   (30 пользователей)</t>
  </si>
  <si>
    <t>Microsoft Windows   (30 пользователей)</t>
  </si>
  <si>
    <t>Клиент Office   (30 пользователей)</t>
  </si>
  <si>
    <t>дано</t>
  </si>
  <si>
    <t>сумма</t>
  </si>
  <si>
    <t>1 - рассчитываются по формуле</t>
  </si>
  <si>
    <t>2 - рассчитываются по соотношению дравера</t>
  </si>
  <si>
    <t>косвенные затраты заполняются в т. 4 по соотношению дравйера т. 3</t>
  </si>
  <si>
    <t>прямые затраты распределяются из т. 1</t>
  </si>
  <si>
    <t>заносятся и т. 3</t>
  </si>
  <si>
    <t>сумма должна совпадать с данными т. 3</t>
  </si>
  <si>
    <t>Сумма для проверки</t>
  </si>
  <si>
    <t>табл 3</t>
  </si>
  <si>
    <t>вычисляют по соотношению драйвера т. 3</t>
  </si>
  <si>
    <t>вычисляют по соотношению драйвера т. 4</t>
  </si>
  <si>
    <t>вычисляют по соотношению драйвера т. 5</t>
  </si>
  <si>
    <t>таб. 2</t>
  </si>
  <si>
    <t>расчет</t>
  </si>
  <si>
    <t>рассчитывают по доб %</t>
  </si>
  <si>
    <t>Таблица 1. Структура затрат на ИТ (исходные даные)</t>
  </si>
  <si>
    <t>штук / коэф</t>
  </si>
  <si>
    <t>из т. 3</t>
  </si>
  <si>
    <t>Исходные данные для т. 3</t>
  </si>
  <si>
    <t>чел</t>
  </si>
  <si>
    <t>руб</t>
  </si>
  <si>
    <t>Зарплата специалистов, занятых на сервисах ($/мес)</t>
  </si>
  <si>
    <t>Таблица 3.1. Смета заработной платы ИТ-специалистов</t>
  </si>
  <si>
    <r>
      <t xml:space="preserve">Таблица 3.2. Смета заработной платы ИТ-специалистов службы Service Desk и административно-управленческого персонала (АУП) </t>
    </r>
    <r>
      <rPr>
        <b/>
        <sz val="12"/>
        <color rgb="FF000000"/>
        <rFont val="Times New Roman"/>
        <family val="1"/>
        <charset val="204"/>
      </rPr>
      <t>($/мес)</t>
    </r>
  </si>
  <si>
    <t>пример 4</t>
  </si>
  <si>
    <t>-</t>
  </si>
  <si>
    <t>N, шт</t>
  </si>
  <si>
    <t>Общее число АРМ</t>
  </si>
  <si>
    <t>P</t>
  </si>
  <si>
    <t>Средняя цена одного закупаемого ПК</t>
  </si>
  <si>
    <r>
      <t>K</t>
    </r>
    <r>
      <rPr>
        <vertAlign val="subscript"/>
        <sz val="11"/>
        <color rgb="FF000000"/>
        <rFont val="Calibri"/>
        <family val="2"/>
      </rPr>
      <t>1</t>
    </r>
  </si>
  <si>
    <r>
      <t>Повышающий (понижающий) коэффициент, отражающий средний возраст парка ПК (</t>
    </r>
    <r>
      <rPr>
        <b/>
        <i/>
        <sz val="12"/>
        <color rgb="FF000000"/>
        <rFont val="Times New Roman"/>
        <family val="1"/>
      </rPr>
      <t>А</t>
    </r>
    <r>
      <rPr>
        <vertAlign val="subscript"/>
        <sz val="12"/>
        <color rgb="FF000000"/>
        <rFont val="Times New Roman"/>
        <family val="1"/>
      </rPr>
      <t>ср</t>
    </r>
    <r>
      <rPr>
        <sz val="12"/>
        <color rgb="FF000000"/>
        <rFont val="Times New Roman"/>
        <family val="1"/>
      </rPr>
      <t>)</t>
    </r>
  </si>
  <si>
    <r>
      <t>C</t>
    </r>
    <r>
      <rPr>
        <vertAlign val="subscript"/>
        <sz val="11"/>
        <color rgb="FF000000"/>
        <rFont val="Calibri"/>
        <family val="2"/>
      </rPr>
      <t xml:space="preserve">ф </t>
    </r>
  </si>
  <si>
    <t xml:space="preserve">Процент ПК, заменяемых по причине выхода из строя </t>
  </si>
  <si>
    <r>
      <t>С</t>
    </r>
    <r>
      <rPr>
        <vertAlign val="subscript"/>
        <sz val="11"/>
        <color rgb="FF000000"/>
        <rFont val="Calibri"/>
        <family val="2"/>
      </rPr>
      <t>гп</t>
    </r>
  </si>
  <si>
    <t>Процент ПК, заменяемых по причине отставания парка от «глобального прогресса»</t>
  </si>
  <si>
    <r>
      <t>С</t>
    </r>
    <r>
      <rPr>
        <vertAlign val="subscript"/>
        <sz val="11"/>
        <color rgb="FF000000"/>
        <rFont val="Calibri"/>
        <family val="2"/>
      </rPr>
      <t>кп</t>
    </r>
  </si>
  <si>
    <t xml:space="preserve"> Процент ПК, заменяемых по причине отставания парка от «корпоративного прогресса»</t>
  </si>
  <si>
    <r>
      <t>А</t>
    </r>
    <r>
      <rPr>
        <b/>
        <i/>
        <vertAlign val="subscript"/>
        <sz val="11"/>
        <color rgb="FF000000"/>
        <rFont val="Calibri"/>
        <family val="2"/>
      </rPr>
      <t>ср</t>
    </r>
  </si>
  <si>
    <t>Средний возраст парка</t>
  </si>
  <si>
    <r>
      <t>C = K</t>
    </r>
    <r>
      <rPr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 * (C</t>
    </r>
    <r>
      <rPr>
        <b/>
        <vertAlign val="subscript"/>
        <sz val="12"/>
        <color rgb="FF000000"/>
        <rFont val="Times New Roman"/>
        <family val="1"/>
      </rPr>
      <t>ф</t>
    </r>
    <r>
      <rPr>
        <b/>
        <sz val="12"/>
        <color rgb="FF000000"/>
        <rFont val="Times New Roman"/>
        <family val="1"/>
      </rPr>
      <t xml:space="preserve"> + С </t>
    </r>
    <r>
      <rPr>
        <b/>
        <vertAlign val="subscript"/>
        <sz val="12"/>
        <color rgb="FF000000"/>
        <rFont val="Times New Roman"/>
        <family val="1"/>
      </rPr>
      <t xml:space="preserve">гп </t>
    </r>
    <r>
      <rPr>
        <b/>
        <sz val="12"/>
        <color rgb="FF000000"/>
        <rFont val="Times New Roman"/>
        <family val="1"/>
      </rPr>
      <t xml:space="preserve">+ С </t>
    </r>
    <r>
      <rPr>
        <b/>
        <vertAlign val="subscript"/>
        <sz val="12"/>
        <color rgb="FF000000"/>
        <rFont val="Times New Roman"/>
        <family val="1"/>
      </rPr>
      <t>кп</t>
    </r>
    <r>
      <rPr>
        <b/>
        <sz val="12"/>
        <color rgb="FF000000"/>
        <rFont val="Times New Roman"/>
        <family val="1"/>
      </rPr>
      <t>)</t>
    </r>
  </si>
  <si>
    <t xml:space="preserve"> Общий процент (доля) заменяемых ПК</t>
  </si>
  <si>
    <t>S = N * P * C</t>
  </si>
  <si>
    <t xml:space="preserve"> $         257 400,00 </t>
  </si>
  <si>
    <t>Ежегодные затраты на модернизацию ПК</t>
  </si>
  <si>
    <r>
      <t>P</t>
    </r>
    <r>
      <rPr>
        <vertAlign val="subscript"/>
        <sz val="12"/>
        <color rgb="FF000000"/>
        <rFont val="Times New Roman"/>
        <family val="1"/>
      </rPr>
      <t>s</t>
    </r>
  </si>
  <si>
    <t xml:space="preserve"> $                321,75 </t>
  </si>
  <si>
    <t>Расходы на 1 рабочее место</t>
  </si>
  <si>
    <t xml:space="preserve"> $                170 </t>
  </si>
  <si>
    <t>Оборудование</t>
  </si>
  <si>
    <t>Кол-во оборудования</t>
  </si>
  <si>
    <t>Стоимость единицы оборудования</t>
  </si>
  <si>
    <t>Стоимость всего оборудования</t>
  </si>
  <si>
    <t>ЖЦ оборудования</t>
  </si>
  <si>
    <t>Ремонт</t>
  </si>
  <si>
    <t>Вероятность поломки единицы оборудования в течение года</t>
  </si>
  <si>
    <t>Средняя стоимость ремонта единицы оборудования (в % от цены)</t>
  </si>
  <si>
    <t>Коэффициент затрат на ремонт</t>
  </si>
  <si>
    <t>Стоимость ремонта оборудования</t>
  </si>
  <si>
    <t>Стоимость поддержки оборудования</t>
  </si>
  <si>
    <t>ПО</t>
  </si>
  <si>
    <t>Кол-во лицензий</t>
  </si>
  <si>
    <t>Стоимость 1 лицензии</t>
  </si>
  <si>
    <t>Стоимость всех лицензий</t>
  </si>
  <si>
    <t>ЖЦ ПО</t>
  </si>
  <si>
    <t>Стоимость поддержки ПО</t>
  </si>
  <si>
    <t>Суммарная стоимость поддержки</t>
  </si>
  <si>
    <t>Показатели</t>
  </si>
  <si>
    <t>Значения</t>
  </si>
  <si>
    <t>Пояснения</t>
  </si>
  <si>
    <r>
      <t>З</t>
    </r>
    <r>
      <rPr>
        <b/>
        <sz val="12"/>
        <color rgb="FF434546"/>
        <rFont val="Times New Roman"/>
        <family val="1"/>
      </rPr>
      <t>пк</t>
    </r>
  </si>
  <si>
    <r>
      <t>р</t>
    </r>
    <r>
      <rPr>
        <sz val="12"/>
        <color theme="1"/>
        <rFont val="Times New Roman"/>
        <family val="1"/>
      </rPr>
      <t xml:space="preserve">асходы </t>
    </r>
    <r>
      <rPr>
        <sz val="12"/>
        <color rgb="FF434546"/>
        <rFont val="Times New Roman"/>
        <family val="1"/>
      </rPr>
      <t>на содержание одного рабочего места с ПК</t>
    </r>
  </si>
  <si>
    <t>Nпк</t>
  </si>
  <si>
    <t>количество ПК на рассчитываемый период</t>
  </si>
  <si>
    <t>Dc</t>
  </si>
  <si>
    <r>
      <t>доля расходов</t>
    </r>
    <r>
      <rPr>
        <sz val="12"/>
        <color theme="1"/>
        <rFont val="Times New Roman"/>
        <family val="1"/>
      </rPr>
      <t xml:space="preserve"> </t>
    </r>
    <r>
      <rPr>
        <sz val="12"/>
        <color rgb="FF434546"/>
        <rFont val="Times New Roman"/>
        <family val="1"/>
      </rPr>
      <t>на содержание одного сервера в стоимости в год</t>
    </r>
  </si>
  <si>
    <t>Сс</t>
  </si>
  <si>
    <t>общая стоимость всех серверов</t>
  </si>
  <si>
    <r>
      <t xml:space="preserve">Зпк </t>
    </r>
    <r>
      <rPr>
        <b/>
        <i/>
        <sz val="12"/>
        <color rgb="FF434546"/>
        <rFont val="Times New Roman"/>
        <family val="1"/>
      </rPr>
      <t>год</t>
    </r>
  </si>
  <si>
    <t>затраты на текущее обслуживание и ремонт компьютеров в год</t>
  </si>
  <si>
    <r>
      <t xml:space="preserve">Зпк </t>
    </r>
    <r>
      <rPr>
        <b/>
        <i/>
        <sz val="12"/>
        <color rgb="FF434546"/>
        <rFont val="Times New Roman"/>
        <family val="1"/>
      </rPr>
      <t>мес</t>
    </r>
  </si>
  <si>
    <t>Стоимость содержания парка компьютеров и серверов в месяц</t>
  </si>
  <si>
    <t>Год</t>
  </si>
  <si>
    <t>Процент</t>
  </si>
  <si>
    <t>Затраты</t>
  </si>
  <si>
    <t>Средняя</t>
  </si>
  <si>
    <t>Доля затрат</t>
  </si>
  <si>
    <t> увеличения,</t>
  </si>
  <si>
    <t> 2008 год</t>
  </si>
  <si>
    <t> 2010 год</t>
  </si>
  <si>
    <t> Техника</t>
  </si>
  <si>
    <t> Кол-во</t>
  </si>
  <si>
    <t> Доля</t>
  </si>
  <si>
    <r>
      <t>У</t>
    </r>
    <r>
      <rPr>
        <vertAlign val="subscript"/>
        <sz val="12"/>
        <color rgb="FF434546"/>
        <rFont val="Times New Roman"/>
        <family val="1"/>
        <charset val="204"/>
      </rPr>
      <t>it</t>
    </r>
  </si>
  <si>
    <r>
      <t>З</t>
    </r>
    <r>
      <rPr>
        <vertAlign val="subscript"/>
        <sz val="12"/>
        <color rgb="FF434546"/>
        <rFont val="Times New Roman"/>
        <family val="1"/>
        <charset val="204"/>
      </rPr>
      <t>t-1</t>
    </r>
  </si>
  <si>
    <t xml:space="preserve">Цена затрат </t>
  </si>
  <si>
    <t>на ремонт в 2009 г.,</t>
  </si>
  <si>
    <r>
      <t>З</t>
    </r>
    <r>
      <rPr>
        <vertAlign val="subscript"/>
        <sz val="12"/>
        <color rgb="FF434546"/>
        <rFont val="Times New Roman"/>
        <family val="1"/>
        <charset val="204"/>
      </rPr>
      <t>t+1</t>
    </r>
  </si>
  <si>
    <t>на 1 ед. техники в 2008 г.</t>
  </si>
  <si>
    <r>
      <t>R</t>
    </r>
    <r>
      <rPr>
        <vertAlign val="subscript"/>
        <sz val="12"/>
        <color rgb="FF434546"/>
        <rFont val="Times New Roman"/>
        <family val="1"/>
        <charset val="204"/>
      </rPr>
      <t>it</t>
    </r>
  </si>
  <si>
    <t> Оргтехника</t>
  </si>
  <si>
    <t> Серверы</t>
  </si>
  <si>
    <t> ПК</t>
  </si>
  <si>
    <r>
      <t> </t>
    </r>
    <r>
      <rPr>
        <b/>
        <sz val="10"/>
        <color rgb="FF434546"/>
        <rFont val="Times New Roman"/>
        <family val="1"/>
        <charset val="204"/>
      </rPr>
      <t>Итого</t>
    </r>
  </si>
  <si>
    <t xml:space="preserve"> </t>
  </si>
  <si>
    <t>Этап разработки</t>
  </si>
  <si>
    <t>Специалисты проекта</t>
  </si>
  <si>
    <t>Рук-ль проекта</t>
  </si>
  <si>
    <t>Дизайнер</t>
  </si>
  <si>
    <t>Верстальщик</t>
  </si>
  <si>
    <t>Программист</t>
  </si>
  <si>
    <t>Инженер по качеству</t>
  </si>
  <si>
    <t>Контент менеджер</t>
  </si>
  <si>
    <t>ИТОГО на этап</t>
  </si>
  <si>
    <t>Разработка плана реализации проекта, ч</t>
  </si>
  <si>
    <t>Разработка ТЗ на проект, ч</t>
  </si>
  <si>
    <t>Дизайн пользовательского интерфейса, ч</t>
  </si>
  <si>
    <t>Верстка дизайна, ч</t>
  </si>
  <si>
    <t>Программирование модуля для CMS, ч</t>
  </si>
  <si>
    <t>Тестирование и отладка системы, ч</t>
  </si>
  <si>
    <t>Ввод данных, ч</t>
  </si>
  <si>
    <t>Итого часов</t>
  </si>
  <si>
    <t>ставка з/п, руб./ч</t>
  </si>
  <si>
    <t>социальные отчисления, руб. (30%*з/п)</t>
  </si>
  <si>
    <t xml:space="preserve">ИТОГО ФОП, включая 30% соц. отчислений от з/п, руб. </t>
  </si>
  <si>
    <t>Ответ: ФОП = 132 990, 00 рублей</t>
  </si>
  <si>
    <t>Статьи расходов</t>
  </si>
  <si>
    <t>Сумма, руб./мес.</t>
  </si>
  <si>
    <t xml:space="preserve">Техническая поддержка 1С-Битрикс </t>
  </si>
  <si>
    <t xml:space="preserve">Хостинг </t>
  </si>
  <si>
    <t>Прочие расходы</t>
  </si>
  <si>
    <t>Затраты на ПО (лицензия на год):</t>
  </si>
  <si>
    <t xml:space="preserve">Сумма, руб. </t>
  </si>
  <si>
    <t>1С-Битрикс редакции «Старт», без учета технической поддержки и обновлений</t>
  </si>
  <si>
    <t xml:space="preserve">JetBrains PHPStorm - Personal. Годовая подписка. </t>
  </si>
  <si>
    <t xml:space="preserve">кол-во месяцев </t>
  </si>
  <si>
    <t>Сумма</t>
  </si>
  <si>
    <t xml:space="preserve">Затраты в год </t>
  </si>
  <si>
    <t>Тех.поддержка, руб/мес</t>
  </si>
  <si>
    <t>Хостинг, руб/мес</t>
  </si>
  <si>
    <t>Прочие расходы, руб/мес</t>
  </si>
  <si>
    <t>1С без учета тех.под., руб/год</t>
  </si>
  <si>
    <t>Годовая подписка, руб/год</t>
  </si>
  <si>
    <t>ФОП (из табл. 1), руб/год</t>
  </si>
  <si>
    <t>Ответ: совокупная стоимость затрат:</t>
  </si>
  <si>
    <t>Руководитель проекта</t>
  </si>
  <si>
    <t>Затрачиваемое время на этап, ч</t>
  </si>
  <si>
    <t>Разработка технического задания на проект, ч</t>
  </si>
  <si>
    <t>Дизайн и разработка пользовательского интерфейса системы, ч</t>
  </si>
  <si>
    <t>Программирование и создание модуля для CMS, ч</t>
  </si>
  <si>
    <t>Наполнение системы первичной информацией , ч</t>
  </si>
  <si>
    <t xml:space="preserve">ИТОГО, ч </t>
  </si>
  <si>
    <r>
      <t xml:space="preserve">ИТОГО ФОП, </t>
    </r>
    <r>
      <rPr>
        <b/>
        <sz val="10"/>
        <color theme="1"/>
        <rFont val="Times New Roman"/>
        <family val="1"/>
      </rPr>
      <t>включая 30% соц. отчислений от з/п, руб</t>
    </r>
    <r>
      <rPr>
        <sz val="10"/>
        <color theme="1"/>
        <rFont val="Times New Roman"/>
        <family val="1"/>
      </rPr>
      <t xml:space="preserve">.  </t>
    </r>
  </si>
  <si>
    <t xml:space="preserve">Статья расхода </t>
  </si>
  <si>
    <t>Итого</t>
  </si>
  <si>
    <t>кол-во мес</t>
  </si>
  <si>
    <t>Наименование</t>
  </si>
  <si>
    <t>Лицензия</t>
  </si>
  <si>
    <t>(сумма, руб.)</t>
  </si>
  <si>
    <t>Стоимость эксплуатации и технической поддержки проекта</t>
  </si>
  <si>
    <t>Затраты на программное обеспечение проекта</t>
  </si>
  <si>
    <t>Обозначения</t>
  </si>
  <si>
    <t>Виды затрат</t>
  </si>
  <si>
    <t>Кол-во клиентов в год</t>
  </si>
  <si>
    <t>Q</t>
  </si>
  <si>
    <t>Объем реализации (выручка) в руб</t>
  </si>
  <si>
    <t>B</t>
  </si>
  <si>
    <t>Основные материалы, руб</t>
  </si>
  <si>
    <t>MЗ</t>
  </si>
  <si>
    <t>переменные</t>
  </si>
  <si>
    <t>Заработная плата персонала, руб</t>
  </si>
  <si>
    <t>FC зп</t>
  </si>
  <si>
    <t>постоянные</t>
  </si>
  <si>
    <t>Постоянные накладные расходы (поддержка), руб</t>
  </si>
  <si>
    <t>FC н.пост.</t>
  </si>
  <si>
    <t>Переменные производственные  расходы, руб</t>
  </si>
  <si>
    <t>VC н.пер.</t>
  </si>
  <si>
    <t>Затраты на офис, руб</t>
  </si>
  <si>
    <t>FC офис</t>
  </si>
  <si>
    <t>З/п АУП, руб</t>
  </si>
  <si>
    <t>FC на</t>
  </si>
  <si>
    <t>Маркетинг, руб</t>
  </si>
  <si>
    <t>FС нр</t>
  </si>
  <si>
    <t>Формулы</t>
  </si>
  <si>
    <t xml:space="preserve">Общие переменные расходы, руб </t>
  </si>
  <si>
    <t>TVC</t>
  </si>
  <si>
    <t xml:space="preserve">Валовая прибыль, руб  </t>
  </si>
  <si>
    <t>N =  B-TVC</t>
  </si>
  <si>
    <t xml:space="preserve">Общие постоянные расходы, руб </t>
  </si>
  <si>
    <t>TFC</t>
  </si>
  <si>
    <t xml:space="preserve">Прибыль (убытки), руб </t>
  </si>
  <si>
    <t>G=B-TVC-TFC</t>
  </si>
  <si>
    <t xml:space="preserve">Маржинальная прибыль на единицу продукции </t>
  </si>
  <si>
    <r>
      <t>m=</t>
    </r>
    <r>
      <rPr>
        <sz val="10"/>
        <color theme="1"/>
        <rFont val="Times New Roman"/>
        <family val="1"/>
      </rPr>
      <t>(</t>
    </r>
    <r>
      <rPr>
        <sz val="10"/>
        <color rgb="FF000000"/>
        <rFont val="Times New Roman"/>
        <family val="1"/>
      </rPr>
      <t>B-TVC)/B</t>
    </r>
  </si>
  <si>
    <t xml:space="preserve">Критический объем продаж в руб. </t>
  </si>
  <si>
    <r>
      <t>B</t>
    </r>
    <r>
      <rPr>
        <vertAlign val="subscript"/>
        <sz val="10"/>
        <color rgb="FF000000"/>
        <rFont val="Times New Roman"/>
        <family val="1"/>
      </rPr>
      <t xml:space="preserve">c </t>
    </r>
    <r>
      <rPr>
        <sz val="10"/>
        <color rgb="FF000000"/>
        <rFont val="Times New Roman"/>
        <family val="1"/>
      </rPr>
      <t xml:space="preserve"> = ТFC / m</t>
    </r>
  </si>
  <si>
    <t xml:space="preserve">Критический объем продаж в натуральных единицах </t>
  </si>
  <si>
    <t>Qc =TFC/(p-v)</t>
  </si>
  <si>
    <t>Прибыль</t>
  </si>
  <si>
    <t>увеличился на 30%</t>
  </si>
  <si>
    <t>Q2=Q*1,3</t>
  </si>
  <si>
    <t>B2=B+1,3</t>
  </si>
  <si>
    <t>цена обслуживания 1 клиента</t>
  </si>
  <si>
    <t>v</t>
  </si>
  <si>
    <t>1 работник</t>
  </si>
  <si>
    <t>кол-во клиентов</t>
  </si>
  <si>
    <t>сб 1 клиента</t>
  </si>
  <si>
    <t>Снизить цену реализации на 10%</t>
  </si>
  <si>
    <r>
      <t>P</t>
    </r>
    <r>
      <rPr>
        <vertAlign val="subscript"/>
        <sz val="12"/>
        <color rgb="FF000000"/>
        <rFont val="Times New Roman"/>
        <family val="1"/>
      </rPr>
      <t>1</t>
    </r>
  </si>
  <si>
    <r>
      <t>P</t>
    </r>
    <r>
      <rPr>
        <vertAlign val="subscript"/>
        <sz val="12"/>
        <color rgb="FF000000"/>
        <rFont val="Times New Roman"/>
        <family val="1"/>
      </rPr>
      <t xml:space="preserve">1 = </t>
    </r>
    <r>
      <rPr>
        <sz val="12"/>
        <color rgb="FF000000"/>
        <rFont val="Times New Roman"/>
        <family val="1"/>
      </rPr>
      <t>P</t>
    </r>
    <r>
      <rPr>
        <vertAlign val="subscript"/>
        <sz val="12"/>
        <color rgb="FF000000"/>
        <rFont val="Times New Roman"/>
        <family val="1"/>
      </rPr>
      <t>0</t>
    </r>
    <r>
      <rPr>
        <sz val="12"/>
        <color rgb="FF000000"/>
        <rFont val="Times New Roman"/>
        <family val="1"/>
      </rPr>
      <t>*0,9</t>
    </r>
  </si>
  <si>
    <t>Увеличить объем реализации на 30%</t>
  </si>
  <si>
    <r>
      <t>Q</t>
    </r>
    <r>
      <rPr>
        <vertAlign val="subscript"/>
        <sz val="12"/>
        <color rgb="FF000000"/>
        <rFont val="Times New Roman"/>
        <family val="1"/>
      </rPr>
      <t>1</t>
    </r>
  </si>
  <si>
    <r>
      <t>Q</t>
    </r>
    <r>
      <rPr>
        <vertAlign val="subscript"/>
        <sz val="12"/>
        <color rgb="FF000000"/>
        <rFont val="Times New Roman"/>
        <family val="1"/>
      </rPr>
      <t xml:space="preserve"> 1 = </t>
    </r>
    <r>
      <rPr>
        <sz val="12"/>
        <color rgb="FF000000"/>
        <rFont val="Times New Roman"/>
        <family val="1"/>
      </rPr>
      <t>Q</t>
    </r>
    <r>
      <rPr>
        <vertAlign val="subscript"/>
        <sz val="12"/>
        <color rgb="FF000000"/>
        <rFont val="Times New Roman"/>
        <family val="1"/>
      </rPr>
      <t xml:space="preserve"> 0</t>
    </r>
    <r>
      <rPr>
        <sz val="12"/>
        <color rgb="FF000000"/>
        <rFont val="Times New Roman"/>
        <family val="1"/>
      </rPr>
      <t>*1,3</t>
    </r>
  </si>
  <si>
    <t>Выручка новая</t>
  </si>
  <si>
    <r>
      <t>B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=P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*Q</t>
    </r>
    <r>
      <rPr>
        <vertAlign val="subscript"/>
        <sz val="12"/>
        <color rgb="FF000000"/>
        <rFont val="Times New Roman"/>
        <family val="1"/>
      </rPr>
      <t>1</t>
    </r>
  </si>
  <si>
    <t>Переменные затраты новые</t>
  </si>
  <si>
    <r>
      <t>ТVC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=v*Q</t>
    </r>
    <r>
      <rPr>
        <vertAlign val="subscript"/>
        <sz val="12"/>
        <color rgb="FF000000"/>
        <rFont val="Times New Roman"/>
        <family val="1"/>
      </rPr>
      <t>1</t>
    </r>
  </si>
  <si>
    <t>Маржинальная прибыль на единицу продукции (новая)</t>
  </si>
  <si>
    <r>
      <t>m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=(B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-ТVC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)/B</t>
    </r>
    <r>
      <rPr>
        <vertAlign val="subscript"/>
        <sz val="12"/>
        <color rgb="FF000000"/>
        <rFont val="Times New Roman"/>
        <family val="1"/>
      </rPr>
      <t>1</t>
    </r>
  </si>
  <si>
    <t>Маржинальная прибыль на весь объем новая</t>
  </si>
  <si>
    <r>
      <t>N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 =  B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>-TVC</t>
    </r>
    <r>
      <rPr>
        <b/>
        <vertAlign val="subscript"/>
        <sz val="12"/>
        <color rgb="FF000000"/>
        <rFont val="Times New Roman"/>
        <family val="1"/>
      </rPr>
      <t>1</t>
    </r>
  </si>
  <si>
    <t>Прибыль на весь объем новая</t>
  </si>
  <si>
    <r>
      <t>G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=B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-TVC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-TFC</t>
    </r>
  </si>
  <si>
    <t xml:space="preserve">Изменении прибыли при новых условиях </t>
  </si>
  <si>
    <r>
      <t>D</t>
    </r>
    <r>
      <rPr>
        <sz val="12"/>
        <color rgb="FF000000"/>
        <rFont val="Times New Roman"/>
        <family val="1"/>
      </rPr>
      <t>G</t>
    </r>
  </si>
  <si>
    <r>
      <t>Bc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=  ТFC / m</t>
    </r>
    <r>
      <rPr>
        <vertAlign val="subscript"/>
        <sz val="12"/>
        <color rgb="FF000000"/>
        <rFont val="Times New Roman"/>
        <family val="1"/>
      </rPr>
      <t>1</t>
    </r>
  </si>
  <si>
    <r>
      <t>Qc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=TFC/(p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-v)</t>
    </r>
  </si>
  <si>
    <t>Qi*P</t>
  </si>
  <si>
    <t>Точка</t>
  </si>
  <si>
    <t xml:space="preserve">Объем производства, Qi </t>
  </si>
  <si>
    <t xml:space="preserve">Выручка, B=Qi*P </t>
  </si>
  <si>
    <t>Общие затраты, TC= TVC+TFC</t>
  </si>
  <si>
    <t>Переменные затраты, TVC=Qi*v</t>
  </si>
  <si>
    <t>Постоянные затраты, TFC</t>
  </si>
  <si>
    <t>Выручка в точке безубыточности (критический объем продаж в руб)</t>
  </si>
  <si>
    <t xml:space="preserve">Bc  =  TFC /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</si>
</sst>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_-[$$-409]* #,##0.00_ ;_-[$$-409]* \-#,##0.00\ ;_-[$$-409]* &quot;-&quot;??_ ;_-@_ "/>
    <numFmt numFmtId="167" formatCode="_-[$$-2C09]* #,##0.00_-;\-[$$-2C09]* #,##0.00_-;_-[$$-2C09]* &quot;-&quot;??_-;_-@_-"/>
    <numFmt numFmtId="172" formatCode="_-* #,##0.00\ [$₽-419]_-;\-* #,##0.00\ [$₽-419]_-;_-* &quot;-&quot;??\ [$₽-419]_-;_-@_-"/>
  </numFmts>
  <fonts count="5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b/>
      <sz val="9"/>
      <color rgb="FF000000"/>
      <name val="Arial"/>
      <family val="2"/>
    </font>
    <font>
      <sz val="10"/>
      <color theme="1"/>
      <name val="Times New Roman"/>
      <family val="1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vertAlign val="subscript"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i/>
      <vertAlign val="subscript"/>
      <sz val="11"/>
      <color rgb="FF000000"/>
      <name val="Calibri"/>
      <family val="2"/>
    </font>
    <font>
      <b/>
      <vertAlign val="subscript"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434546"/>
      <name val="Times New Roman"/>
      <family val="1"/>
    </font>
    <font>
      <b/>
      <sz val="12"/>
      <color rgb="FF434546"/>
      <name val="Times New Roman"/>
      <family val="1"/>
    </font>
    <font>
      <b/>
      <i/>
      <sz val="12"/>
      <color rgb="FF434546"/>
      <name val="Times New Roman"/>
      <family val="1"/>
    </font>
    <font>
      <sz val="10"/>
      <color rgb="FF434546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434546"/>
      <name val="Times New Roman"/>
      <family val="1"/>
      <charset val="204"/>
    </font>
    <font>
      <vertAlign val="subscript"/>
      <sz val="12"/>
      <color rgb="FF434546"/>
      <name val="Times New Roman"/>
      <family val="1"/>
      <charset val="204"/>
    </font>
    <font>
      <sz val="9"/>
      <color rgb="FF434546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434546"/>
      <name val="Times New Roman"/>
      <family val="1"/>
      <charset val="204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7"/>
      <color theme="1"/>
      <name val="Times New Roman"/>
      <family val="1"/>
    </font>
    <font>
      <u/>
      <sz val="11"/>
      <color theme="10"/>
      <name val="Calibri"/>
      <family val="2"/>
      <charset val="204"/>
      <scheme val="minor"/>
    </font>
    <font>
      <sz val="8"/>
      <color theme="1"/>
      <name val="Times New Roman"/>
      <family val="1"/>
    </font>
    <font>
      <vertAlign val="subscript"/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Symbol"/>
      <charset val="2"/>
    </font>
  </fonts>
  <fills count="14">
    <fill>
      <patternFill patternType="none"/>
    </fill>
    <fill>
      <patternFill patternType="gray125"/>
    </fill>
    <fill>
      <patternFill patternType="solid">
        <fgColor rgb="FFECE9D8"/>
        <bgColor indexed="64"/>
      </patternFill>
    </fill>
    <fill>
      <patternFill patternType="solid">
        <fgColor rgb="FFFFF79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0EEE9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4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263">
    <xf numFmtId="0" fontId="0" fillId="0" borderId="0" xfId="0"/>
    <xf numFmtId="0" fontId="0" fillId="0" borderId="1" xfId="0" applyBorder="1"/>
    <xf numFmtId="3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/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10" fontId="2" fillId="3" borderId="1" xfId="0" applyNumberFormat="1" applyFont="1" applyFill="1" applyBorder="1" applyAlignment="1">
      <alignment vertical="center" wrapText="1"/>
    </xf>
    <xf numFmtId="9" fontId="2" fillId="3" borderId="1" xfId="2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3" fontId="2" fillId="2" borderId="5" xfId="0" applyNumberFormat="1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3" fontId="7" fillId="3" borderId="0" xfId="0" applyNumberFormat="1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3" fontId="4" fillId="3" borderId="0" xfId="0" applyNumberFormat="1" applyFont="1" applyFill="1" applyAlignment="1">
      <alignment vertical="center" wrapText="1"/>
    </xf>
    <xf numFmtId="0" fontId="7" fillId="3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vertical="center" wrapText="1"/>
    </xf>
    <xf numFmtId="3" fontId="6" fillId="2" borderId="1" xfId="0" applyNumberFormat="1" applyFont="1" applyFill="1" applyBorder="1" applyAlignment="1">
      <alignment vertical="center" wrapText="1"/>
    </xf>
    <xf numFmtId="44" fontId="0" fillId="0" borderId="0" xfId="0" applyNumberFormat="1"/>
    <xf numFmtId="0" fontId="6" fillId="2" borderId="1" xfId="0" applyFont="1" applyFill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vertical="center" wrapText="1"/>
    </xf>
    <xf numFmtId="44" fontId="2" fillId="3" borderId="1" xfId="1" applyFont="1" applyFill="1" applyBorder="1" applyAlignment="1">
      <alignment vertical="center" wrapText="1"/>
    </xf>
    <xf numFmtId="44" fontId="5" fillId="2" borderId="1" xfId="1" applyFont="1" applyFill="1" applyBorder="1" applyAlignment="1">
      <alignment vertical="center" wrapText="1"/>
    </xf>
    <xf numFmtId="0" fontId="8" fillId="0" borderId="0" xfId="0" applyFont="1"/>
    <xf numFmtId="0" fontId="2" fillId="4" borderId="1" xfId="0" applyFont="1" applyFill="1" applyBorder="1" applyAlignment="1">
      <alignment vertical="center" wrapText="1"/>
    </xf>
    <xf numFmtId="0" fontId="8" fillId="5" borderId="0" xfId="0" applyFont="1" applyFill="1"/>
    <xf numFmtId="0" fontId="4" fillId="5" borderId="2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7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165" fontId="4" fillId="3" borderId="3" xfId="3" applyNumberFormat="1" applyFont="1" applyFill="1" applyBorder="1" applyAlignment="1">
      <alignment vertical="center" wrapText="1"/>
    </xf>
    <xf numFmtId="3" fontId="4" fillId="7" borderId="1" xfId="0" applyNumberFormat="1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8" fillId="6" borderId="0" xfId="0" applyFont="1" applyFill="1"/>
    <xf numFmtId="0" fontId="0" fillId="0" borderId="0" xfId="0" applyFont="1"/>
    <xf numFmtId="44" fontId="4" fillId="3" borderId="1" xfId="0" applyNumberFormat="1" applyFont="1" applyFill="1" applyBorder="1" applyAlignment="1">
      <alignment vertical="center" wrapText="1"/>
    </xf>
    <xf numFmtId="3" fontId="4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3" fontId="12" fillId="0" borderId="0" xfId="0" applyNumberFormat="1" applyFont="1"/>
    <xf numFmtId="0" fontId="9" fillId="10" borderId="13" xfId="0" applyFont="1" applyFill="1" applyBorder="1" applyAlignment="1">
      <alignment vertical="center" wrapText="1"/>
    </xf>
    <xf numFmtId="0" fontId="9" fillId="10" borderId="14" xfId="0" applyFont="1" applyFill="1" applyBorder="1" applyAlignment="1">
      <alignment vertical="center" wrapText="1"/>
    </xf>
    <xf numFmtId="0" fontId="16" fillId="9" borderId="15" xfId="0" applyFont="1" applyFill="1" applyBorder="1" applyAlignment="1">
      <alignment horizontal="right" vertical="center" wrapText="1"/>
    </xf>
    <xf numFmtId="0" fontId="9" fillId="0" borderId="14" xfId="0" applyFont="1" applyBorder="1" applyAlignment="1">
      <alignment horizontal="right" vertical="center" wrapText="1"/>
    </xf>
    <xf numFmtId="0" fontId="13" fillId="9" borderId="15" xfId="0" applyFont="1" applyFill="1" applyBorder="1" applyAlignment="1">
      <alignment vertical="top" wrapText="1"/>
    </xf>
    <xf numFmtId="0" fontId="9" fillId="10" borderId="14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9" borderId="12" xfId="0" applyFont="1" applyFill="1" applyBorder="1" applyAlignment="1">
      <alignment horizontal="right" vertical="center" wrapText="1"/>
    </xf>
    <xf numFmtId="0" fontId="15" fillId="9" borderId="12" xfId="0" applyFont="1" applyFill="1" applyBorder="1" applyAlignment="1">
      <alignment horizontal="right" vertical="center" wrapText="1"/>
    </xf>
    <xf numFmtId="0" fontId="0" fillId="5" borderId="0" xfId="0" applyFill="1"/>
    <xf numFmtId="0" fontId="4" fillId="2" borderId="17" xfId="0" applyFont="1" applyFill="1" applyBorder="1" applyAlignment="1">
      <alignment vertical="center" wrapText="1"/>
    </xf>
    <xf numFmtId="165" fontId="4" fillId="3" borderId="1" xfId="3" applyNumberFormat="1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vertical="center" wrapText="1"/>
    </xf>
    <xf numFmtId="0" fontId="4" fillId="3" borderId="16" xfId="0" applyFont="1" applyFill="1" applyBorder="1" applyAlignment="1">
      <alignment vertical="center" wrapText="1"/>
    </xf>
    <xf numFmtId="44" fontId="4" fillId="2" borderId="1" xfId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vertical="center" wrapText="1"/>
    </xf>
    <xf numFmtId="3" fontId="17" fillId="3" borderId="1" xfId="0" applyNumberFormat="1" applyFont="1" applyFill="1" applyBorder="1" applyAlignment="1">
      <alignment vertical="center" wrapText="1"/>
    </xf>
    <xf numFmtId="0" fontId="19" fillId="0" borderId="19" xfId="0" applyFont="1" applyBorder="1" applyAlignment="1">
      <alignment horizontal="left" vertical="center"/>
    </xf>
    <xf numFmtId="0" fontId="20" fillId="0" borderId="20" xfId="0" applyFont="1" applyBorder="1" applyAlignment="1">
      <alignment horizontal="right" vertical="center"/>
    </xf>
    <xf numFmtId="0" fontId="21" fillId="0" borderId="20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right" vertical="center"/>
    </xf>
    <xf numFmtId="0" fontId="21" fillId="0" borderId="22" xfId="0" applyFont="1" applyBorder="1" applyAlignment="1">
      <alignment horizontal="justify" vertical="center"/>
    </xf>
    <xf numFmtId="0" fontId="18" fillId="0" borderId="22" xfId="0" applyFont="1" applyBorder="1"/>
    <xf numFmtId="0" fontId="23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166" fontId="19" fillId="0" borderId="22" xfId="0" applyNumberFormat="1" applyFont="1" applyBorder="1" applyAlignment="1">
      <alignment horizontal="left" vertical="center"/>
    </xf>
    <xf numFmtId="166" fontId="0" fillId="0" borderId="0" xfId="0" applyNumberFormat="1"/>
    <xf numFmtId="166" fontId="20" fillId="0" borderId="22" xfId="0" applyNumberFormat="1" applyFont="1" applyBorder="1" applyAlignment="1">
      <alignment horizontal="left" vertical="center"/>
    </xf>
    <xf numFmtId="0" fontId="29" fillId="0" borderId="21" xfId="0" applyFont="1" applyBorder="1" applyAlignment="1">
      <alignment horizontal="justify" vertical="center"/>
    </xf>
    <xf numFmtId="0" fontId="29" fillId="0" borderId="22" xfId="0" applyFont="1" applyBorder="1" applyAlignment="1">
      <alignment horizontal="right" vertical="center"/>
    </xf>
    <xf numFmtId="8" fontId="29" fillId="0" borderId="22" xfId="0" applyNumberFormat="1" applyFont="1" applyBorder="1" applyAlignment="1">
      <alignment horizontal="right" vertical="center"/>
    </xf>
    <xf numFmtId="9" fontId="29" fillId="0" borderId="22" xfId="0" applyNumberFormat="1" applyFont="1" applyBorder="1" applyAlignment="1">
      <alignment horizontal="right" vertical="center"/>
    </xf>
    <xf numFmtId="8" fontId="30" fillId="0" borderId="22" xfId="0" applyNumberFormat="1" applyFont="1" applyBorder="1" applyAlignment="1">
      <alignment horizontal="justify" vertical="center"/>
    </xf>
    <xf numFmtId="8" fontId="29" fillId="0" borderId="22" xfId="0" applyNumberFormat="1" applyFont="1" applyBorder="1" applyAlignment="1">
      <alignment horizontal="justify" vertical="center"/>
    </xf>
    <xf numFmtId="8" fontId="18" fillId="0" borderId="22" xfId="0" applyNumberFormat="1" applyFont="1" applyBorder="1"/>
    <xf numFmtId="0" fontId="32" fillId="0" borderId="19" xfId="0" applyFont="1" applyBorder="1" applyAlignment="1">
      <alignment horizontal="justify" vertical="center" wrapText="1"/>
    </xf>
    <xf numFmtId="0" fontId="32" fillId="0" borderId="20" xfId="0" applyFont="1" applyBorder="1" applyAlignment="1">
      <alignment horizontal="justify" vertical="center" wrapText="1"/>
    </xf>
    <xf numFmtId="0" fontId="33" fillId="0" borderId="21" xfId="0" applyFont="1" applyBorder="1" applyAlignment="1">
      <alignment horizontal="justify" vertical="center" wrapText="1"/>
    </xf>
    <xf numFmtId="0" fontId="32" fillId="0" borderId="22" xfId="0" applyFont="1" applyBorder="1" applyAlignment="1">
      <alignment horizontal="justify" vertical="center" wrapText="1"/>
    </xf>
    <xf numFmtId="0" fontId="33" fillId="0" borderId="22" xfId="0" applyFont="1" applyBorder="1" applyAlignment="1">
      <alignment horizontal="justify" vertical="center" wrapText="1"/>
    </xf>
    <xf numFmtId="0" fontId="34" fillId="0" borderId="21" xfId="0" applyFont="1" applyBorder="1" applyAlignment="1">
      <alignment horizontal="justify" vertical="center" wrapText="1"/>
    </xf>
    <xf numFmtId="9" fontId="32" fillId="0" borderId="22" xfId="0" applyNumberFormat="1" applyFont="1" applyBorder="1" applyAlignment="1">
      <alignment horizontal="justify" vertical="center" wrapText="1"/>
    </xf>
    <xf numFmtId="166" fontId="32" fillId="0" borderId="22" xfId="0" applyNumberFormat="1" applyFont="1" applyBorder="1" applyAlignment="1">
      <alignment horizontal="justify" vertical="center" wrapText="1"/>
    </xf>
    <xf numFmtId="0" fontId="36" fillId="9" borderId="27" xfId="0" applyFont="1" applyFill="1" applyBorder="1" applyAlignment="1">
      <alignment horizontal="center" vertical="center" wrapText="1"/>
    </xf>
    <xf numFmtId="0" fontId="36" fillId="9" borderId="29" xfId="0" applyFont="1" applyFill="1" applyBorder="1" applyAlignment="1">
      <alignment horizontal="center" vertical="center" wrapText="1"/>
    </xf>
    <xf numFmtId="0" fontId="36" fillId="9" borderId="30" xfId="0" applyFont="1" applyFill="1" applyBorder="1" applyAlignment="1">
      <alignment horizontal="center" vertical="center" wrapText="1"/>
    </xf>
    <xf numFmtId="0" fontId="36" fillId="9" borderId="31" xfId="0" applyFont="1" applyFill="1" applyBorder="1" applyAlignment="1">
      <alignment horizontal="center" vertical="center" wrapText="1"/>
    </xf>
    <xf numFmtId="0" fontId="38" fillId="9" borderId="30" xfId="0" applyFont="1" applyFill="1" applyBorder="1" applyAlignment="1">
      <alignment horizontal="center" vertical="center" wrapText="1"/>
    </xf>
    <xf numFmtId="0" fontId="37" fillId="9" borderId="30" xfId="0" applyFont="1" applyFill="1" applyBorder="1" applyAlignment="1">
      <alignment horizontal="justify" vertical="center" wrapText="1"/>
    </xf>
    <xf numFmtId="0" fontId="36" fillId="9" borderId="30" xfId="0" applyFont="1" applyFill="1" applyBorder="1" applyAlignment="1">
      <alignment horizontal="justify" vertical="center" wrapText="1"/>
    </xf>
    <xf numFmtId="0" fontId="38" fillId="9" borderId="31" xfId="0" applyFont="1" applyFill="1" applyBorder="1" applyAlignment="1">
      <alignment horizontal="center" vertical="center" wrapText="1"/>
    </xf>
    <xf numFmtId="0" fontId="0" fillId="9" borderId="34" xfId="0" applyFill="1" applyBorder="1" applyAlignment="1">
      <alignment vertical="top" wrapText="1"/>
    </xf>
    <xf numFmtId="0" fontId="37" fillId="9" borderId="34" xfId="0" applyFont="1" applyFill="1" applyBorder="1" applyAlignment="1">
      <alignment horizontal="justify" vertical="center" wrapText="1"/>
    </xf>
    <xf numFmtId="0" fontId="38" fillId="9" borderId="34" xfId="0" applyFont="1" applyFill="1" applyBorder="1" applyAlignment="1">
      <alignment horizontal="justify" vertical="center" wrapText="1"/>
    </xf>
    <xf numFmtId="0" fontId="0" fillId="9" borderId="35" xfId="0" applyFill="1" applyBorder="1" applyAlignment="1">
      <alignment vertical="top" wrapText="1"/>
    </xf>
    <xf numFmtId="0" fontId="36" fillId="9" borderId="36" xfId="0" applyFont="1" applyFill="1" applyBorder="1" applyAlignment="1">
      <alignment horizontal="justify" vertical="center" wrapText="1"/>
    </xf>
    <xf numFmtId="0" fontId="40" fillId="9" borderId="34" xfId="0" applyFont="1" applyFill="1" applyBorder="1" applyAlignment="1">
      <alignment horizontal="right" vertical="center" wrapText="1"/>
    </xf>
    <xf numFmtId="10" fontId="40" fillId="9" borderId="34" xfId="2" applyNumberFormat="1" applyFont="1" applyFill="1" applyBorder="1" applyAlignment="1">
      <alignment horizontal="right" vertical="center" wrapText="1"/>
    </xf>
    <xf numFmtId="10" fontId="40" fillId="9" borderId="34" xfId="0" applyNumberFormat="1" applyFont="1" applyFill="1" applyBorder="1" applyAlignment="1">
      <alignment horizontal="right" vertical="center" wrapText="1"/>
    </xf>
    <xf numFmtId="167" fontId="40" fillId="9" borderId="34" xfId="0" applyNumberFormat="1" applyFont="1" applyFill="1" applyBorder="1" applyAlignment="1">
      <alignment horizontal="justify" vertical="center" wrapText="1"/>
    </xf>
    <xf numFmtId="167" fontId="41" fillId="9" borderId="34" xfId="0" applyNumberFormat="1" applyFont="1" applyFill="1" applyBorder="1" applyAlignment="1">
      <alignment horizontal="justify" vertical="center" wrapText="1"/>
    </xf>
    <xf numFmtId="9" fontId="40" fillId="9" borderId="34" xfId="0" applyNumberFormat="1" applyFont="1" applyFill="1" applyBorder="1" applyAlignment="1">
      <alignment horizontal="justify" vertical="center" wrapText="1"/>
    </xf>
    <xf numFmtId="167" fontId="40" fillId="9" borderId="35" xfId="0" applyNumberFormat="1" applyFont="1" applyFill="1" applyBorder="1" applyAlignment="1">
      <alignment horizontal="justify" vertical="center" wrapText="1"/>
    </xf>
    <xf numFmtId="0" fontId="40" fillId="9" borderId="31" xfId="0" applyFont="1" applyFill="1" applyBorder="1" applyAlignment="1">
      <alignment horizontal="justify" vertical="center" wrapText="1"/>
    </xf>
    <xf numFmtId="167" fontId="40" fillId="9" borderId="37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4" fillId="9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vertical="top" wrapText="1"/>
    </xf>
    <xf numFmtId="0" fontId="13" fillId="9" borderId="12" xfId="0" applyFont="1" applyFill="1" applyBorder="1" applyAlignment="1">
      <alignment vertical="top" wrapText="1"/>
    </xf>
    <xf numFmtId="0" fontId="15" fillId="9" borderId="1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justify" vertical="center"/>
    </xf>
    <xf numFmtId="0" fontId="30" fillId="5" borderId="21" xfId="0" applyFont="1" applyFill="1" applyBorder="1" applyAlignment="1">
      <alignment horizontal="justify" vertical="center"/>
    </xf>
    <xf numFmtId="8" fontId="31" fillId="5" borderId="24" xfId="0" applyNumberFormat="1" applyFont="1" applyFill="1" applyBorder="1" applyAlignment="1">
      <alignment horizontal="justify" vertical="center"/>
    </xf>
    <xf numFmtId="8" fontId="31" fillId="5" borderId="21" xfId="0" applyNumberFormat="1" applyFont="1" applyFill="1" applyBorder="1" applyAlignment="1">
      <alignment horizontal="justify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20" xfId="0" applyFont="1" applyFill="1" applyBorder="1" applyAlignment="1">
      <alignment horizontal="center" vertical="center"/>
    </xf>
    <xf numFmtId="0" fontId="30" fillId="11" borderId="23" xfId="0" applyFont="1" applyFill="1" applyBorder="1" applyAlignment="1">
      <alignment horizontal="center" vertical="center"/>
    </xf>
    <xf numFmtId="0" fontId="30" fillId="11" borderId="20" xfId="0" applyFont="1" applyFill="1" applyBorder="1" applyAlignment="1">
      <alignment horizontal="center" vertical="center"/>
    </xf>
    <xf numFmtId="167" fontId="40" fillId="9" borderId="33" xfId="0" applyNumberFormat="1" applyFont="1" applyFill="1" applyBorder="1" applyAlignment="1">
      <alignment horizontal="justify" vertical="center" wrapText="1"/>
    </xf>
    <xf numFmtId="0" fontId="40" fillId="9" borderId="41" xfId="0" applyFont="1" applyFill="1" applyBorder="1" applyAlignment="1">
      <alignment horizontal="justify" vertical="center" wrapText="1"/>
    </xf>
    <xf numFmtId="0" fontId="40" fillId="9" borderId="33" xfId="0" applyFont="1" applyFill="1" applyBorder="1" applyAlignment="1">
      <alignment horizontal="justify" vertical="center" wrapText="1"/>
    </xf>
    <xf numFmtId="0" fontId="36" fillId="9" borderId="33" xfId="0" applyFont="1" applyFill="1" applyBorder="1" applyAlignment="1">
      <alignment horizontal="justify" vertical="center" wrapText="1"/>
    </xf>
    <xf numFmtId="0" fontId="36" fillId="9" borderId="39" xfId="0" applyFont="1" applyFill="1" applyBorder="1" applyAlignment="1">
      <alignment horizontal="justify" vertical="center" wrapText="1"/>
    </xf>
    <xf numFmtId="0" fontId="36" fillId="9" borderId="32" xfId="0" applyFont="1" applyFill="1" applyBorder="1" applyAlignment="1">
      <alignment horizontal="justify" vertical="center" wrapText="1"/>
    </xf>
    <xf numFmtId="0" fontId="36" fillId="9" borderId="40" xfId="0" applyFont="1" applyFill="1" applyBorder="1" applyAlignment="1">
      <alignment horizontal="justify" vertical="center" wrapText="1"/>
    </xf>
    <xf numFmtId="0" fontId="40" fillId="9" borderId="33" xfId="0" applyFont="1" applyFill="1" applyBorder="1" applyAlignment="1">
      <alignment horizontal="right" vertical="center" wrapText="1"/>
    </xf>
    <xf numFmtId="0" fontId="40" fillId="9" borderId="41" xfId="0" applyFont="1" applyFill="1" applyBorder="1" applyAlignment="1">
      <alignment horizontal="right" vertical="center" wrapText="1"/>
    </xf>
    <xf numFmtId="9" fontId="40" fillId="9" borderId="33" xfId="0" applyNumberFormat="1" applyFont="1" applyFill="1" applyBorder="1" applyAlignment="1">
      <alignment horizontal="right" vertical="center" wrapText="1"/>
    </xf>
    <xf numFmtId="9" fontId="40" fillId="9" borderId="41" xfId="0" applyNumberFormat="1" applyFont="1" applyFill="1" applyBorder="1" applyAlignment="1">
      <alignment horizontal="right" vertical="center" wrapText="1"/>
    </xf>
    <xf numFmtId="0" fontId="36" fillId="9" borderId="25" xfId="0" applyFont="1" applyFill="1" applyBorder="1" applyAlignment="1">
      <alignment horizontal="center" vertical="center" wrapText="1"/>
    </xf>
    <xf numFmtId="0" fontId="36" fillId="9" borderId="36" xfId="0" applyFont="1" applyFill="1" applyBorder="1" applyAlignment="1">
      <alignment horizontal="center" vertical="center" wrapText="1"/>
    </xf>
    <xf numFmtId="0" fontId="36" fillId="9" borderId="26" xfId="0" applyFont="1" applyFill="1" applyBorder="1" applyAlignment="1">
      <alignment horizontal="center" vertical="center" wrapText="1"/>
    </xf>
    <xf numFmtId="0" fontId="36" fillId="9" borderId="27" xfId="0" applyFont="1" applyFill="1" applyBorder="1" applyAlignment="1">
      <alignment horizontal="center" vertical="center" wrapText="1"/>
    </xf>
    <xf numFmtId="0" fontId="36" fillId="9" borderId="38" xfId="0" applyFont="1" applyFill="1" applyBorder="1" applyAlignment="1">
      <alignment horizontal="center" vertical="center" wrapText="1"/>
    </xf>
    <xf numFmtId="0" fontId="36" fillId="9" borderId="34" xfId="0" applyFont="1" applyFill="1" applyBorder="1" applyAlignment="1">
      <alignment horizontal="center" vertical="center" wrapText="1"/>
    </xf>
    <xf numFmtId="0" fontId="37" fillId="9" borderId="28" xfId="0" applyFont="1" applyFill="1" applyBorder="1" applyAlignment="1">
      <alignment horizontal="center" vertical="center" wrapText="1"/>
    </xf>
    <xf numFmtId="0" fontId="37" fillId="9" borderId="39" xfId="0" applyFont="1" applyFill="1" applyBorder="1" applyAlignment="1">
      <alignment horizontal="center" vertical="center" wrapText="1"/>
    </xf>
    <xf numFmtId="0" fontId="36" fillId="9" borderId="28" xfId="0" applyFont="1" applyFill="1" applyBorder="1" applyAlignment="1">
      <alignment horizontal="center" vertical="center" wrapText="1"/>
    </xf>
    <xf numFmtId="0" fontId="36" fillId="9" borderId="39" xfId="0" applyFont="1" applyFill="1" applyBorder="1" applyAlignment="1">
      <alignment horizontal="center" vertical="center" wrapText="1"/>
    </xf>
    <xf numFmtId="0" fontId="36" fillId="9" borderId="36" xfId="0" applyFont="1" applyFill="1" applyBorder="1" applyAlignment="1">
      <alignment horizontal="justify" vertical="center" wrapText="1"/>
    </xf>
    <xf numFmtId="10" fontId="40" fillId="9" borderId="33" xfId="0" applyNumberFormat="1" applyFont="1" applyFill="1" applyBorder="1" applyAlignment="1">
      <alignment horizontal="justify" vertical="center" wrapText="1"/>
    </xf>
    <xf numFmtId="0" fontId="45" fillId="0" borderId="34" xfId="0" applyFont="1" applyBorder="1" applyAlignment="1">
      <alignment vertical="center" wrapText="1"/>
    </xf>
    <xf numFmtId="0" fontId="44" fillId="0" borderId="39" xfId="0" applyFont="1" applyBorder="1" applyAlignment="1">
      <alignment vertical="center" wrapText="1"/>
    </xf>
    <xf numFmtId="0" fontId="29" fillId="0" borderId="34" xfId="0" applyFont="1" applyBorder="1" applyAlignment="1">
      <alignment horizontal="center" vertical="center" wrapText="1"/>
    </xf>
    <xf numFmtId="0" fontId="18" fillId="0" borderId="34" xfId="0" applyFont="1" applyBorder="1" applyAlignment="1">
      <alignment vertical="center" wrapText="1"/>
    </xf>
    <xf numFmtId="0" fontId="18" fillId="0" borderId="34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justify" vertical="center" wrapText="1"/>
    </xf>
    <xf numFmtId="0" fontId="32" fillId="0" borderId="34" xfId="0" applyFont="1" applyBorder="1" applyAlignment="1">
      <alignment horizontal="center" vertical="center" wrapText="1"/>
    </xf>
    <xf numFmtId="0" fontId="18" fillId="0" borderId="34" xfId="0" applyFont="1" applyBorder="1" applyAlignment="1">
      <alignment wrapText="1"/>
    </xf>
    <xf numFmtId="0" fontId="18" fillId="0" borderId="39" xfId="0" applyFont="1" applyBorder="1" applyAlignment="1">
      <alignment vertical="center" wrapText="1"/>
    </xf>
    <xf numFmtId="0" fontId="44" fillId="0" borderId="33" xfId="0" applyFont="1" applyBorder="1" applyAlignment="1">
      <alignment vertical="center" wrapText="1"/>
    </xf>
    <xf numFmtId="0" fontId="44" fillId="0" borderId="39" xfId="0" applyFont="1" applyBorder="1" applyAlignment="1">
      <alignment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172" fontId="18" fillId="0" borderId="34" xfId="0" applyNumberFormat="1" applyFont="1" applyBorder="1" applyAlignment="1">
      <alignment horizontal="center" vertical="center" wrapText="1"/>
    </xf>
    <xf numFmtId="0" fontId="32" fillId="0" borderId="42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justify" vertical="center" wrapText="1"/>
    </xf>
    <xf numFmtId="0" fontId="18" fillId="0" borderId="39" xfId="0" applyFont="1" applyBorder="1" applyAlignment="1">
      <alignment horizontal="justify" vertical="center" wrapText="1"/>
    </xf>
    <xf numFmtId="0" fontId="18" fillId="0" borderId="34" xfId="0" applyFont="1" applyBorder="1" applyAlignment="1">
      <alignment horizontal="left" vertical="center" wrapText="1" indent="4"/>
    </xf>
    <xf numFmtId="0" fontId="28" fillId="0" borderId="39" xfId="0" applyFont="1" applyBorder="1" applyAlignment="1">
      <alignment horizontal="justify" vertical="center" wrapText="1"/>
    </xf>
    <xf numFmtId="0" fontId="28" fillId="0" borderId="34" xfId="0" applyFont="1" applyBorder="1" applyAlignment="1">
      <alignment horizontal="justify" vertical="center" wrapText="1"/>
    </xf>
    <xf numFmtId="0" fontId="21" fillId="0" borderId="19" xfId="0" applyFont="1" applyBorder="1" applyAlignment="1">
      <alignment horizontal="justify" vertical="center"/>
    </xf>
    <xf numFmtId="0" fontId="21" fillId="0" borderId="20" xfId="0" applyFont="1" applyBorder="1" applyAlignment="1">
      <alignment horizontal="justify" vertical="center"/>
    </xf>
    <xf numFmtId="0" fontId="21" fillId="0" borderId="21" xfId="0" applyFont="1" applyBorder="1" applyAlignment="1">
      <alignment horizontal="justify" vertical="center"/>
    </xf>
    <xf numFmtId="8" fontId="0" fillId="0" borderId="0" xfId="0" applyNumberFormat="1"/>
    <xf numFmtId="8" fontId="21" fillId="0" borderId="22" xfId="0" applyNumberFormat="1" applyFont="1" applyBorder="1" applyAlignment="1">
      <alignment horizontal="right" vertical="center"/>
    </xf>
    <xf numFmtId="0" fontId="21" fillId="0" borderId="22" xfId="0" applyFont="1" applyBorder="1" applyAlignment="1">
      <alignment horizontal="right" vertical="center"/>
    </xf>
    <xf numFmtId="0" fontId="46" fillId="0" borderId="0" xfId="11" applyAlignment="1">
      <alignment vertical="center"/>
    </xf>
    <xf numFmtId="0" fontId="23" fillId="0" borderId="21" xfId="0" applyFont="1" applyBorder="1" applyAlignment="1">
      <alignment horizontal="justify" vertical="center"/>
    </xf>
    <xf numFmtId="172" fontId="21" fillId="0" borderId="22" xfId="0" applyNumberFormat="1" applyFont="1" applyBorder="1" applyAlignment="1">
      <alignment horizontal="right" vertical="center"/>
    </xf>
    <xf numFmtId="0" fontId="47" fillId="0" borderId="34" xfId="0" applyFont="1" applyBorder="1" applyAlignment="1">
      <alignment horizontal="justify" vertical="center" wrapText="1"/>
    </xf>
    <xf numFmtId="0" fontId="18" fillId="0" borderId="34" xfId="0" applyFont="1" applyBorder="1" applyAlignment="1">
      <alignment horizontal="justify" vertical="center" wrapText="1"/>
    </xf>
    <xf numFmtId="0" fontId="44" fillId="0" borderId="39" xfId="0" applyFont="1" applyBorder="1" applyAlignment="1">
      <alignment horizontal="justify" vertical="center" wrapText="1"/>
    </xf>
    <xf numFmtId="0" fontId="18" fillId="0" borderId="33" xfId="0" applyFont="1" applyBorder="1" applyAlignment="1">
      <alignment horizontal="justify" vertical="center" wrapText="1"/>
    </xf>
    <xf numFmtId="0" fontId="18" fillId="0" borderId="39" xfId="0" applyFont="1" applyBorder="1" applyAlignment="1">
      <alignment horizontal="justify" vertical="center" wrapText="1"/>
    </xf>
    <xf numFmtId="0" fontId="32" fillId="0" borderId="42" xfId="0" applyFont="1" applyBorder="1" applyAlignment="1">
      <alignment horizontal="justify" vertical="center" wrapText="1"/>
    </xf>
    <xf numFmtId="0" fontId="32" fillId="0" borderId="43" xfId="0" applyFont="1" applyBorder="1" applyAlignment="1">
      <alignment horizontal="justify" vertical="center" wrapText="1"/>
    </xf>
    <xf numFmtId="0" fontId="32" fillId="0" borderId="39" xfId="0" applyFont="1" applyBorder="1" applyAlignment="1">
      <alignment horizontal="justify" vertical="center" wrapText="1"/>
    </xf>
    <xf numFmtId="0" fontId="32" fillId="0" borderId="34" xfId="0" applyFont="1" applyBorder="1" applyAlignment="1">
      <alignment horizontal="justify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46" fillId="0" borderId="20" xfId="11" applyBorder="1" applyAlignment="1">
      <alignment vertical="center"/>
    </xf>
    <xf numFmtId="172" fontId="18" fillId="0" borderId="22" xfId="0" applyNumberFormat="1" applyFont="1" applyBorder="1"/>
    <xf numFmtId="0" fontId="28" fillId="12" borderId="19" xfId="0" applyFont="1" applyFill="1" applyBorder="1" applyAlignment="1">
      <alignment horizontal="center" vertical="center" wrapText="1"/>
    </xf>
    <xf numFmtId="0" fontId="30" fillId="12" borderId="20" xfId="0" applyFont="1" applyFill="1" applyBorder="1" applyAlignment="1">
      <alignment horizontal="center" vertical="center" wrapText="1"/>
    </xf>
    <xf numFmtId="0" fontId="30" fillId="12" borderId="21" xfId="0" applyFont="1" applyFill="1" applyBorder="1" applyAlignment="1">
      <alignment horizontal="left" vertical="center" wrapText="1"/>
    </xf>
    <xf numFmtId="0" fontId="28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right" vertical="center" wrapText="1"/>
    </xf>
    <xf numFmtId="0" fontId="29" fillId="0" borderId="22" xfId="0" applyFont="1" applyBorder="1" applyAlignment="1">
      <alignment horizontal="right" vertical="center" wrapText="1"/>
    </xf>
    <xf numFmtId="0" fontId="29" fillId="0" borderId="22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justify" vertical="center" wrapText="1"/>
    </xf>
    <xf numFmtId="0" fontId="29" fillId="0" borderId="22" xfId="0" applyFont="1" applyBorder="1" applyAlignment="1">
      <alignment horizontal="justify" vertical="center"/>
    </xf>
    <xf numFmtId="0" fontId="29" fillId="0" borderId="22" xfId="0" applyFont="1" applyBorder="1" applyAlignment="1">
      <alignment horizontal="justify" vertical="center" wrapText="1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 wrapText="1"/>
    </xf>
    <xf numFmtId="0" fontId="29" fillId="0" borderId="0" xfId="0" applyFont="1" applyBorder="1" applyAlignment="1">
      <alignment horizontal="justify" vertical="center" wrapText="1"/>
    </xf>
    <xf numFmtId="0" fontId="30" fillId="12" borderId="47" xfId="0" applyFont="1" applyFill="1" applyBorder="1" applyAlignment="1">
      <alignment horizontal="left" vertical="center" wrapText="1"/>
    </xf>
    <xf numFmtId="0" fontId="49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28" fillId="0" borderId="20" xfId="0" applyFont="1" applyBorder="1" applyAlignment="1">
      <alignment horizontal="justify" vertical="center" wrapText="1"/>
    </xf>
    <xf numFmtId="0" fontId="51" fillId="0" borderId="21" xfId="0" applyFont="1" applyBorder="1" applyAlignment="1">
      <alignment horizontal="justify" vertical="center" wrapText="1"/>
    </xf>
    <xf numFmtId="0" fontId="21" fillId="0" borderId="22" xfId="0" applyFont="1" applyBorder="1" applyAlignment="1">
      <alignment horizontal="justify" vertical="center" wrapText="1"/>
    </xf>
    <xf numFmtId="0" fontId="50" fillId="0" borderId="21" xfId="0" applyFont="1" applyBorder="1" applyAlignment="1">
      <alignment horizontal="justify" vertical="center"/>
    </xf>
    <xf numFmtId="0" fontId="23" fillId="0" borderId="22" xfId="0" applyFont="1" applyBorder="1" applyAlignment="1">
      <alignment horizontal="justify" vertical="center"/>
    </xf>
    <xf numFmtId="0" fontId="23" fillId="0" borderId="22" xfId="0" applyFont="1" applyBorder="1" applyAlignment="1">
      <alignment horizontal="justify" vertical="center" wrapText="1"/>
    </xf>
    <xf numFmtId="0" fontId="52" fillId="0" borderId="22" xfId="0" applyFont="1" applyBorder="1" applyAlignment="1">
      <alignment horizontal="justify" vertical="center"/>
    </xf>
    <xf numFmtId="2" fontId="21" fillId="0" borderId="22" xfId="0" applyNumberFormat="1" applyFont="1" applyBorder="1" applyAlignment="1">
      <alignment horizontal="justify" vertical="center" wrapText="1"/>
    </xf>
    <xf numFmtId="0" fontId="18" fillId="0" borderId="19" xfId="0" applyFont="1" applyBorder="1"/>
    <xf numFmtId="0" fontId="29" fillId="0" borderId="20" xfId="0" applyFont="1" applyBorder="1" applyAlignment="1">
      <alignment horizontal="justify" vertical="center"/>
    </xf>
    <xf numFmtId="0" fontId="18" fillId="0" borderId="20" xfId="0" applyFont="1" applyBorder="1"/>
    <xf numFmtId="0" fontId="30" fillId="0" borderId="21" xfId="0" applyFont="1" applyBorder="1" applyAlignment="1">
      <alignment horizontal="justify" vertical="center"/>
    </xf>
    <xf numFmtId="0" fontId="30" fillId="0" borderId="22" xfId="0" applyFont="1" applyBorder="1" applyAlignment="1">
      <alignment horizontal="right" vertical="center"/>
    </xf>
    <xf numFmtId="0" fontId="29" fillId="9" borderId="22" xfId="0" applyFont="1" applyFill="1" applyBorder="1" applyAlignment="1">
      <alignment horizontal="right" vertical="center"/>
    </xf>
    <xf numFmtId="0" fontId="29" fillId="0" borderId="47" xfId="0" applyFont="1" applyBorder="1" applyAlignment="1">
      <alignment horizontal="justify" vertical="center" wrapText="1"/>
    </xf>
    <xf numFmtId="172" fontId="18" fillId="13" borderId="34" xfId="0" applyNumberFormat="1" applyFont="1" applyFill="1" applyBorder="1" applyAlignment="1">
      <alignment horizontal="center" vertical="center" wrapText="1"/>
    </xf>
    <xf numFmtId="0" fontId="29" fillId="13" borderId="48" xfId="0" applyFont="1" applyFill="1" applyBorder="1" applyAlignment="1">
      <alignment horizontal="center" vertical="center"/>
    </xf>
    <xf numFmtId="0" fontId="29" fillId="13" borderId="49" xfId="0" applyFont="1" applyFill="1" applyBorder="1" applyAlignment="1">
      <alignment horizontal="center" vertical="center"/>
    </xf>
    <xf numFmtId="0" fontId="29" fillId="13" borderId="50" xfId="0" applyFont="1" applyFill="1" applyBorder="1" applyAlignment="1">
      <alignment horizontal="center" vertical="center"/>
    </xf>
    <xf numFmtId="0" fontId="29" fillId="13" borderId="11" xfId="0" applyFont="1" applyFill="1" applyBorder="1" applyAlignment="1">
      <alignment horizontal="center" vertical="center"/>
    </xf>
    <xf numFmtId="0" fontId="29" fillId="13" borderId="51" xfId="0" applyFont="1" applyFill="1" applyBorder="1" applyAlignment="1">
      <alignment horizontal="center" vertical="center"/>
    </xf>
    <xf numFmtId="0" fontId="29" fillId="13" borderId="22" xfId="0" applyFont="1" applyFill="1" applyBorder="1" applyAlignment="1">
      <alignment horizontal="center" vertical="center"/>
    </xf>
    <xf numFmtId="0" fontId="21" fillId="13" borderId="22" xfId="0" applyFont="1" applyFill="1" applyBorder="1" applyAlignment="1">
      <alignment horizontal="right" vertical="center"/>
    </xf>
    <xf numFmtId="172" fontId="21" fillId="13" borderId="22" xfId="0" applyNumberFormat="1" applyFont="1" applyFill="1" applyBorder="1" applyAlignment="1">
      <alignment horizontal="right" vertical="center"/>
    </xf>
  </cellXfs>
  <cellStyles count="12">
    <cellStyle name="Гиперссылка" xfId="11" builtinId="8"/>
    <cellStyle name="Денежный" xfId="1" builtinId="4"/>
    <cellStyle name="Денежный 2" xfId="7" xr:uid="{89D561B7-B5C7-45A6-8FEA-00B8072410D9}"/>
    <cellStyle name="Денежный 2 2" xfId="9" xr:uid="{FC151FF0-76EF-472E-AD88-3701ABC223F4}"/>
    <cellStyle name="Обычный" xfId="0" builtinId="0"/>
    <cellStyle name="Обычный 2" xfId="5" xr:uid="{00000000-0005-0000-0000-000005000000}"/>
    <cellStyle name="Обычный 3" xfId="4" xr:uid="{00000000-0005-0000-0000-000031000000}"/>
    <cellStyle name="Обычный 4" xfId="6" xr:uid="{0F75E5D2-C000-4660-AA29-4FCD453AA7E1}"/>
    <cellStyle name="Процентный" xfId="2" builtinId="5"/>
    <cellStyle name="Финансовый" xfId="3" builtinId="3"/>
    <cellStyle name="Финансовый 2" xfId="8" xr:uid="{63C49252-94F8-4140-97F3-189BEBC24777}"/>
    <cellStyle name="Финансовый 2 2" xfId="10" xr:uid="{5ADBF048-5944-4A61-9BB2-9651361175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3'!$A$38</c:f>
              <c:strCache>
                <c:ptCount val="1"/>
                <c:pt idx="0">
                  <c:v>Выручка, B=Qi*P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3'!$B$37:$M$37</c:f>
              <c:numCache>
                <c:formatCode>General</c:formatCode>
                <c:ptCount val="12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2100</c:v>
                </c:pt>
                <c:pt idx="7">
                  <c:v>2500</c:v>
                </c:pt>
                <c:pt idx="8">
                  <c:v>2900</c:v>
                </c:pt>
                <c:pt idx="9">
                  <c:v>3300</c:v>
                </c:pt>
                <c:pt idx="10">
                  <c:v>3700</c:v>
                </c:pt>
                <c:pt idx="11">
                  <c:v>4100</c:v>
                </c:pt>
              </c:numCache>
            </c:numRef>
          </c:cat>
          <c:val>
            <c:numRef>
              <c:f>'Задание 3'!$B$38:$M$38</c:f>
              <c:numCache>
                <c:formatCode>General</c:formatCode>
                <c:ptCount val="12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900000</c:v>
                </c:pt>
                <c:pt idx="4">
                  <c:v>1300000</c:v>
                </c:pt>
                <c:pt idx="5">
                  <c:v>1700000</c:v>
                </c:pt>
                <c:pt idx="6">
                  <c:v>2100000</c:v>
                </c:pt>
                <c:pt idx="7">
                  <c:v>2500000</c:v>
                </c:pt>
                <c:pt idx="8">
                  <c:v>2900000</c:v>
                </c:pt>
                <c:pt idx="9">
                  <c:v>3300000</c:v>
                </c:pt>
                <c:pt idx="10">
                  <c:v>3700000</c:v>
                </c:pt>
                <c:pt idx="11">
                  <c:v>4100000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6-F241-AED8-CD83960B06B9}"/>
            </c:ext>
          </c:extLst>
        </c:ser>
        <c:ser>
          <c:idx val="2"/>
          <c:order val="1"/>
          <c:tx>
            <c:strRef>
              <c:f>'Задание 3'!$A$39</c:f>
              <c:strCache>
                <c:ptCount val="1"/>
                <c:pt idx="0">
                  <c:v>Общие затраты, TC= TVC+TFC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'Задание 3'!$B$37:$M$37</c:f>
              <c:numCache>
                <c:formatCode>General</c:formatCode>
                <c:ptCount val="12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2100</c:v>
                </c:pt>
                <c:pt idx="7">
                  <c:v>2500</c:v>
                </c:pt>
                <c:pt idx="8">
                  <c:v>2900</c:v>
                </c:pt>
                <c:pt idx="9">
                  <c:v>3300</c:v>
                </c:pt>
                <c:pt idx="10">
                  <c:v>3700</c:v>
                </c:pt>
                <c:pt idx="11">
                  <c:v>4100</c:v>
                </c:pt>
              </c:numCache>
            </c:numRef>
          </c:cat>
          <c:val>
            <c:numRef>
              <c:f>'Задание 3'!$B$39:$M$39</c:f>
              <c:numCache>
                <c:formatCode>General</c:formatCode>
                <c:ptCount val="12"/>
                <c:pt idx="0">
                  <c:v>745500</c:v>
                </c:pt>
                <c:pt idx="1">
                  <c:v>925500</c:v>
                </c:pt>
                <c:pt idx="2">
                  <c:v>1105500</c:v>
                </c:pt>
                <c:pt idx="3">
                  <c:v>1393500</c:v>
                </c:pt>
                <c:pt idx="4">
                  <c:v>1681500</c:v>
                </c:pt>
                <c:pt idx="5">
                  <c:v>1969500</c:v>
                </c:pt>
                <c:pt idx="6">
                  <c:v>2257500</c:v>
                </c:pt>
                <c:pt idx="7">
                  <c:v>2545500</c:v>
                </c:pt>
                <c:pt idx="8">
                  <c:v>2833500</c:v>
                </c:pt>
                <c:pt idx="9">
                  <c:v>3121500</c:v>
                </c:pt>
                <c:pt idx="10">
                  <c:v>3409500</c:v>
                </c:pt>
                <c:pt idx="11">
                  <c:v>3697500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6-F241-AED8-CD83960B06B9}"/>
            </c:ext>
          </c:extLst>
        </c:ser>
        <c:ser>
          <c:idx val="3"/>
          <c:order val="2"/>
          <c:tx>
            <c:strRef>
              <c:f>'Задание 3'!$A$40</c:f>
              <c:strCache>
                <c:ptCount val="1"/>
                <c:pt idx="0">
                  <c:v>Переменные затраты, TVC=Qi*v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'Задание 3'!$B$37:$M$37</c:f>
              <c:numCache>
                <c:formatCode>General</c:formatCode>
                <c:ptCount val="12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2100</c:v>
                </c:pt>
                <c:pt idx="7">
                  <c:v>2500</c:v>
                </c:pt>
                <c:pt idx="8">
                  <c:v>2900</c:v>
                </c:pt>
                <c:pt idx="9">
                  <c:v>3300</c:v>
                </c:pt>
                <c:pt idx="10">
                  <c:v>3700</c:v>
                </c:pt>
                <c:pt idx="11">
                  <c:v>4100</c:v>
                </c:pt>
              </c:numCache>
            </c:numRef>
          </c:cat>
          <c:val>
            <c:numRef>
              <c:f>'Задание 3'!$B$40:$M$40</c:f>
              <c:numCache>
                <c:formatCode>General</c:formatCode>
                <c:ptCount val="12"/>
                <c:pt idx="0">
                  <c:v>0</c:v>
                </c:pt>
                <c:pt idx="1">
                  <c:v>180000</c:v>
                </c:pt>
                <c:pt idx="2">
                  <c:v>360000</c:v>
                </c:pt>
                <c:pt idx="3">
                  <c:v>648000</c:v>
                </c:pt>
                <c:pt idx="4">
                  <c:v>936000</c:v>
                </c:pt>
                <c:pt idx="5">
                  <c:v>1224000</c:v>
                </c:pt>
                <c:pt idx="6">
                  <c:v>1512000</c:v>
                </c:pt>
                <c:pt idx="7">
                  <c:v>1800000</c:v>
                </c:pt>
                <c:pt idx="8">
                  <c:v>2088000</c:v>
                </c:pt>
                <c:pt idx="9">
                  <c:v>2376000</c:v>
                </c:pt>
                <c:pt idx="10">
                  <c:v>2664000</c:v>
                </c:pt>
                <c:pt idx="11">
                  <c:v>2952000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6-F241-AED8-CD83960B06B9}"/>
            </c:ext>
          </c:extLst>
        </c:ser>
        <c:ser>
          <c:idx val="4"/>
          <c:order val="3"/>
          <c:tx>
            <c:strRef>
              <c:f>'Задание 3'!$A$41</c:f>
              <c:strCache>
                <c:ptCount val="1"/>
                <c:pt idx="0">
                  <c:v>Постоянные затраты, TFC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'Задание 3'!$B$37:$M$37</c:f>
              <c:numCache>
                <c:formatCode>General</c:formatCode>
                <c:ptCount val="12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2100</c:v>
                </c:pt>
                <c:pt idx="7">
                  <c:v>2500</c:v>
                </c:pt>
                <c:pt idx="8">
                  <c:v>2900</c:v>
                </c:pt>
                <c:pt idx="9">
                  <c:v>3300</c:v>
                </c:pt>
                <c:pt idx="10">
                  <c:v>3700</c:v>
                </c:pt>
                <c:pt idx="11">
                  <c:v>4100</c:v>
                </c:pt>
              </c:numCache>
            </c:numRef>
          </c:cat>
          <c:val>
            <c:numRef>
              <c:f>'Задание 3'!$B$41:$M$41</c:f>
              <c:numCache>
                <c:formatCode>General</c:formatCode>
                <c:ptCount val="12"/>
                <c:pt idx="0">
                  <c:v>745500</c:v>
                </c:pt>
                <c:pt idx="1">
                  <c:v>745500</c:v>
                </c:pt>
                <c:pt idx="2">
                  <c:v>745500</c:v>
                </c:pt>
                <c:pt idx="3">
                  <c:v>745500</c:v>
                </c:pt>
                <c:pt idx="4">
                  <c:v>745500</c:v>
                </c:pt>
                <c:pt idx="5">
                  <c:v>745500</c:v>
                </c:pt>
                <c:pt idx="6">
                  <c:v>745500</c:v>
                </c:pt>
                <c:pt idx="7">
                  <c:v>745500</c:v>
                </c:pt>
                <c:pt idx="8">
                  <c:v>745500</c:v>
                </c:pt>
                <c:pt idx="9">
                  <c:v>745500</c:v>
                </c:pt>
                <c:pt idx="10">
                  <c:v>745500</c:v>
                </c:pt>
                <c:pt idx="11">
                  <c:v>745500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F6-F241-AED8-CD83960B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628063"/>
        <c:axId val="1195399455"/>
      </c:lineChart>
      <c:catAx>
        <c:axId val="11926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399455"/>
        <c:crosses val="autoZero"/>
        <c:auto val="1"/>
        <c:lblAlgn val="ctr"/>
        <c:lblOffset val="100"/>
        <c:noMultiLvlLbl val="0"/>
      </c:catAx>
      <c:valAx>
        <c:axId val="11953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62806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11</xdr:row>
      <xdr:rowOff>167640</xdr:rowOff>
    </xdr:from>
    <xdr:to>
      <xdr:col>9</xdr:col>
      <xdr:colOff>381000</xdr:colOff>
      <xdr:row>14</xdr:row>
      <xdr:rowOff>30480</xdr:rowOff>
    </xdr:to>
    <xdr:pic>
      <xdr:nvPicPr>
        <xdr:cNvPr id="2" name="Рисунок 1" descr="http://compress.ru/archive/cp/2007/9/2/f1.gif">
          <a:extLst>
            <a:ext uri="{FF2B5EF4-FFF2-40B4-BE49-F238E27FC236}">
              <a16:creationId xmlns:a16="http://schemas.microsoft.com/office/drawing/2014/main" id="{2C0E36E9-EE61-492D-BC44-BB060F309C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8880" y="2552700"/>
          <a:ext cx="2110740" cy="411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482813</xdr:colOff>
      <xdr:row>27</xdr:row>
      <xdr:rowOff>108858</xdr:rowOff>
    </xdr:from>
    <xdr:to>
      <xdr:col>15</xdr:col>
      <xdr:colOff>185056</xdr:colOff>
      <xdr:row>29</xdr:row>
      <xdr:rowOff>33086</xdr:rowOff>
    </xdr:to>
    <xdr:pic>
      <xdr:nvPicPr>
        <xdr:cNvPr id="2" name="Рисунок 1" descr="http://compress.ru/archive/cp/2007/9/2/f2.gif">
          <a:extLst>
            <a:ext uri="{FF2B5EF4-FFF2-40B4-BE49-F238E27FC236}">
              <a16:creationId xmlns:a16="http://schemas.microsoft.com/office/drawing/2014/main" id="{B77E22D3-BF8B-4610-89D8-85DC84F016E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70" t="1" r="-1" b="6187"/>
        <a:stretch/>
      </xdr:blipFill>
      <xdr:spPr bwMode="auto">
        <a:xfrm>
          <a:off x="10933099" y="5671458"/>
          <a:ext cx="3359843" cy="5338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2042160</xdr:colOff>
      <xdr:row>44</xdr:row>
      <xdr:rowOff>115944</xdr:rowOff>
    </xdr:from>
    <xdr:to>
      <xdr:col>8</xdr:col>
      <xdr:colOff>799629</xdr:colOff>
      <xdr:row>68</xdr:row>
      <xdr:rowOff>10160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CDAE09-ED1D-8C42-A876-268FD0C9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119638</xdr:colOff>
      <xdr:row>52</xdr:row>
      <xdr:rowOff>9203</xdr:rowOff>
    </xdr:from>
    <xdr:ext cx="1158715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6D8E29-0C4F-264E-A6BD-6FA2FA798E53}"/>
            </a:ext>
          </a:extLst>
        </xdr:cNvPr>
        <xdr:cNvSpPr txBox="1"/>
      </xdr:nvSpPr>
      <xdr:spPr>
        <a:xfrm>
          <a:off x="6110725" y="14301304"/>
          <a:ext cx="115871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ru-RU" sz="1100"/>
            <a:t>Точка </a:t>
          </a:r>
        </a:p>
        <a:p>
          <a:pPr algn="ctr"/>
          <a:r>
            <a:rPr lang="ru-RU" sz="1100"/>
            <a:t>Безубыточности</a:t>
          </a:r>
        </a:p>
      </xdr:txBody>
    </xdr:sp>
    <xdr:clientData/>
  </xdr:oneCellAnchor>
  <xdr:twoCellAnchor>
    <xdr:from>
      <xdr:col>6</xdr:col>
      <xdr:colOff>287372</xdr:colOff>
      <xdr:row>54</xdr:row>
      <xdr:rowOff>0</xdr:rowOff>
    </xdr:from>
    <xdr:to>
      <xdr:col>6</xdr:col>
      <xdr:colOff>389343</xdr:colOff>
      <xdr:row>54</xdr:row>
      <xdr:rowOff>111241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9C65C83D-37F2-3D49-8DA3-4DB6584E6232}"/>
            </a:ext>
          </a:extLst>
        </xdr:cNvPr>
        <xdr:cNvSpPr/>
      </xdr:nvSpPr>
      <xdr:spPr>
        <a:xfrm>
          <a:off x="7091606" y="14674526"/>
          <a:ext cx="101971" cy="111241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7FCD-7407-4031-9190-D6C374990AC8}">
  <dimension ref="A1:H27"/>
  <sheetViews>
    <sheetView topLeftCell="A2" zoomScale="125" workbookViewId="0">
      <selection activeCell="C20" sqref="C20"/>
    </sheetView>
  </sheetViews>
  <sheetFormatPr baseColWidth="10" defaultColWidth="8.83203125" defaultRowHeight="15" x14ac:dyDescent="0.2"/>
  <cols>
    <col min="1" max="1" width="46" customWidth="1"/>
    <col min="2" max="2" width="15.83203125" customWidth="1"/>
    <col min="3" max="3" width="17.83203125" customWidth="1"/>
    <col min="8" max="8" width="15.5" customWidth="1"/>
  </cols>
  <sheetData>
    <row r="1" spans="1:8" x14ac:dyDescent="0.2">
      <c r="A1" s="138" t="s">
        <v>96</v>
      </c>
      <c r="B1" s="138"/>
      <c r="C1" s="138"/>
    </row>
    <row r="2" spans="1:8" ht="39" x14ac:dyDescent="0.2">
      <c r="A2" s="48" t="s">
        <v>0</v>
      </c>
      <c r="B2" s="48" t="s">
        <v>1</v>
      </c>
      <c r="C2" s="48" t="s">
        <v>3</v>
      </c>
      <c r="D2" s="19" t="s">
        <v>97</v>
      </c>
      <c r="E2" s="19" t="s">
        <v>68</v>
      </c>
      <c r="H2" s="48" t="s">
        <v>2</v>
      </c>
    </row>
    <row r="3" spans="1:8" x14ac:dyDescent="0.2">
      <c r="A3" s="11" t="s">
        <v>4</v>
      </c>
      <c r="B3" s="17">
        <f>SUM(B4:B9)</f>
        <v>162300</v>
      </c>
      <c r="C3" s="17">
        <f>SUM(C4:C9)</f>
        <v>48200</v>
      </c>
      <c r="H3" s="17">
        <f>SUM(H4:H9)</f>
        <v>20600</v>
      </c>
    </row>
    <row r="4" spans="1:8" x14ac:dyDescent="0.2">
      <c r="A4" s="8" t="s">
        <v>5</v>
      </c>
      <c r="B4" s="9">
        <v>70000</v>
      </c>
      <c r="C4" s="9">
        <v>8000</v>
      </c>
      <c r="D4">
        <v>1</v>
      </c>
      <c r="H4" s="8">
        <v>8000</v>
      </c>
    </row>
    <row r="5" spans="1:8" x14ac:dyDescent="0.2">
      <c r="A5" s="6" t="s">
        <v>6</v>
      </c>
      <c r="B5" s="7">
        <v>12000</v>
      </c>
      <c r="C5" s="7">
        <v>1000</v>
      </c>
      <c r="D5">
        <v>1</v>
      </c>
      <c r="H5" s="6">
        <v>1000</v>
      </c>
    </row>
    <row r="6" spans="1:8" x14ac:dyDescent="0.2">
      <c r="A6" s="8" t="s">
        <v>7</v>
      </c>
      <c r="B6" s="8">
        <v>8000</v>
      </c>
      <c r="C6" s="9">
        <v>1000</v>
      </c>
      <c r="D6">
        <v>1</v>
      </c>
      <c r="H6" s="8">
        <v>1000</v>
      </c>
    </row>
    <row r="7" spans="1:8" x14ac:dyDescent="0.2">
      <c r="A7" s="11" t="s">
        <v>75</v>
      </c>
      <c r="B7" s="7">
        <v>45000</v>
      </c>
      <c r="C7" s="7">
        <v>26500</v>
      </c>
      <c r="D7" s="49">
        <v>30</v>
      </c>
      <c r="E7" s="49">
        <v>1500</v>
      </c>
      <c r="H7" s="6">
        <v>6500</v>
      </c>
    </row>
    <row r="8" spans="1:8" x14ac:dyDescent="0.2">
      <c r="A8" s="10" t="s">
        <v>76</v>
      </c>
      <c r="B8" s="8">
        <v>6300</v>
      </c>
      <c r="C8" s="9">
        <v>1200</v>
      </c>
      <c r="D8" s="50">
        <v>7</v>
      </c>
      <c r="E8" s="49">
        <v>900</v>
      </c>
      <c r="H8" s="8">
        <v>600</v>
      </c>
    </row>
    <row r="9" spans="1:8" x14ac:dyDescent="0.2">
      <c r="A9" s="6" t="s">
        <v>10</v>
      </c>
      <c r="B9" s="7">
        <v>21000</v>
      </c>
      <c r="C9" s="7">
        <v>10500</v>
      </c>
      <c r="D9">
        <v>3</v>
      </c>
      <c r="H9" s="6">
        <v>3500</v>
      </c>
    </row>
    <row r="10" spans="1:8" x14ac:dyDescent="0.2">
      <c r="A10" s="10" t="s">
        <v>11</v>
      </c>
      <c r="B10" s="8"/>
      <c r="C10" s="18">
        <f>SUM(C11:C17)</f>
        <v>60700</v>
      </c>
      <c r="H10" s="18">
        <f>SUM(H11:H17)</f>
        <v>51700</v>
      </c>
    </row>
    <row r="11" spans="1:8" x14ac:dyDescent="0.2">
      <c r="A11" s="6" t="s">
        <v>12</v>
      </c>
      <c r="B11" s="6"/>
      <c r="C11" s="6">
        <v>18000</v>
      </c>
      <c r="D11">
        <v>1.5</v>
      </c>
      <c r="H11" s="7">
        <v>12000</v>
      </c>
    </row>
    <row r="12" spans="1:8" x14ac:dyDescent="0.2">
      <c r="A12" s="8" t="s">
        <v>13</v>
      </c>
      <c r="B12" s="8"/>
      <c r="C12" s="8">
        <v>25000</v>
      </c>
      <c r="D12">
        <v>1</v>
      </c>
      <c r="H12" s="9">
        <v>25000</v>
      </c>
    </row>
    <row r="13" spans="1:8" x14ac:dyDescent="0.2">
      <c r="A13" s="6" t="s">
        <v>14</v>
      </c>
      <c r="B13" s="6"/>
      <c r="C13" s="6">
        <v>6000</v>
      </c>
      <c r="D13">
        <v>2</v>
      </c>
      <c r="H13" s="6">
        <v>3000</v>
      </c>
    </row>
    <row r="14" spans="1:8" ht="16.75" customHeight="1" x14ac:dyDescent="0.2">
      <c r="A14" s="10" t="s">
        <v>77</v>
      </c>
      <c r="B14" s="10"/>
      <c r="C14" s="8">
        <v>2100</v>
      </c>
      <c r="D14">
        <v>30</v>
      </c>
      <c r="E14">
        <v>70</v>
      </c>
      <c r="H14" s="10">
        <f>$D$14*$E$14</f>
        <v>2100</v>
      </c>
    </row>
    <row r="15" spans="1:8" x14ac:dyDescent="0.2">
      <c r="A15" s="11" t="s">
        <v>78</v>
      </c>
      <c r="B15" s="11"/>
      <c r="C15" s="6">
        <v>2100</v>
      </c>
      <c r="D15">
        <v>30</v>
      </c>
      <c r="E15">
        <v>70</v>
      </c>
      <c r="H15" s="10">
        <f>$D$14*$E$14</f>
        <v>2100</v>
      </c>
    </row>
    <row r="16" spans="1:8" x14ac:dyDescent="0.2">
      <c r="A16" s="10" t="s">
        <v>79</v>
      </c>
      <c r="B16" s="10"/>
      <c r="C16" s="8">
        <v>4500</v>
      </c>
      <c r="D16">
        <v>30</v>
      </c>
      <c r="E16">
        <v>150</v>
      </c>
      <c r="H16" s="10">
        <f>$D$16*$E$16</f>
        <v>4500</v>
      </c>
    </row>
    <row r="17" spans="1:8" x14ac:dyDescent="0.2">
      <c r="A17" s="6" t="s">
        <v>15</v>
      </c>
      <c r="B17" s="6"/>
      <c r="C17" s="6">
        <v>3000</v>
      </c>
      <c r="H17" s="6">
        <v>3000</v>
      </c>
    </row>
    <row r="18" spans="1:8" x14ac:dyDescent="0.2">
      <c r="A18" s="10" t="s">
        <v>16</v>
      </c>
      <c r="B18" s="8"/>
      <c r="C18" s="8">
        <f>'Бюджет прак т 2'!C18</f>
        <v>450000</v>
      </c>
      <c r="D18" s="64" t="s">
        <v>98</v>
      </c>
      <c r="H18" s="18">
        <v>300000</v>
      </c>
    </row>
    <row r="19" spans="1:8" x14ac:dyDescent="0.2">
      <c r="A19" s="11" t="s">
        <v>17</v>
      </c>
      <c r="B19" s="6"/>
      <c r="C19" s="17">
        <f>SUM(C20:C21)</f>
        <v>37500</v>
      </c>
      <c r="H19" s="7">
        <v>25000</v>
      </c>
    </row>
    <row r="20" spans="1:8" x14ac:dyDescent="0.2">
      <c r="A20" s="8" t="s">
        <v>18</v>
      </c>
      <c r="B20" s="8"/>
      <c r="C20" s="8">
        <v>22500</v>
      </c>
      <c r="D20">
        <v>1.5</v>
      </c>
      <c r="H20" s="9">
        <v>15000</v>
      </c>
    </row>
    <row r="21" spans="1:8" x14ac:dyDescent="0.2">
      <c r="A21" s="6" t="s">
        <v>19</v>
      </c>
      <c r="B21" s="6"/>
      <c r="C21" s="6">
        <v>15000</v>
      </c>
      <c r="D21">
        <v>1.5</v>
      </c>
      <c r="H21" s="7">
        <v>10000</v>
      </c>
    </row>
    <row r="22" spans="1:8" x14ac:dyDescent="0.2">
      <c r="A22" s="32" t="s">
        <v>20</v>
      </c>
      <c r="B22" s="8"/>
      <c r="C22" s="18">
        <f>SUM(C23:C25)</f>
        <v>73600</v>
      </c>
      <c r="H22" s="9">
        <f>SUM(H23:H25)</f>
        <v>20000</v>
      </c>
    </row>
    <row r="23" spans="1:8" x14ac:dyDescent="0.2">
      <c r="A23" s="15" t="s">
        <v>21</v>
      </c>
      <c r="B23" s="6"/>
      <c r="C23" s="6">
        <v>37600</v>
      </c>
      <c r="D23">
        <v>3.76</v>
      </c>
      <c r="H23" s="7">
        <v>10000</v>
      </c>
    </row>
    <row r="24" spans="1:8" x14ac:dyDescent="0.2">
      <c r="A24" s="16" t="s">
        <v>22</v>
      </c>
      <c r="B24" s="8"/>
      <c r="C24" s="8">
        <v>12000</v>
      </c>
      <c r="D24">
        <v>3</v>
      </c>
      <c r="H24" s="8">
        <v>4000</v>
      </c>
    </row>
    <row r="25" spans="1:8" x14ac:dyDescent="0.2">
      <c r="A25" s="15" t="s">
        <v>23</v>
      </c>
      <c r="B25" s="6"/>
      <c r="C25" s="6">
        <v>24000</v>
      </c>
      <c r="D25">
        <v>4</v>
      </c>
      <c r="H25" s="6">
        <v>6000</v>
      </c>
    </row>
    <row r="26" spans="1:8" x14ac:dyDescent="0.2">
      <c r="A26" s="10" t="s">
        <v>24</v>
      </c>
      <c r="B26" s="8"/>
      <c r="C26" s="8">
        <v>30000</v>
      </c>
      <c r="H26" s="9">
        <v>30000</v>
      </c>
    </row>
    <row r="27" spans="1:8" x14ac:dyDescent="0.2">
      <c r="A27" s="6" t="s">
        <v>25</v>
      </c>
      <c r="B27" s="7"/>
      <c r="C27" s="7">
        <f>SUM(C22,C19,C18,C3,C10,C26)</f>
        <v>700000</v>
      </c>
      <c r="H27" s="7">
        <f>SUM(H3,H10,H18,H19,H22,H26)</f>
        <v>447300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050F-A560-A94D-9C95-3218C5BAC13F}">
  <dimension ref="A1:H37"/>
  <sheetViews>
    <sheetView tabSelected="1" zoomScale="113" workbookViewId="0">
      <selection activeCell="C34" sqref="C34"/>
    </sheetView>
  </sheetViews>
  <sheetFormatPr baseColWidth="10" defaultRowHeight="15" x14ac:dyDescent="0.2"/>
  <cols>
    <col min="1" max="1" width="27.1640625" customWidth="1"/>
    <col min="2" max="2" width="15" customWidth="1"/>
    <col min="3" max="3" width="16.33203125" customWidth="1"/>
    <col min="8" max="8" width="14" customWidth="1"/>
  </cols>
  <sheetData>
    <row r="1" spans="1:8" ht="16" thickBot="1" x14ac:dyDescent="0.25">
      <c r="A1" s="186" t="s">
        <v>186</v>
      </c>
      <c r="B1" s="189" t="s">
        <v>187</v>
      </c>
      <c r="C1" s="188"/>
      <c r="D1" s="188"/>
      <c r="E1" s="188"/>
      <c r="F1" s="188"/>
      <c r="G1" s="188"/>
      <c r="H1" s="190"/>
    </row>
    <row r="2" spans="1:8" ht="23" thickBot="1" x14ac:dyDescent="0.25">
      <c r="A2" s="187"/>
      <c r="B2" s="177" t="s">
        <v>188</v>
      </c>
      <c r="C2" s="177" t="s">
        <v>189</v>
      </c>
      <c r="D2" s="177" t="s">
        <v>190</v>
      </c>
      <c r="E2" s="177" t="s">
        <v>191</v>
      </c>
      <c r="F2" s="177" t="s">
        <v>192</v>
      </c>
      <c r="G2" s="177" t="s">
        <v>193</v>
      </c>
      <c r="H2" s="177" t="s">
        <v>194</v>
      </c>
    </row>
    <row r="3" spans="1:8" ht="53" thickBot="1" x14ac:dyDescent="0.25">
      <c r="A3" s="178" t="s">
        <v>195</v>
      </c>
      <c r="B3" s="179">
        <v>15</v>
      </c>
      <c r="C3" s="180"/>
      <c r="D3" s="180"/>
      <c r="E3" s="180"/>
      <c r="F3" s="180"/>
      <c r="G3" s="180"/>
      <c r="H3" s="181">
        <f>SUM(B3:G3)</f>
        <v>15</v>
      </c>
    </row>
    <row r="4" spans="1:8" ht="16" thickBot="1" x14ac:dyDescent="0.25">
      <c r="A4" s="178" t="s">
        <v>196</v>
      </c>
      <c r="B4" s="179">
        <v>20</v>
      </c>
      <c r="C4" s="180"/>
      <c r="D4" s="180"/>
      <c r="E4" s="180"/>
      <c r="F4" s="180"/>
      <c r="G4" s="180"/>
      <c r="H4" s="181">
        <f t="shared" ref="H4:H9" si="0">SUM(B4:G4)</f>
        <v>20</v>
      </c>
    </row>
    <row r="5" spans="1:8" ht="27" thickBot="1" x14ac:dyDescent="0.25">
      <c r="A5" s="178" t="s">
        <v>197</v>
      </c>
      <c r="B5" s="179">
        <v>4</v>
      </c>
      <c r="C5" s="179">
        <v>20</v>
      </c>
      <c r="D5" s="180"/>
      <c r="E5" s="180"/>
      <c r="F5" s="180"/>
      <c r="G5" s="180"/>
      <c r="H5" s="181">
        <f t="shared" si="0"/>
        <v>24</v>
      </c>
    </row>
    <row r="6" spans="1:8" ht="16" thickBot="1" x14ac:dyDescent="0.25">
      <c r="A6" s="178" t="s">
        <v>198</v>
      </c>
      <c r="B6" s="179">
        <v>4</v>
      </c>
      <c r="C6" s="180"/>
      <c r="D6" s="179">
        <v>20</v>
      </c>
      <c r="E6" s="180"/>
      <c r="F6" s="180"/>
      <c r="G6" s="180"/>
      <c r="H6" s="181">
        <f t="shared" si="0"/>
        <v>24</v>
      </c>
    </row>
    <row r="7" spans="1:8" ht="27" thickBot="1" x14ac:dyDescent="0.25">
      <c r="A7" s="178" t="s">
        <v>199</v>
      </c>
      <c r="B7" s="179">
        <v>5</v>
      </c>
      <c r="C7" s="180"/>
      <c r="D7" s="180"/>
      <c r="E7" s="179">
        <v>40</v>
      </c>
      <c r="F7" s="180"/>
      <c r="G7" s="180"/>
      <c r="H7" s="181">
        <f t="shared" si="0"/>
        <v>45</v>
      </c>
    </row>
    <row r="8" spans="1:8" ht="27" thickBot="1" x14ac:dyDescent="0.25">
      <c r="A8" s="178" t="s">
        <v>200</v>
      </c>
      <c r="B8" s="179">
        <v>10</v>
      </c>
      <c r="C8" s="180"/>
      <c r="D8" s="180"/>
      <c r="E8" s="180"/>
      <c r="F8" s="179">
        <v>20</v>
      </c>
      <c r="G8" s="180"/>
      <c r="H8" s="181">
        <f t="shared" si="0"/>
        <v>30</v>
      </c>
    </row>
    <row r="9" spans="1:8" ht="16" thickBot="1" x14ac:dyDescent="0.25">
      <c r="A9" s="178" t="s">
        <v>201</v>
      </c>
      <c r="B9" s="179">
        <v>5</v>
      </c>
      <c r="C9" s="180"/>
      <c r="D9" s="180"/>
      <c r="E9" s="180"/>
      <c r="F9" s="180"/>
      <c r="G9" s="179">
        <v>23</v>
      </c>
      <c r="H9" s="181">
        <f t="shared" si="0"/>
        <v>28</v>
      </c>
    </row>
    <row r="10" spans="1:8" ht="17" thickBot="1" x14ac:dyDescent="0.25">
      <c r="A10" s="182" t="s">
        <v>202</v>
      </c>
      <c r="B10" s="179">
        <f>SUM(B3:B9)</f>
        <v>63</v>
      </c>
      <c r="C10" s="179">
        <f t="shared" ref="C10:H10" si="1">SUM(C3:C9)</f>
        <v>20</v>
      </c>
      <c r="D10" s="179">
        <f t="shared" si="1"/>
        <v>20</v>
      </c>
      <c r="E10" s="179">
        <f t="shared" si="1"/>
        <v>40</v>
      </c>
      <c r="F10" s="179">
        <f t="shared" si="1"/>
        <v>20</v>
      </c>
      <c r="G10" s="179">
        <f t="shared" si="1"/>
        <v>23</v>
      </c>
      <c r="H10" s="179">
        <f t="shared" si="1"/>
        <v>186</v>
      </c>
    </row>
    <row r="11" spans="1:8" ht="27" thickBot="1" x14ac:dyDescent="0.25">
      <c r="A11" s="178" t="s">
        <v>203</v>
      </c>
      <c r="B11" s="179">
        <v>800</v>
      </c>
      <c r="C11" s="179">
        <v>300</v>
      </c>
      <c r="D11" s="179">
        <v>300</v>
      </c>
      <c r="E11" s="179">
        <v>700</v>
      </c>
      <c r="F11" s="179">
        <v>250</v>
      </c>
      <c r="G11" s="179">
        <v>300</v>
      </c>
      <c r="H11" s="184"/>
    </row>
    <row r="12" spans="1:8" ht="49" thickBot="1" x14ac:dyDescent="0.25">
      <c r="A12" s="182" t="s">
        <v>204</v>
      </c>
      <c r="B12" s="179">
        <f>0.3*B10*B11</f>
        <v>15119.999999999998</v>
      </c>
      <c r="C12" s="179">
        <f t="shared" ref="C12:G12" si="2">0.3*C10*C11</f>
        <v>1800</v>
      </c>
      <c r="D12" s="179">
        <f t="shared" si="2"/>
        <v>1800</v>
      </c>
      <c r="E12" s="179">
        <f t="shared" si="2"/>
        <v>8400</v>
      </c>
      <c r="F12" s="179">
        <f t="shared" si="2"/>
        <v>1500</v>
      </c>
      <c r="G12" s="179">
        <f t="shared" si="2"/>
        <v>2070</v>
      </c>
      <c r="H12" s="179">
        <f>0.3*H10*H11</f>
        <v>0</v>
      </c>
    </row>
    <row r="13" spans="1:8" ht="43" thickBot="1" x14ac:dyDescent="0.25">
      <c r="A13" s="185" t="s">
        <v>205</v>
      </c>
      <c r="B13" s="191">
        <f>B11*B10+B12</f>
        <v>65520</v>
      </c>
      <c r="C13" s="191">
        <f t="shared" ref="C13:H13" si="3">C11*C10+C12</f>
        <v>7800</v>
      </c>
      <c r="D13" s="191">
        <f t="shared" si="3"/>
        <v>7800</v>
      </c>
      <c r="E13" s="191">
        <f t="shared" si="3"/>
        <v>36400</v>
      </c>
      <c r="F13" s="191">
        <f t="shared" si="3"/>
        <v>6500</v>
      </c>
      <c r="G13" s="191">
        <f t="shared" si="3"/>
        <v>8970</v>
      </c>
      <c r="H13" s="191">
        <f>SUM(B13:G13)</f>
        <v>132990</v>
      </c>
    </row>
    <row r="16" spans="1:8" x14ac:dyDescent="0.2">
      <c r="A16" t="s">
        <v>206</v>
      </c>
    </row>
    <row r="17" spans="1:4" ht="16" thickBot="1" x14ac:dyDescent="0.25">
      <c r="C17" t="s">
        <v>216</v>
      </c>
    </row>
    <row r="18" spans="1:4" ht="29" thickBot="1" x14ac:dyDescent="0.25">
      <c r="A18" s="192" t="s">
        <v>207</v>
      </c>
      <c r="B18" s="193" t="s">
        <v>208</v>
      </c>
      <c r="C18">
        <v>12</v>
      </c>
    </row>
    <row r="19" spans="1:4" ht="29" thickBot="1" x14ac:dyDescent="0.25">
      <c r="A19" s="194" t="s">
        <v>209</v>
      </c>
      <c r="B19" s="195">
        <v>100</v>
      </c>
    </row>
    <row r="20" spans="1:4" ht="16" thickBot="1" x14ac:dyDescent="0.25">
      <c r="A20" s="194" t="s">
        <v>210</v>
      </c>
      <c r="B20" s="195">
        <v>800</v>
      </c>
    </row>
    <row r="21" spans="1:4" ht="16" thickBot="1" x14ac:dyDescent="0.25">
      <c r="A21" s="194" t="s">
        <v>211</v>
      </c>
      <c r="B21" s="195">
        <v>1000</v>
      </c>
    </row>
    <row r="22" spans="1:4" ht="29" thickBot="1" x14ac:dyDescent="0.25">
      <c r="A22" s="196" t="s">
        <v>212</v>
      </c>
      <c r="B22" s="197" t="s">
        <v>213</v>
      </c>
    </row>
    <row r="23" spans="1:4" ht="57" thickBot="1" x14ac:dyDescent="0.25">
      <c r="A23" s="194" t="s">
        <v>214</v>
      </c>
      <c r="B23" s="195">
        <v>5400</v>
      </c>
    </row>
    <row r="24" spans="1:4" ht="43" thickBot="1" x14ac:dyDescent="0.25">
      <c r="A24" s="194" t="s">
        <v>215</v>
      </c>
      <c r="B24" s="195">
        <v>5928.29</v>
      </c>
    </row>
    <row r="26" spans="1:4" ht="16" thickBot="1" x14ac:dyDescent="0.25"/>
    <row r="27" spans="1:4" ht="35" thickBot="1" x14ac:dyDescent="0.25">
      <c r="A27" s="198"/>
      <c r="B27" s="199" t="s">
        <v>217</v>
      </c>
      <c r="C27" s="199" t="s">
        <v>218</v>
      </c>
    </row>
    <row r="28" spans="1:4" ht="18" thickBot="1" x14ac:dyDescent="0.25">
      <c r="A28" s="200" t="s">
        <v>219</v>
      </c>
      <c r="B28" s="202">
        <v>100</v>
      </c>
      <c r="C28" s="206">
        <v>1200</v>
      </c>
      <c r="D28" s="201"/>
    </row>
    <row r="29" spans="1:4" ht="18" thickBot="1" x14ac:dyDescent="0.25">
      <c r="A29" s="200" t="s">
        <v>220</v>
      </c>
      <c r="B29" s="202">
        <v>800</v>
      </c>
      <c r="C29" s="206">
        <f>C18*B29</f>
        <v>9600</v>
      </c>
    </row>
    <row r="30" spans="1:4" ht="18" thickBot="1" x14ac:dyDescent="0.25">
      <c r="A30" s="200" t="s">
        <v>221</v>
      </c>
      <c r="B30" s="202">
        <v>1000</v>
      </c>
      <c r="C30" s="206">
        <f>C18*B30</f>
        <v>12000</v>
      </c>
    </row>
    <row r="31" spans="1:4" ht="18" thickBot="1" x14ac:dyDescent="0.25">
      <c r="A31" s="200" t="s">
        <v>222</v>
      </c>
      <c r="B31" s="203"/>
      <c r="C31" s="206">
        <v>5400</v>
      </c>
    </row>
    <row r="32" spans="1:4" ht="18" thickBot="1" x14ac:dyDescent="0.25">
      <c r="A32" s="200" t="s">
        <v>223</v>
      </c>
      <c r="B32" s="203"/>
      <c r="C32" s="206">
        <v>5928.29</v>
      </c>
    </row>
    <row r="33" spans="1:3" ht="18" thickBot="1" x14ac:dyDescent="0.25">
      <c r="A33" s="200" t="s">
        <v>224</v>
      </c>
      <c r="B33" s="203"/>
      <c r="C33" s="206">
        <v>132990</v>
      </c>
    </row>
    <row r="34" spans="1:3" ht="35" thickBot="1" x14ac:dyDescent="0.25">
      <c r="A34" s="205" t="s">
        <v>225</v>
      </c>
      <c r="B34" s="205"/>
      <c r="C34" s="262">
        <f>SUM(C28:C33)</f>
        <v>167118.29</v>
      </c>
    </row>
    <row r="37" spans="1:3" x14ac:dyDescent="0.2">
      <c r="A37" s="204"/>
    </row>
  </sheetData>
  <mergeCells count="2">
    <mergeCell ref="A1:A2"/>
    <mergeCell ref="B1:H1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AD4C-9B92-9143-A3CB-CB4B07201452}">
  <dimension ref="A1:H38"/>
  <sheetViews>
    <sheetView topLeftCell="A9" zoomScale="84" workbookViewId="0">
      <selection activeCell="C35" sqref="C35"/>
    </sheetView>
  </sheetViews>
  <sheetFormatPr baseColWidth="10" defaultRowHeight="15" x14ac:dyDescent="0.2"/>
  <cols>
    <col min="1" max="1" width="31" customWidth="1"/>
    <col min="2" max="2" width="15.6640625" customWidth="1"/>
    <col min="3" max="3" width="21.83203125" customWidth="1"/>
    <col min="5" max="5" width="15.83203125" customWidth="1"/>
    <col min="8" max="8" width="20.6640625" customWidth="1"/>
  </cols>
  <sheetData>
    <row r="1" spans="1:8" ht="16" thickBot="1" x14ac:dyDescent="0.25">
      <c r="A1" s="210" t="s">
        <v>186</v>
      </c>
      <c r="B1" s="189" t="s">
        <v>187</v>
      </c>
      <c r="C1" s="188"/>
      <c r="D1" s="188"/>
      <c r="E1" s="188"/>
      <c r="F1" s="188"/>
      <c r="G1" s="188"/>
      <c r="H1" s="190"/>
    </row>
    <row r="2" spans="1:8" ht="43" thickBot="1" x14ac:dyDescent="0.25">
      <c r="A2" s="211"/>
      <c r="B2" s="207" t="s">
        <v>226</v>
      </c>
      <c r="C2" s="207" t="s">
        <v>189</v>
      </c>
      <c r="D2" s="207" t="s">
        <v>190</v>
      </c>
      <c r="E2" s="207" t="s">
        <v>191</v>
      </c>
      <c r="F2" s="207" t="s">
        <v>192</v>
      </c>
      <c r="G2" s="207" t="s">
        <v>193</v>
      </c>
      <c r="H2" s="208" t="s">
        <v>227</v>
      </c>
    </row>
    <row r="3" spans="1:8" ht="57" thickBot="1" x14ac:dyDescent="0.25">
      <c r="A3" s="194" t="s">
        <v>195</v>
      </c>
      <c r="B3" s="208">
        <v>10</v>
      </c>
      <c r="C3" s="180"/>
      <c r="D3" s="180"/>
      <c r="E3" s="180"/>
      <c r="F3" s="180"/>
      <c r="G3" s="180"/>
      <c r="H3" s="208">
        <v>10</v>
      </c>
    </row>
    <row r="4" spans="1:8" ht="57" thickBot="1" x14ac:dyDescent="0.25">
      <c r="A4" s="194" t="s">
        <v>228</v>
      </c>
      <c r="B4" s="208">
        <v>15</v>
      </c>
      <c r="C4" s="180"/>
      <c r="D4" s="180"/>
      <c r="E4" s="180"/>
      <c r="F4" s="180"/>
      <c r="G4" s="180"/>
      <c r="H4" s="208">
        <v>15</v>
      </c>
    </row>
    <row r="5" spans="1:8" ht="85" thickBot="1" x14ac:dyDescent="0.25">
      <c r="A5" s="194" t="s">
        <v>229</v>
      </c>
      <c r="B5" s="208">
        <v>2</v>
      </c>
      <c r="C5" s="208">
        <v>8</v>
      </c>
      <c r="D5" s="180"/>
      <c r="E5" s="180"/>
      <c r="F5" s="180"/>
      <c r="G5" s="180"/>
      <c r="H5" s="208">
        <v>10</v>
      </c>
    </row>
    <row r="6" spans="1:8" ht="29" thickBot="1" x14ac:dyDescent="0.25">
      <c r="A6" s="194" t="s">
        <v>198</v>
      </c>
      <c r="B6" s="208">
        <v>2</v>
      </c>
      <c r="C6" s="180"/>
      <c r="D6" s="208">
        <v>8</v>
      </c>
      <c r="E6" s="180"/>
      <c r="F6" s="180"/>
      <c r="G6" s="180"/>
      <c r="H6" s="208">
        <v>10</v>
      </c>
    </row>
    <row r="7" spans="1:8" ht="71" thickBot="1" x14ac:dyDescent="0.25">
      <c r="A7" s="194" t="s">
        <v>230</v>
      </c>
      <c r="B7" s="208">
        <v>5</v>
      </c>
      <c r="C7" s="180"/>
      <c r="D7" s="180"/>
      <c r="E7" s="208">
        <v>35</v>
      </c>
      <c r="F7" s="180"/>
      <c r="G7" s="180"/>
      <c r="H7" s="208">
        <v>40</v>
      </c>
    </row>
    <row r="8" spans="1:8" ht="43" thickBot="1" x14ac:dyDescent="0.25">
      <c r="A8" s="194" t="s">
        <v>200</v>
      </c>
      <c r="B8" s="208">
        <v>2</v>
      </c>
      <c r="C8" s="180"/>
      <c r="D8" s="180"/>
      <c r="E8" s="180"/>
      <c r="F8" s="208">
        <v>8</v>
      </c>
      <c r="G8" s="180"/>
      <c r="H8" s="208">
        <v>10</v>
      </c>
    </row>
    <row r="9" spans="1:8" ht="71" thickBot="1" x14ac:dyDescent="0.25">
      <c r="A9" s="194" t="s">
        <v>231</v>
      </c>
      <c r="B9" s="208">
        <v>2</v>
      </c>
      <c r="C9" s="180"/>
      <c r="D9" s="180"/>
      <c r="E9" s="180"/>
      <c r="F9" s="180"/>
      <c r="G9" s="208">
        <v>3</v>
      </c>
      <c r="H9" s="208">
        <v>5</v>
      </c>
    </row>
    <row r="10" spans="1:8" ht="16" thickBot="1" x14ac:dyDescent="0.25">
      <c r="A10" s="194" t="s">
        <v>232</v>
      </c>
      <c r="B10" s="208">
        <f>SUM(B3:B9)</f>
        <v>38</v>
      </c>
      <c r="C10" s="208">
        <f t="shared" ref="C10:G10" si="0">SUM(C3:C9)</f>
        <v>8</v>
      </c>
      <c r="D10" s="208">
        <f t="shared" si="0"/>
        <v>8</v>
      </c>
      <c r="E10" s="208">
        <f t="shared" si="0"/>
        <v>35</v>
      </c>
      <c r="F10" s="208">
        <f t="shared" si="0"/>
        <v>8</v>
      </c>
      <c r="G10" s="208">
        <f t="shared" si="0"/>
        <v>3</v>
      </c>
      <c r="H10" s="208">
        <f>SUM(H3:H9)</f>
        <v>100</v>
      </c>
    </row>
    <row r="11" spans="1:8" ht="27" thickBot="1" x14ac:dyDescent="0.25">
      <c r="A11" s="209" t="s">
        <v>203</v>
      </c>
      <c r="B11" s="208">
        <v>14250</v>
      </c>
      <c r="C11" s="208">
        <v>1400</v>
      </c>
      <c r="D11" s="208">
        <v>1750</v>
      </c>
      <c r="E11" s="208">
        <v>9406.25</v>
      </c>
      <c r="F11" s="208">
        <v>1750</v>
      </c>
      <c r="G11" s="208">
        <v>375</v>
      </c>
      <c r="H11" s="180"/>
    </row>
    <row r="12" spans="1:8" ht="16" thickBot="1" x14ac:dyDescent="0.25">
      <c r="A12" s="194" t="s">
        <v>204</v>
      </c>
      <c r="B12" s="179">
        <f>0.3*B10*B11</f>
        <v>162450</v>
      </c>
      <c r="C12" s="179">
        <f t="shared" ref="C12:H12" si="1">0.3*C10*C11</f>
        <v>3360</v>
      </c>
      <c r="D12" s="179">
        <f t="shared" si="1"/>
        <v>4200</v>
      </c>
      <c r="E12" s="179">
        <f t="shared" si="1"/>
        <v>98765.625</v>
      </c>
      <c r="F12" s="179">
        <f t="shared" si="1"/>
        <v>4200</v>
      </c>
      <c r="G12" s="179">
        <f t="shared" si="1"/>
        <v>337.49999999999994</v>
      </c>
      <c r="H12" s="179">
        <f t="shared" si="1"/>
        <v>0</v>
      </c>
    </row>
    <row r="13" spans="1:8" ht="29" thickBot="1" x14ac:dyDescent="0.25">
      <c r="A13" s="194" t="s">
        <v>233</v>
      </c>
      <c r="B13" s="191">
        <f>B11*B10+B12</f>
        <v>703950</v>
      </c>
      <c r="C13" s="191">
        <f t="shared" ref="C13:H13" si="2">C11*C10+C12</f>
        <v>14560</v>
      </c>
      <c r="D13" s="191">
        <f t="shared" si="2"/>
        <v>18200</v>
      </c>
      <c r="E13" s="191">
        <f t="shared" si="2"/>
        <v>427984.375</v>
      </c>
      <c r="F13" s="191">
        <f t="shared" si="2"/>
        <v>18200</v>
      </c>
      <c r="G13" s="191">
        <f t="shared" si="2"/>
        <v>1462.5</v>
      </c>
      <c r="H13" s="254">
        <f>SUM(B13:G13)</f>
        <v>1184356.875</v>
      </c>
    </row>
    <row r="16" spans="1:8" ht="16" thickBot="1" x14ac:dyDescent="0.25">
      <c r="C16" t="s">
        <v>236</v>
      </c>
    </row>
    <row r="17" spans="1:3" ht="18" thickBot="1" x14ac:dyDescent="0.25">
      <c r="A17" s="212" t="s">
        <v>234</v>
      </c>
      <c r="B17" s="213" t="s">
        <v>208</v>
      </c>
      <c r="C17">
        <v>12</v>
      </c>
    </row>
    <row r="18" spans="1:3" ht="35" thickBot="1" x14ac:dyDescent="0.25">
      <c r="A18" s="214" t="s">
        <v>209</v>
      </c>
      <c r="B18" s="215">
        <v>100</v>
      </c>
    </row>
    <row r="19" spans="1:3" ht="18" thickBot="1" x14ac:dyDescent="0.25">
      <c r="A19" s="214" t="s">
        <v>210</v>
      </c>
      <c r="B19" s="215">
        <v>800</v>
      </c>
    </row>
    <row r="20" spans="1:3" ht="18" thickBot="1" x14ac:dyDescent="0.25">
      <c r="A20" s="214" t="s">
        <v>211</v>
      </c>
      <c r="B20" s="215">
        <v>1000</v>
      </c>
    </row>
    <row r="21" spans="1:3" ht="18" thickBot="1" x14ac:dyDescent="0.25">
      <c r="A21" s="214" t="s">
        <v>235</v>
      </c>
      <c r="B21" s="215">
        <f>SUM(B18:B20)</f>
        <v>1900</v>
      </c>
    </row>
    <row r="23" spans="1:3" ht="16" thickBot="1" x14ac:dyDescent="0.25"/>
    <row r="24" spans="1:3" ht="17" x14ac:dyDescent="0.2">
      <c r="A24" s="217" t="s">
        <v>237</v>
      </c>
      <c r="B24" s="216" t="s">
        <v>238</v>
      </c>
    </row>
    <row r="25" spans="1:3" ht="18" thickBot="1" x14ac:dyDescent="0.25">
      <c r="A25" s="218"/>
      <c r="B25" s="183" t="s">
        <v>239</v>
      </c>
    </row>
    <row r="26" spans="1:3" ht="52" thickBot="1" x14ac:dyDescent="0.25">
      <c r="A26" s="214" t="s">
        <v>214</v>
      </c>
      <c r="B26" s="215">
        <v>5400</v>
      </c>
    </row>
    <row r="27" spans="1:3" ht="35" thickBot="1" x14ac:dyDescent="0.25">
      <c r="A27" s="214" t="s">
        <v>215</v>
      </c>
      <c r="B27" s="215">
        <v>5928.29</v>
      </c>
    </row>
    <row r="28" spans="1:3" ht="18" thickBot="1" x14ac:dyDescent="0.25">
      <c r="A28" s="214" t="s">
        <v>235</v>
      </c>
      <c r="B28" s="215">
        <f>SUM(B26:B27)</f>
        <v>11328.29</v>
      </c>
    </row>
    <row r="30" spans="1:3" ht="16" thickBot="1" x14ac:dyDescent="0.25"/>
    <row r="31" spans="1:3" ht="35" thickBot="1" x14ac:dyDescent="0.25">
      <c r="A31" s="198"/>
      <c r="B31" s="199" t="s">
        <v>217</v>
      </c>
      <c r="C31" s="199" t="s">
        <v>218</v>
      </c>
    </row>
    <row r="32" spans="1:3" ht="35" thickBot="1" x14ac:dyDescent="0.25">
      <c r="A32" s="200" t="s">
        <v>240</v>
      </c>
      <c r="B32" s="203">
        <v>1900</v>
      </c>
      <c r="C32" s="203">
        <f>B32*C17</f>
        <v>22800</v>
      </c>
    </row>
    <row r="33" spans="1:3" ht="35" thickBot="1" x14ac:dyDescent="0.25">
      <c r="A33" s="200" t="s">
        <v>241</v>
      </c>
      <c r="B33" s="202">
        <f>B28</f>
        <v>11328.29</v>
      </c>
      <c r="C33" s="202">
        <f>B33</f>
        <v>11328.29</v>
      </c>
    </row>
    <row r="34" spans="1:3" ht="18" thickBot="1" x14ac:dyDescent="0.25">
      <c r="A34" s="200" t="s">
        <v>224</v>
      </c>
      <c r="B34" s="203"/>
      <c r="C34" s="220">
        <f>H13</f>
        <v>1184356.875</v>
      </c>
    </row>
    <row r="35" spans="1:3" ht="35" thickBot="1" x14ac:dyDescent="0.25">
      <c r="A35" s="205" t="s">
        <v>225</v>
      </c>
      <c r="B35" s="219"/>
      <c r="C35" s="261">
        <f>SUM(C32:C34)</f>
        <v>1218485.165</v>
      </c>
    </row>
    <row r="38" spans="1:3" x14ac:dyDescent="0.2">
      <c r="A38" s="204"/>
    </row>
  </sheetData>
  <mergeCells count="3">
    <mergeCell ref="A1:A2"/>
    <mergeCell ref="B1:H1"/>
    <mergeCell ref="A24:A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07DB-5918-8D44-853A-B0A1E4086297}">
  <dimension ref="A1:M43"/>
  <sheetViews>
    <sheetView topLeftCell="A46" workbookViewId="0">
      <selection activeCell="B42" sqref="B42:M43"/>
    </sheetView>
  </sheetViews>
  <sheetFormatPr baseColWidth="10" defaultRowHeight="15" x14ac:dyDescent="0.2"/>
  <cols>
    <col min="1" max="1" width="27.6640625" customWidth="1"/>
    <col min="2" max="2" width="14.33203125" customWidth="1"/>
    <col min="5" max="5" width="14.83203125" customWidth="1"/>
    <col min="8" max="8" width="14.6640625" customWidth="1"/>
  </cols>
  <sheetData>
    <row r="1" spans="1:10" ht="29" thickBot="1" x14ac:dyDescent="0.25">
      <c r="A1" s="221" t="s">
        <v>148</v>
      </c>
      <c r="B1" s="222" t="s">
        <v>242</v>
      </c>
      <c r="C1" s="222" t="s">
        <v>149</v>
      </c>
      <c r="D1" s="222" t="s">
        <v>243</v>
      </c>
    </row>
    <row r="2" spans="1:10" ht="16" thickBot="1" x14ac:dyDescent="0.25">
      <c r="A2" s="223" t="s">
        <v>244</v>
      </c>
      <c r="B2" s="224" t="s">
        <v>245</v>
      </c>
      <c r="C2" s="225">
        <v>500</v>
      </c>
      <c r="D2" s="225"/>
    </row>
    <row r="3" spans="1:10" ht="29" thickBot="1" x14ac:dyDescent="0.25">
      <c r="A3" s="223" t="s">
        <v>246</v>
      </c>
      <c r="B3" s="224" t="s">
        <v>247</v>
      </c>
      <c r="C3" s="225">
        <v>500000</v>
      </c>
      <c r="D3" s="226"/>
      <c r="G3">
        <v>650</v>
      </c>
      <c r="H3" t="s">
        <v>280</v>
      </c>
      <c r="J3" t="s">
        <v>281</v>
      </c>
    </row>
    <row r="4" spans="1:10" ht="16" thickBot="1" x14ac:dyDescent="0.25">
      <c r="A4" s="223" t="s">
        <v>248</v>
      </c>
      <c r="B4" s="224" t="s">
        <v>249</v>
      </c>
      <c r="C4" s="225">
        <v>0</v>
      </c>
      <c r="D4" s="227" t="s">
        <v>250</v>
      </c>
      <c r="G4">
        <v>650000</v>
      </c>
      <c r="H4" t="s">
        <v>280</v>
      </c>
      <c r="J4" t="s">
        <v>282</v>
      </c>
    </row>
    <row r="5" spans="1:10" ht="16" thickBot="1" x14ac:dyDescent="0.25">
      <c r="A5" s="223" t="s">
        <v>251</v>
      </c>
      <c r="B5" s="224" t="s">
        <v>252</v>
      </c>
      <c r="C5" s="225">
        <v>360000</v>
      </c>
      <c r="D5" s="227" t="s">
        <v>253</v>
      </c>
    </row>
    <row r="6" spans="1:10" ht="29" thickBot="1" x14ac:dyDescent="0.25">
      <c r="A6" s="223" t="s">
        <v>254</v>
      </c>
      <c r="B6" s="224" t="s">
        <v>255</v>
      </c>
      <c r="C6" s="225">
        <v>3500</v>
      </c>
      <c r="D6" s="227" t="s">
        <v>253</v>
      </c>
      <c r="H6" t="s">
        <v>283</v>
      </c>
    </row>
    <row r="7" spans="1:10" ht="29" thickBot="1" x14ac:dyDescent="0.25">
      <c r="A7" s="223" t="s">
        <v>256</v>
      </c>
      <c r="B7" s="224" t="s">
        <v>257</v>
      </c>
      <c r="C7" s="225">
        <v>360000</v>
      </c>
      <c r="D7" s="227" t="s">
        <v>250</v>
      </c>
      <c r="H7" t="s">
        <v>284</v>
      </c>
      <c r="I7">
        <v>720</v>
      </c>
    </row>
    <row r="8" spans="1:10" ht="16" thickBot="1" x14ac:dyDescent="0.25">
      <c r="A8" s="223" t="s">
        <v>258</v>
      </c>
      <c r="B8" s="224" t="s">
        <v>259</v>
      </c>
      <c r="C8" s="225">
        <v>20000</v>
      </c>
      <c r="D8" s="227" t="s">
        <v>253</v>
      </c>
      <c r="H8" t="s">
        <v>285</v>
      </c>
      <c r="I8">
        <f>C5</f>
        <v>360000</v>
      </c>
    </row>
    <row r="9" spans="1:10" ht="16" thickBot="1" x14ac:dyDescent="0.25">
      <c r="A9" s="223" t="s">
        <v>260</v>
      </c>
      <c r="B9" s="224" t="s">
        <v>261</v>
      </c>
      <c r="C9" s="225">
        <v>360000</v>
      </c>
      <c r="D9" s="227" t="s">
        <v>253</v>
      </c>
      <c r="H9" t="s">
        <v>286</v>
      </c>
      <c r="I9">
        <v>500</v>
      </c>
    </row>
    <row r="10" spans="1:10" ht="16" thickBot="1" x14ac:dyDescent="0.25">
      <c r="A10" s="223" t="s">
        <v>262</v>
      </c>
      <c r="B10" s="224" t="s">
        <v>263</v>
      </c>
      <c r="C10" s="225">
        <v>2000</v>
      </c>
      <c r="D10" s="227" t="s">
        <v>253</v>
      </c>
      <c r="H10" t="s">
        <v>287</v>
      </c>
      <c r="I10">
        <f>I7</f>
        <v>720</v>
      </c>
    </row>
    <row r="11" spans="1:10" x14ac:dyDescent="0.2">
      <c r="A11" s="236" t="s">
        <v>279</v>
      </c>
    </row>
    <row r="12" spans="1:10" ht="16" thickBot="1" x14ac:dyDescent="0.25"/>
    <row r="13" spans="1:10" ht="16" thickBot="1" x14ac:dyDescent="0.25">
      <c r="A13" s="228" t="s">
        <v>148</v>
      </c>
      <c r="B13" s="229" t="s">
        <v>264</v>
      </c>
      <c r="C13" s="229" t="s">
        <v>149</v>
      </c>
      <c r="D13" s="233"/>
    </row>
    <row r="14" spans="1:10" ht="16" thickBot="1" x14ac:dyDescent="0.25">
      <c r="A14" s="230" t="s">
        <v>265</v>
      </c>
      <c r="B14" s="102" t="s">
        <v>266</v>
      </c>
      <c r="C14" s="226">
        <f>C4+C7</f>
        <v>360000</v>
      </c>
      <c r="D14" s="234"/>
    </row>
    <row r="15" spans="1:10" ht="16" thickBot="1" x14ac:dyDescent="0.25">
      <c r="A15" s="230" t="s">
        <v>267</v>
      </c>
      <c r="B15" s="102" t="s">
        <v>268</v>
      </c>
      <c r="C15" s="226">
        <f>C3-C14</f>
        <v>140000</v>
      </c>
      <c r="D15" s="234"/>
    </row>
    <row r="16" spans="1:10" ht="16" thickBot="1" x14ac:dyDescent="0.25">
      <c r="A16" s="230" t="s">
        <v>269</v>
      </c>
      <c r="B16" s="102" t="s">
        <v>270</v>
      </c>
      <c r="C16" s="226">
        <f>C5+C6+C8+C9+C10</f>
        <v>745500</v>
      </c>
      <c r="D16" s="234"/>
    </row>
    <row r="17" spans="1:4" ht="16" thickBot="1" x14ac:dyDescent="0.25">
      <c r="A17" s="230" t="s">
        <v>271</v>
      </c>
      <c r="B17" s="102" t="s">
        <v>272</v>
      </c>
      <c r="C17" s="226">
        <f>C3-C14-C16</f>
        <v>-605500</v>
      </c>
      <c r="D17" s="234"/>
    </row>
    <row r="18" spans="1:4" ht="29" thickBot="1" x14ac:dyDescent="0.25">
      <c r="A18" s="230" t="s">
        <v>273</v>
      </c>
      <c r="B18" s="102" t="s">
        <v>274</v>
      </c>
      <c r="C18" s="226">
        <f>(C3-C14)/C3</f>
        <v>0.28000000000000003</v>
      </c>
      <c r="D18" s="234"/>
    </row>
    <row r="19" spans="1:4" ht="33" thickBot="1" x14ac:dyDescent="0.25">
      <c r="A19" s="230" t="s">
        <v>275</v>
      </c>
      <c r="B19" s="231" t="s">
        <v>276</v>
      </c>
      <c r="C19" s="232">
        <f>C16/C18</f>
        <v>2662499.9999999995</v>
      </c>
      <c r="D19" s="235"/>
    </row>
    <row r="20" spans="1:4" ht="29" thickBot="1" x14ac:dyDescent="0.25">
      <c r="A20" s="230" t="s">
        <v>277</v>
      </c>
      <c r="B20" s="231" t="s">
        <v>278</v>
      </c>
      <c r="C20" s="232">
        <v>2662.5</v>
      </c>
      <c r="D20" s="235"/>
    </row>
    <row r="22" spans="1:4" ht="16" thickBot="1" x14ac:dyDescent="0.25"/>
    <row r="23" spans="1:4" ht="16" thickBot="1" x14ac:dyDescent="0.25">
      <c r="A23" s="237" t="s">
        <v>148</v>
      </c>
      <c r="B23" s="238" t="s">
        <v>264</v>
      </c>
      <c r="C23" s="239" t="s">
        <v>149</v>
      </c>
    </row>
    <row r="24" spans="1:4" ht="31" thickBot="1" x14ac:dyDescent="0.25">
      <c r="A24" s="240" t="s">
        <v>288</v>
      </c>
      <c r="B24" s="93" t="s">
        <v>289</v>
      </c>
      <c r="C24" s="241" t="s">
        <v>290</v>
      </c>
      <c r="D24">
        <f>1000*0.9</f>
        <v>900</v>
      </c>
    </row>
    <row r="25" spans="1:4" ht="39" thickBot="1" x14ac:dyDescent="0.25">
      <c r="A25" s="240" t="s">
        <v>291</v>
      </c>
      <c r="B25" s="93" t="s">
        <v>292</v>
      </c>
      <c r="C25" s="241" t="s">
        <v>293</v>
      </c>
      <c r="D25">
        <f>C2*1.3</f>
        <v>650</v>
      </c>
    </row>
    <row r="26" spans="1:4" ht="20" thickBot="1" x14ac:dyDescent="0.25">
      <c r="A26" s="242" t="s">
        <v>294</v>
      </c>
      <c r="B26" s="93" t="s">
        <v>295</v>
      </c>
      <c r="C26" s="241">
        <f>D24*D25</f>
        <v>585000</v>
      </c>
    </row>
    <row r="27" spans="1:4" ht="39" thickBot="1" x14ac:dyDescent="0.25">
      <c r="A27" s="242" t="s">
        <v>296</v>
      </c>
      <c r="B27" s="93" t="s">
        <v>297</v>
      </c>
      <c r="C27" s="241">
        <f>I7*D25</f>
        <v>468000</v>
      </c>
    </row>
    <row r="28" spans="1:4" ht="39" thickBot="1" x14ac:dyDescent="0.25">
      <c r="A28" s="242" t="s">
        <v>298</v>
      </c>
      <c r="B28" s="93" t="s">
        <v>299</v>
      </c>
      <c r="C28" s="246">
        <f>(C26-C27)/C26</f>
        <v>0.2</v>
      </c>
    </row>
    <row r="29" spans="1:4" ht="39" thickBot="1" x14ac:dyDescent="0.25">
      <c r="A29" s="242" t="s">
        <v>300</v>
      </c>
      <c r="B29" s="243" t="s">
        <v>301</v>
      </c>
      <c r="C29" s="244">
        <f>C26-C27</f>
        <v>117000</v>
      </c>
    </row>
    <row r="30" spans="1:4" ht="39" thickBot="1" x14ac:dyDescent="0.25">
      <c r="A30" s="242" t="s">
        <v>302</v>
      </c>
      <c r="B30" s="93" t="s">
        <v>303</v>
      </c>
      <c r="C30" s="241">
        <f>C26-C27-C16</f>
        <v>-628500</v>
      </c>
    </row>
    <row r="31" spans="1:4" ht="31" thickBot="1" x14ac:dyDescent="0.25">
      <c r="A31" s="242" t="s">
        <v>304</v>
      </c>
      <c r="B31" s="245" t="s">
        <v>305</v>
      </c>
      <c r="C31" s="241">
        <f>C30-C17</f>
        <v>-23000</v>
      </c>
    </row>
    <row r="32" spans="1:4" ht="39" thickBot="1" x14ac:dyDescent="0.25">
      <c r="A32" s="242" t="s">
        <v>275</v>
      </c>
      <c r="B32" s="93" t="s">
        <v>306</v>
      </c>
      <c r="C32" s="241">
        <f>C16/C28</f>
        <v>3727500</v>
      </c>
    </row>
    <row r="33" spans="1:13" ht="39" thickBot="1" x14ac:dyDescent="0.25">
      <c r="A33" s="242" t="s">
        <v>277</v>
      </c>
      <c r="B33" s="93" t="s">
        <v>307</v>
      </c>
      <c r="C33" s="241">
        <v>4141.67</v>
      </c>
      <c r="D33">
        <f>C16/(D24-I7)</f>
        <v>4141.666666666667</v>
      </c>
    </row>
    <row r="35" spans="1:13" ht="16" thickBot="1" x14ac:dyDescent="0.25"/>
    <row r="36" spans="1:13" ht="16" thickBot="1" x14ac:dyDescent="0.25">
      <c r="A36" s="247"/>
      <c r="B36" s="248" t="s">
        <v>308</v>
      </c>
      <c r="C36" s="249"/>
      <c r="D36" s="249"/>
      <c r="E36" s="248" t="s">
        <v>309</v>
      </c>
      <c r="F36" s="249"/>
      <c r="G36" s="249"/>
      <c r="H36" s="249"/>
      <c r="I36" s="249"/>
      <c r="J36" s="249"/>
      <c r="K36" s="249"/>
      <c r="L36" s="249"/>
      <c r="M36" s="249"/>
    </row>
    <row r="37" spans="1:13" ht="16" thickBot="1" x14ac:dyDescent="0.25">
      <c r="A37" s="250" t="s">
        <v>310</v>
      </c>
      <c r="B37" s="251">
        <v>0</v>
      </c>
      <c r="C37" s="251">
        <v>250</v>
      </c>
      <c r="D37" s="251">
        <v>500</v>
      </c>
      <c r="E37" s="251">
        <v>900</v>
      </c>
      <c r="F37" s="251">
        <v>1300</v>
      </c>
      <c r="G37" s="251">
        <v>1700</v>
      </c>
      <c r="H37" s="251">
        <v>2100</v>
      </c>
      <c r="I37" s="251">
        <v>2500</v>
      </c>
      <c r="J37" s="251">
        <v>2900</v>
      </c>
      <c r="K37" s="251">
        <v>3300</v>
      </c>
      <c r="L37" s="251">
        <v>3700</v>
      </c>
      <c r="M37" s="251">
        <v>4100</v>
      </c>
    </row>
    <row r="38" spans="1:13" ht="16" thickBot="1" x14ac:dyDescent="0.25">
      <c r="A38" s="101" t="s">
        <v>311</v>
      </c>
      <c r="B38" s="252">
        <v>0</v>
      </c>
      <c r="C38" s="252">
        <v>250000</v>
      </c>
      <c r="D38" s="252">
        <v>500000</v>
      </c>
      <c r="E38" s="252">
        <f>E37*1000</f>
        <v>900000</v>
      </c>
      <c r="F38" s="252">
        <v>1300000</v>
      </c>
      <c r="G38" s="252">
        <v>1700000</v>
      </c>
      <c r="H38" s="252">
        <v>2100000</v>
      </c>
      <c r="I38" s="252">
        <v>2500000</v>
      </c>
      <c r="J38" s="252">
        <v>2900000</v>
      </c>
      <c r="K38" s="252">
        <v>3300000</v>
      </c>
      <c r="L38" s="252">
        <v>3700000</v>
      </c>
      <c r="M38" s="252">
        <v>4100000</v>
      </c>
    </row>
    <row r="39" spans="1:13" ht="16" thickBot="1" x14ac:dyDescent="0.25">
      <c r="A39" s="101" t="s">
        <v>312</v>
      </c>
      <c r="B39" s="252">
        <v>745500</v>
      </c>
      <c r="C39" s="252">
        <v>925500</v>
      </c>
      <c r="D39" s="252">
        <v>1105500</v>
      </c>
      <c r="E39" s="252">
        <v>1393500</v>
      </c>
      <c r="F39" s="252">
        <v>1681500</v>
      </c>
      <c r="G39" s="252">
        <v>1969500</v>
      </c>
      <c r="H39" s="252">
        <v>2257500</v>
      </c>
      <c r="I39" s="252">
        <v>2545500</v>
      </c>
      <c r="J39" s="252">
        <v>2833500</v>
      </c>
      <c r="K39" s="252">
        <v>3121500</v>
      </c>
      <c r="L39" s="252">
        <v>3409500</v>
      </c>
      <c r="M39" s="252">
        <v>3697500</v>
      </c>
    </row>
    <row r="40" spans="1:13" ht="16" thickBot="1" x14ac:dyDescent="0.25">
      <c r="A40" s="101" t="s">
        <v>313</v>
      </c>
      <c r="B40" s="252">
        <v>0</v>
      </c>
      <c r="C40" s="252">
        <v>180000</v>
      </c>
      <c r="D40" s="252">
        <v>360000</v>
      </c>
      <c r="E40" s="252">
        <f>E37*I7</f>
        <v>648000</v>
      </c>
      <c r="F40" s="252">
        <v>936000</v>
      </c>
      <c r="G40" s="252">
        <v>1224000</v>
      </c>
      <c r="H40" s="252">
        <v>1512000</v>
      </c>
      <c r="I40" s="252">
        <v>1800000</v>
      </c>
      <c r="J40" s="252">
        <v>2088000</v>
      </c>
      <c r="K40" s="252">
        <v>2376000</v>
      </c>
      <c r="L40" s="252">
        <v>2664000</v>
      </c>
      <c r="M40" s="252">
        <v>2952000</v>
      </c>
    </row>
    <row r="41" spans="1:13" ht="16" thickBot="1" x14ac:dyDescent="0.25">
      <c r="A41" s="101" t="s">
        <v>314</v>
      </c>
      <c r="B41" s="252">
        <v>745500</v>
      </c>
      <c r="C41" s="252">
        <v>745500</v>
      </c>
      <c r="D41" s="252">
        <v>745500</v>
      </c>
      <c r="E41" s="252">
        <v>745500</v>
      </c>
      <c r="F41" s="252">
        <v>745500</v>
      </c>
      <c r="G41" s="252">
        <v>745500</v>
      </c>
      <c r="H41" s="252">
        <v>745500</v>
      </c>
      <c r="I41" s="252">
        <v>745500</v>
      </c>
      <c r="J41" s="252">
        <v>745500</v>
      </c>
      <c r="K41" s="252">
        <v>745500</v>
      </c>
      <c r="L41" s="252">
        <v>745500</v>
      </c>
      <c r="M41" s="252">
        <v>745500</v>
      </c>
    </row>
    <row r="42" spans="1:13" ht="28" x14ac:dyDescent="0.2">
      <c r="A42" s="253" t="s">
        <v>315</v>
      </c>
      <c r="B42" s="255">
        <f>(C5+C6+C8+C9+C10)/C18</f>
        <v>2662499.9999999995</v>
      </c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7"/>
    </row>
    <row r="43" spans="1:13" ht="16" thickBot="1" x14ac:dyDescent="0.25">
      <c r="A43" s="230" t="s">
        <v>316</v>
      </c>
      <c r="B43" s="258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60"/>
    </row>
  </sheetData>
  <mergeCells count="1">
    <mergeCell ref="B42:M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ACAC-4F72-4755-80FF-787EBAFC7C99}">
  <dimension ref="A1:L37"/>
  <sheetViews>
    <sheetView topLeftCell="A12" zoomScale="140" workbookViewId="0">
      <selection activeCell="F29" sqref="F29"/>
    </sheetView>
  </sheetViews>
  <sheetFormatPr baseColWidth="10" defaultColWidth="8.83203125" defaultRowHeight="15" x14ac:dyDescent="0.2"/>
  <cols>
    <col min="1" max="1" width="37.5" customWidth="1"/>
    <col min="2" max="2" width="13.1640625" customWidth="1"/>
    <col min="3" max="3" width="13.83203125" customWidth="1"/>
    <col min="4" max="4" width="11.83203125" customWidth="1"/>
    <col min="5" max="5" width="17" customWidth="1"/>
    <col min="6" max="6" width="14.1640625" customWidth="1"/>
  </cols>
  <sheetData>
    <row r="1" spans="1:12" x14ac:dyDescent="0.2">
      <c r="A1" s="139" t="s">
        <v>42</v>
      </c>
      <c r="B1" s="139"/>
      <c r="C1" s="139"/>
      <c r="D1" s="139"/>
      <c r="E1" s="139"/>
      <c r="F1" s="139"/>
    </row>
    <row r="2" spans="1:12" ht="52" x14ac:dyDescent="0.2">
      <c r="A2" s="5" t="s">
        <v>0</v>
      </c>
      <c r="B2" s="5" t="s">
        <v>26</v>
      </c>
      <c r="C2" s="5" t="s">
        <v>3</v>
      </c>
      <c r="D2" s="5" t="s">
        <v>27</v>
      </c>
      <c r="E2" s="5" t="s">
        <v>28</v>
      </c>
      <c r="F2" s="5" t="s">
        <v>29</v>
      </c>
      <c r="G2" t="s">
        <v>88</v>
      </c>
      <c r="L2" s="75" t="s">
        <v>105</v>
      </c>
    </row>
    <row r="3" spans="1:12" ht="16" thickBot="1" x14ac:dyDescent="0.25">
      <c r="A3" s="28" t="s">
        <v>30</v>
      </c>
      <c r="B3" s="28"/>
      <c r="C3" s="56">
        <f>SUM(C4:C9)</f>
        <v>48200</v>
      </c>
      <c r="D3" s="56">
        <f t="shared" ref="D3:F3" si="0">SUM(D4:D9)</f>
        <v>0</v>
      </c>
      <c r="E3" s="56">
        <f t="shared" si="0"/>
        <v>8000</v>
      </c>
      <c r="F3" s="56">
        <f t="shared" si="0"/>
        <v>11700</v>
      </c>
      <c r="H3" t="s">
        <v>81</v>
      </c>
    </row>
    <row r="4" spans="1:12" x14ac:dyDescent="0.2">
      <c r="A4" s="20" t="s">
        <v>5</v>
      </c>
      <c r="B4" s="54"/>
      <c r="C4" s="21">
        <v>8000</v>
      </c>
      <c r="D4" s="21">
        <v>0</v>
      </c>
      <c r="E4" s="21">
        <v>8000</v>
      </c>
      <c r="F4" s="21">
        <v>0</v>
      </c>
      <c r="H4" t="s">
        <v>85</v>
      </c>
    </row>
    <row r="5" spans="1:12" x14ac:dyDescent="0.2">
      <c r="A5" s="22" t="s">
        <v>6</v>
      </c>
      <c r="B5" s="6"/>
      <c r="C5" s="7">
        <v>1000</v>
      </c>
      <c r="D5" s="51"/>
      <c r="E5" s="51"/>
      <c r="F5" s="52"/>
    </row>
    <row r="6" spans="1:12" x14ac:dyDescent="0.2">
      <c r="A6" s="23" t="s">
        <v>7</v>
      </c>
      <c r="B6" s="8"/>
      <c r="C6" s="9">
        <v>1000</v>
      </c>
      <c r="D6" s="51"/>
      <c r="E6" s="51"/>
      <c r="F6" s="52"/>
      <c r="H6" s="47" t="s">
        <v>84</v>
      </c>
    </row>
    <row r="7" spans="1:12" ht="16" thickBot="1" x14ac:dyDescent="0.25">
      <c r="A7" s="11" t="s">
        <v>75</v>
      </c>
      <c r="B7" s="6"/>
      <c r="C7" s="7">
        <v>26500</v>
      </c>
      <c r="D7" s="51"/>
      <c r="E7" s="51"/>
      <c r="F7" s="52"/>
    </row>
    <row r="8" spans="1:12" ht="16" thickBot="1" x14ac:dyDescent="0.25">
      <c r="A8" s="10" t="s">
        <v>76</v>
      </c>
      <c r="B8" s="10"/>
      <c r="C8" s="9">
        <v>1200</v>
      </c>
      <c r="D8" s="21">
        <v>0</v>
      </c>
      <c r="E8" s="21">
        <v>0</v>
      </c>
      <c r="F8" s="9">
        <v>1200</v>
      </c>
    </row>
    <row r="9" spans="1:12" ht="16" thickBot="1" x14ac:dyDescent="0.25">
      <c r="A9" s="24" t="s">
        <v>33</v>
      </c>
      <c r="B9" s="55"/>
      <c r="C9" s="7">
        <v>10500</v>
      </c>
      <c r="D9" s="21">
        <v>0</v>
      </c>
      <c r="E9" s="21">
        <v>0</v>
      </c>
      <c r="F9" s="7">
        <v>10500</v>
      </c>
    </row>
    <row r="10" spans="1:12" ht="16" thickBot="1" x14ac:dyDescent="0.25">
      <c r="A10" s="27" t="s">
        <v>34</v>
      </c>
      <c r="B10" s="27"/>
      <c r="C10" s="56">
        <f>SUM(C11:C17)</f>
        <v>60700</v>
      </c>
      <c r="D10" s="56">
        <f t="shared" ref="D10:F10" si="1">SUM(D11:D17)</f>
        <v>8100</v>
      </c>
      <c r="E10" s="56">
        <f t="shared" si="1"/>
        <v>43000</v>
      </c>
      <c r="F10" s="56">
        <f t="shared" si="1"/>
        <v>9600</v>
      </c>
      <c r="G10" s="59"/>
    </row>
    <row r="11" spans="1:12" ht="16" thickBot="1" x14ac:dyDescent="0.25">
      <c r="A11" s="78" t="s">
        <v>12</v>
      </c>
      <c r="B11" s="11"/>
      <c r="C11" s="21">
        <f>'Бюджет прак т 1'!C11</f>
        <v>18000</v>
      </c>
      <c r="D11" s="21"/>
      <c r="E11" s="21">
        <f>'Бюджет прак т 1'!C11</f>
        <v>18000</v>
      </c>
      <c r="F11" s="21"/>
      <c r="G11" s="59"/>
    </row>
    <row r="12" spans="1:12" ht="16" thickBot="1" x14ac:dyDescent="0.25">
      <c r="A12" s="8" t="s">
        <v>13</v>
      </c>
      <c r="B12" s="10"/>
      <c r="C12" s="21">
        <f>'Бюджет прак т 1'!C12</f>
        <v>25000</v>
      </c>
      <c r="D12" s="21"/>
      <c r="E12" s="21">
        <f>'Бюджет прак т 1'!C12</f>
        <v>25000</v>
      </c>
      <c r="F12" s="21"/>
      <c r="G12" s="59"/>
    </row>
    <row r="13" spans="1:12" ht="16" thickBot="1" x14ac:dyDescent="0.25">
      <c r="A13" s="25" t="s">
        <v>35</v>
      </c>
      <c r="B13" s="11"/>
      <c r="C13" s="21">
        <f>'Бюджет прак т 1'!C13</f>
        <v>6000</v>
      </c>
      <c r="D13" s="21">
        <f>'Бюджет прак т 1'!C13</f>
        <v>6000</v>
      </c>
      <c r="E13" s="21"/>
      <c r="F13" s="21"/>
      <c r="G13" s="59"/>
    </row>
    <row r="14" spans="1:12" ht="16" thickBot="1" x14ac:dyDescent="0.25">
      <c r="A14" s="79" t="s">
        <v>77</v>
      </c>
      <c r="B14" s="10"/>
      <c r="C14" s="21">
        <f>'Бюджет прак т 1'!C15</f>
        <v>2100</v>
      </c>
      <c r="D14" s="21">
        <f>'Бюджет прак т 1'!C15</f>
        <v>2100</v>
      </c>
      <c r="E14" s="21"/>
      <c r="F14" s="21"/>
      <c r="G14" s="59"/>
    </row>
    <row r="15" spans="1:12" ht="16" thickBot="1" x14ac:dyDescent="0.25">
      <c r="A15" s="80" t="s">
        <v>78</v>
      </c>
      <c r="B15" s="11"/>
      <c r="C15" s="21">
        <f>'Бюджет прак т 1'!C15</f>
        <v>2100</v>
      </c>
      <c r="D15" s="21"/>
      <c r="E15" s="21"/>
      <c r="F15" s="21">
        <f>'Бюджет прак т 1'!C15</f>
        <v>2100</v>
      </c>
      <c r="G15" s="59"/>
    </row>
    <row r="16" spans="1:12" ht="16" thickBot="1" x14ac:dyDescent="0.25">
      <c r="A16" s="79" t="s">
        <v>79</v>
      </c>
      <c r="B16" s="10"/>
      <c r="C16" s="21">
        <f>'Бюджет прак т 1'!C16</f>
        <v>4500</v>
      </c>
      <c r="D16" s="21"/>
      <c r="E16" s="21"/>
      <c r="F16" s="21">
        <f>'Бюджет прак т 1'!C16</f>
        <v>4500</v>
      </c>
      <c r="G16" s="59"/>
    </row>
    <row r="17" spans="1:10" ht="16" thickBot="1" x14ac:dyDescent="0.25">
      <c r="A17" s="26" t="s">
        <v>15</v>
      </c>
      <c r="B17" s="11"/>
      <c r="C17" s="21">
        <f>'Бюджет прак т 1'!C17</f>
        <v>3000</v>
      </c>
      <c r="D17" s="21"/>
      <c r="E17" s="21"/>
      <c r="F17" s="21">
        <f>'Бюджет прак т 1'!C17</f>
        <v>3000</v>
      </c>
      <c r="G17" s="59"/>
    </row>
    <row r="18" spans="1:10" x14ac:dyDescent="0.2">
      <c r="A18" s="76" t="s">
        <v>16</v>
      </c>
      <c r="B18" s="76"/>
      <c r="C18" s="77">
        <f>C19+C20</f>
        <v>450000</v>
      </c>
      <c r="D18" s="77">
        <f>'Бюджет прак т 3'!C9</f>
        <v>62400</v>
      </c>
      <c r="E18" s="77">
        <f>'Бюджет прак т 3'!D9</f>
        <v>235200</v>
      </c>
      <c r="F18" s="77">
        <f>'Бюджет прак т 3'!E9</f>
        <v>62400</v>
      </c>
      <c r="H18" t="s">
        <v>86</v>
      </c>
      <c r="J18" t="s">
        <v>87</v>
      </c>
    </row>
    <row r="19" spans="1:10" x14ac:dyDescent="0.2">
      <c r="A19" s="34" t="s">
        <v>38</v>
      </c>
      <c r="B19" s="29" t="s">
        <v>31</v>
      </c>
      <c r="C19" s="30">
        <f>'Бюджет прак т 3'!B9</f>
        <v>360000</v>
      </c>
      <c r="D19" s="30">
        <f>'Бюджет прак т 3'!C9</f>
        <v>62400</v>
      </c>
      <c r="E19" s="30">
        <f>'Бюджет прак т 3'!D9</f>
        <v>235200</v>
      </c>
      <c r="F19" s="30">
        <f>'Бюджет прак т 3'!E9</f>
        <v>62400</v>
      </c>
    </row>
    <row r="20" spans="1:10" x14ac:dyDescent="0.2">
      <c r="A20" s="35" t="s">
        <v>69</v>
      </c>
      <c r="B20" s="31" t="s">
        <v>32</v>
      </c>
      <c r="C20" s="30">
        <f>'Бюджет прак т 3'!B10</f>
        <v>90000</v>
      </c>
      <c r="D20" s="30">
        <f>'Бюджет прак т 3'!C10</f>
        <v>15600</v>
      </c>
      <c r="E20" s="30">
        <f>'Бюджет прак т 3'!D10</f>
        <v>58800</v>
      </c>
      <c r="F20" s="30">
        <f>'Бюджет прак т 3'!E10</f>
        <v>15600</v>
      </c>
    </row>
    <row r="21" spans="1:10" x14ac:dyDescent="0.2">
      <c r="A21" s="12" t="s">
        <v>17</v>
      </c>
      <c r="B21" s="12"/>
      <c r="C21" s="33">
        <f>C22+C23</f>
        <v>37500</v>
      </c>
      <c r="D21" s="33">
        <f t="shared" ref="D21:F21" si="2">D22+D23</f>
        <v>22500</v>
      </c>
      <c r="E21" s="33">
        <f t="shared" si="2"/>
        <v>15000</v>
      </c>
      <c r="F21" s="33">
        <f t="shared" si="2"/>
        <v>0</v>
      </c>
    </row>
    <row r="22" spans="1:10" x14ac:dyDescent="0.2">
      <c r="A22" s="16" t="s">
        <v>18</v>
      </c>
      <c r="B22" s="8" t="s">
        <v>31</v>
      </c>
      <c r="C22" s="9">
        <f>'Бюджет прак т 1'!C20</f>
        <v>22500</v>
      </c>
      <c r="D22" s="9">
        <f>C22</f>
        <v>22500</v>
      </c>
      <c r="E22" s="9"/>
      <c r="F22" s="9"/>
      <c r="G22" s="47"/>
    </row>
    <row r="23" spans="1:10" x14ac:dyDescent="0.2">
      <c r="A23" s="15" t="s">
        <v>19</v>
      </c>
      <c r="B23" s="6" t="s">
        <v>31</v>
      </c>
      <c r="C23" s="9">
        <f>'Бюджет прак т 1'!C21</f>
        <v>15000</v>
      </c>
      <c r="D23" s="9"/>
      <c r="E23" s="9">
        <f>C23</f>
        <v>15000</v>
      </c>
      <c r="F23" s="9"/>
      <c r="G23" s="47"/>
    </row>
    <row r="24" spans="1:10" x14ac:dyDescent="0.2">
      <c r="A24" s="10" t="s">
        <v>20</v>
      </c>
      <c r="B24" s="10"/>
      <c r="C24" s="18">
        <f>SUM(C25:C27)</f>
        <v>73600</v>
      </c>
      <c r="D24" s="10"/>
      <c r="E24" s="10"/>
      <c r="F24" s="10"/>
      <c r="G24" s="60"/>
    </row>
    <row r="25" spans="1:10" x14ac:dyDescent="0.2">
      <c r="A25" s="15" t="s">
        <v>21</v>
      </c>
      <c r="B25" s="6" t="s">
        <v>32</v>
      </c>
      <c r="C25" s="9">
        <f>'Бюджет прак т 1'!C23</f>
        <v>37600</v>
      </c>
      <c r="D25" s="51"/>
      <c r="E25" s="51"/>
      <c r="F25" s="51"/>
      <c r="G25" s="60"/>
    </row>
    <row r="26" spans="1:10" x14ac:dyDescent="0.2">
      <c r="A26" s="16" t="s">
        <v>22</v>
      </c>
      <c r="B26" s="8" t="s">
        <v>32</v>
      </c>
      <c r="C26" s="9">
        <f>'Бюджет прак т 1'!C24</f>
        <v>12000</v>
      </c>
      <c r="D26" s="51"/>
      <c r="E26" s="51"/>
      <c r="F26" s="51"/>
      <c r="G26" s="60"/>
    </row>
    <row r="27" spans="1:10" x14ac:dyDescent="0.2">
      <c r="A27" s="15" t="s">
        <v>40</v>
      </c>
      <c r="B27" s="6" t="s">
        <v>32</v>
      </c>
      <c r="C27" s="9">
        <f>'Бюджет прак т 1'!C25</f>
        <v>24000</v>
      </c>
      <c r="D27" s="51"/>
      <c r="E27" s="51"/>
      <c r="F27" s="51"/>
      <c r="G27" s="60"/>
    </row>
    <row r="28" spans="1:10" x14ac:dyDescent="0.2">
      <c r="A28" s="10" t="s">
        <v>41</v>
      </c>
      <c r="B28" s="10" t="s">
        <v>32</v>
      </c>
      <c r="C28" s="18">
        <f>'Бюджет прак т 1'!C26</f>
        <v>30000</v>
      </c>
      <c r="D28" s="53"/>
      <c r="E28" s="53"/>
      <c r="F28" s="53"/>
    </row>
    <row r="29" spans="1:10" x14ac:dyDescent="0.2">
      <c r="A29" s="6" t="s">
        <v>25</v>
      </c>
      <c r="B29" s="6"/>
      <c r="C29" s="7">
        <f>C28+C18</f>
        <v>480000</v>
      </c>
      <c r="D29" s="7">
        <f t="shared" ref="D29:F29" si="3">D28+D3++D24+D10+D18+D21</f>
        <v>93000</v>
      </c>
      <c r="E29" s="7">
        <f t="shared" si="3"/>
        <v>301200</v>
      </c>
      <c r="F29" s="7">
        <f t="shared" si="3"/>
        <v>83700</v>
      </c>
    </row>
    <row r="35" spans="3:6" x14ac:dyDescent="0.2">
      <c r="C35" s="2">
        <f>SUM(C4,C8,C9,C11:C17,C19,C22:C23)</f>
        <v>477900</v>
      </c>
      <c r="D35" s="2">
        <f>SUM(D4,D8,D9,D11:D17,D19,D22:D23)</f>
        <v>93000</v>
      </c>
      <c r="E35" s="2">
        <f>SUM(E4,E8,E9,E11:E17,E19,E22:E23)</f>
        <v>301200</v>
      </c>
      <c r="F35" s="2">
        <f>SUM(F4,F8,F9,F11:F17,F19,F22:F23)</f>
        <v>83700</v>
      </c>
    </row>
    <row r="36" spans="3:6" x14ac:dyDescent="0.2">
      <c r="C36" s="2">
        <f>SUM(C5:C7,C20,C25:C27)</f>
        <v>192100</v>
      </c>
    </row>
    <row r="37" spans="3:6" x14ac:dyDescent="0.2">
      <c r="C37" s="2">
        <f>SUM(C35:C36)</f>
        <v>670000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4E29-7955-4963-B658-8899203F8975}">
  <dimension ref="A1:M39"/>
  <sheetViews>
    <sheetView topLeftCell="A2" workbookViewId="0">
      <selection activeCell="D15" sqref="D15"/>
    </sheetView>
  </sheetViews>
  <sheetFormatPr baseColWidth="10" defaultColWidth="8.83203125" defaultRowHeight="15" x14ac:dyDescent="0.2"/>
  <cols>
    <col min="1" max="1" width="26.5" customWidth="1"/>
    <col min="2" max="2" width="14" customWidth="1"/>
    <col min="3" max="3" width="15.1640625" customWidth="1"/>
    <col min="4" max="4" width="11.5" customWidth="1"/>
    <col min="5" max="5" width="14" customWidth="1"/>
  </cols>
  <sheetData>
    <row r="1" spans="1:13" x14ac:dyDescent="0.2">
      <c r="A1" s="3" t="s">
        <v>43</v>
      </c>
    </row>
    <row r="2" spans="1:13" x14ac:dyDescent="0.2">
      <c r="A2" s="144" t="s">
        <v>44</v>
      </c>
      <c r="B2" s="144" t="s">
        <v>45</v>
      </c>
      <c r="C2" s="145" t="s">
        <v>46</v>
      </c>
      <c r="D2" s="145"/>
      <c r="E2" s="145"/>
      <c r="M2" s="75" t="s">
        <v>105</v>
      </c>
    </row>
    <row r="3" spans="1:13" ht="26" x14ac:dyDescent="0.2">
      <c r="A3" s="144"/>
      <c r="B3" s="144"/>
      <c r="C3" s="48" t="s">
        <v>47</v>
      </c>
      <c r="D3" s="48" t="s">
        <v>28</v>
      </c>
      <c r="E3" s="48" t="s">
        <v>29</v>
      </c>
    </row>
    <row r="4" spans="1:13" x14ac:dyDescent="0.2">
      <c r="A4" s="6" t="s">
        <v>48</v>
      </c>
      <c r="B4" s="57">
        <f>SUM(C4:E4)</f>
        <v>104400</v>
      </c>
      <c r="C4" s="58">
        <f>C26*C27*$G$25</f>
        <v>0</v>
      </c>
      <c r="D4" s="58">
        <f t="shared" ref="D4:E4" si="0">D26*D27*$G$25</f>
        <v>104400</v>
      </c>
      <c r="E4" s="58">
        <f t="shared" si="0"/>
        <v>0</v>
      </c>
      <c r="H4" t="s">
        <v>80</v>
      </c>
    </row>
    <row r="5" spans="1:13" x14ac:dyDescent="0.2">
      <c r="A5" s="8" t="s">
        <v>49</v>
      </c>
      <c r="B5" s="57">
        <f t="shared" ref="B5:B6" si="1">SUM(C5:E5)</f>
        <v>116400</v>
      </c>
      <c r="C5" s="58">
        <f>C28*C29*$G$25</f>
        <v>31200</v>
      </c>
      <c r="D5" s="58">
        <f t="shared" ref="D5:E5" si="2">D28*D29*$G$25</f>
        <v>54000</v>
      </c>
      <c r="E5" s="58">
        <f t="shared" si="2"/>
        <v>31200</v>
      </c>
    </row>
    <row r="6" spans="1:13" x14ac:dyDescent="0.2">
      <c r="A6" s="6" t="s">
        <v>50</v>
      </c>
      <c r="B6" s="57">
        <f t="shared" si="1"/>
        <v>139200</v>
      </c>
      <c r="C6" s="58">
        <f>C29*C30*$G$25</f>
        <v>31200</v>
      </c>
      <c r="D6" s="58">
        <f>D30*D31*$G$25</f>
        <v>76800</v>
      </c>
      <c r="E6" s="58">
        <f t="shared" ref="E6" si="3">E29*E30*$G$25</f>
        <v>31200</v>
      </c>
    </row>
    <row r="7" spans="1:13" x14ac:dyDescent="0.2">
      <c r="A7" s="39" t="s">
        <v>51</v>
      </c>
      <c r="B7" s="57">
        <f>C36*C37*G25</f>
        <v>60000</v>
      </c>
      <c r="C7" s="58" t="s">
        <v>106</v>
      </c>
      <c r="D7" s="58" t="s">
        <v>106</v>
      </c>
      <c r="E7" s="58" t="s">
        <v>106</v>
      </c>
    </row>
    <row r="8" spans="1:13" x14ac:dyDescent="0.2">
      <c r="A8" s="38" t="s">
        <v>52</v>
      </c>
      <c r="B8" s="57">
        <f>C38*C39*$G$25</f>
        <v>30000</v>
      </c>
      <c r="C8" s="58" t="s">
        <v>106</v>
      </c>
      <c r="D8" s="58" t="s">
        <v>106</v>
      </c>
      <c r="E8" s="58" t="s">
        <v>106</v>
      </c>
    </row>
    <row r="9" spans="1:13" x14ac:dyDescent="0.2">
      <c r="A9" s="10" t="s">
        <v>53</v>
      </c>
      <c r="B9" s="18">
        <f>SUM(B4:B6)</f>
        <v>360000</v>
      </c>
      <c r="C9" s="18">
        <f>C5+C6</f>
        <v>62400</v>
      </c>
      <c r="D9" s="18">
        <f>D5+D6+D4</f>
        <v>235200</v>
      </c>
      <c r="E9" s="18">
        <f>E5+E6+E4</f>
        <v>62400</v>
      </c>
      <c r="F9" s="2">
        <f>SUM(B4:B6)</f>
        <v>360000</v>
      </c>
      <c r="H9" t="s">
        <v>81</v>
      </c>
    </row>
    <row r="10" spans="1:13" ht="26" x14ac:dyDescent="0.2">
      <c r="A10" s="38" t="s">
        <v>74</v>
      </c>
      <c r="B10" s="41">
        <f>B7+B8</f>
        <v>90000</v>
      </c>
      <c r="C10" s="81">
        <f>C12*$B$10</f>
        <v>15600</v>
      </c>
      <c r="D10" s="81">
        <f t="shared" ref="D10:E10" si="4">D12*$B$10</f>
        <v>58800</v>
      </c>
      <c r="E10" s="81">
        <f t="shared" si="4"/>
        <v>15600</v>
      </c>
      <c r="G10" t="s">
        <v>83</v>
      </c>
    </row>
    <row r="11" spans="1:13" x14ac:dyDescent="0.2">
      <c r="A11" s="8" t="s">
        <v>25</v>
      </c>
      <c r="B11" s="18">
        <f>SUM(B9,B10)</f>
        <v>450000</v>
      </c>
      <c r="C11" s="8"/>
      <c r="D11" s="8"/>
      <c r="E11" s="8"/>
    </row>
    <row r="12" spans="1:13" x14ac:dyDescent="0.2">
      <c r="A12" s="6" t="s">
        <v>54</v>
      </c>
      <c r="B12" s="6">
        <v>1</v>
      </c>
      <c r="C12" s="1">
        <f>C9/$B$9</f>
        <v>0.17333333333333334</v>
      </c>
      <c r="D12" s="1">
        <f t="shared" ref="D12:E12" si="5">D9/$B$9</f>
        <v>0.65333333333333332</v>
      </c>
      <c r="E12" s="1">
        <f t="shared" si="5"/>
        <v>0.17333333333333334</v>
      </c>
      <c r="G12" t="s">
        <v>82</v>
      </c>
    </row>
    <row r="13" spans="1:13" x14ac:dyDescent="0.2">
      <c r="B13" t="s">
        <v>87</v>
      </c>
    </row>
    <row r="15" spans="1:13" x14ac:dyDescent="0.2">
      <c r="B15" s="42">
        <f>SUM(C10:E10)</f>
        <v>90000</v>
      </c>
    </row>
    <row r="16" spans="1:13" x14ac:dyDescent="0.2">
      <c r="A16" t="s">
        <v>72</v>
      </c>
    </row>
    <row r="17" spans="1:7" x14ac:dyDescent="0.2">
      <c r="A17" t="s">
        <v>70</v>
      </c>
    </row>
    <row r="18" spans="1:7" x14ac:dyDescent="0.2">
      <c r="A18" t="s">
        <v>71</v>
      </c>
    </row>
    <row r="21" spans="1:7" x14ac:dyDescent="0.2">
      <c r="A21" t="s">
        <v>99</v>
      </c>
    </row>
    <row r="22" spans="1:7" ht="16" x14ac:dyDescent="0.2">
      <c r="A22" s="72" t="s">
        <v>103</v>
      </c>
    </row>
    <row r="24" spans="1:7" ht="31.25" customHeight="1" thickBot="1" x14ac:dyDescent="0.25">
      <c r="A24" s="140" t="s">
        <v>44</v>
      </c>
      <c r="B24" s="141"/>
      <c r="C24" s="143" t="s">
        <v>102</v>
      </c>
      <c r="D24" s="143"/>
      <c r="E24" s="143"/>
    </row>
    <row r="25" spans="1:7" ht="52" thickBot="1" x14ac:dyDescent="0.25">
      <c r="A25" s="140"/>
      <c r="B25" s="142"/>
      <c r="C25" s="65" t="s">
        <v>47</v>
      </c>
      <c r="D25" s="66" t="s">
        <v>28</v>
      </c>
      <c r="E25" s="66" t="s">
        <v>29</v>
      </c>
      <c r="G25">
        <v>12</v>
      </c>
    </row>
    <row r="26" spans="1:7" ht="18" thickBot="1" x14ac:dyDescent="0.25">
      <c r="A26" s="67" t="s">
        <v>48</v>
      </c>
      <c r="B26" s="68" t="s">
        <v>100</v>
      </c>
      <c r="C26" s="68"/>
      <c r="D26" s="68">
        <v>6</v>
      </c>
      <c r="E26" s="68"/>
    </row>
    <row r="27" spans="1:7" ht="18" thickBot="1" x14ac:dyDescent="0.25">
      <c r="A27" s="69"/>
      <c r="B27" s="70" t="s">
        <v>101</v>
      </c>
      <c r="C27" s="70">
        <v>0</v>
      </c>
      <c r="D27" s="70">
        <v>1450</v>
      </c>
      <c r="E27" s="70">
        <v>0</v>
      </c>
    </row>
    <row r="28" spans="1:7" ht="35" thickBot="1" x14ac:dyDescent="0.25">
      <c r="A28" s="67" t="s">
        <v>49</v>
      </c>
      <c r="B28" s="68" t="s">
        <v>100</v>
      </c>
      <c r="C28" s="68">
        <v>2</v>
      </c>
      <c r="D28" s="68">
        <v>3</v>
      </c>
      <c r="E28" s="68">
        <v>2</v>
      </c>
    </row>
    <row r="29" spans="1:7" ht="18" thickBot="1" x14ac:dyDescent="0.25">
      <c r="A29" s="69"/>
      <c r="B29" s="70" t="s">
        <v>101</v>
      </c>
      <c r="C29" s="70">
        <v>1300</v>
      </c>
      <c r="D29" s="70">
        <v>1500</v>
      </c>
      <c r="E29" s="70">
        <v>1300</v>
      </c>
    </row>
    <row r="30" spans="1:7" ht="18" thickBot="1" x14ac:dyDescent="0.25">
      <c r="A30" s="67" t="s">
        <v>50</v>
      </c>
      <c r="B30" s="68" t="s">
        <v>100</v>
      </c>
      <c r="C30" s="68">
        <v>2</v>
      </c>
      <c r="D30" s="68">
        <v>4</v>
      </c>
      <c r="E30" s="68">
        <v>2</v>
      </c>
    </row>
    <row r="31" spans="1:7" ht="18" thickBot="1" x14ac:dyDescent="0.25">
      <c r="A31" s="69"/>
      <c r="B31" s="70" t="s">
        <v>101</v>
      </c>
      <c r="C31" s="70">
        <v>1300</v>
      </c>
      <c r="D31" s="70">
        <v>1600</v>
      </c>
      <c r="E31" s="70">
        <v>1300</v>
      </c>
    </row>
    <row r="34" spans="1:3" ht="16" x14ac:dyDescent="0.2">
      <c r="A34" s="71" t="s">
        <v>104</v>
      </c>
    </row>
    <row r="35" spans="1:3" ht="18" thickBot="1" x14ac:dyDescent="0.25">
      <c r="A35" s="73" t="s">
        <v>44</v>
      </c>
      <c r="B35" s="74"/>
      <c r="C35" s="74"/>
    </row>
    <row r="36" spans="1:3" ht="18" thickBot="1" x14ac:dyDescent="0.25">
      <c r="A36" s="67" t="s">
        <v>51</v>
      </c>
      <c r="B36" s="70" t="s">
        <v>100</v>
      </c>
      <c r="C36" s="70">
        <v>5</v>
      </c>
    </row>
    <row r="37" spans="1:3" ht="18" thickBot="1" x14ac:dyDescent="0.25">
      <c r="A37" s="69"/>
      <c r="B37" s="68" t="s">
        <v>101</v>
      </c>
      <c r="C37" s="68">
        <v>1000</v>
      </c>
    </row>
    <row r="38" spans="1:3" ht="18" thickBot="1" x14ac:dyDescent="0.25">
      <c r="A38" s="67" t="s">
        <v>52</v>
      </c>
      <c r="B38" s="70" t="s">
        <v>100</v>
      </c>
      <c r="C38" s="70">
        <v>1</v>
      </c>
    </row>
    <row r="39" spans="1:3" ht="18" thickBot="1" x14ac:dyDescent="0.25">
      <c r="A39" s="69"/>
      <c r="B39" s="68" t="s">
        <v>101</v>
      </c>
      <c r="C39" s="68">
        <v>2500</v>
      </c>
    </row>
  </sheetData>
  <mergeCells count="6">
    <mergeCell ref="A24:A25"/>
    <mergeCell ref="B24:B25"/>
    <mergeCell ref="C24:E24"/>
    <mergeCell ref="A2:A3"/>
    <mergeCell ref="B2:B3"/>
    <mergeCell ref="C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332E-7540-402F-A670-AB015DAD5EC1}">
  <dimension ref="A1:J34"/>
  <sheetViews>
    <sheetView topLeftCell="A14" zoomScale="140" zoomScaleNormal="100" workbookViewId="0">
      <selection activeCell="C30" sqref="C30:C31"/>
    </sheetView>
  </sheetViews>
  <sheetFormatPr baseColWidth="10" defaultColWidth="8.83203125" defaultRowHeight="15" x14ac:dyDescent="0.2"/>
  <cols>
    <col min="1" max="1" width="35" customWidth="1"/>
    <col min="2" max="2" width="16.1640625" customWidth="1"/>
    <col min="3" max="3" width="13.5" customWidth="1"/>
    <col min="4" max="4" width="17.83203125" customWidth="1"/>
    <col min="5" max="5" width="19.1640625" customWidth="1"/>
    <col min="6" max="6" width="24" customWidth="1"/>
  </cols>
  <sheetData>
    <row r="1" spans="1:10" x14ac:dyDescent="0.2">
      <c r="A1" s="4" t="s">
        <v>55</v>
      </c>
    </row>
    <row r="2" spans="1:10" ht="52" x14ac:dyDescent="0.2">
      <c r="A2" s="48" t="s">
        <v>0</v>
      </c>
      <c r="B2" s="48" t="s">
        <v>26</v>
      </c>
      <c r="C2" s="48" t="s">
        <v>56</v>
      </c>
      <c r="D2" s="48" t="s">
        <v>47</v>
      </c>
      <c r="E2" s="48" t="s">
        <v>28</v>
      </c>
      <c r="F2" s="48" t="s">
        <v>29</v>
      </c>
      <c r="G2" s="19" t="s">
        <v>88</v>
      </c>
    </row>
    <row r="3" spans="1:10" x14ac:dyDescent="0.2">
      <c r="A3" s="38" t="s">
        <v>67</v>
      </c>
      <c r="B3" s="37"/>
      <c r="C3" s="45">
        <f>SUM(C4:C9)</f>
        <v>48200</v>
      </c>
      <c r="D3" s="45">
        <f>SUM(D5:D7)</f>
        <v>4940.0000000000009</v>
      </c>
      <c r="E3" s="45">
        <f t="shared" ref="E3:F3" si="0">SUM(E5:E7)</f>
        <v>18620</v>
      </c>
      <c r="F3" s="45">
        <f t="shared" si="0"/>
        <v>4940.0000000000009</v>
      </c>
      <c r="G3" s="2"/>
    </row>
    <row r="4" spans="1:10" x14ac:dyDescent="0.2">
      <c r="A4" s="16" t="s">
        <v>5</v>
      </c>
      <c r="B4" s="8" t="s">
        <v>31</v>
      </c>
      <c r="C4" s="9">
        <f>'Бюджет прак т 1'!C4</f>
        <v>8000</v>
      </c>
      <c r="D4" s="8"/>
      <c r="E4" s="9">
        <f>C4</f>
        <v>8000</v>
      </c>
      <c r="F4" s="8"/>
      <c r="G4" s="2"/>
      <c r="J4" t="s">
        <v>93</v>
      </c>
    </row>
    <row r="5" spans="1:10" x14ac:dyDescent="0.2">
      <c r="A5" s="15" t="s">
        <v>6</v>
      </c>
      <c r="B5" s="11" t="s">
        <v>57</v>
      </c>
      <c r="C5" s="9">
        <f>'Бюджет прак т 1'!C5</f>
        <v>1000</v>
      </c>
      <c r="D5" s="45">
        <f>$C5*'Бюджет прак т 3'!C12</f>
        <v>173.33333333333334</v>
      </c>
      <c r="E5" s="45">
        <f>$C5*'Бюджет прак т 3'!D12</f>
        <v>653.33333333333337</v>
      </c>
      <c r="F5" s="45">
        <f>$C5*'Бюджет прак т 3'!E12</f>
        <v>173.33333333333334</v>
      </c>
      <c r="G5" s="2"/>
      <c r="I5" s="47" t="s">
        <v>89</v>
      </c>
      <c r="J5" t="s">
        <v>90</v>
      </c>
    </row>
    <row r="6" spans="1:10" x14ac:dyDescent="0.2">
      <c r="A6" s="16" t="s">
        <v>7</v>
      </c>
      <c r="B6" s="10" t="s">
        <v>57</v>
      </c>
      <c r="C6" s="9">
        <f>'Бюджет прак т 1'!C6</f>
        <v>1000</v>
      </c>
      <c r="D6" s="45">
        <f>$C6*'Бюджет прак т 3'!C12</f>
        <v>173.33333333333334</v>
      </c>
      <c r="E6" s="45">
        <f>$C6*'Бюджет прак т 3'!D12</f>
        <v>653.33333333333337</v>
      </c>
      <c r="F6" s="45">
        <f>$C6*'Бюджет прак т 3'!E12</f>
        <v>173.33333333333334</v>
      </c>
      <c r="G6" s="2"/>
      <c r="I6" s="47" t="s">
        <v>89</v>
      </c>
      <c r="J6" t="s">
        <v>91</v>
      </c>
    </row>
    <row r="7" spans="1:10" x14ac:dyDescent="0.2">
      <c r="A7" s="15" t="s">
        <v>8</v>
      </c>
      <c r="B7" s="11" t="s">
        <v>57</v>
      </c>
      <c r="C7" s="9">
        <f>'Бюджет прак т 1'!C7</f>
        <v>26500</v>
      </c>
      <c r="D7" s="45">
        <f>$C7*'Бюджет прак т 3'!C12</f>
        <v>4593.3333333333339</v>
      </c>
      <c r="E7" s="45">
        <f>$C7*'Бюджет прак т 3'!D12</f>
        <v>17313.333333333332</v>
      </c>
      <c r="F7" s="45">
        <f>$C7*'Бюджет прак т 3'!E12</f>
        <v>4593.3333333333339</v>
      </c>
      <c r="G7" s="2"/>
      <c r="I7" s="47" t="s">
        <v>89</v>
      </c>
      <c r="J7" t="s">
        <v>92</v>
      </c>
    </row>
    <row r="8" spans="1:10" x14ac:dyDescent="0.2">
      <c r="A8" s="16" t="s">
        <v>9</v>
      </c>
      <c r="B8" s="8" t="s">
        <v>31</v>
      </c>
      <c r="C8" s="9">
        <f>'Бюджет прак т 1'!C8</f>
        <v>1200</v>
      </c>
      <c r="D8" s="8"/>
      <c r="E8" s="8"/>
      <c r="F8" s="9">
        <f>C8</f>
        <v>1200</v>
      </c>
      <c r="G8" s="2"/>
    </row>
    <row r="9" spans="1:10" x14ac:dyDescent="0.2">
      <c r="A9" s="15" t="s">
        <v>58</v>
      </c>
      <c r="B9" s="6" t="s">
        <v>31</v>
      </c>
      <c r="C9" s="9">
        <f>'Бюджет прак т 1'!C9</f>
        <v>10500</v>
      </c>
      <c r="D9" s="8"/>
      <c r="E9" s="8"/>
      <c r="F9" s="9">
        <f>C9</f>
        <v>10500</v>
      </c>
      <c r="G9" s="2"/>
    </row>
    <row r="10" spans="1:10" ht="16" thickBot="1" x14ac:dyDescent="0.25">
      <c r="A10" s="43" t="s">
        <v>34</v>
      </c>
      <c r="B10" s="36"/>
      <c r="C10" s="45">
        <f>'Бюджет прак т 2'!C10</f>
        <v>60700</v>
      </c>
      <c r="D10" s="45">
        <f>'Бюджет прак т 2'!D10</f>
        <v>8100</v>
      </c>
      <c r="E10" s="45">
        <f>'Бюджет прак т 2'!E10</f>
        <v>43000</v>
      </c>
      <c r="F10" s="45">
        <f>'Бюджет прак т 2'!F10</f>
        <v>9600</v>
      </c>
      <c r="G10" s="2"/>
    </row>
    <row r="11" spans="1:10" ht="16" thickBot="1" x14ac:dyDescent="0.25">
      <c r="A11" s="15" t="s">
        <v>12</v>
      </c>
      <c r="B11" s="6" t="s">
        <v>31</v>
      </c>
      <c r="C11" s="21">
        <f>'Бюджет прак т 1'!C11</f>
        <v>18000</v>
      </c>
      <c r="D11" s="21"/>
      <c r="E11" s="21">
        <f>C11</f>
        <v>18000</v>
      </c>
      <c r="F11" s="21"/>
      <c r="G11" s="2"/>
    </row>
    <row r="12" spans="1:10" ht="16" thickBot="1" x14ac:dyDescent="0.25">
      <c r="A12" s="16" t="s">
        <v>13</v>
      </c>
      <c r="B12" s="8" t="s">
        <v>31</v>
      </c>
      <c r="C12" s="21">
        <f>'Бюджет прак т 1'!C12</f>
        <v>25000</v>
      </c>
      <c r="D12" s="21"/>
      <c r="E12" s="21">
        <f>C12</f>
        <v>25000</v>
      </c>
      <c r="F12" s="21"/>
      <c r="G12" s="2"/>
      <c r="J12" t="s">
        <v>93</v>
      </c>
    </row>
    <row r="13" spans="1:10" ht="16" thickBot="1" x14ac:dyDescent="0.25">
      <c r="A13" s="15" t="s">
        <v>35</v>
      </c>
      <c r="B13" s="6" t="s">
        <v>31</v>
      </c>
      <c r="C13" s="21">
        <f>'Бюджет прак т 1'!C13</f>
        <v>6000</v>
      </c>
      <c r="D13" s="21">
        <f>C13</f>
        <v>6000</v>
      </c>
      <c r="E13" s="21"/>
      <c r="F13" s="21"/>
      <c r="G13" s="2"/>
    </row>
    <row r="14" spans="1:10" ht="27" thickBot="1" x14ac:dyDescent="0.25">
      <c r="A14" s="16" t="s">
        <v>36</v>
      </c>
      <c r="B14" s="8" t="s">
        <v>31</v>
      </c>
      <c r="C14" s="21">
        <f>'Бюджет прак т 1'!C14</f>
        <v>2100</v>
      </c>
      <c r="D14" s="21">
        <f>C14</f>
        <v>2100</v>
      </c>
      <c r="E14" s="21"/>
      <c r="F14" s="21"/>
      <c r="G14" s="2"/>
    </row>
    <row r="15" spans="1:10" ht="16" thickBot="1" x14ac:dyDescent="0.25">
      <c r="A15" s="15" t="s">
        <v>59</v>
      </c>
      <c r="B15" s="6" t="s">
        <v>31</v>
      </c>
      <c r="C15" s="21">
        <f>'Бюджет прак т 1'!C15</f>
        <v>2100</v>
      </c>
      <c r="D15" s="21"/>
      <c r="E15" s="21"/>
      <c r="F15" s="21">
        <f>C15</f>
        <v>2100</v>
      </c>
      <c r="G15" s="2"/>
    </row>
    <row r="16" spans="1:10" ht="16" thickBot="1" x14ac:dyDescent="0.25">
      <c r="A16" s="16" t="s">
        <v>37</v>
      </c>
      <c r="B16" s="8" t="s">
        <v>31</v>
      </c>
      <c r="C16" s="21">
        <f>'Бюджет прак т 1'!C16</f>
        <v>4500</v>
      </c>
      <c r="D16" s="21"/>
      <c r="E16" s="21"/>
      <c r="F16" s="21">
        <f>C16</f>
        <v>4500</v>
      </c>
      <c r="G16" s="2"/>
    </row>
    <row r="17" spans="1:10" x14ac:dyDescent="0.2">
      <c r="A17" s="15" t="s">
        <v>15</v>
      </c>
      <c r="B17" s="6" t="s">
        <v>31</v>
      </c>
      <c r="C17" s="21">
        <f>'Бюджет прак т 1'!C17</f>
        <v>3000</v>
      </c>
      <c r="D17" s="21"/>
      <c r="E17" s="21"/>
      <c r="F17" s="21">
        <f>C17</f>
        <v>3000</v>
      </c>
      <c r="G17" s="2"/>
    </row>
    <row r="18" spans="1:10" x14ac:dyDescent="0.2">
      <c r="A18" s="10" t="s">
        <v>64</v>
      </c>
      <c r="B18" s="8"/>
      <c r="C18" s="82">
        <f>'Бюджет прак т 2'!C18</f>
        <v>450000</v>
      </c>
      <c r="D18" s="82">
        <f>'Бюджет прак т 2'!D18</f>
        <v>62400</v>
      </c>
      <c r="E18" s="82">
        <f>'Бюджет прак т 2'!E18</f>
        <v>235200</v>
      </c>
      <c r="F18" s="82">
        <f>'Бюджет прак т 2'!F18</f>
        <v>62400</v>
      </c>
      <c r="G18" s="2"/>
    </row>
    <row r="19" spans="1:10" x14ac:dyDescent="0.2">
      <c r="A19" s="15" t="s">
        <v>38</v>
      </c>
      <c r="B19" s="6" t="s">
        <v>31</v>
      </c>
      <c r="C19" s="83">
        <f>'Бюджет прак т 2'!C19</f>
        <v>360000</v>
      </c>
      <c r="D19" s="83">
        <f>'Бюджет прак т 2'!D19</f>
        <v>62400</v>
      </c>
      <c r="E19" s="83">
        <f>'Бюджет прак т 2'!E19</f>
        <v>235200</v>
      </c>
      <c r="F19" s="83">
        <f>'Бюджет прак т 2'!F19</f>
        <v>62400</v>
      </c>
      <c r="G19" s="2"/>
      <c r="I19" s="47" t="s">
        <v>89</v>
      </c>
    </row>
    <row r="20" spans="1:10" x14ac:dyDescent="0.2">
      <c r="A20" s="16" t="s">
        <v>39</v>
      </c>
      <c r="B20" s="10" t="s">
        <v>57</v>
      </c>
      <c r="C20" s="83">
        <f>'Бюджет прак т 2'!C20</f>
        <v>90000</v>
      </c>
      <c r="D20" s="83">
        <f>'Бюджет прак т 2'!D20</f>
        <v>15600</v>
      </c>
      <c r="E20" s="83">
        <f>'Бюджет прак т 2'!E20</f>
        <v>58800</v>
      </c>
      <c r="F20" s="83">
        <f>'Бюджет прак т 2'!F20</f>
        <v>15600</v>
      </c>
      <c r="G20" s="2"/>
      <c r="I20" s="47" t="s">
        <v>89</v>
      </c>
    </row>
    <row r="21" spans="1:10" x14ac:dyDescent="0.2">
      <c r="A21" s="38" t="s">
        <v>65</v>
      </c>
      <c r="B21" s="37"/>
      <c r="C21" s="44">
        <f>'Бюджет прак т 1'!C19</f>
        <v>37500</v>
      </c>
      <c r="D21" s="40">
        <f>SUM(D22:D23)</f>
        <v>22500</v>
      </c>
      <c r="E21" s="40">
        <f t="shared" ref="E21:F21" si="1">SUM(E22:E23)</f>
        <v>15000</v>
      </c>
      <c r="F21" s="40">
        <f t="shared" si="1"/>
        <v>0</v>
      </c>
      <c r="G21" s="2"/>
    </row>
    <row r="22" spans="1:10" x14ac:dyDescent="0.2">
      <c r="A22" s="16" t="s">
        <v>18</v>
      </c>
      <c r="B22" s="8" t="s">
        <v>31</v>
      </c>
      <c r="C22" s="9">
        <f>'Бюджет прак т 1'!C20</f>
        <v>22500</v>
      </c>
      <c r="D22" s="9">
        <f>'Бюджет прак т 1'!C20</f>
        <v>22500</v>
      </c>
      <c r="E22" s="9">
        <f>'Бюджет прак т 2'!E22</f>
        <v>0</v>
      </c>
      <c r="F22" s="9">
        <f>'Бюджет прак т 2'!F22</f>
        <v>0</v>
      </c>
      <c r="G22" s="2"/>
      <c r="J22" t="s">
        <v>93</v>
      </c>
    </row>
    <row r="23" spans="1:10" x14ac:dyDescent="0.2">
      <c r="A23" s="15" t="s">
        <v>19</v>
      </c>
      <c r="B23" s="6" t="s">
        <v>31</v>
      </c>
      <c r="C23" s="9">
        <f>'Бюджет прак т 1'!C21</f>
        <v>15000</v>
      </c>
      <c r="D23" s="9">
        <f>'Бюджет прак т 2'!D24</f>
        <v>0</v>
      </c>
      <c r="E23" s="9">
        <f>'Бюджет прак т 2'!E23</f>
        <v>15000</v>
      </c>
      <c r="F23" s="9">
        <f>'Бюджет прак т 2'!F23</f>
        <v>0</v>
      </c>
      <c r="G23" s="2"/>
    </row>
    <row r="24" spans="1:10" x14ac:dyDescent="0.2">
      <c r="A24" s="10" t="s">
        <v>66</v>
      </c>
      <c r="B24" s="8"/>
      <c r="C24" s="82">
        <f>'Бюджет прак т 1'!C22</f>
        <v>73600</v>
      </c>
      <c r="D24" s="9">
        <f>'Бюджет прак т 3'!C$12*'Бюджет прак т 4 '!$C24</f>
        <v>12757.333333333334</v>
      </c>
      <c r="E24" s="9">
        <f>'Бюджет прак т 3'!D$12*'Бюджет прак т 4 '!$C24</f>
        <v>48085.333333333336</v>
      </c>
      <c r="F24" s="9">
        <f>'Бюджет прак т 3'!E$12*'Бюджет прак т 4 '!$C24</f>
        <v>12757.333333333334</v>
      </c>
      <c r="G24" s="2"/>
    </row>
    <row r="25" spans="1:10" x14ac:dyDescent="0.2">
      <c r="A25" s="15" t="s">
        <v>21</v>
      </c>
      <c r="B25" s="11" t="s">
        <v>57</v>
      </c>
      <c r="C25" s="18">
        <f>'Бюджет прак т 2'!C25</f>
        <v>37600</v>
      </c>
      <c r="D25" s="61">
        <f>'Бюджет прак т 3'!C$12*'Бюджет прак т 4 '!$C25</f>
        <v>6517.3333333333339</v>
      </c>
      <c r="E25" s="61">
        <f>'Бюджет прак т 3'!D$12*'Бюджет прак т 4 '!$C25</f>
        <v>24565.333333333332</v>
      </c>
      <c r="F25" s="61">
        <f>'Бюджет прак т 3'!E$12*'Бюджет прак т 4 '!$C25</f>
        <v>6517.3333333333339</v>
      </c>
      <c r="G25" s="2"/>
      <c r="I25" s="47" t="s">
        <v>89</v>
      </c>
      <c r="J25" t="s">
        <v>90</v>
      </c>
    </row>
    <row r="26" spans="1:10" x14ac:dyDescent="0.2">
      <c r="A26" s="16" t="s">
        <v>22</v>
      </c>
      <c r="B26" s="10" t="s">
        <v>57</v>
      </c>
      <c r="C26" s="18">
        <f>'Бюджет прак т 2'!C26</f>
        <v>12000</v>
      </c>
      <c r="D26" s="61">
        <f>'Бюджет прак т 3'!C$12*'Бюджет прак т 4 '!$C26</f>
        <v>2080</v>
      </c>
      <c r="E26" s="61">
        <f>'Бюджет прак т 3'!D$12*'Бюджет прак т 4 '!$C26</f>
        <v>7840</v>
      </c>
      <c r="F26" s="61">
        <f>'Бюджет прак т 3'!E$12*'Бюджет прак т 4 '!$C26</f>
        <v>2080</v>
      </c>
      <c r="G26" s="2"/>
      <c r="I26" s="47" t="s">
        <v>89</v>
      </c>
      <c r="J26" t="s">
        <v>91</v>
      </c>
    </row>
    <row r="27" spans="1:10" x14ac:dyDescent="0.2">
      <c r="A27" s="15" t="s">
        <v>40</v>
      </c>
      <c r="B27" s="11" t="s">
        <v>57</v>
      </c>
      <c r="C27" s="18">
        <f>'Бюджет прак т 2'!C27</f>
        <v>24000</v>
      </c>
      <c r="D27" s="61">
        <f>'Бюджет прак т 3'!C$12*'Бюджет прак т 4 '!$C27</f>
        <v>4160</v>
      </c>
      <c r="E27" s="61">
        <f>'Бюджет прак т 3'!D$12*'Бюджет прак т 4 '!$C27</f>
        <v>15680</v>
      </c>
      <c r="F27" s="61">
        <f>'Бюджет прак т 3'!E$12*'Бюджет прак т 4 '!$C27</f>
        <v>4160</v>
      </c>
      <c r="G27" s="2"/>
      <c r="I27" s="47" t="s">
        <v>89</v>
      </c>
      <c r="J27" t="s">
        <v>92</v>
      </c>
    </row>
    <row r="28" spans="1:10" ht="26" x14ac:dyDescent="0.2">
      <c r="A28" s="63" t="s">
        <v>60</v>
      </c>
      <c r="B28" s="63" t="s">
        <v>94</v>
      </c>
      <c r="C28" s="62">
        <f>SUM(C4:C9,C11:C17,C19:C20,C22:C23,C25:C27)</f>
        <v>670000</v>
      </c>
      <c r="D28" s="62">
        <f>SUM(D4:D9,D11:D17,D19:D20,D22:D23,D25:D27)</f>
        <v>126297.33333333333</v>
      </c>
      <c r="E28" s="62">
        <f>SUM(E4:E9,E11:E17,E19:E20,E22:E23,E25:E27)</f>
        <v>426705.33333333331</v>
      </c>
      <c r="F28" s="62">
        <f>SUM(F4:F9,F11:F17,F19:F20,F22:F23,F25:F27)</f>
        <v>116997.33333333333</v>
      </c>
      <c r="G28" s="2"/>
    </row>
    <row r="29" spans="1:10" ht="26" x14ac:dyDescent="0.2">
      <c r="A29" s="11" t="s">
        <v>73</v>
      </c>
      <c r="B29" s="63" t="s">
        <v>94</v>
      </c>
      <c r="C29" s="14">
        <f>SUM(D29:F29)</f>
        <v>1</v>
      </c>
      <c r="D29" s="13">
        <f>D28/$C$28</f>
        <v>0.18850348258706467</v>
      </c>
      <c r="E29" s="13">
        <f t="shared" ref="E29:F29" si="2">E28/$C$28</f>
        <v>0.63687363184079604</v>
      </c>
      <c r="F29" s="13">
        <f t="shared" si="2"/>
        <v>0.17462288557213929</v>
      </c>
      <c r="G29" s="2"/>
    </row>
    <row r="30" spans="1:10" ht="22.75" customHeight="1" x14ac:dyDescent="0.2">
      <c r="A30" s="10" t="s">
        <v>61</v>
      </c>
      <c r="B30" s="8" t="s">
        <v>62</v>
      </c>
      <c r="C30" s="82">
        <f>'Бюджет прак т 2'!C28</f>
        <v>30000</v>
      </c>
      <c r="D30" s="46"/>
      <c r="E30" s="46"/>
      <c r="F30" s="46"/>
      <c r="G30" s="2"/>
      <c r="I30" s="47" t="s">
        <v>95</v>
      </c>
    </row>
    <row r="31" spans="1:10" ht="31.25" customHeight="1" x14ac:dyDescent="0.2">
      <c r="A31" s="11" t="s">
        <v>63</v>
      </c>
      <c r="B31" s="6"/>
      <c r="C31" s="84">
        <f>C28+C30</f>
        <v>700000</v>
      </c>
      <c r="D31" s="7"/>
      <c r="E31" s="7"/>
      <c r="F31" s="7"/>
      <c r="G31" s="2"/>
    </row>
    <row r="34" spans="4:4" x14ac:dyDescent="0.2">
      <c r="D34">
        <f>D28/$C$28</f>
        <v>0.18850348258706467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943D-9E10-4D48-B587-4230CFC0E363}">
  <dimension ref="A1:C12"/>
  <sheetViews>
    <sheetView zoomScale="150" workbookViewId="0">
      <selection activeCell="B12" sqref="B12"/>
    </sheetView>
  </sheetViews>
  <sheetFormatPr baseColWidth="10" defaultRowHeight="15" x14ac:dyDescent="0.2"/>
  <cols>
    <col min="1" max="1" width="25.5" customWidth="1"/>
    <col min="2" max="2" width="19.5" customWidth="1"/>
    <col min="3" max="3" width="85.33203125" customWidth="1"/>
  </cols>
  <sheetData>
    <row r="1" spans="1:3" ht="17" thickBot="1" x14ac:dyDescent="0.25">
      <c r="A1" s="85" t="s">
        <v>107</v>
      </c>
      <c r="B1" s="86">
        <v>800</v>
      </c>
      <c r="C1" s="87" t="s">
        <v>108</v>
      </c>
    </row>
    <row r="2" spans="1:3" ht="17" thickBot="1" x14ac:dyDescent="0.25">
      <c r="A2" s="88" t="s">
        <v>109</v>
      </c>
      <c r="B2" s="98">
        <v>650</v>
      </c>
      <c r="C2" s="90" t="s">
        <v>110</v>
      </c>
    </row>
    <row r="3" spans="1:3" ht="19" thickBot="1" x14ac:dyDescent="0.25">
      <c r="A3" s="91" t="s">
        <v>111</v>
      </c>
      <c r="B3" s="92">
        <v>1.1000000000000001</v>
      </c>
      <c r="C3" s="90" t="s">
        <v>112</v>
      </c>
    </row>
    <row r="4" spans="1:3" ht="18" thickBot="1" x14ac:dyDescent="0.25">
      <c r="A4" s="91" t="s">
        <v>113</v>
      </c>
      <c r="B4" s="92">
        <v>0.05</v>
      </c>
      <c r="C4" s="90" t="s">
        <v>114</v>
      </c>
    </row>
    <row r="5" spans="1:3" ht="18" thickBot="1" x14ac:dyDescent="0.25">
      <c r="A5" s="91" t="s">
        <v>115</v>
      </c>
      <c r="B5" s="92">
        <v>0.3</v>
      </c>
      <c r="C5" s="90" t="s">
        <v>116</v>
      </c>
    </row>
    <row r="6" spans="1:3" ht="18" thickBot="1" x14ac:dyDescent="0.25">
      <c r="A6" s="91" t="s">
        <v>117</v>
      </c>
      <c r="B6" s="92">
        <v>0.1</v>
      </c>
      <c r="C6" s="93" t="s">
        <v>118</v>
      </c>
    </row>
    <row r="7" spans="1:3" ht="18" thickBot="1" x14ac:dyDescent="0.25">
      <c r="A7" s="88" t="s">
        <v>119</v>
      </c>
      <c r="B7" s="94">
        <v>3.5</v>
      </c>
      <c r="C7" s="90" t="s">
        <v>120</v>
      </c>
    </row>
    <row r="8" spans="1:3" ht="19" thickBot="1" x14ac:dyDescent="0.25">
      <c r="A8" s="95" t="s">
        <v>121</v>
      </c>
      <c r="B8" s="92">
        <v>0.495</v>
      </c>
      <c r="C8" s="90" t="s">
        <v>122</v>
      </c>
    </row>
    <row r="9" spans="1:3" ht="17" thickBot="1" x14ac:dyDescent="0.25">
      <c r="A9" s="95" t="s">
        <v>123</v>
      </c>
      <c r="B9" s="96" t="s">
        <v>124</v>
      </c>
      <c r="C9" s="90" t="s">
        <v>125</v>
      </c>
    </row>
    <row r="10" spans="1:3" ht="19" thickBot="1" x14ac:dyDescent="0.25">
      <c r="A10" s="97" t="s">
        <v>126</v>
      </c>
      <c r="B10" s="96" t="s">
        <v>127</v>
      </c>
      <c r="C10" s="90" t="s">
        <v>128</v>
      </c>
    </row>
    <row r="12" spans="1:3" x14ac:dyDescent="0.2">
      <c r="B12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2CAF-24AE-F64D-B1BE-CE48883E9190}">
  <dimension ref="A1:C10"/>
  <sheetViews>
    <sheetView zoomScale="141" workbookViewId="0">
      <selection activeCell="B9" sqref="B9"/>
    </sheetView>
  </sheetViews>
  <sheetFormatPr baseColWidth="10" defaultRowHeight="15" x14ac:dyDescent="0.2"/>
  <cols>
    <col min="1" max="1" width="25.5" customWidth="1"/>
    <col min="2" max="2" width="19.33203125" customWidth="1"/>
    <col min="3" max="3" width="83.1640625" customWidth="1"/>
  </cols>
  <sheetData>
    <row r="1" spans="1:3" ht="17" thickBot="1" x14ac:dyDescent="0.25">
      <c r="A1" s="85" t="s">
        <v>107</v>
      </c>
      <c r="B1" s="86">
        <v>40000</v>
      </c>
      <c r="C1" s="87" t="s">
        <v>108</v>
      </c>
    </row>
    <row r="2" spans="1:3" ht="17" thickBot="1" x14ac:dyDescent="0.25">
      <c r="A2" s="88" t="s">
        <v>109</v>
      </c>
      <c r="B2" s="89">
        <v>850</v>
      </c>
      <c r="C2" s="90" t="s">
        <v>110</v>
      </c>
    </row>
    <row r="3" spans="1:3" ht="19" thickBot="1" x14ac:dyDescent="0.25">
      <c r="A3" s="91" t="s">
        <v>111</v>
      </c>
      <c r="B3" s="92">
        <v>1</v>
      </c>
      <c r="C3" s="90" t="s">
        <v>112</v>
      </c>
    </row>
    <row r="4" spans="1:3" ht="18" thickBot="1" x14ac:dyDescent="0.25">
      <c r="A4" s="91" t="s">
        <v>113</v>
      </c>
      <c r="B4" s="92">
        <v>0.5</v>
      </c>
      <c r="C4" s="90" t="s">
        <v>114</v>
      </c>
    </row>
    <row r="5" spans="1:3" ht="18" thickBot="1" x14ac:dyDescent="0.25">
      <c r="A5" s="91" t="s">
        <v>115</v>
      </c>
      <c r="B5" s="92">
        <v>0</v>
      </c>
      <c r="C5" s="90" t="s">
        <v>116</v>
      </c>
    </row>
    <row r="6" spans="1:3" ht="18" thickBot="1" x14ac:dyDescent="0.25">
      <c r="A6" s="91" t="s">
        <v>117</v>
      </c>
      <c r="B6" s="92">
        <v>0.15</v>
      </c>
      <c r="C6" s="93" t="s">
        <v>118</v>
      </c>
    </row>
    <row r="7" spans="1:3" ht="18" thickBot="1" x14ac:dyDescent="0.25">
      <c r="A7" s="88" t="s">
        <v>119</v>
      </c>
      <c r="B7" s="94">
        <v>2.5</v>
      </c>
      <c r="C7" s="90" t="s">
        <v>120</v>
      </c>
    </row>
    <row r="8" spans="1:3" ht="19" thickBot="1" x14ac:dyDescent="0.25">
      <c r="A8" s="95" t="s">
        <v>121</v>
      </c>
      <c r="B8" s="92">
        <f>B3*(B4+B5+B6)</f>
        <v>0.65</v>
      </c>
      <c r="C8" s="90" t="s">
        <v>122</v>
      </c>
    </row>
    <row r="9" spans="1:3" ht="17" thickBot="1" x14ac:dyDescent="0.25">
      <c r="A9" s="95" t="s">
        <v>123</v>
      </c>
      <c r="B9" s="100">
        <f>B1*B2*B8</f>
        <v>22100000</v>
      </c>
      <c r="C9" s="90" t="s">
        <v>125</v>
      </c>
    </row>
    <row r="10" spans="1:3" ht="19" thickBot="1" x14ac:dyDescent="0.25">
      <c r="A10" s="97" t="s">
        <v>126</v>
      </c>
      <c r="B10" s="96" t="s">
        <v>129</v>
      </c>
      <c r="C10" s="90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C3D6-7C76-1843-88CA-FCEC40D614E1}">
  <dimension ref="A1:B20"/>
  <sheetViews>
    <sheetView topLeftCell="A7" zoomScale="125" zoomScaleNormal="100" workbookViewId="0">
      <selection activeCell="E11" sqref="E11"/>
    </sheetView>
  </sheetViews>
  <sheetFormatPr baseColWidth="10" defaultRowHeight="15" x14ac:dyDescent="0.2"/>
  <cols>
    <col min="1" max="1" width="50.1640625" customWidth="1"/>
    <col min="2" max="2" width="27.1640625" customWidth="1"/>
  </cols>
  <sheetData>
    <row r="1" spans="1:2" ht="16" thickBot="1" x14ac:dyDescent="0.25">
      <c r="A1" s="150" t="s">
        <v>130</v>
      </c>
      <c r="B1" s="151"/>
    </row>
    <row r="2" spans="1:2" ht="16" thickBot="1" x14ac:dyDescent="0.25">
      <c r="A2" s="101" t="s">
        <v>131</v>
      </c>
      <c r="B2" s="102">
        <v>1000</v>
      </c>
    </row>
    <row r="3" spans="1:2" ht="16" thickBot="1" x14ac:dyDescent="0.25">
      <c r="A3" s="101" t="s">
        <v>132</v>
      </c>
      <c r="B3" s="103">
        <v>800</v>
      </c>
    </row>
    <row r="4" spans="1:2" ht="25" customHeight="1" thickBot="1" x14ac:dyDescent="0.25">
      <c r="A4" s="101" t="s">
        <v>133</v>
      </c>
      <c r="B4" s="105">
        <f>B2*B3</f>
        <v>800000</v>
      </c>
    </row>
    <row r="5" spans="1:2" ht="25" customHeight="1" thickBot="1" x14ac:dyDescent="0.25">
      <c r="A5" s="101" t="s">
        <v>134</v>
      </c>
      <c r="B5" s="102">
        <v>5</v>
      </c>
    </row>
    <row r="6" spans="1:2" ht="16" thickBot="1" x14ac:dyDescent="0.25">
      <c r="A6" s="152" t="s">
        <v>135</v>
      </c>
      <c r="B6" s="153"/>
    </row>
    <row r="7" spans="1:2" ht="43" customHeight="1" thickBot="1" x14ac:dyDescent="0.25">
      <c r="A7" s="101" t="s">
        <v>136</v>
      </c>
      <c r="B7" s="104">
        <v>0.3</v>
      </c>
    </row>
    <row r="8" spans="1:2" ht="43" customHeight="1" thickBot="1" x14ac:dyDescent="0.25">
      <c r="A8" s="101" t="s">
        <v>137</v>
      </c>
      <c r="B8" s="104">
        <v>0.1</v>
      </c>
    </row>
    <row r="9" spans="1:2" ht="43" customHeight="1" thickBot="1" x14ac:dyDescent="0.25">
      <c r="A9" s="101" t="s">
        <v>138</v>
      </c>
      <c r="B9" s="102"/>
    </row>
    <row r="10" spans="1:2" ht="43" customHeight="1" thickBot="1" x14ac:dyDescent="0.25">
      <c r="A10" s="101" t="s">
        <v>139</v>
      </c>
      <c r="B10" s="105">
        <v>184</v>
      </c>
    </row>
    <row r="11" spans="1:2" x14ac:dyDescent="0.2">
      <c r="A11" s="146" t="s">
        <v>140</v>
      </c>
      <c r="B11" s="148">
        <v>184000</v>
      </c>
    </row>
    <row r="12" spans="1:2" ht="16" thickBot="1" x14ac:dyDescent="0.25">
      <c r="A12" s="147"/>
      <c r="B12" s="149"/>
    </row>
    <row r="13" spans="1:2" ht="16" thickBot="1" x14ac:dyDescent="0.25">
      <c r="A13" s="152" t="s">
        <v>141</v>
      </c>
      <c r="B13" s="153"/>
    </row>
    <row r="14" spans="1:2" ht="16" thickBot="1" x14ac:dyDescent="0.25">
      <c r="A14" s="101" t="s">
        <v>142</v>
      </c>
      <c r="B14" s="102">
        <v>1000</v>
      </c>
    </row>
    <row r="15" spans="1:2" ht="16" thickBot="1" x14ac:dyDescent="0.25">
      <c r="A15" s="101" t="s">
        <v>143</v>
      </c>
      <c r="B15" s="103">
        <v>150</v>
      </c>
    </row>
    <row r="16" spans="1:2" ht="16" thickBot="1" x14ac:dyDescent="0.25">
      <c r="A16" s="101" t="s">
        <v>144</v>
      </c>
      <c r="B16" s="107">
        <f>B14*B15</f>
        <v>150000</v>
      </c>
    </row>
    <row r="17" spans="1:2" ht="16" thickBot="1" x14ac:dyDescent="0.25">
      <c r="A17" s="101" t="s">
        <v>145</v>
      </c>
      <c r="B17" s="102">
        <v>3</v>
      </c>
    </row>
    <row r="18" spans="1:2" x14ac:dyDescent="0.2">
      <c r="A18" s="146" t="s">
        <v>146</v>
      </c>
      <c r="B18" s="148">
        <v>50000</v>
      </c>
    </row>
    <row r="19" spans="1:2" ht="16" thickBot="1" x14ac:dyDescent="0.25">
      <c r="A19" s="147"/>
      <c r="B19" s="149"/>
    </row>
    <row r="20" spans="1:2" ht="16" thickBot="1" x14ac:dyDescent="0.25">
      <c r="A20" s="101" t="s">
        <v>147</v>
      </c>
      <c r="B20" s="106">
        <f>B11+B18</f>
        <v>234000</v>
      </c>
    </row>
  </sheetData>
  <mergeCells count="7">
    <mergeCell ref="A18:A19"/>
    <mergeCell ref="B18:B19"/>
    <mergeCell ref="A1:B1"/>
    <mergeCell ref="A6:B6"/>
    <mergeCell ref="A11:A12"/>
    <mergeCell ref="B11:B12"/>
    <mergeCell ref="A13:B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F279-8ADD-1148-8BAB-017DA2351834}">
  <dimension ref="A1:C7"/>
  <sheetViews>
    <sheetView workbookViewId="0">
      <selection activeCell="C11" sqref="C11"/>
    </sheetView>
  </sheetViews>
  <sheetFormatPr baseColWidth="10" defaultRowHeight="15" x14ac:dyDescent="0.2"/>
  <cols>
    <col min="1" max="1" width="34" customWidth="1"/>
    <col min="2" max="2" width="28" customWidth="1"/>
    <col min="3" max="3" width="52.83203125" customWidth="1"/>
  </cols>
  <sheetData>
    <row r="1" spans="1:3" ht="18" thickBot="1" x14ac:dyDescent="0.25">
      <c r="A1" s="108" t="s">
        <v>148</v>
      </c>
      <c r="B1" s="109" t="s">
        <v>149</v>
      </c>
      <c r="C1" s="109" t="s">
        <v>150</v>
      </c>
    </row>
    <row r="2" spans="1:3" ht="38" customHeight="1" thickBot="1" x14ac:dyDescent="0.25">
      <c r="A2" s="110" t="s">
        <v>151</v>
      </c>
      <c r="B2" s="111">
        <v>60</v>
      </c>
      <c r="C2" s="112" t="s">
        <v>152</v>
      </c>
    </row>
    <row r="3" spans="1:3" ht="38" customHeight="1" thickBot="1" x14ac:dyDescent="0.25">
      <c r="A3" s="113" t="s">
        <v>153</v>
      </c>
      <c r="B3" s="111">
        <v>400</v>
      </c>
      <c r="C3" s="112" t="s">
        <v>154</v>
      </c>
    </row>
    <row r="4" spans="1:3" ht="38" customHeight="1" thickBot="1" x14ac:dyDescent="0.25">
      <c r="A4" s="110" t="s">
        <v>155</v>
      </c>
      <c r="B4" s="114">
        <v>0.1</v>
      </c>
      <c r="C4" s="112" t="s">
        <v>156</v>
      </c>
    </row>
    <row r="5" spans="1:3" ht="38" customHeight="1" thickBot="1" x14ac:dyDescent="0.25">
      <c r="A5" s="113" t="s">
        <v>157</v>
      </c>
      <c r="B5" s="111">
        <f>1000*10</f>
        <v>10000</v>
      </c>
      <c r="C5" s="112" t="s">
        <v>158</v>
      </c>
    </row>
    <row r="6" spans="1:3" ht="38" customHeight="1" thickBot="1" x14ac:dyDescent="0.25">
      <c r="A6" s="113" t="s">
        <v>159</v>
      </c>
      <c r="B6" s="115">
        <f>B2*B3+B4*B5</f>
        <v>25000</v>
      </c>
      <c r="C6" s="112" t="s">
        <v>160</v>
      </c>
    </row>
    <row r="7" spans="1:3" ht="38" customHeight="1" thickBot="1" x14ac:dyDescent="0.25">
      <c r="A7" s="113" t="s">
        <v>161</v>
      </c>
      <c r="B7" s="115">
        <f>5*B3+B4/12*B5</f>
        <v>2083.3333333333335</v>
      </c>
      <c r="C7" s="112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FA71-9922-474D-AD29-D7C5AF5AF520}">
  <dimension ref="A1:J9"/>
  <sheetViews>
    <sheetView zoomScale="125" zoomScaleNormal="100" workbookViewId="0">
      <selection activeCell="C8" sqref="C8:C9"/>
    </sheetView>
  </sheetViews>
  <sheetFormatPr baseColWidth="10" defaultRowHeight="15" x14ac:dyDescent="0.2"/>
  <cols>
    <col min="3" max="3" width="9.5" bestFit="1" customWidth="1"/>
    <col min="4" max="4" width="8.83203125"/>
    <col min="5" max="6" width="9.5" bestFit="1" customWidth="1"/>
    <col min="7" max="7" width="13.5" customWidth="1"/>
    <col min="8" max="9" width="8.83203125"/>
    <col min="10" max="10" width="11.1640625" customWidth="1"/>
  </cols>
  <sheetData>
    <row r="1" spans="1:10" x14ac:dyDescent="0.2">
      <c r="A1" s="165" t="s">
        <v>163</v>
      </c>
      <c r="B1" s="167">
        <v>2008</v>
      </c>
      <c r="C1" s="168"/>
      <c r="D1" s="167">
        <v>2009</v>
      </c>
      <c r="E1" s="168"/>
      <c r="F1" s="116" t="s">
        <v>164</v>
      </c>
      <c r="G1" s="116" t="s">
        <v>165</v>
      </c>
      <c r="H1" s="171" t="s">
        <v>166</v>
      </c>
      <c r="I1" s="173" t="s">
        <v>167</v>
      </c>
      <c r="J1" s="117" t="s">
        <v>165</v>
      </c>
    </row>
    <row r="2" spans="1:10" ht="29" thickBot="1" x14ac:dyDescent="0.25">
      <c r="A2" s="166"/>
      <c r="B2" s="169"/>
      <c r="C2" s="170"/>
      <c r="D2" s="169"/>
      <c r="E2" s="170"/>
      <c r="F2" s="118" t="s">
        <v>168</v>
      </c>
      <c r="G2" s="118" t="s">
        <v>169</v>
      </c>
      <c r="H2" s="172"/>
      <c r="I2" s="174"/>
      <c r="J2" s="119" t="s">
        <v>170</v>
      </c>
    </row>
    <row r="3" spans="1:10" ht="28" x14ac:dyDescent="0.2">
      <c r="A3" s="159" t="s">
        <v>171</v>
      </c>
      <c r="B3" s="157" t="s">
        <v>172</v>
      </c>
      <c r="C3" s="157" t="s">
        <v>173</v>
      </c>
      <c r="D3" s="157" t="s">
        <v>172</v>
      </c>
      <c r="E3" s="157" t="s">
        <v>173</v>
      </c>
      <c r="F3" s="120" t="s">
        <v>174</v>
      </c>
      <c r="G3" s="120" t="s">
        <v>175</v>
      </c>
      <c r="H3" s="121" t="s">
        <v>176</v>
      </c>
      <c r="I3" s="122" t="s">
        <v>177</v>
      </c>
      <c r="J3" s="123" t="s">
        <v>178</v>
      </c>
    </row>
    <row r="4" spans="1:10" ht="43" thickBot="1" x14ac:dyDescent="0.25">
      <c r="A4" s="175"/>
      <c r="B4" s="158"/>
      <c r="C4" s="158"/>
      <c r="D4" s="158"/>
      <c r="E4" s="158"/>
      <c r="F4" s="124"/>
      <c r="G4" s="124"/>
      <c r="H4" s="125" t="s">
        <v>179</v>
      </c>
      <c r="I4" s="126" t="s">
        <v>180</v>
      </c>
      <c r="J4" s="127"/>
    </row>
    <row r="5" spans="1:10" ht="16" thickBot="1" x14ac:dyDescent="0.25">
      <c r="A5" s="128" t="s">
        <v>181</v>
      </c>
      <c r="B5" s="129">
        <v>100</v>
      </c>
      <c r="C5" s="130">
        <f>B5/B8</f>
        <v>0.3401360544217687</v>
      </c>
      <c r="D5" s="129">
        <v>145</v>
      </c>
      <c r="E5" s="131">
        <f>D5/D8</f>
        <v>0.38057742782152232</v>
      </c>
      <c r="F5" s="131">
        <f>D5/B5-1</f>
        <v>0.44999999999999996</v>
      </c>
      <c r="G5" s="132">
        <f>B5*H5</f>
        <v>40000</v>
      </c>
      <c r="H5" s="133">
        <v>400</v>
      </c>
      <c r="I5" s="134">
        <v>0.1</v>
      </c>
      <c r="J5" s="135">
        <f>G5+G5*F5*I5</f>
        <v>41800</v>
      </c>
    </row>
    <row r="6" spans="1:10" ht="16" thickBot="1" x14ac:dyDescent="0.25">
      <c r="A6" s="128" t="s">
        <v>182</v>
      </c>
      <c r="B6" s="129">
        <v>4</v>
      </c>
      <c r="C6" s="131">
        <f>B6/B8</f>
        <v>1.3605442176870748E-2</v>
      </c>
      <c r="D6" s="129">
        <v>5</v>
      </c>
      <c r="E6" s="131">
        <f>D6/D8</f>
        <v>1.3123359580052493E-2</v>
      </c>
      <c r="F6" s="131">
        <f>D6/B6-1</f>
        <v>0.25</v>
      </c>
      <c r="G6" s="132">
        <f t="shared" ref="G6" si="0">B6*H6</f>
        <v>4000</v>
      </c>
      <c r="H6" s="133">
        <v>1000</v>
      </c>
      <c r="I6" s="134">
        <v>0.02</v>
      </c>
      <c r="J6" s="135">
        <f t="shared" ref="J6:J7" si="1">G6+G6*F6*I6</f>
        <v>4020</v>
      </c>
    </row>
    <row r="7" spans="1:10" ht="16" thickBot="1" x14ac:dyDescent="0.25">
      <c r="A7" s="128" t="s">
        <v>183</v>
      </c>
      <c r="B7" s="129">
        <v>190</v>
      </c>
      <c r="C7" s="130">
        <f>B7/B8</f>
        <v>0.6462585034013606</v>
      </c>
      <c r="D7" s="129">
        <v>231</v>
      </c>
      <c r="E7" s="131">
        <f>D7/D8</f>
        <v>0.60629921259842523</v>
      </c>
      <c r="F7" s="131">
        <f>D7/B7-1</f>
        <v>0.21578947368421053</v>
      </c>
      <c r="G7" s="132">
        <f>B7*H7</f>
        <v>114380</v>
      </c>
      <c r="H7" s="133">
        <v>602</v>
      </c>
      <c r="I7" s="134">
        <v>7.0000000000000007E-2</v>
      </c>
      <c r="J7" s="135">
        <f t="shared" si="1"/>
        <v>116107.74</v>
      </c>
    </row>
    <row r="8" spans="1:10" x14ac:dyDescent="0.2">
      <c r="A8" s="159" t="s">
        <v>184</v>
      </c>
      <c r="B8" s="161">
        <f>SUM(B5:B7)</f>
        <v>294</v>
      </c>
      <c r="C8" s="163">
        <f>SUM(C5:C7)</f>
        <v>1</v>
      </c>
      <c r="D8" s="161">
        <f>SUM(D5:D7)</f>
        <v>381</v>
      </c>
      <c r="E8" s="163">
        <f>SUM(E5:E7)</f>
        <v>1</v>
      </c>
      <c r="F8" s="176"/>
      <c r="G8" s="154">
        <f>SUM(G5:G7)</f>
        <v>158380</v>
      </c>
      <c r="H8" s="156"/>
      <c r="I8" s="156"/>
      <c r="J8" s="136" t="s">
        <v>185</v>
      </c>
    </row>
    <row r="9" spans="1:10" x14ac:dyDescent="0.2">
      <c r="A9" s="160"/>
      <c r="B9" s="162"/>
      <c r="C9" s="164"/>
      <c r="D9" s="162"/>
      <c r="E9" s="164"/>
      <c r="F9" s="155"/>
      <c r="G9" s="155"/>
      <c r="H9" s="155"/>
      <c r="I9" s="155"/>
      <c r="J9" s="137">
        <f>SUM(J5:J7)</f>
        <v>161927.74</v>
      </c>
    </row>
  </sheetData>
  <mergeCells count="19">
    <mergeCell ref="A3:A4"/>
    <mergeCell ref="B3:B4"/>
    <mergeCell ref="F8:F9"/>
    <mergeCell ref="A1:A2"/>
    <mergeCell ref="B1:C2"/>
    <mergeCell ref="D1:E2"/>
    <mergeCell ref="H1:H2"/>
    <mergeCell ref="I1:I2"/>
    <mergeCell ref="A8:A9"/>
    <mergeCell ref="B8:B9"/>
    <mergeCell ref="C8:C9"/>
    <mergeCell ref="D8:D9"/>
    <mergeCell ref="E8:E9"/>
    <mergeCell ref="G8:G9"/>
    <mergeCell ref="H8:H9"/>
    <mergeCell ref="I8:I9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</vt:i4>
      </vt:variant>
    </vt:vector>
  </HeadingPairs>
  <TitlesOfParts>
    <vt:vector size="14" baseType="lpstr">
      <vt:lpstr>Бюджет прак т 1</vt:lpstr>
      <vt:lpstr>Бюджет прак т 2</vt:lpstr>
      <vt:lpstr>Бюджет прак т 3</vt:lpstr>
      <vt:lpstr>Бюджет прак т 4 </vt:lpstr>
      <vt:lpstr>Пример 1</vt:lpstr>
      <vt:lpstr>Пример 2</vt:lpstr>
      <vt:lpstr>Пример 3</vt:lpstr>
      <vt:lpstr>Пример 5</vt:lpstr>
      <vt:lpstr>Пример 6</vt:lpstr>
      <vt:lpstr>Задание 1</vt:lpstr>
      <vt:lpstr>Задание 2</vt:lpstr>
      <vt:lpstr>Задание 3</vt:lpstr>
      <vt:lpstr>'Задание 1'!_ftn1</vt:lpstr>
      <vt:lpstr>'Задание 1'!_ftnref1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Лися</dc:creator>
  <cp:lastModifiedBy>Microsoft Office User</cp:lastModifiedBy>
  <dcterms:created xsi:type="dcterms:W3CDTF">2017-03-14T09:17:27Z</dcterms:created>
  <dcterms:modified xsi:type="dcterms:W3CDTF">2020-12-23T11:07:57Z</dcterms:modified>
</cp:coreProperties>
</file>