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AIGYAN\Desktop\GITHUB-PRACTICA-II\2_PAR\"/>
    </mc:Choice>
  </mc:AlternateContent>
  <xr:revisionPtr revIDLastSave="0" documentId="13_ncr:1_{B10AF11A-0386-4077-AABE-916B2C81CE4D}" xr6:coauthVersionLast="47" xr6:coauthVersionMax="47" xr10:uidLastSave="{00000000-0000-0000-0000-000000000000}"/>
  <bookViews>
    <workbookView xWindow="20370" yWindow="-2070" windowWidth="21840" windowHeight="13140" xr2:uid="{6BFB9438-6501-483F-BB1E-B8FF51C5D7B4}"/>
  </bookViews>
  <sheets>
    <sheet name="Definition" sheetId="1" r:id="rId1"/>
    <sheet name="ficheroM1300" sheetId="2" r:id="rId2"/>
    <sheet name="ficheroOTROS" sheetId="3" r:id="rId3"/>
  </sheets>
  <definedNames>
    <definedName name="_xlnm._FilterDatabase" localSheetId="0">Definition!$A$2:$K$64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7" i="1" l="1"/>
  <c r="J137" i="1"/>
  <c r="F137" i="1"/>
  <c r="E137" i="1"/>
  <c r="E138" i="1"/>
  <c r="F138" i="1"/>
  <c r="H138" i="1"/>
  <c r="J138" i="1"/>
  <c r="E115" i="1"/>
  <c r="H117" i="1"/>
  <c r="J120" i="1"/>
  <c r="F36" i="1" l="1"/>
  <c r="E37" i="1"/>
  <c r="E36" i="1"/>
  <c r="H132" i="1"/>
  <c r="H131" i="1"/>
  <c r="H134" i="1" s="1"/>
  <c r="H130" i="1"/>
  <c r="H129" i="1"/>
  <c r="H127" i="1"/>
  <c r="H126" i="1"/>
  <c r="E122" i="1"/>
  <c r="J123" i="1"/>
  <c r="F123" i="1"/>
  <c r="E123" i="1"/>
  <c r="H128" i="1" l="1"/>
  <c r="J30" i="1"/>
  <c r="H39" i="1"/>
  <c r="E5" i="1"/>
  <c r="A2" i="2" s="1"/>
  <c r="A120" i="3"/>
  <c r="A79" i="3"/>
  <c r="A85" i="3"/>
  <c r="A64" i="3"/>
  <c r="A74" i="3"/>
  <c r="A56" i="3"/>
  <c r="A61" i="3"/>
  <c r="A44" i="3"/>
  <c r="A45" i="3"/>
  <c r="A50" i="3"/>
  <c r="A28" i="3"/>
  <c r="A1" i="3"/>
  <c r="A14" i="3"/>
  <c r="A107" i="2"/>
  <c r="A97" i="2"/>
  <c r="A86" i="2"/>
  <c r="A81" i="2"/>
  <c r="A62" i="2"/>
  <c r="A25" i="2"/>
  <c r="A12" i="2"/>
  <c r="A1" i="2"/>
  <c r="J231" i="1"/>
  <c r="J214" i="1"/>
  <c r="J215" i="1"/>
  <c r="J216" i="1"/>
  <c r="J217" i="1"/>
  <c r="J218" i="1"/>
  <c r="J219" i="1"/>
  <c r="J220" i="1"/>
  <c r="J221" i="1"/>
  <c r="J222" i="1"/>
  <c r="J223" i="1"/>
  <c r="J224" i="1"/>
  <c r="J225" i="1"/>
  <c r="J226" i="1"/>
  <c r="J227" i="1"/>
  <c r="J213" i="1"/>
  <c r="J209" i="1"/>
  <c r="J207" i="1"/>
  <c r="J205" i="1"/>
  <c r="J199" i="1"/>
  <c r="J197" i="1"/>
  <c r="J196" i="1"/>
  <c r="J192" i="1"/>
  <c r="J186" i="1"/>
  <c r="J181" i="1"/>
  <c r="J172" i="1"/>
  <c r="J169" i="1"/>
  <c r="J168" i="1"/>
  <c r="J162" i="1"/>
  <c r="J157" i="1"/>
  <c r="J158" i="1"/>
  <c r="J156" i="1"/>
  <c r="J149" i="1"/>
  <c r="J150" i="1"/>
  <c r="J151" i="1"/>
  <c r="J152" i="1"/>
  <c r="J148" i="1"/>
  <c r="J145" i="1"/>
  <c r="J144" i="1"/>
  <c r="J140" i="1"/>
  <c r="J141" i="1"/>
  <c r="J142" i="1"/>
  <c r="J139" i="1"/>
  <c r="J133" i="1"/>
  <c r="J125" i="1"/>
  <c r="J118" i="1"/>
  <c r="J116" i="1"/>
  <c r="J102" i="1"/>
  <c r="J80" i="1"/>
  <c r="J69" i="1"/>
  <c r="J65" i="1"/>
  <c r="J63" i="1"/>
  <c r="J60" i="1"/>
  <c r="J57" i="1"/>
  <c r="J49" i="1"/>
  <c r="J46" i="1"/>
  <c r="J38" i="1"/>
  <c r="J31" i="1"/>
  <c r="J32" i="1"/>
  <c r="J19" i="1"/>
  <c r="J17" i="1"/>
  <c r="J10" i="1"/>
  <c r="J6" i="1"/>
  <c r="E230" i="1"/>
  <c r="A121" i="3" s="1"/>
  <c r="E195" i="1"/>
  <c r="A86" i="3" s="1"/>
  <c r="E155" i="1"/>
  <c r="A46" i="3" s="1"/>
  <c r="A15" i="3"/>
  <c r="E95" i="1"/>
  <c r="A98" i="2" s="1"/>
  <c r="E232" i="1" l="1"/>
  <c r="A123" i="3" s="1"/>
  <c r="F231" i="1"/>
  <c r="E231" i="1"/>
  <c r="A122" i="3" s="1"/>
  <c r="A26" i="2"/>
  <c r="H21" i="1"/>
  <c r="H201" i="1"/>
  <c r="F201" i="1" s="1"/>
  <c r="H200" i="1"/>
  <c r="F200" i="1" s="1"/>
  <c r="H185" i="1"/>
  <c r="H187" i="1" s="1"/>
  <c r="F187" i="1" s="1"/>
  <c r="H182" i="1"/>
  <c r="F182" i="1" s="1"/>
  <c r="H180" i="1"/>
  <c r="F180" i="1" s="1"/>
  <c r="H178" i="1"/>
  <c r="F178" i="1" s="1"/>
  <c r="H164" i="1"/>
  <c r="H228" i="1" s="1"/>
  <c r="F228" i="1" s="1"/>
  <c r="H163" i="1"/>
  <c r="H143" i="1"/>
  <c r="F143" i="1" s="1"/>
  <c r="F134" i="1"/>
  <c r="F130" i="1"/>
  <c r="F129" i="1"/>
  <c r="F127" i="1"/>
  <c r="F126" i="1"/>
  <c r="H119" i="1"/>
  <c r="F119" i="1" s="1"/>
  <c r="H100" i="1"/>
  <c r="H232" i="1" s="1"/>
  <c r="F232" i="1" s="1"/>
  <c r="H75" i="1"/>
  <c r="F75" i="1" s="1"/>
  <c r="H73" i="1"/>
  <c r="F73" i="1" s="1"/>
  <c r="F61" i="1"/>
  <c r="H58" i="1"/>
  <c r="H59" i="1" s="1"/>
  <c r="H55" i="1"/>
  <c r="H53" i="1"/>
  <c r="H51" i="1"/>
  <c r="H50" i="1"/>
  <c r="H45" i="1"/>
  <c r="H20" i="1" s="1"/>
  <c r="H43" i="1"/>
  <c r="H40" i="1"/>
  <c r="H24" i="1"/>
  <c r="H12" i="1"/>
  <c r="H11" i="1"/>
  <c r="H9" i="1"/>
  <c r="H7" i="1"/>
  <c r="H48" i="1" s="1"/>
  <c r="H208" i="1"/>
  <c r="H212" i="1" s="1"/>
  <c r="F212" i="1" s="1"/>
  <c r="H206" i="1"/>
  <c r="H211" i="1" s="1"/>
  <c r="F211" i="1" s="1"/>
  <c r="H204" i="1"/>
  <c r="H210" i="1" s="1"/>
  <c r="F210" i="1" s="1"/>
  <c r="E204" i="1"/>
  <c r="A95" i="3" s="1"/>
  <c r="E205" i="1"/>
  <c r="A96" i="3" s="1"/>
  <c r="F205" i="1"/>
  <c r="E206" i="1"/>
  <c r="A97" i="3" s="1"/>
  <c r="E207" i="1"/>
  <c r="A98" i="3" s="1"/>
  <c r="F207" i="1"/>
  <c r="E208" i="1"/>
  <c r="A99" i="3" s="1"/>
  <c r="E209" i="1"/>
  <c r="A100" i="3" s="1"/>
  <c r="F209" i="1"/>
  <c r="E210" i="1"/>
  <c r="A101" i="3" s="1"/>
  <c r="E211" i="1"/>
  <c r="A102" i="3" s="1"/>
  <c r="E212" i="1"/>
  <c r="A103" i="3" s="1"/>
  <c r="E213" i="1"/>
  <c r="A104" i="3" s="1"/>
  <c r="F213" i="1"/>
  <c r="E214" i="1"/>
  <c r="A105" i="3" s="1"/>
  <c r="F214" i="1"/>
  <c r="E215" i="1"/>
  <c r="A106" i="3" s="1"/>
  <c r="F215" i="1"/>
  <c r="E216" i="1"/>
  <c r="A107" i="3" s="1"/>
  <c r="F216" i="1"/>
  <c r="E217" i="1"/>
  <c r="A108" i="3" s="1"/>
  <c r="F217" i="1"/>
  <c r="E218" i="1"/>
  <c r="A109" i="3" s="1"/>
  <c r="F218" i="1"/>
  <c r="E219" i="1"/>
  <c r="A110" i="3" s="1"/>
  <c r="F219" i="1"/>
  <c r="E220" i="1"/>
  <c r="A111" i="3" s="1"/>
  <c r="F220" i="1"/>
  <c r="E221" i="1"/>
  <c r="A112" i="3" s="1"/>
  <c r="F221" i="1"/>
  <c r="E222" i="1"/>
  <c r="A113" i="3" s="1"/>
  <c r="F222" i="1"/>
  <c r="E223" i="1"/>
  <c r="A114" i="3" s="1"/>
  <c r="F223" i="1"/>
  <c r="E224" i="1"/>
  <c r="A115" i="3" s="1"/>
  <c r="F224" i="1"/>
  <c r="E225" i="1"/>
  <c r="A116" i="3" s="1"/>
  <c r="F225" i="1"/>
  <c r="E226" i="1"/>
  <c r="A117" i="3" s="1"/>
  <c r="F226" i="1"/>
  <c r="E227" i="1"/>
  <c r="A118" i="3" s="1"/>
  <c r="F227" i="1"/>
  <c r="E228" i="1"/>
  <c r="A119" i="3" s="1"/>
  <c r="E189" i="1"/>
  <c r="A80" i="3" s="1"/>
  <c r="E184" i="1"/>
  <c r="A75" i="3" s="1"/>
  <c r="E174" i="1"/>
  <c r="A65" i="3" s="1"/>
  <c r="E171" i="1"/>
  <c r="A62" i="3" s="1"/>
  <c r="E166" i="1"/>
  <c r="A57" i="3" s="1"/>
  <c r="E160" i="1"/>
  <c r="A51" i="3" s="1"/>
  <c r="H161" i="1"/>
  <c r="E164" i="1"/>
  <c r="A55" i="3" s="1"/>
  <c r="E167" i="1"/>
  <c r="A58" i="3" s="1"/>
  <c r="E168" i="1"/>
  <c r="A59" i="3" s="1"/>
  <c r="F168" i="1"/>
  <c r="E169" i="1"/>
  <c r="A60" i="3" s="1"/>
  <c r="F169" i="1"/>
  <c r="E172" i="1"/>
  <c r="A63" i="3" s="1"/>
  <c r="F172" i="1"/>
  <c r="E175" i="1"/>
  <c r="A66" i="3" s="1"/>
  <c r="E176" i="1"/>
  <c r="A67" i="3" s="1"/>
  <c r="E177" i="1"/>
  <c r="A68" i="3" s="1"/>
  <c r="E178" i="1"/>
  <c r="A69" i="3" s="1"/>
  <c r="E179" i="1"/>
  <c r="A70" i="3" s="1"/>
  <c r="E180" i="1"/>
  <c r="A71" i="3" s="1"/>
  <c r="E181" i="1"/>
  <c r="A72" i="3" s="1"/>
  <c r="F181" i="1"/>
  <c r="E182" i="1"/>
  <c r="A73" i="3" s="1"/>
  <c r="E185" i="1"/>
  <c r="A76" i="3" s="1"/>
  <c r="E186" i="1"/>
  <c r="A77" i="3" s="1"/>
  <c r="F186" i="1"/>
  <c r="E187" i="1"/>
  <c r="A78" i="3" s="1"/>
  <c r="E190" i="1"/>
  <c r="A81" i="3" s="1"/>
  <c r="E191" i="1"/>
  <c r="A82" i="3" s="1"/>
  <c r="E192" i="1"/>
  <c r="A83" i="3" s="1"/>
  <c r="F192" i="1"/>
  <c r="E193" i="1"/>
  <c r="A84" i="3" s="1"/>
  <c r="E196" i="1"/>
  <c r="A87" i="3" s="1"/>
  <c r="F196" i="1"/>
  <c r="E197" i="1"/>
  <c r="A88" i="3" s="1"/>
  <c r="F197" i="1"/>
  <c r="E198" i="1"/>
  <c r="A89" i="3" s="1"/>
  <c r="E199" i="1"/>
  <c r="A90" i="3" s="1"/>
  <c r="F199" i="1"/>
  <c r="E200" i="1"/>
  <c r="A91" i="3" s="1"/>
  <c r="E201" i="1"/>
  <c r="A92" i="3" s="1"/>
  <c r="E202" i="1"/>
  <c r="A93" i="3" s="1"/>
  <c r="E163" i="1"/>
  <c r="A54" i="3" s="1"/>
  <c r="F162" i="1"/>
  <c r="E162" i="1"/>
  <c r="A53" i="3" s="1"/>
  <c r="E161" i="1"/>
  <c r="A52" i="3" s="1"/>
  <c r="A29" i="3"/>
  <c r="H147" i="1"/>
  <c r="H203" i="1" s="1"/>
  <c r="F203" i="1" s="1"/>
  <c r="H146" i="1"/>
  <c r="H202" i="1" s="1"/>
  <c r="F202" i="1" s="1"/>
  <c r="E134" i="1"/>
  <c r="A27" i="3" s="1"/>
  <c r="A2" i="3"/>
  <c r="E116" i="1"/>
  <c r="A3" i="3" s="1"/>
  <c r="F116" i="1"/>
  <c r="E117" i="1"/>
  <c r="A4" i="3" s="1"/>
  <c r="E118" i="1"/>
  <c r="A5" i="3" s="1"/>
  <c r="F118" i="1"/>
  <c r="E119" i="1"/>
  <c r="A6" i="3" s="1"/>
  <c r="E120" i="1"/>
  <c r="A7" i="3" s="1"/>
  <c r="F120" i="1"/>
  <c r="A8" i="3"/>
  <c r="A9" i="3"/>
  <c r="A10" i="3"/>
  <c r="A11" i="3"/>
  <c r="A12" i="3"/>
  <c r="A13" i="3"/>
  <c r="E125" i="1"/>
  <c r="A16" i="3" s="1"/>
  <c r="F125" i="1"/>
  <c r="E126" i="1"/>
  <c r="A17" i="3" s="1"/>
  <c r="E127" i="1"/>
  <c r="A18" i="3" s="1"/>
  <c r="E128" i="1"/>
  <c r="A19" i="3" s="1"/>
  <c r="A20" i="3"/>
  <c r="E129" i="1"/>
  <c r="A21" i="3" s="1"/>
  <c r="E130" i="1"/>
  <c r="A22" i="3" s="1"/>
  <c r="E131" i="1"/>
  <c r="A23" i="3" s="1"/>
  <c r="E124" i="1"/>
  <c r="A24" i="3" s="1"/>
  <c r="F124" i="1"/>
  <c r="E132" i="1"/>
  <c r="A25" i="3" s="1"/>
  <c r="E133" i="1"/>
  <c r="A26" i="3" s="1"/>
  <c r="F133" i="1"/>
  <c r="E139" i="1"/>
  <c r="A30" i="3" s="1"/>
  <c r="F139" i="1"/>
  <c r="E140" i="1"/>
  <c r="A31" i="3" s="1"/>
  <c r="F140" i="1"/>
  <c r="E141" i="1"/>
  <c r="A32" i="3" s="1"/>
  <c r="F141" i="1"/>
  <c r="E142" i="1"/>
  <c r="A33" i="3" s="1"/>
  <c r="F142" i="1"/>
  <c r="E143" i="1"/>
  <c r="A34" i="3" s="1"/>
  <c r="E144" i="1"/>
  <c r="A35" i="3" s="1"/>
  <c r="F144" i="1"/>
  <c r="E145" i="1"/>
  <c r="A36" i="3" s="1"/>
  <c r="F145" i="1"/>
  <c r="E146" i="1"/>
  <c r="A37" i="3" s="1"/>
  <c r="E147" i="1"/>
  <c r="A38" i="3" s="1"/>
  <c r="E148" i="1"/>
  <c r="A39" i="3" s="1"/>
  <c r="F148" i="1"/>
  <c r="E149" i="1"/>
  <c r="A40" i="3" s="1"/>
  <c r="F149" i="1"/>
  <c r="E150" i="1"/>
  <c r="A41" i="3" s="1"/>
  <c r="F150" i="1"/>
  <c r="E151" i="1"/>
  <c r="A42" i="3" s="1"/>
  <c r="F151" i="1"/>
  <c r="E152" i="1"/>
  <c r="A43" i="3" s="1"/>
  <c r="F152" i="1"/>
  <c r="E156" i="1"/>
  <c r="A47" i="3" s="1"/>
  <c r="F156" i="1"/>
  <c r="E157" i="1"/>
  <c r="A48" i="3" s="1"/>
  <c r="F157" i="1"/>
  <c r="E158" i="1"/>
  <c r="A49" i="3" s="1"/>
  <c r="F158" i="1"/>
  <c r="E84" i="1"/>
  <c r="A87" i="2" s="1"/>
  <c r="E79" i="1"/>
  <c r="A82" i="2" s="1"/>
  <c r="F80" i="1"/>
  <c r="E85" i="1"/>
  <c r="A88" i="2" s="1"/>
  <c r="E86" i="1"/>
  <c r="A89" i="2" s="1"/>
  <c r="E87" i="1"/>
  <c r="A90" i="2" s="1"/>
  <c r="E88" i="1"/>
  <c r="A91" i="2" s="1"/>
  <c r="E89" i="1"/>
  <c r="A92" i="2" s="1"/>
  <c r="E90" i="1"/>
  <c r="A93" i="2" s="1"/>
  <c r="E91" i="1"/>
  <c r="A94" i="2" s="1"/>
  <c r="E92" i="1"/>
  <c r="A95" i="2" s="1"/>
  <c r="E93" i="1"/>
  <c r="A96" i="2" s="1"/>
  <c r="E96" i="1"/>
  <c r="A99" i="2" s="1"/>
  <c r="E97" i="1"/>
  <c r="A100" i="2" s="1"/>
  <c r="E98" i="1"/>
  <c r="A101" i="2" s="1"/>
  <c r="E99" i="1"/>
  <c r="A102" i="2" s="1"/>
  <c r="E100" i="1"/>
  <c r="A103" i="2" s="1"/>
  <c r="E101" i="1"/>
  <c r="A104" i="2" s="1"/>
  <c r="E102" i="1"/>
  <c r="A105" i="2" s="1"/>
  <c r="F102" i="1"/>
  <c r="E103" i="1"/>
  <c r="A106" i="2" s="1"/>
  <c r="E68" i="1"/>
  <c r="A63" i="2" s="1"/>
  <c r="E71" i="1"/>
  <c r="A66" i="2" s="1"/>
  <c r="E72" i="1"/>
  <c r="A67" i="2" s="1"/>
  <c r="E73" i="1"/>
  <c r="A68" i="2" s="1"/>
  <c r="E74" i="1"/>
  <c r="A69" i="2" s="1"/>
  <c r="E75" i="1"/>
  <c r="A70" i="2" s="1"/>
  <c r="E76" i="1"/>
  <c r="A71" i="2" s="1"/>
  <c r="E77" i="1"/>
  <c r="A72" i="2" s="1"/>
  <c r="A73" i="2"/>
  <c r="A74" i="2"/>
  <c r="A75" i="2"/>
  <c r="A76" i="2"/>
  <c r="A77" i="2"/>
  <c r="A78" i="2"/>
  <c r="A79" i="2"/>
  <c r="A80" i="2"/>
  <c r="E80" i="1"/>
  <c r="A83" i="2" s="1"/>
  <c r="E81" i="1"/>
  <c r="A84" i="2" s="1"/>
  <c r="E82" i="1"/>
  <c r="A85" i="2" s="1"/>
  <c r="E203" i="1"/>
  <c r="A94" i="3" s="1"/>
  <c r="F60" i="1"/>
  <c r="F62" i="1"/>
  <c r="F63" i="1"/>
  <c r="F65" i="1"/>
  <c r="F69" i="1"/>
  <c r="E65" i="1"/>
  <c r="A60" i="2" s="1"/>
  <c r="E66" i="1"/>
  <c r="A61" i="2" s="1"/>
  <c r="E69" i="1"/>
  <c r="A64" i="2" s="1"/>
  <c r="E70" i="1"/>
  <c r="A65" i="2" s="1"/>
  <c r="E16" i="1"/>
  <c r="A13" i="2" s="1"/>
  <c r="E26" i="1"/>
  <c r="A23" i="2" s="1"/>
  <c r="E27" i="1"/>
  <c r="A24" i="2" s="1"/>
  <c r="E21" i="1"/>
  <c r="E22" i="1"/>
  <c r="A19" i="2" s="1"/>
  <c r="E23" i="1"/>
  <c r="A20" i="2" s="1"/>
  <c r="E24" i="1"/>
  <c r="A21" i="2" s="1"/>
  <c r="E25" i="1"/>
  <c r="A22" i="2" s="1"/>
  <c r="E17" i="1"/>
  <c r="A14" i="2" s="1"/>
  <c r="E18" i="1"/>
  <c r="A15" i="2" s="1"/>
  <c r="E19" i="1"/>
  <c r="A16" i="2" s="1"/>
  <c r="E30" i="1"/>
  <c r="A27" i="2" s="1"/>
  <c r="E6" i="1"/>
  <c r="A3" i="2" s="1"/>
  <c r="E32" i="1"/>
  <c r="A29" i="2" s="1"/>
  <c r="E31" i="1"/>
  <c r="A28" i="2" s="1"/>
  <c r="F161" i="1" l="1"/>
  <c r="H103" i="1"/>
  <c r="F103" i="1" s="1"/>
  <c r="F164" i="1"/>
  <c r="A18" i="2"/>
  <c r="F117" i="1"/>
  <c r="H27" i="1"/>
  <c r="F100" i="1"/>
  <c r="H52" i="1"/>
  <c r="H56" i="1"/>
  <c r="F146" i="1"/>
  <c r="F132" i="1"/>
  <c r="H33" i="1"/>
  <c r="F206" i="1"/>
  <c r="F147" i="1"/>
  <c r="H14" i="1"/>
  <c r="F208" i="1"/>
  <c r="F163" i="1"/>
  <c r="H101" i="1"/>
  <c r="F101" i="1" s="1"/>
  <c r="H54" i="1"/>
  <c r="H13" i="1"/>
  <c r="H190" i="1"/>
  <c r="F131" i="1"/>
  <c r="F204" i="1"/>
  <c r="F185" i="1"/>
  <c r="H66" i="1"/>
  <c r="F66" i="1" s="1"/>
  <c r="E7" i="1"/>
  <c r="A4" i="2" s="1"/>
  <c r="E8" i="1"/>
  <c r="A5" i="2" s="1"/>
  <c r="E9" i="1"/>
  <c r="A6" i="2" s="1"/>
  <c r="E10" i="1"/>
  <c r="A7" i="2" s="1"/>
  <c r="E11" i="1"/>
  <c r="A8" i="2" s="1"/>
  <c r="E12" i="1"/>
  <c r="A9" i="2" s="1"/>
  <c r="E13" i="1"/>
  <c r="A10" i="2" s="1"/>
  <c r="E14" i="1"/>
  <c r="A11" i="2" s="1"/>
  <c r="E20" i="1"/>
  <c r="A17" i="2" s="1"/>
  <c r="E34" i="1"/>
  <c r="A31" i="2" s="1"/>
  <c r="E35" i="1"/>
  <c r="A32" i="2" s="1"/>
  <c r="E33" i="1"/>
  <c r="A30" i="2" s="1"/>
  <c r="E38" i="1"/>
  <c r="A33" i="2" s="1"/>
  <c r="E39" i="1"/>
  <c r="A34" i="2" s="1"/>
  <c r="E40" i="1"/>
  <c r="A35" i="2" s="1"/>
  <c r="E41" i="1"/>
  <c r="A36" i="2" s="1"/>
  <c r="E42" i="1"/>
  <c r="A37" i="2" s="1"/>
  <c r="E43" i="1"/>
  <c r="A38" i="2" s="1"/>
  <c r="E44" i="1"/>
  <c r="A39" i="2" s="1"/>
  <c r="E45" i="1"/>
  <c r="A40" i="2" s="1"/>
  <c r="E46" i="1"/>
  <c r="A41" i="2" s="1"/>
  <c r="E47" i="1"/>
  <c r="A42" i="2" s="1"/>
  <c r="E48" i="1"/>
  <c r="A43" i="2" s="1"/>
  <c r="E49" i="1"/>
  <c r="A44" i="2" s="1"/>
  <c r="E50" i="1"/>
  <c r="A45" i="2" s="1"/>
  <c r="E51" i="1"/>
  <c r="A46" i="2" s="1"/>
  <c r="E52" i="1"/>
  <c r="A47" i="2" s="1"/>
  <c r="E53" i="1"/>
  <c r="A48" i="2" s="1"/>
  <c r="E54" i="1"/>
  <c r="A49" i="2" s="1"/>
  <c r="E55" i="1"/>
  <c r="A50" i="2" s="1"/>
  <c r="E56" i="1"/>
  <c r="A51" i="2" s="1"/>
  <c r="E57" i="1"/>
  <c r="A52" i="2" s="1"/>
  <c r="E58" i="1"/>
  <c r="A53" i="2" s="1"/>
  <c r="E59" i="1"/>
  <c r="A54" i="2" s="1"/>
  <c r="E60" i="1"/>
  <c r="A55" i="2" s="1"/>
  <c r="E61" i="1"/>
  <c r="A56" i="2" s="1"/>
  <c r="E62" i="1"/>
  <c r="A57" i="2" s="1"/>
  <c r="E63" i="1"/>
  <c r="A58" i="2" s="1"/>
  <c r="E64" i="1"/>
  <c r="A59" i="2" s="1"/>
  <c r="H34" i="1" l="1"/>
  <c r="H35" i="1" s="1"/>
  <c r="H37" i="1" s="1"/>
  <c r="F128" i="1"/>
  <c r="H98" i="1"/>
  <c r="H175" i="1"/>
  <c r="F190" i="1"/>
  <c r="H193" i="1"/>
  <c r="F193" i="1" s="1"/>
  <c r="H191" i="1"/>
  <c r="F191" i="1" s="1"/>
  <c r="F46" i="1"/>
  <c r="H167" i="1" l="1"/>
  <c r="F167" i="1" s="1"/>
  <c r="H96" i="1"/>
  <c r="H99" i="1"/>
  <c r="F98" i="1"/>
  <c r="H176" i="1"/>
  <c r="F175" i="1"/>
  <c r="F45" i="1"/>
  <c r="F59" i="1"/>
  <c r="F56" i="1"/>
  <c r="F55" i="1"/>
  <c r="F37" i="1" l="1"/>
  <c r="H47" i="1"/>
  <c r="F47" i="1" s="1"/>
  <c r="H25" i="1"/>
  <c r="H26" i="1" s="1"/>
  <c r="H81" i="1"/>
  <c r="F81" i="1" s="1"/>
  <c r="H44" i="1"/>
  <c r="H41" i="1" s="1"/>
  <c r="H42" i="1" s="1"/>
  <c r="H76" i="1"/>
  <c r="F76" i="1" s="1"/>
  <c r="H198" i="1"/>
  <c r="F198" i="1" s="1"/>
  <c r="F99" i="1"/>
  <c r="F96" i="1"/>
  <c r="H97" i="1"/>
  <c r="F176" i="1"/>
  <c r="H177" i="1"/>
  <c r="F12" i="1"/>
  <c r="F35" i="1"/>
  <c r="F31" i="1"/>
  <c r="F32" i="1"/>
  <c r="F7" i="1"/>
  <c r="F9" i="1"/>
  <c r="H82" i="1" l="1"/>
  <c r="F82" i="1" s="1"/>
  <c r="H77" i="1"/>
  <c r="F77" i="1" s="1"/>
  <c r="H64" i="1"/>
  <c r="F97" i="1"/>
  <c r="H179" i="1"/>
  <c r="F179" i="1" s="1"/>
  <c r="F177" i="1"/>
  <c r="F21" i="1"/>
  <c r="H86" i="1" l="1"/>
  <c r="H22" i="1"/>
  <c r="H23" i="1"/>
  <c r="F64" i="1"/>
  <c r="F13" i="1"/>
  <c r="F14" i="1"/>
  <c r="F24" i="1"/>
  <c r="F25" i="1"/>
  <c r="F26" i="1"/>
  <c r="F27" i="1"/>
  <c r="F40" i="1"/>
  <c r="F41" i="1"/>
  <c r="F42" i="1"/>
  <c r="F43" i="1"/>
  <c r="F44" i="1"/>
  <c r="F48" i="1"/>
  <c r="F51" i="1"/>
  <c r="F52" i="1"/>
  <c r="F30" i="1"/>
  <c r="H85" i="1" l="1"/>
  <c r="F86" i="1"/>
  <c r="H90" i="1"/>
  <c r="F23" i="1"/>
  <c r="F20" i="1"/>
  <c r="F22" i="1"/>
  <c r="H91" i="1" l="1"/>
  <c r="H92" i="1" s="1"/>
  <c r="F90" i="1"/>
  <c r="F85" i="1"/>
  <c r="F6" i="1"/>
  <c r="F91" i="1" l="1"/>
  <c r="H8" i="1"/>
  <c r="H87" i="1" s="1"/>
  <c r="H88" i="1" s="1"/>
  <c r="F11" i="1"/>
  <c r="F10" i="1"/>
  <c r="F92" i="1" l="1"/>
  <c r="H93" i="1"/>
  <c r="H70" i="1"/>
  <c r="F8" i="1"/>
  <c r="F49" i="1"/>
  <c r="F50" i="1"/>
  <c r="F34" i="1"/>
  <c r="F93" i="1" l="1"/>
  <c r="F70" i="1"/>
  <c r="H71" i="1"/>
  <c r="F87" i="1"/>
  <c r="F33" i="1"/>
  <c r="F39" i="1"/>
  <c r="F38" i="1"/>
  <c r="F71" i="1" l="1"/>
  <c r="H72" i="1"/>
  <c r="H89" i="1"/>
  <c r="F88" i="1"/>
  <c r="F57" i="1"/>
  <c r="F58" i="1"/>
  <c r="F53" i="1"/>
  <c r="F54" i="1"/>
  <c r="F89" i="1" l="1"/>
  <c r="H74" i="1"/>
  <c r="F72" i="1"/>
  <c r="F74" i="1" l="1"/>
</calcChain>
</file>

<file path=xl/sharedStrings.xml><?xml version="1.0" encoding="utf-8"?>
<sst xmlns="http://schemas.openxmlformats.org/spreadsheetml/2006/main" count="1162" uniqueCount="544">
  <si>
    <t>Macro</t>
  </si>
  <si>
    <t>Unit</t>
  </si>
  <si>
    <t>User Input</t>
  </si>
  <si>
    <t>kg/h</t>
  </si>
  <si>
    <t>kJ/h</t>
  </si>
  <si>
    <t>m</t>
  </si>
  <si>
    <t>°C</t>
  </si>
  <si>
    <t>°</t>
  </si>
  <si>
    <t>-</t>
  </si>
  <si>
    <t>*</t>
  </si>
  <si>
    <t>WTOKJPH</t>
  </si>
  <si>
    <t>EQUATION</t>
  </si>
  <si>
    <t>M1300</t>
  </si>
  <si>
    <t>Description Variable and Correlation</t>
  </si>
  <si>
    <t>PAR_STC</t>
  </si>
  <si>
    <t>PAR_KSOIL</t>
  </si>
  <si>
    <t>PAR_fRedDifusa</t>
  </si>
  <si>
    <t>PARAMETRIC TABLE SIMULATION PARAMETERS</t>
  </si>
  <si>
    <t>GENERAL PARAMETERS</t>
  </si>
  <si>
    <t>M1300_PriAntifree</t>
  </si>
  <si>
    <t>M1300_CpPri</t>
  </si>
  <si>
    <t>M1300_RoPri</t>
  </si>
  <si>
    <t>M1300_MuPri</t>
  </si>
  <si>
    <t>M1300_KPri</t>
  </si>
  <si>
    <t>M1300_CpSec</t>
  </si>
  <si>
    <t>M1300_RoSec</t>
  </si>
  <si>
    <t>M1300_MuSec</t>
  </si>
  <si>
    <t>M1300_KSec</t>
  </si>
  <si>
    <t>M1300_COL01_Cheight+(EQL(PAR_STC,4)+EQL(PAR_STC,7))</t>
  </si>
  <si>
    <t>(4.185-M1300_PriAntifree*0.9808/100)</t>
  </si>
  <si>
    <t>(1000+47.403*M1300_PriAntifree/100)</t>
  </si>
  <si>
    <t>3600*(0.0005+0.0008*M1300_PriAntifree/100+0.0019*(M1300_PriAntifree/100)^2)</t>
  </si>
  <si>
    <t>kJ/kg.K</t>
  </si>
  <si>
    <t>kg/m3</t>
  </si>
  <si>
    <t>kg/m.h</t>
  </si>
  <si>
    <t>kJ/h.m.K</t>
  </si>
  <si>
    <t>CpAgua</t>
  </si>
  <si>
    <t>3600*0.0005</t>
  </si>
  <si>
    <t>3.6*0.65</t>
  </si>
  <si>
    <t>IntSurConvCoef</t>
  </si>
  <si>
    <t>ExtSurConvCoef</t>
  </si>
  <si>
    <t>SoilCond</t>
  </si>
  <si>
    <t>SoilDensity</t>
  </si>
  <si>
    <t>SoilCp</t>
  </si>
  <si>
    <t>kJ/h.m2.K</t>
  </si>
  <si>
    <t>M1300_MSK_NumAngles</t>
  </si>
  <si>
    <t>M1300_GrHrAzimuth</t>
  </si>
  <si>
    <t>M1300_GrHrSlope</t>
  </si>
  <si>
    <t>M1300_WSSHeightShadow</t>
  </si>
  <si>
    <t>M1300_WSSSlopeShadow</t>
  </si>
  <si>
    <t>M1300_WSS01_GndUsability</t>
  </si>
  <si>
    <t>M1300_COL01_GndUsability</t>
  </si>
  <si>
    <t>M1300_WSS01_Cheight</t>
  </si>
  <si>
    <t>M1300_WSSRowLen</t>
  </si>
  <si>
    <t>M1300_WSSNRows</t>
  </si>
  <si>
    <t>M1300_WSSRowSep</t>
  </si>
  <si>
    <t>M1300_WSS01_Cheight/M1300_WSSRowSep</t>
  </si>
  <si>
    <t>(EQL(PAR_STC,1)*2.191+EQL(PAR_STC,2)*2.224+EQL(PAR_STC,3)*3.0736+EQL(PAR_STC,4)*3.9231+EQL(PAR_STC,5)*2.427+EQL(PAR_STC,6)*3.2789+EQL(PAR_STC,7)*4.1332)</t>
  </si>
  <si>
    <t>COLLECTOR PARAMETERS</t>
  </si>
  <si>
    <t>M1300_EFF_COL</t>
  </si>
  <si>
    <t>M1300_WSS01_Area</t>
  </si>
  <si>
    <t>M1300_WSS01_TCol_est</t>
  </si>
  <si>
    <t>M1300_ColHrSlope</t>
  </si>
  <si>
    <t>M1300_ColHrAzimuth</t>
  </si>
  <si>
    <t>M1300_COL01_Mode</t>
  </si>
  <si>
    <t>M1300_WSS01_Nserie</t>
  </si>
  <si>
    <t>M1300_WSS01_Nparalel</t>
  </si>
  <si>
    <t>M1300_WSS01_Acol</t>
  </si>
  <si>
    <t>M1300_WSS01_Ncol</t>
  </si>
  <si>
    <t>M1300_COL01_Cheight</t>
  </si>
  <si>
    <t>M1300_WSS01_TestMode</t>
  </si>
  <si>
    <t>M1300_WSS01_ThCap</t>
  </si>
  <si>
    <t>M1300_WSS01_ThCapUn</t>
  </si>
  <si>
    <t>M1300_WSS01_Reflec</t>
  </si>
  <si>
    <t>M1300_WSS01_C</t>
  </si>
  <si>
    <t>M1300_COL01_a0</t>
  </si>
  <si>
    <t>M1300_WSS01_a0</t>
  </si>
  <si>
    <t>M1300_COL01_a1</t>
  </si>
  <si>
    <t>M1300_WSS01_a1</t>
  </si>
  <si>
    <t>M1300_COL01_a2</t>
  </si>
  <si>
    <t>M1300_WSS01_a2</t>
  </si>
  <si>
    <t>M1300_WSS01_Mtest</t>
  </si>
  <si>
    <t>M1300_COL01_IAMK50</t>
  </si>
  <si>
    <t>M1300_COL01_IAM1</t>
  </si>
  <si>
    <t>M1300_COL01_IAM2</t>
  </si>
  <si>
    <t>M1300_WSS01_DataTrans</t>
  </si>
  <si>
    <t>M1300_WSS01_DataLong</t>
  </si>
  <si>
    <t>M1300_WSS01_CtFRMin</t>
  </si>
  <si>
    <t>M1300_WSS01_MPAC</t>
  </si>
  <si>
    <t>M1300_WSS01_Control</t>
  </si>
  <si>
    <t>MAX(0.3,M1300_WSS01_a0-M1300_WSS01_a1/WTOKJPH*(M1300_WSS01_TCol_est-TAirAve)/Itnom-M1300_WSS01_a2/WTOKJPH*(M1300_WSS01_TCol_est-TAirAve)^2/Itnom)</t>
  </si>
  <si>
    <t>(TDemSetpar+TDemRetpar)*0.5+M1300_HX01_DTLM+15*PAR_REN</t>
  </si>
  <si>
    <t>MIN(M1300_WSS01_Ncol,2)</t>
  </si>
  <si>
    <t>M1300_WSS01_Ncol/M1300_WSS01_Nserie</t>
  </si>
  <si>
    <t>0.75*QDEMMAND*PAR_REN/(((Gbh+Gdh/M1300_WSS01_C)*COS(ABS(Lat)-M1300_ColHrSlope))*M1300_EFF_COL)</t>
  </si>
  <si>
    <t>(EQL(PAR_STC,1)*2.52+EQL(PAR_STC,2)*12.13+EQL(PAR_STC,3)*16.764+EQL(PAR_STC,4)*21.397+EQL(PAR_STC,5)*4.46+EQL(PAR_STC,6)*6.025+EQL(PAR_STC,7)*7.595)</t>
  </si>
  <si>
    <t>M1300_WSS01_Area/(M1300_WSS01_Acol)</t>
  </si>
  <si>
    <t>(EQL(PAR_STC,1)*2.191+(EQL(PAR_STC,2)+EQL(PAR_STC,3)+EQL(PAR_STC,4))*2.224+(EQL(PAR_STC,5)+EQL(PAR_STC,6)+EQL(PAR_STC,7))*2.427)</t>
  </si>
  <si>
    <t>M1300_WSS01_ThCapUn*M1300_WSS01_Area/M1300_WSS01_C</t>
  </si>
  <si>
    <t>(0.4*M1300_CpPri+0.2*9*0.82+5*0.385)</t>
  </si>
  <si>
    <t>((EQL(PAR_STC,1)+EQL(PAR_STC,2)+EQL(PAR_STC,5))*1+EQL(PAR_STC,3)*1.382+EQL(PAR_STC,4)*1.764+EQL(PAR_STC,6)*1.351+EQL(PAR_STC,7)*1.703)</t>
  </si>
  <si>
    <t>EQL(PAR_STC,1)*0.761+(EQL(PAR_STC,2)+EQL(PAR_STC,3)+EQL(PAR_STC,4))*0.857+(EQL(PAR_STC,5)+EQL(PAR_STC,6)+EQL(PAR_STC,7))*0.642</t>
  </si>
  <si>
    <t>M1300_COL01_a0*(1-PAR_KSOIL)*(1+M1300_WSS01_Reflec*(M1300_WSS01_C-1))/M1300_WSS01_C</t>
  </si>
  <si>
    <t>(EQL(PAR_STC,1)*3.711+(EQL(PAR_STC,2)+EQL(PAR_STC,3)+EQL(PAR_STC,4))*3.083+(EQL(PAR_STC,5)+EQL(PAR_STC,6)+EQL(PAR_STC,7))*0.89)</t>
  </si>
  <si>
    <t>M1300_COL01_a1/M1300_WSS01_C*WTOKJPH</t>
  </si>
  <si>
    <t>(EQL(PAR_STC,1)*0.014+(EQL(PAR_STC,2)+EQL(PAR_STC,3)+EQL(PAR_STC,4))*0.013+(EQL(PAR_STC,5)+EQL(PAR_STC,6)+EQL(PAR_STC,7))*0.001)</t>
  </si>
  <si>
    <t>M1300_COL01_a2/M1300_WSS01_C*WTOKJPH</t>
  </si>
  <si>
    <t>EQL(PAR_STC,1)*0.91+EQL(PAR_STC,2)*0.91+(EQL(PAR_STC,3)+EQL(PAR_STC,4)+EQL(PAR_STC,5)+EQL(PAR_STC,6)+EQL(PAR_STC,7))*1</t>
  </si>
  <si>
    <t>MAX(0,(1-M1300_COL01_IAMK50)*COS(50)/(1-COS(50)))</t>
  </si>
  <si>
    <t>M1300_WSS01_MTest/M1300_WSS01_Nserie</t>
  </si>
  <si>
    <t>TDemSetpar + M1300_HX01_DTLM + 2</t>
  </si>
  <si>
    <t>PIPE PARAMETERS</t>
  </si>
  <si>
    <t>M1300_PI0102_Loc</t>
  </si>
  <si>
    <t>M1300_PI01_Di</t>
  </si>
  <si>
    <t>M1300_PI01_e</t>
  </si>
  <si>
    <t>M1300_PI01_Do</t>
  </si>
  <si>
    <t>M1300_PI01_Kpi</t>
  </si>
  <si>
    <t>M1300_PI01_Insth</t>
  </si>
  <si>
    <t>M1300_PI01_Insk</t>
  </si>
  <si>
    <t>M1300_PI01_L</t>
  </si>
  <si>
    <t>M1300_PI01_L2</t>
  </si>
  <si>
    <t>MAX(0.0150*(M1300_PU01_M/M1300_RoPri)^0.5,0.012)</t>
  </si>
  <si>
    <t>((1000*M1300_PI01_Di)*0.01823616+1.67597866)/1000</t>
  </si>
  <si>
    <t>M1300_PI01_Di+2*M1300_PI01_e</t>
  </si>
  <si>
    <t>328*WTOKJPH</t>
  </si>
  <si>
    <t>((1000*M1300_PI01_Do)*0.0253172213+51.1780361)/1000</t>
  </si>
  <si>
    <t>0.043*WTOKJPH</t>
  </si>
  <si>
    <t>3*(M1300_WSS01_Area*3)^0.5</t>
  </si>
  <si>
    <t>0.5*M1300_PI01_L</t>
  </si>
  <si>
    <t>HEAT EXCHANGER PARAMETERS</t>
  </si>
  <si>
    <t>M1300_HX01_DTLM</t>
  </si>
  <si>
    <t>M1300_Qmax_solar</t>
  </si>
  <si>
    <t>M1300_HX01_UA</t>
  </si>
  <si>
    <t>M1300_WSS01_Area*Itmax*M1300_WSS01_a0</t>
  </si>
  <si>
    <t>M1300_Qmax_solar/M1300_HX01_DTLM</t>
  </si>
  <si>
    <t>M1300_PU01_MMin</t>
  </si>
  <si>
    <t>M1300_PU01_M</t>
  </si>
  <si>
    <t>M1300_PU01_V</t>
  </si>
  <si>
    <t>M1300_PU01_AP</t>
  </si>
  <si>
    <t>M1300_PU01_P</t>
  </si>
  <si>
    <t>M1300_PU02_M</t>
  </si>
  <si>
    <t>M1300_PU02_V</t>
  </si>
  <si>
    <t>M1300_PU02_AP</t>
  </si>
  <si>
    <t>M1300_PU02_P</t>
  </si>
  <si>
    <t>M1300_WSS01_CtFRMin*M1300_PU01_M</t>
  </si>
  <si>
    <t>M1300_WSS01_MPAC*M1300_WSS01_Area</t>
  </si>
  <si>
    <t>M1300_PU01_M/M1300_RoPri</t>
  </si>
  <si>
    <t>M1300_PU01_AP*M1300_PU01_V*(1/3600)*3.6/eta_pump</t>
  </si>
  <si>
    <t>M1300_PU01_M*M1300_CpPri/M1300_CpSec</t>
  </si>
  <si>
    <t>M1300_PU02_M/M1300_RoSec</t>
  </si>
  <si>
    <t>M1300_PU02_AP*M1300_PU02_V*(1/3600)*3.6/eta_pump</t>
  </si>
  <si>
    <t>PUMP PARAMETERS</t>
  </si>
  <si>
    <t>CONTROL PARAMETERS</t>
  </si>
  <si>
    <t>M1300_CON01_GTHb</t>
  </si>
  <si>
    <t>M1300_CON01_SRadGTH</t>
  </si>
  <si>
    <t>M1300_CON01_GTLb</t>
  </si>
  <si>
    <t>M1300_CON01_SRadGTL</t>
  </si>
  <si>
    <t>M1300_CON02_DifDelTL</t>
  </si>
  <si>
    <t>M1300_CON02_DifDelTH</t>
  </si>
  <si>
    <t>M1300_WSS01_Tmax</t>
  </si>
  <si>
    <t>M1300_CON02_TST1Max</t>
  </si>
  <si>
    <t>Ct2DifDelTL</t>
  </si>
  <si>
    <t>Ct2DifDelTH</t>
  </si>
  <si>
    <t>M1300_CON01_GTLb+50</t>
  </si>
  <si>
    <t>M1300_CON01_GTHb*WTOKJPH</t>
  </si>
  <si>
    <t>(M1300_WSS01_a1/WTOKJPH*(M1300_WSS01_TCol_est-20*PAR_REN-TAirAve)+M1300_WSS01_a2/WTOKJPH*(M1300_WSS01_TCol_est-20*PAR_REN-TAirAve)^2)/M1300_WSS01_a0</t>
  </si>
  <si>
    <t>M1300_CON01_GTLb*WTOKJPH</t>
  </si>
  <si>
    <t>M1300_CON02_DifDelTL+2</t>
  </si>
  <si>
    <t>max(90,TDemSetpar+20)</t>
  </si>
  <si>
    <t>MACRO 1300</t>
  </si>
  <si>
    <t>MACROS EXTERNAS DE WEDISTRICT</t>
  </si>
  <si>
    <t>ONLINE</t>
  </si>
  <si>
    <t>LOCATION AND METEO PARAMETERS</t>
  </si>
  <si>
    <t>PAR_LOC</t>
  </si>
  <si>
    <t>Gth</t>
  </si>
  <si>
    <t>Gbh</t>
  </si>
  <si>
    <t>Gdh</t>
  </si>
  <si>
    <t>Itmax</t>
  </si>
  <si>
    <t>Itnom</t>
  </si>
  <si>
    <t>Lat</t>
  </si>
  <si>
    <t>TAirAve</t>
  </si>
  <si>
    <t>ATAir</t>
  </si>
  <si>
    <t>TAirTime</t>
  </si>
  <si>
    <t>EQL(PAR_LOC,1)*988.27+EQL(PAR_LOC,2)*1143.27+EQL(PAR_LOC,3)*1443.75+EQL(PAR_LOC,4)*1661.53+EQL(PAR_LOC,5)*1843.28+EQL(PAR_LOC,6)*2359.84</t>
  </si>
  <si>
    <t>EQL(PAR_LOC,1)*436.11+EQL(PAR_LOC,2)*482.44+EQL(PAR_LOC,3)*731.47+EQL(PAR_LOC,4)*1008.62+EQL(PAR_LOC,5)*1206.82+EQL(PAR_LOC,6)*1677.30</t>
  </si>
  <si>
    <t>Gth-Gbh</t>
  </si>
  <si>
    <t>1100*WTOKJPH !kJ/h.m2  (EQL(PAR_LOC,1)*1100+EQL(PAR_LOC,2)*1050+EQL(PAR_LOC,3)*1050+EQL(PAR_LOC,4)*1000+EQL(PAR_LOC,5)*1000)*WTOKJPH</t>
  </si>
  <si>
    <t>EQL(PAR_LOC,1)*511.03+EQL(PAR_LOC,2)*537.89+EQL(PAR_LOC,3)*604.22+EQL(PAR_LOC,4)*668.48+EQL(PAR_LOC,5)*718.02+EQL(PAR_LOC,6)*861.92</t>
  </si>
  <si>
    <t>EQL(PAR_LOC,1)*55.6667+EQL(PAR_LOC,2)*46.9833+EQL(PAR_LOC,3)*41.3879+EQL(PAR_LOC,4)*40.4167+EQL(PAR_LOC,5)*-33.4667+EQL(PAR_LOC,6)*-22.3094</t>
  </si>
  <si>
    <t>EQL(PAR_LOC,1)*7.99+EQL(PAR_LOC,2)*8.41+EQL(PAR_LOC,3)*16.27+EQL(PAR_LOC,4)*13.91+EQL(PAR_LOC,5)*14.01+EQL(PAR_LOC,6)*11.85</t>
  </si>
  <si>
    <t>GT(Lat,0)*222+LT(Lat,0)*42</t>
  </si>
  <si>
    <t>kWh/m2</t>
  </si>
  <si>
    <t>kJ/h.m2</t>
  </si>
  <si>
    <t>W/m2</t>
  </si>
  <si>
    <t>TMY2</t>
  </si>
  <si>
    <t>GrRef</t>
  </si>
  <si>
    <t>PI</t>
  </si>
  <si>
    <t>eta_pump</t>
  </si>
  <si>
    <t>TCOLDW</t>
  </si>
  <si>
    <t>RoAgua</t>
  </si>
  <si>
    <t>MuAgua</t>
  </si>
  <si>
    <t>Kagua</t>
  </si>
  <si>
    <t>W to kJ/h</t>
  </si>
  <si>
    <t xml:space="preserve">kJ/kg.K </t>
  </si>
  <si>
    <t>PAR_QDE</t>
  </si>
  <si>
    <t>PAR_TDE</t>
  </si>
  <si>
    <t>PAR_REN</t>
  </si>
  <si>
    <t>QDEMMAND</t>
  </si>
  <si>
    <t>QDEM_MAX</t>
  </si>
  <si>
    <t>TDemSetpar</t>
  </si>
  <si>
    <t>TDemRetpar</t>
  </si>
  <si>
    <t>40000*10^3</t>
  </si>
  <si>
    <t>kW</t>
  </si>
  <si>
    <t>kWh</t>
  </si>
  <si>
    <t>%</t>
  </si>
  <si>
    <t>PAR_TDE+10</t>
  </si>
  <si>
    <t>DEMAND PARAMETERS</t>
  </si>
  <si>
    <t>MAIN PREDIM PARAMETERS</t>
  </si>
  <si>
    <t>EFF_SST</t>
  </si>
  <si>
    <t>EFF_STO</t>
  </si>
  <si>
    <t>VolPA</t>
  </si>
  <si>
    <t>EFF_STO*M1300_EFF_COL</t>
  </si>
  <si>
    <t>CpTer</t>
  </si>
  <si>
    <t>SSY_Pi5Di</t>
  </si>
  <si>
    <t>ePi5</t>
  </si>
  <si>
    <t>SSY_Pi5Do</t>
  </si>
  <si>
    <t>SSY_Pi5KPi</t>
  </si>
  <si>
    <t>SSY_Pi5Insth</t>
  </si>
  <si>
    <t>SSY_Pi5Insk</t>
  </si>
  <si>
    <t>SSY_Pi5L</t>
  </si>
  <si>
    <t>SSY_Pi5L2</t>
  </si>
  <si>
    <t>SSY_Pi5Di+2*ePi5</t>
  </si>
  <si>
    <t xml:space="preserve">m </t>
  </si>
  <si>
    <t>0.5*SSY_Pi5L</t>
  </si>
  <si>
    <t>Qmax_demanda</t>
  </si>
  <si>
    <t>SSY_HX02_DTLM</t>
  </si>
  <si>
    <t>SSY_HX2UA</t>
  </si>
  <si>
    <t>SSY_HX2FRmax</t>
  </si>
  <si>
    <t>SSY_HX2FRmin</t>
  </si>
  <si>
    <t>M1300_PU03_AP</t>
  </si>
  <si>
    <t>SSY_Pu3P</t>
  </si>
  <si>
    <t xml:space="preserve">STORAGE PARAMETERS </t>
  </si>
  <si>
    <t>SSY_ST1_Fluidrho</t>
  </si>
  <si>
    <t>SSY_ST1_IsoTopTh</t>
  </si>
  <si>
    <t>SSY_ST1_IsoLatTh</t>
  </si>
  <si>
    <t>SSY_ST1_IsoBotTh</t>
  </si>
  <si>
    <t>SSY_ST1_Loc</t>
  </si>
  <si>
    <t>SSY_ST1_Nodes</t>
  </si>
  <si>
    <t>SSY_ST1_Vol</t>
  </si>
  <si>
    <t>SSY_ST1_Height</t>
  </si>
  <si>
    <t>SSY_ST1_Fluidcp</t>
  </si>
  <si>
    <t>SSY_ST1_Fluidmu</t>
  </si>
  <si>
    <t>SSY_ST1_Fluidk</t>
  </si>
  <si>
    <t>SSY_ST1_IsoTopK</t>
  </si>
  <si>
    <t>SSY_ST1_IsoLatK</t>
  </si>
  <si>
    <t>SSY_ST1_IsoBotK</t>
  </si>
  <si>
    <t>SSY_ST1_Utop</t>
  </si>
  <si>
    <t>SSY_ST1_Ulat</t>
  </si>
  <si>
    <t>SSY_ST1_Ubot</t>
  </si>
  <si>
    <t>SSY_ST1_P1Mode</t>
  </si>
  <si>
    <t>SSY_ST1_P1In</t>
  </si>
  <si>
    <t>SSY_ST1_P1Ou</t>
  </si>
  <si>
    <t>SSY_ST1_P2Mode</t>
  </si>
  <si>
    <t>SSY_ST1_P2In</t>
  </si>
  <si>
    <t>SSY_ST1_P2Ou</t>
  </si>
  <si>
    <t>SSY_ST1_P3Mode</t>
  </si>
  <si>
    <t>SSY_ST1_P3In</t>
  </si>
  <si>
    <t>SSY_ST1_P3Ou</t>
  </si>
  <si>
    <t>SSY_ST1_P4Mode</t>
  </si>
  <si>
    <t>SSY_ST1_P4In</t>
  </si>
  <si>
    <t>SSY_ST1_P4Ou</t>
  </si>
  <si>
    <t>SSY_ST1_P5Mode</t>
  </si>
  <si>
    <t>SSY_ST1_P5In</t>
  </si>
  <si>
    <t>SSY_ST1_P5Ou</t>
  </si>
  <si>
    <t>SSY_ST1_Tt0</t>
  </si>
  <si>
    <t>SSY_ST1_IsoBotK*WTOKJPH/SSY_ST1_IsoBotTh</t>
  </si>
  <si>
    <t>SSY_ST1_IsoLatK*WTOKJPH/SSY_ST1_IsoLatTh</t>
  </si>
  <si>
    <t>SSY_ST1_IsoTopK*WTOKJPH/SSY_ST1_IsoTopTh</t>
  </si>
  <si>
    <t>0.043*3.6/5</t>
  </si>
  <si>
    <t>W.m.K</t>
  </si>
  <si>
    <t>kJ/hr.m^2.K</t>
  </si>
  <si>
    <t>hr.m.K</t>
  </si>
  <si>
    <t>kg/m.hr</t>
  </si>
  <si>
    <t>m3</t>
  </si>
  <si>
    <t>KAgua</t>
  </si>
  <si>
    <t>VolPA*M1300_WSS01_Area/1000</t>
  </si>
  <si>
    <t>QDEM_MAX*1000*WTOKJPH</t>
  </si>
  <si>
    <t>Qmax_demanda/SSY_HX02_DTLM</t>
  </si>
  <si>
    <t>kJ/h.ºC</t>
  </si>
  <si>
    <t>Qmax_demanda/CpTer/(TDemSetpar-TDemRetpar)</t>
  </si>
  <si>
    <t>SSY_HX2FRmax*0.0</t>
  </si>
  <si>
    <t>KPa</t>
  </si>
  <si>
    <t>SSY_HX2FRmax*M1300_PU03_AP/10*9.81/.85/.7/1000</t>
  </si>
  <si>
    <t>M1300_WSS01_Tset</t>
  </si>
  <si>
    <t>Percentage of antifreeze</t>
  </si>
  <si>
    <t>Fluid specific heat (primary loop)</t>
  </si>
  <si>
    <t>Fluid density (primary loop)</t>
  </si>
  <si>
    <t>Fluid viscosity (primary loop)</t>
  </si>
  <si>
    <t>Fluid thermal conductivity (primary loop)</t>
  </si>
  <si>
    <t>Fluid specific heat (secondary loop)</t>
  </si>
  <si>
    <t>Fluid density (secondary loop)</t>
  </si>
  <si>
    <t>Number of surface angles</t>
  </si>
  <si>
    <t>(EQL(PAR_STC,1)+EQL(PAR_STC,2))*1+(EQL(PAR_STC,3)+EQL(PAR_STC,4)+EQL(PAR_STC,5)+EQL(PAR_STC,6)+EQL(PAR_STC,7))*2 !</t>
  </si>
  <si>
    <t>Number of parallel collectors</t>
  </si>
  <si>
    <t>Number of collectors</t>
  </si>
  <si>
    <t>Tested flow rate per unit area</t>
  </si>
  <si>
    <t>Number of transverse IAM data points</t>
  </si>
  <si>
    <t>Number of longitudinal IAM data points</t>
  </si>
  <si>
    <t>Inside diameter</t>
  </si>
  <si>
    <t>Outside diameter</t>
  </si>
  <si>
    <t>Pipe thermal conductivity</t>
  </si>
  <si>
    <t>Insulation thickness</t>
  </si>
  <si>
    <t>Conductivity of insulation</t>
  </si>
  <si>
    <t>Pipe length</t>
  </si>
  <si>
    <t>Pipe thickness</t>
  </si>
  <si>
    <t>Total pipe length</t>
  </si>
  <si>
    <t>m2</t>
  </si>
  <si>
    <t>kJ/K</t>
  </si>
  <si>
    <t>kJ/K.m2</t>
  </si>
  <si>
    <t>DTLM of the primary heat exchanger</t>
  </si>
  <si>
    <t>UA parameter associated with the primary heat exchanger</t>
  </si>
  <si>
    <t>Nominal pump mass flow rate</t>
  </si>
  <si>
    <t>Minimum mass flow rate of pump</t>
  </si>
  <si>
    <t>Pump flow rate</t>
  </si>
  <si>
    <t>Additional soiling factor for WESSUN reflectors</t>
  </si>
  <si>
    <t>Collector (and Solar Field Ground) Azimuth angle</t>
  </si>
  <si>
    <t>Collector slope versus horizontal</t>
  </si>
  <si>
    <t>Ground slope versus horizontal</t>
  </si>
  <si>
    <t>WESSUN Collector Height is Solar Collector Height plus the second reflector's height only for technologies with 2R.</t>
  </si>
  <si>
    <t>HORIZON AND ARRAY SHADOW PARAMETERS</t>
  </si>
  <si>
    <t>FLUID PARAMETERS</t>
  </si>
  <si>
    <t>LOGICAL UNIT ASSIGN</t>
  </si>
  <si>
    <t>Nominal pressure difference</t>
  </si>
  <si>
    <t>Rated flow rate</t>
  </si>
  <si>
    <t>Upper dead band. Radiation control</t>
  </si>
  <si>
    <t>Lower dead band. Radiation control</t>
  </si>
  <si>
    <t>Lower dead band. Temperature control</t>
  </si>
  <si>
    <t>Upper dead band. Temperature control</t>
  </si>
  <si>
    <t>High limit cut-out</t>
  </si>
  <si>
    <t>Shut off Online w/o removing</t>
  </si>
  <si>
    <t>Logical unit for location</t>
  </si>
  <si>
    <t>Logical unit for data file</t>
  </si>
  <si>
    <t>Logical unit for solar collector technology</t>
  </si>
  <si>
    <t>Logical unit for input file</t>
  </si>
  <si>
    <t>Conversion from W to kJ/h</t>
  </si>
  <si>
    <t>Ground reflectance</t>
  </si>
  <si>
    <t>PI Value</t>
  </si>
  <si>
    <t>Hydraulic efficiency</t>
  </si>
  <si>
    <t>Fluid specific heat (water)</t>
  </si>
  <si>
    <t>Fluid density (water)</t>
  </si>
  <si>
    <t>Fluid viscosity (water)</t>
  </si>
  <si>
    <t>Fluid thermal conductivity (water)</t>
  </si>
  <si>
    <t>Indoor convection coefficient</t>
  </si>
  <si>
    <t>Outdoor convection coefficient</t>
  </si>
  <si>
    <t>Soil thermal conductivity</t>
  </si>
  <si>
    <t>Soil density</t>
  </si>
  <si>
    <t>Soil specific heat</t>
  </si>
  <si>
    <t>Demand factor</t>
  </si>
  <si>
    <t>Return temperature</t>
  </si>
  <si>
    <t>Maximum demand</t>
  </si>
  <si>
    <t>Supply temperature</t>
  </si>
  <si>
    <t>Accumulation volumen of the thermal storage system</t>
  </si>
  <si>
    <t>MAX(0.015*(SSY_HX2FRmax/M1300_RoSec)^0.5,0.012)</t>
  </si>
  <si>
    <t>((1000*SSY_Pi5Di)*0.01823616+1.67597866)/1000</t>
  </si>
  <si>
    <t>((SSY_Pi5Do)*0.0253172213+51.1780361)/1000</t>
  </si>
  <si>
    <t>Design difference temperature between the cold inlet water temperature and the hot outlet temperature</t>
  </si>
  <si>
    <t>Overall heat transfer coefficient of exchanger</t>
  </si>
  <si>
    <t>Maximum flowrate in hot side</t>
  </si>
  <si>
    <t>Minimum flow rate in hot side</t>
  </si>
  <si>
    <t>Pressure difference</t>
  </si>
  <si>
    <t>Maximum power</t>
  </si>
  <si>
    <t>Number of tank nodes</t>
  </si>
  <si>
    <t>Tank volume</t>
  </si>
  <si>
    <t>Tank height</t>
  </si>
  <si>
    <t>Fluid specific heat</t>
  </si>
  <si>
    <t>Fluid density</t>
  </si>
  <si>
    <t>Fluid viscosity</t>
  </si>
  <si>
    <t>Fluid thermal conductivity</t>
  </si>
  <si>
    <t>Top insulation thickness</t>
  </si>
  <si>
    <t>Edge insulation thickness</t>
  </si>
  <si>
    <t>Top thermal conductivity</t>
  </si>
  <si>
    <t>Edge thermal conductivity</t>
  </si>
  <si>
    <t>Bottom insulation thickness</t>
  </si>
  <si>
    <t>Bottom thermal conductivity</t>
  </si>
  <si>
    <t>Top loss coefficient</t>
  </si>
  <si>
    <t>Edge Loss Coefficient</t>
  </si>
  <si>
    <t>Bottom Loss Coefficient</t>
  </si>
  <si>
    <t>Inlet Flow Mode-1</t>
  </si>
  <si>
    <t>Entry Node-1</t>
  </si>
  <si>
    <t>Exit Node-1</t>
  </si>
  <si>
    <t>Inlet Flow Mode-2</t>
  </si>
  <si>
    <t>Entry Node-2</t>
  </si>
  <si>
    <t>Exit Node-2</t>
  </si>
  <si>
    <t>Inlet Flow Mode-3</t>
  </si>
  <si>
    <t>Entry Node-3</t>
  </si>
  <si>
    <t>Exit Node-4</t>
  </si>
  <si>
    <t>Exit Node-3</t>
  </si>
  <si>
    <t>Inlet Flow Mode-4</t>
  </si>
  <si>
    <t>Entry Node-4</t>
  </si>
  <si>
    <t>Inlet Flow Mode-5</t>
  </si>
  <si>
    <t>Entry Node-5</t>
  </si>
  <si>
    <t>Exit Node-5</t>
  </si>
  <si>
    <t>Initial Tank Temperature</t>
  </si>
  <si>
    <t>Upper dead band</t>
  </si>
  <si>
    <t>Lower dead band</t>
  </si>
  <si>
    <t>W/m2.K</t>
  </si>
  <si>
    <t>kJ/h.m2.k2</t>
  </si>
  <si>
    <t>kJ/h.°C</t>
  </si>
  <si>
    <t>m3/h</t>
  </si>
  <si>
    <t>Pa</t>
  </si>
  <si>
    <t>(1+0.25*NOT(EQL(M1300_ColHrSlope,0))+0.25*(MIN(90,ABS(M1300_ColHrAzimuth))/90))*(M1300_WSSHeightShadow)*(COS(M1300_ColHrSlope)+SIN(M1300_ColHrSlope)/TAN(90-ABS(Lat)-23.5))</t>
  </si>
  <si>
    <t>M0000</t>
  </si>
  <si>
    <t>colour code</t>
  </si>
  <si>
    <t>Trazability</t>
  </si>
  <si>
    <t>EXCEL Formula / Default Values Correlation</t>
  </si>
  <si>
    <t>TRNSYS input</t>
  </si>
  <si>
    <t>TRNSYS Input Use</t>
  </si>
  <si>
    <t>TRNSYS Input Name</t>
  </si>
  <si>
    <t>↓</t>
  </si>
  <si>
    <t>TRNSYS Formula / Default Values Correlation</t>
  </si>
  <si>
    <t>↓*</t>
  </si>
  <si>
    <t>TRNSYS Input equal</t>
  </si>
  <si>
    <t>V001</t>
  </si>
  <si>
    <t xml:space="preserve">Collector row separation versus horizontal. Default correlation is based on the minimum distance for 12:00 solar time winter solstice, by two additional factors. For more detailed information see M1300 Manual Description </t>
  </si>
  <si>
    <t>W/m2.K2</t>
  </si>
  <si>
    <t>Level#2</t>
  </si>
  <si>
    <t>Interface's User</t>
  </si>
  <si>
    <t>Level#1</t>
  </si>
  <si>
    <t xml:space="preserve"> </t>
  </si>
  <si>
    <t>Triple Validation Check: Original Validation / TRNSYS Formula / Excel Formula</t>
  </si>
  <si>
    <t>Level#1Ext.File Collector</t>
  </si>
  <si>
    <t>Level#1Ext.File Location</t>
  </si>
  <si>
    <t>NEW</t>
  </si>
  <si>
    <t>M1300_WSS01</t>
  </si>
  <si>
    <t>M1300_HX01</t>
  </si>
  <si>
    <t>M1300_PU01</t>
  </si>
  <si>
    <t>M1300_PU02</t>
  </si>
  <si>
    <t>M1300_CON01</t>
  </si>
  <si>
    <t>M1300_CON02</t>
  </si>
  <si>
    <t>M1300_MSK01</t>
  </si>
  <si>
    <t>M1300_SHD01</t>
  </si>
  <si>
    <t>M1300_PI01
M1300_PI02</t>
  </si>
  <si>
    <t>M1300_WSS01
M1300_PU01
M1300_PI01
M1300_PI02
M1300_HX01</t>
  </si>
  <si>
    <t>M1300_PU02
M1300_HX01</t>
  </si>
  <si>
    <t>Used in Components / MACRO</t>
  </si>
  <si>
    <t>Fluid viscosity (secondary loop). Not used when deleting secondary pipes.</t>
  </si>
  <si>
    <t>Fluid thermal conductivity (secondary loop). Not used when deleting secondary pipes.</t>
  </si>
  <si>
    <t>Ground usability (WSS). For M1300 internal use.</t>
  </si>
  <si>
    <t>Ground usability (traditional collector).For M1300 internal use.</t>
  </si>
  <si>
    <t>Collector height used to calculate shadows and ground usability.</t>
  </si>
  <si>
    <t>Collector (¡¡¡ and Solar Field Ground !!!) Azimuth angle</t>
  </si>
  <si>
    <t>M1300_ColHrSlope+0.001</t>
  </si>
  <si>
    <t>Collector slope (WSS) for shadows' calculation.</t>
  </si>
  <si>
    <t>MAX(60,(3*M1300_WSS01_Area)^0.5)</t>
  </si>
  <si>
    <t>Collector row length. Correlation points to a square solar field with a relative row separation (to heights' collector) equal to 3 and the restriction of a minimum row width of 60 [m].</t>
  </si>
  <si>
    <t>M1300_WSS01_Area/M1300_WSSRowLen</t>
  </si>
  <si>
    <t>Number of rows equal to solar field area divided by row width (length in shadow TRNSYS type nomenclature).</t>
  </si>
  <si>
    <t xml:space="preserve">Solar Collector Technology included in external file. By default M1300 will include 7 different solar thermal collector technologies: 1-FPC, 2-GOT, 3-GOT_WeSSun_1R, 4-GOT_WeSSun_2R, 5-LIN, 6-LIN_WeSSun_1R, 7-LIN_WeSSun_2R, </t>
  </si>
  <si>
    <t>Concentrated diffuse radiation non-profitability factor for Reflectors. 0.2 means 80% profitability.  0.8 means 20% profitability (by default).</t>
  </si>
  <si>
    <t>Mean collector operation temperature. ### Only used for pre-sizing WESSUN collector area ###.</t>
  </si>
  <si>
    <t>Mean collector efficiency estimation. ### Only used for pre-sizing WESSUN collector area ###.</t>
  </si>
  <si>
    <t>Location latitude</t>
  </si>
  <si>
    <t>The type of file which is to be read: 1 = TMY format, 2 = TMY2 format, 3 = Energy+ format, 4 = IWEC format, 5 = CWEC format, 6=Metoenorm for TRNSYS format, 7 = TMY3 format, 8 = German TRY 2004 format, 8 = German TRY 2010 format</t>
  </si>
  <si>
    <t>Time shift (in days) between the beginning of the calendar year and the occurence of the minimum surface temperature. Used in ground temperature estimation. Correlation relates to south or north hemisphere.</t>
  </si>
  <si>
    <t>The amplitude of the anual temperature throughout the year. Used in ground temperature estimation.</t>
  </si>
  <si>
    <t>The mean (average) temperature during the year. Used in ground temperature estimation and for ### pre-sizing WESSUN collector area ###.</t>
  </si>
  <si>
    <t>The total radiation (beam + diffuse) incident upon a horizontal surface. ### Only used for pre-sizing WESSUN collector area ###.</t>
  </si>
  <si>
    <t>The beam radiation incident upon a horizontal surface. ### Only used for pre-sizing WESSUN collector area ###.</t>
  </si>
  <si>
    <t>The diffuse radiation incident upon a horizontal surface. ### Only used for pre-sizing WESSUN collector area ###.</t>
  </si>
  <si>
    <t>Máximum global solar radiation on a normal-to-sun surface. Used in sizing solar power.</t>
  </si>
  <si>
    <t>The mean (average) global radiation during sunny days throughout the year. ### Only used for pre-sizing WESSUN collector area ###.</t>
  </si>
  <si>
    <t>WSS operating mode. Whether by-axial asymmetric IAM external files (mandatory for WESSUN technology) or IAM-K50 values will be used depends on this parameter.</t>
  </si>
  <si>
    <t>Number of collectors in series. Maximum 2 serial connection by default.</t>
  </si>
  <si>
    <t>Collector Area (No WSS). Manufacturer data.</t>
  </si>
  <si>
    <t>Collector height.Manufacturer data.</t>
  </si>
  <si>
    <t>Method in which the collector efficiency results are reported: 1 = As a function of the inlet temperature (common in the U.S.) 2 = As a function of the average temperature (common in Europe) 3 = As a function of the outlet temperature (common for air collectors) (2 by default).</t>
  </si>
  <si>
    <t>Capacitance of Collector and the fluid it contains.</t>
  </si>
  <si>
    <t>Percentage of reflected radiation in WESSUN Reflectors</t>
  </si>
  <si>
    <t>WESSUN concentration ratio.</t>
  </si>
  <si>
    <t>Tested Collector Intercept efficiency a0</t>
  </si>
  <si>
    <t>WESSUN Collector Intercept efficiency a0</t>
  </si>
  <si>
    <t>Tested Collector 1st order loss coefficient (a1)</t>
  </si>
  <si>
    <t>WESSUN Collector 1st order loss coefficient (a1)</t>
  </si>
  <si>
    <t>Tested Collector 2nd order loss coefficient (a2)</t>
  </si>
  <si>
    <t>WESSUN Collector 2nd order loss coefficient (a2)</t>
  </si>
  <si>
    <t>1st-order IAM (b0). Only used in non-WESSUN technologies.</t>
  </si>
  <si>
    <t>2nd-order IAM (b1). Only used in non-WESSUN technologies.</t>
  </si>
  <si>
    <t>The minimum flow rate through the entire solar collector array that can be achieved when the pump is operating.</t>
  </si>
  <si>
    <t xml:space="preserve">The maximum flow rate through the entire collector array per unit area.  </t>
  </si>
  <si>
    <t>kg/h.m2</t>
  </si>
  <si>
    <r>
      <t>Capacitance of Collector per m2.</t>
    </r>
    <r>
      <rPr>
        <sz val="11"/>
        <rFont val="Calibri"/>
        <family val="2"/>
        <scheme val="minor"/>
      </rPr>
      <t xml:space="preserve"> (Fluid + Glass + Copper). </t>
    </r>
    <r>
      <rPr>
        <sz val="11"/>
        <color rgb="FFFF0000"/>
        <rFont val="Calibri"/>
        <family val="2"/>
        <scheme val="minor"/>
      </rPr>
      <t>To Improve por ETC</t>
    </r>
  </si>
  <si>
    <t>Pipe location: 0=External 1=Internal 2=Buried</t>
  </si>
  <si>
    <t>Desired temperature for matchflow mode M1300_WSS01_Control = 2</t>
  </si>
  <si>
    <t>The type of flow-control that will be used for the primary loop control:
   0-Fixed Flow Rate. 
   1-Match-flow Rate for desired temperature T storage (x_M1300_CON02_Thigh, M1300_TAcuHigh) + 1ºC
   2-Match-flow Rate for desired temperature M1300_WSS01_Tset</t>
  </si>
  <si>
    <t>IAM K50</t>
  </si>
  <si>
    <t>Rated power consumption</t>
  </si>
  <si>
    <t>Total pipe length. Forward and Return.</t>
  </si>
  <si>
    <t>Pipe length oneway.</t>
  </si>
  <si>
    <t>Total maximum solar power equal to Itmax * Area * collector intercept efficiency</t>
  </si>
  <si>
    <t>Initial fluid temperature. Assumed mean location ambient temperature.</t>
  </si>
  <si>
    <t>Type_Meteofile</t>
  </si>
  <si>
    <t>The radiation processing mode that will be used to calculate the radiation components on a tilted surface: 1= Isotropic Sky Model, 2 = Hay and Davies Model, 3 = Reindl Model, 4 = Perez 1988 Model.  5 = Perez 1999 Model. Refer to the documentation for the Type 16 model for more information.</t>
  </si>
  <si>
    <t>Mode_TiltSurf</t>
  </si>
  <si>
    <t>Pipe thickness. Based on tabulated data, a linear correlation is obtained by using the polyfit function in the python program. For more information, see annexes.</t>
  </si>
  <si>
    <t>Insulation thickness. Based on tabulated data, a linear correlation is obtained by using the polyfit function in the python program. For more information, see annexes.</t>
  </si>
  <si>
    <t>M1300 VALIDATION (NOT USED IN COMMON WE DISTRICT STRUCTURE)</t>
  </si>
  <si>
    <t>Used for pre-sizing</t>
  </si>
  <si>
    <t>M1300_WSS01_farea</t>
  </si>
  <si>
    <t>M1300_WSS01_Areau</t>
  </si>
  <si>
    <t>WESSUN Aperture area pre-sizing based on mean collector efficiency and beam and diffuse radiation.</t>
  </si>
  <si>
    <t>WESSUN net Aperture area pre-sizing based on mean collector efficiency and beam and diffuse radiation.</t>
  </si>
  <si>
    <t>M1300_WSS01_Area*M1300_WSS01_farea</t>
  </si>
  <si>
    <t>WESSUN net aperture area factor. Relationship between net area and Aperture area regarding to non-useful ETC manifold-headers or PFC frames structures.</t>
  </si>
  <si>
    <t>MIN(GT(M1300_PU01_V,0.2)*((9.49779473*10**-6)*M1300_PU01_V**3-0.00350971*M1300_PU01_V**2+0.44274642*M1300_PU01_V+5.87642027)+LE(M1300_PU01_V,0.2)*25*M1300_PU01_V,30)*M1300_RoPri*9.8</t>
  </si>
  <si>
    <t>MIN(GT(M1300_PU02_V,0.2)*((9.49779473*10**-6)*M1300_PU02_V**3-0.00350971*M1300_PU02_V**2+0.44274642*M1300_PU02_V+5.87642027)+LE(M1300_PU02_V,0.2)*25*M1300_PU02_V,30)*M1300_RoSec*9.8</t>
  </si>
  <si>
    <t>M0100_LU_MET</t>
  </si>
  <si>
    <t>M1300_LU_MSK</t>
  </si>
  <si>
    <t>M1300_LU_COL</t>
  </si>
  <si>
    <t xml:space="preserve">(EQL(PAR_STC,1)+EQL(PAR_STC,2))*103+EQL(PAR_STC,3)*103+EQL(PAR_STC,4)*104+EQL(PAR_STC,5)*105+EQL(PAR_STC,6)*106+EQL(PAR_STC,7)*107 </t>
  </si>
  <si>
    <t>EQL(PAR_LOC,1)*11+EQL(PAR_LOC,2)*12+EQL(PAR_LOC,3)*13+EQL(PAR_LOC,4)*14+EQL(PAR_LOC,5)*15+EQL(PAR_LOC,6)*16</t>
  </si>
  <si>
    <t>!Meteo</t>
  </si>
  <si>
    <t>!Mascaras</t>
  </si>
  <si>
    <t>90-99</t>
  </si>
  <si>
    <t>!WESSUN</t>
  </si>
  <si>
    <t>100-129</t>
  </si>
  <si>
    <t>!PTC</t>
  </si>
  <si>
    <t>130-139</t>
  </si>
  <si>
    <t>!Fresnel</t>
  </si>
  <si>
    <t>140-149</t>
  </si>
  <si>
    <t xml:space="preserve">!Calderas </t>
  </si>
  <si>
    <t>300-399</t>
  </si>
  <si>
    <t xml:space="preserve">!Chillers </t>
  </si>
  <si>
    <t>400-499</t>
  </si>
  <si>
    <t xml:space="preserve">!Demandas </t>
  </si>
  <si>
    <t>800-899</t>
  </si>
  <si>
    <t xml:space="preserve">!Outputs </t>
  </si>
  <si>
    <t xml:space="preserve">900-999   </t>
  </si>
  <si>
    <t>10-89</t>
  </si>
  <si>
    <t>M8100_LU_DEM</t>
  </si>
  <si>
    <t>KJPHtoMW</t>
  </si>
  <si>
    <t>Conversion from kJ/h to MW</t>
  </si>
  <si>
    <t>KJPHtokW</t>
  </si>
  <si>
    <t>Conversion from kJ/h to kW</t>
  </si>
  <si>
    <t>M1300_WSS01_Cheight*COS(M1300_ColHrSlope)/M1300_WSSRowSep*1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</si>
</sst>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0"/>
      <name val="Calibri"/>
      <family val="2"/>
      <scheme val="minor"/>
    </font>
    <font>
      <sz val="11"/>
      <color rgb="FFFF0000"/>
      <name val="Calibri"/>
      <family val="2"/>
      <scheme val="minor"/>
    </font>
    <font>
      <b/>
      <sz val="12"/>
      <color rgb="FFFF0000"/>
      <name val="Calibri"/>
      <family val="2"/>
      <scheme val="minor"/>
    </font>
    <font>
      <sz val="8"/>
      <name val="Calibri"/>
      <family val="2"/>
      <scheme val="minor"/>
    </font>
    <font>
      <b/>
      <sz val="11"/>
      <color theme="1"/>
      <name val="Calibri"/>
      <family val="2"/>
      <scheme val="minor"/>
    </font>
    <font>
      <sz val="11"/>
      <color theme="1"/>
      <name val="Calibri"/>
      <family val="2"/>
    </font>
    <font>
      <sz val="11"/>
      <name val="Calibri"/>
      <family val="2"/>
      <scheme val="minor"/>
    </font>
    <font>
      <b/>
      <sz val="11"/>
      <color rgb="FFFF0000"/>
      <name val="Calibri"/>
      <family val="2"/>
      <scheme val="minor"/>
    </font>
    <font>
      <sz val="11"/>
      <color rgb="FF7030A0"/>
      <name val="Calibri"/>
      <family val="2"/>
      <scheme val="minor"/>
    </font>
  </fonts>
  <fills count="7">
    <fill>
      <patternFill patternType="none"/>
    </fill>
    <fill>
      <patternFill patternType="gray125"/>
    </fill>
    <fill>
      <patternFill patternType="solid">
        <fgColor rgb="FF7030A0"/>
        <bgColor indexed="64"/>
      </patternFill>
    </fill>
    <fill>
      <patternFill patternType="solid">
        <fgColor theme="9" tint="0.59999389629810485"/>
        <bgColor indexed="64"/>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1" fillId="2" borderId="1" xfId="0" applyFont="1" applyFill="1" applyBorder="1" applyAlignment="1">
      <alignment vertical="top"/>
    </xf>
    <xf numFmtId="0" fontId="3" fillId="2" borderId="1" xfId="0" applyFont="1" applyFill="1" applyBorder="1" applyAlignment="1">
      <alignment vertical="top"/>
    </xf>
    <xf numFmtId="0" fontId="1" fillId="2" borderId="1" xfId="0" applyFont="1" applyFill="1" applyBorder="1" applyAlignment="1">
      <alignment vertical="top" wrapText="1"/>
    </xf>
    <xf numFmtId="0" fontId="1" fillId="4" borderId="1" xfId="0" applyFont="1" applyFill="1" applyBorder="1" applyAlignment="1">
      <alignment vertical="top"/>
    </xf>
    <xf numFmtId="0" fontId="3" fillId="4" borderId="1" xfId="0" applyFont="1" applyFill="1" applyBorder="1" applyAlignment="1">
      <alignment vertical="top"/>
    </xf>
    <xf numFmtId="0" fontId="1" fillId="4" borderId="1" xfId="0" applyFont="1" applyFill="1" applyBorder="1" applyAlignment="1">
      <alignment vertical="top" wrapText="1"/>
    </xf>
    <xf numFmtId="0" fontId="0" fillId="0" borderId="1" xfId="0" applyBorder="1" applyAlignment="1">
      <alignment vertical="top"/>
    </xf>
    <xf numFmtId="0" fontId="2" fillId="0" borderId="1" xfId="0" applyFont="1" applyBorder="1" applyAlignment="1">
      <alignment vertical="top"/>
    </xf>
    <xf numFmtId="4" fontId="0" fillId="0" borderId="1" xfId="0" applyNumberFormat="1" applyBorder="1" applyAlignment="1">
      <alignment vertical="top"/>
    </xf>
    <xf numFmtId="0" fontId="0" fillId="0" borderId="1" xfId="0" applyBorder="1" applyAlignment="1">
      <alignment vertical="top" wrapText="1"/>
    </xf>
    <xf numFmtId="4" fontId="0" fillId="0" borderId="1" xfId="0" applyNumberFormat="1" applyFill="1" applyBorder="1" applyAlignment="1">
      <alignment vertical="top"/>
    </xf>
    <xf numFmtId="0" fontId="0" fillId="0" borderId="1" xfId="0" applyFill="1" applyBorder="1" applyAlignment="1">
      <alignment vertical="top"/>
    </xf>
    <xf numFmtId="4" fontId="0" fillId="3" borderId="1" xfId="0" applyNumberFormat="1" applyFill="1" applyBorder="1" applyAlignment="1">
      <alignment vertical="top"/>
    </xf>
    <xf numFmtId="0" fontId="0" fillId="3" borderId="1" xfId="0" applyFill="1" applyBorder="1" applyAlignment="1">
      <alignment vertical="top"/>
    </xf>
    <xf numFmtId="0" fontId="1" fillId="2"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0" fillId="0" borderId="1" xfId="0" applyBorder="1" applyAlignment="1">
      <alignment horizontal="left" vertical="top" wrapText="1"/>
    </xf>
    <xf numFmtId="0" fontId="0" fillId="5" borderId="1" xfId="0" applyFill="1" applyBorder="1" applyAlignment="1">
      <alignment vertical="top"/>
    </xf>
    <xf numFmtId="0" fontId="6" fillId="5" borderId="0" xfId="0" applyFont="1" applyFill="1" applyAlignment="1">
      <alignment horizontal="center" vertical="top"/>
    </xf>
    <xf numFmtId="0" fontId="0" fillId="6" borderId="0" xfId="0" applyFill="1" applyAlignment="1">
      <alignment vertical="top"/>
    </xf>
    <xf numFmtId="0" fontId="0" fillId="6" borderId="0" xfId="0" applyFill="1" applyAlignment="1">
      <alignment vertical="top" wrapText="1"/>
    </xf>
    <xf numFmtId="0" fontId="2" fillId="6" borderId="0" xfId="0" applyFont="1" applyFill="1" applyAlignment="1">
      <alignment vertical="top"/>
    </xf>
    <xf numFmtId="0" fontId="0" fillId="5" borderId="1" xfId="0" applyFill="1" applyBorder="1" applyAlignment="1">
      <alignment vertical="top" wrapText="1"/>
    </xf>
    <xf numFmtId="0" fontId="0" fillId="6" borderId="0" xfId="0" applyFont="1" applyFill="1" applyAlignment="1">
      <alignment vertical="top"/>
    </xf>
    <xf numFmtId="0" fontId="5" fillId="5" borderId="1" xfId="0" applyFont="1" applyFill="1" applyBorder="1" applyAlignment="1">
      <alignment vertical="top"/>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vertical="top" wrapText="1"/>
    </xf>
    <xf numFmtId="1" fontId="1" fillId="2" borderId="1" xfId="0" applyNumberFormat="1" applyFont="1" applyFill="1" applyBorder="1" applyAlignment="1">
      <alignment vertical="top" wrapText="1"/>
    </xf>
    <xf numFmtId="1" fontId="1" fillId="4" borderId="1" xfId="0" applyNumberFormat="1" applyFont="1" applyFill="1" applyBorder="1" applyAlignment="1">
      <alignment vertical="top"/>
    </xf>
    <xf numFmtId="1" fontId="1" fillId="2" borderId="1" xfId="0" applyNumberFormat="1" applyFont="1" applyFill="1" applyBorder="1" applyAlignment="1">
      <alignment vertical="top"/>
    </xf>
    <xf numFmtId="1" fontId="0" fillId="5" borderId="1" xfId="0" applyNumberFormat="1" applyFont="1" applyFill="1" applyBorder="1" applyAlignment="1">
      <alignment vertical="top"/>
    </xf>
    <xf numFmtId="1" fontId="0" fillId="0" borderId="1" xfId="0" applyNumberFormat="1" applyBorder="1" applyAlignment="1">
      <alignment vertical="top"/>
    </xf>
    <xf numFmtId="1" fontId="0" fillId="0" borderId="1" xfId="0" applyNumberFormat="1" applyFont="1" applyBorder="1" applyAlignment="1">
      <alignment vertical="top"/>
    </xf>
    <xf numFmtId="0" fontId="2" fillId="6" borderId="0" xfId="0" applyFont="1" applyFill="1" applyAlignment="1">
      <alignment vertical="top" wrapText="1"/>
    </xf>
    <xf numFmtId="4" fontId="0" fillId="0" borderId="1" xfId="0" applyNumberFormat="1" applyFill="1" applyBorder="1" applyAlignment="1">
      <alignment horizontal="left" vertical="top" wrapText="1"/>
    </xf>
    <xf numFmtId="0" fontId="0" fillId="0" borderId="1" xfId="0"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applyFill="1" applyAlignment="1">
      <alignment vertical="top"/>
    </xf>
    <xf numFmtId="0" fontId="0" fillId="0" borderId="0" xfId="0" applyFill="1" applyAlignment="1">
      <alignment horizontal="left" vertical="top" wrapText="1"/>
    </xf>
    <xf numFmtId="1" fontId="0" fillId="0" borderId="0" xfId="0" applyNumberFormat="1" applyFill="1" applyAlignment="1">
      <alignment vertical="top"/>
    </xf>
    <xf numFmtId="0" fontId="3" fillId="4" borderId="1" xfId="0" applyFont="1" applyFill="1" applyBorder="1" applyAlignment="1">
      <alignment vertical="top" wrapText="1"/>
    </xf>
    <xf numFmtId="0" fontId="3" fillId="4" borderId="1" xfId="0" applyFont="1" applyFill="1" applyBorder="1" applyAlignment="1">
      <alignment horizontal="left" vertical="top" wrapText="1"/>
    </xf>
    <xf numFmtId="1" fontId="3" fillId="4" borderId="1" xfId="0" applyNumberFormat="1" applyFont="1" applyFill="1" applyBorder="1" applyAlignment="1">
      <alignment vertical="top"/>
    </xf>
    <xf numFmtId="0" fontId="3" fillId="2" borderId="1" xfId="0" applyFont="1" applyFill="1" applyBorder="1" applyAlignment="1">
      <alignment vertical="top" wrapText="1"/>
    </xf>
    <xf numFmtId="0" fontId="3" fillId="2" borderId="1" xfId="0" applyFont="1" applyFill="1" applyBorder="1" applyAlignment="1">
      <alignment horizontal="left" vertical="top" wrapText="1"/>
    </xf>
    <xf numFmtId="1" fontId="3" fillId="2" borderId="1" xfId="0" applyNumberFormat="1" applyFont="1" applyFill="1" applyBorder="1" applyAlignment="1">
      <alignment vertical="top"/>
    </xf>
    <xf numFmtId="0" fontId="8" fillId="5" borderId="1" xfId="0" applyFont="1" applyFill="1" applyBorder="1" applyAlignment="1">
      <alignment vertical="top"/>
    </xf>
    <xf numFmtId="0" fontId="8" fillId="5" borderId="1" xfId="0" applyFont="1" applyFill="1" applyBorder="1" applyAlignment="1">
      <alignment vertical="top" wrapText="1"/>
    </xf>
    <xf numFmtId="0" fontId="8" fillId="5" borderId="1" xfId="0" applyFont="1" applyFill="1" applyBorder="1" applyAlignment="1">
      <alignment horizontal="left" vertical="top" wrapText="1"/>
    </xf>
    <xf numFmtId="1" fontId="8" fillId="5" borderId="1" xfId="0" applyNumberFormat="1" applyFont="1" applyFill="1" applyBorder="1" applyAlignment="1">
      <alignment vertical="top"/>
    </xf>
    <xf numFmtId="0" fontId="2" fillId="0" borderId="1" xfId="0" applyFont="1" applyBorder="1" applyAlignment="1">
      <alignment vertical="top" wrapText="1"/>
    </xf>
    <xf numFmtId="4" fontId="2" fillId="0" borderId="1" xfId="0" applyNumberFormat="1" applyFont="1" applyBorder="1" applyAlignment="1">
      <alignment vertical="top"/>
    </xf>
    <xf numFmtId="4" fontId="2" fillId="0" borderId="1" xfId="0" applyNumberFormat="1" applyFont="1" applyFill="1" applyBorder="1" applyAlignment="1">
      <alignment horizontal="left" vertical="top" wrapText="1"/>
    </xf>
    <xf numFmtId="1" fontId="2" fillId="0" borderId="1" xfId="0" applyNumberFormat="1" applyFont="1" applyBorder="1" applyAlignment="1">
      <alignment vertical="top"/>
    </xf>
    <xf numFmtId="0" fontId="8" fillId="0" borderId="1" xfId="0" applyFont="1" applyFill="1" applyBorder="1" applyAlignment="1">
      <alignment horizontal="left" vertical="top" wrapText="1"/>
    </xf>
    <xf numFmtId="4" fontId="2" fillId="3" borderId="1" xfId="0" applyNumberFormat="1" applyFont="1" applyFill="1" applyBorder="1" applyAlignment="1">
      <alignment vertical="top"/>
    </xf>
    <xf numFmtId="0" fontId="2" fillId="0" borderId="1" xfId="0" applyFont="1" applyFill="1" applyBorder="1" applyAlignment="1">
      <alignment horizontal="left" vertical="top" wrapText="1"/>
    </xf>
    <xf numFmtId="0" fontId="2" fillId="0" borderId="1" xfId="0" applyFont="1" applyFill="1" applyBorder="1" applyAlignment="1">
      <alignment vertical="top" wrapText="1"/>
    </xf>
    <xf numFmtId="4" fontId="2" fillId="0" borderId="1" xfId="0" applyNumberFormat="1" applyFont="1" applyFill="1" applyBorder="1" applyAlignment="1">
      <alignment vertical="top" wrapText="1"/>
    </xf>
    <xf numFmtId="0" fontId="2" fillId="0" borderId="1" xfId="0" applyFont="1" applyBorder="1" applyAlignment="1">
      <alignment horizontal="left" vertical="top" wrapText="1"/>
    </xf>
    <xf numFmtId="1" fontId="2" fillId="5" borderId="1" xfId="0" applyNumberFormat="1" applyFont="1" applyFill="1" applyBorder="1" applyAlignment="1">
      <alignment vertical="top"/>
    </xf>
    <xf numFmtId="0" fontId="2" fillId="5" borderId="1" xfId="0" applyFont="1" applyFill="1" applyBorder="1" applyAlignment="1">
      <alignment vertical="top" wrapText="1"/>
    </xf>
    <xf numFmtId="0" fontId="1" fillId="2" borderId="1" xfId="0" quotePrefix="1" applyFont="1" applyFill="1" applyBorder="1" applyAlignment="1">
      <alignment vertical="top"/>
    </xf>
    <xf numFmtId="11" fontId="0" fillId="0" borderId="1" xfId="0" applyNumberFormat="1" applyBorder="1" applyAlignment="1">
      <alignment vertical="top"/>
    </xf>
    <xf numFmtId="11" fontId="0" fillId="0" borderId="1" xfId="0" applyNumberFormat="1" applyFill="1" applyBorder="1" applyAlignment="1">
      <alignment horizontal="left" vertical="top" wrapText="1"/>
    </xf>
    <xf numFmtId="0" fontId="7" fillId="5" borderId="1" xfId="0" applyFont="1" applyFill="1" applyBorder="1" applyAlignment="1">
      <alignment horizontal="left" vertical="top" wrapText="1"/>
    </xf>
    <xf numFmtId="0" fontId="9" fillId="0" borderId="1" xfId="0" applyFont="1" applyFill="1" applyBorder="1" applyAlignment="1">
      <alignment horizontal="left" vertical="top" wrapText="1"/>
    </xf>
  </cellXfs>
  <cellStyles count="1">
    <cellStyle name="Normal" xfId="0" builtinId="0"/>
  </cellStyles>
  <dxfs count="8">
    <dxf>
      <font>
        <color auto="1"/>
      </font>
      <fill>
        <patternFill>
          <bgColor rgb="FF7030A0"/>
        </patternFill>
      </fill>
    </dxf>
    <dxf>
      <font>
        <color theme="0"/>
      </font>
      <fill>
        <patternFill>
          <bgColor rgb="FFFF0000"/>
        </patternFill>
      </fill>
    </dxf>
    <dxf>
      <font>
        <color auto="1"/>
      </font>
      <fill>
        <patternFill>
          <bgColor rgb="FF7030A0"/>
        </patternFill>
      </fill>
    </dxf>
    <dxf>
      <font>
        <color theme="0"/>
      </font>
      <fill>
        <patternFill>
          <bgColor rgb="FFFF0000"/>
        </patternFill>
      </fill>
    </dxf>
    <dxf>
      <font>
        <color auto="1"/>
      </font>
      <fill>
        <patternFill>
          <bgColor rgb="FF7030A0"/>
        </patternFill>
      </fill>
    </dxf>
    <dxf>
      <font>
        <color theme="0"/>
      </font>
      <fill>
        <patternFill>
          <bgColor rgb="FFFF0000"/>
        </patternFill>
      </fill>
    </dxf>
    <dxf>
      <font>
        <color auto="1"/>
      </font>
      <fill>
        <patternFill>
          <bgColor rgb="FF7030A0"/>
        </patternFill>
      </fill>
    </dxf>
    <dxf>
      <font>
        <color theme="0"/>
      </font>
      <fill>
        <patternFill>
          <bgColor rgb="FFFF0000"/>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outlinePr summaryBelow="0" summaryRight="0"/>
  </sheetPr>
  <dimension ref="A1:P232"/>
  <sheetViews>
    <sheetView tabSelected="1" topLeftCell="A13" zoomScale="85" zoomScaleNormal="85" workbookViewId="0">
      <selection activeCell="J22" sqref="J22"/>
    </sheetView>
  </sheetViews>
  <sheetFormatPr baseColWidth="10" defaultColWidth="11.5703125" defaultRowHeight="15" outlineLevelRow="2" outlineLevelCol="1" x14ac:dyDescent="0.25"/>
  <cols>
    <col min="1" max="1" width="7.7109375" style="40" customWidth="1"/>
    <col min="2" max="2" width="15.7109375" style="41" customWidth="1"/>
    <col min="3" max="3" width="3.7109375" style="40" customWidth="1"/>
    <col min="4" max="4" width="25.7109375" style="40" customWidth="1"/>
    <col min="5" max="5" width="3.7109375" style="40" customWidth="1"/>
    <col min="6" max="6" width="12.7109375" style="40" customWidth="1" collapsed="1"/>
    <col min="7" max="7" width="12.7109375" style="42" hidden="1" customWidth="1" outlineLevel="1"/>
    <col min="8" max="8" width="12.7109375" style="40" customWidth="1"/>
    <col min="9" max="9" width="10.7109375" style="40" customWidth="1"/>
    <col min="10" max="10" width="50.7109375" style="43" customWidth="1"/>
    <col min="11" max="11" width="50.7109375" style="41" customWidth="1"/>
    <col min="12" max="12" width="12.7109375" style="41" customWidth="1"/>
    <col min="13" max="13" width="3.7109375" style="44" customWidth="1"/>
    <col min="14" max="14" width="10.7109375" style="41" customWidth="1"/>
    <col min="15" max="16384" width="11.5703125" style="40"/>
  </cols>
  <sheetData>
    <row r="1" spans="1:16" s="20" customFormat="1" x14ac:dyDescent="0.25">
      <c r="B1" s="21" t="s">
        <v>432</v>
      </c>
      <c r="C1" s="19" t="s">
        <v>418</v>
      </c>
      <c r="D1" s="19" t="s">
        <v>418</v>
      </c>
      <c r="E1" s="19" t="s">
        <v>418</v>
      </c>
      <c r="F1" s="19" t="s">
        <v>420</v>
      </c>
      <c r="G1" s="22"/>
      <c r="J1" s="19" t="s">
        <v>420</v>
      </c>
      <c r="K1" s="21"/>
      <c r="L1" s="35"/>
      <c r="M1" s="35"/>
      <c r="N1" s="35"/>
    </row>
    <row r="2" spans="1:16" s="21" customFormat="1" ht="40.15" customHeight="1" x14ac:dyDescent="0.25">
      <c r="A2" s="3" t="s">
        <v>0</v>
      </c>
      <c r="B2" s="3" t="s">
        <v>444</v>
      </c>
      <c r="C2" s="3" t="s">
        <v>416</v>
      </c>
      <c r="D2" s="3" t="s">
        <v>417</v>
      </c>
      <c r="E2" s="3" t="s">
        <v>421</v>
      </c>
      <c r="F2" s="3" t="s">
        <v>415</v>
      </c>
      <c r="G2" s="3" t="s">
        <v>2</v>
      </c>
      <c r="H2" s="3" t="s">
        <v>414</v>
      </c>
      <c r="I2" s="3" t="s">
        <v>1</v>
      </c>
      <c r="J2" s="15" t="s">
        <v>419</v>
      </c>
      <c r="K2" s="3" t="s">
        <v>13</v>
      </c>
      <c r="L2" s="3" t="s">
        <v>426</v>
      </c>
      <c r="M2" s="29" t="s">
        <v>429</v>
      </c>
      <c r="N2" s="3" t="s">
        <v>413</v>
      </c>
      <c r="P2" s="21" t="s">
        <v>412</v>
      </c>
    </row>
    <row r="3" spans="1:16" s="20" customFormat="1" ht="18" customHeight="1" x14ac:dyDescent="0.25">
      <c r="A3" s="4" t="s">
        <v>169</v>
      </c>
      <c r="B3" s="6"/>
      <c r="C3" s="4"/>
      <c r="D3" s="4"/>
      <c r="E3" s="4"/>
      <c r="F3" s="4"/>
      <c r="G3" s="5"/>
      <c r="H3" s="4"/>
      <c r="I3" s="4"/>
      <c r="J3" s="16"/>
      <c r="K3" s="6"/>
      <c r="L3" s="6" t="s">
        <v>428</v>
      </c>
      <c r="M3" s="30" t="s">
        <v>428</v>
      </c>
      <c r="N3" s="6"/>
    </row>
    <row r="4" spans="1:16" s="20" customFormat="1" ht="15.75" outlineLevel="1" x14ac:dyDescent="0.25">
      <c r="A4" s="1" t="s">
        <v>12</v>
      </c>
      <c r="B4" s="3"/>
      <c r="C4" s="1" t="s">
        <v>9</v>
      </c>
      <c r="D4" s="1" t="s">
        <v>330</v>
      </c>
      <c r="E4" s="1"/>
      <c r="F4" s="1"/>
      <c r="G4" s="2"/>
      <c r="H4" s="1"/>
      <c r="I4" s="1"/>
      <c r="J4" s="15"/>
      <c r="K4" s="3"/>
      <c r="L4" s="3"/>
      <c r="M4" s="31" t="s">
        <v>428</v>
      </c>
      <c r="N4" s="3"/>
    </row>
    <row r="5" spans="1:16" s="24" customFormat="1" outlineLevel="2" x14ac:dyDescent="0.25">
      <c r="A5" s="25" t="s">
        <v>12</v>
      </c>
      <c r="B5" s="26"/>
      <c r="C5" s="25"/>
      <c r="D5" s="25" t="s">
        <v>11</v>
      </c>
      <c r="E5" s="25">
        <f>COUNTBLANK(C6:C14)</f>
        <v>9</v>
      </c>
      <c r="F5" s="25"/>
      <c r="G5" s="25"/>
      <c r="H5" s="25"/>
      <c r="I5" s="25"/>
      <c r="J5" s="27"/>
      <c r="K5" s="26"/>
      <c r="L5" s="26"/>
      <c r="M5" s="32">
        <v>1</v>
      </c>
      <c r="N5" s="28" t="s">
        <v>422</v>
      </c>
    </row>
    <row r="6" spans="1:16" s="20" customFormat="1" outlineLevel="2" x14ac:dyDescent="0.25">
      <c r="A6" s="7" t="s">
        <v>12</v>
      </c>
      <c r="B6" s="10"/>
      <c r="C6" s="7"/>
      <c r="D6" s="7" t="s">
        <v>19</v>
      </c>
      <c r="E6" s="7" t="str">
        <f t="shared" ref="E6" si="0">IF(C6="*","","=")</f>
        <v>=</v>
      </c>
      <c r="F6" s="7">
        <f t="shared" ref="F6:F52" si="1">IF((ISBLANK(G6))=TRUE,H6,G6)</f>
        <v>30</v>
      </c>
      <c r="G6" s="8"/>
      <c r="H6" s="9">
        <v>30</v>
      </c>
      <c r="I6" s="7" t="s">
        <v>214</v>
      </c>
      <c r="J6" s="36">
        <f>H6</f>
        <v>30</v>
      </c>
      <c r="K6" s="10" t="s">
        <v>294</v>
      </c>
      <c r="L6" s="10" t="s">
        <v>425</v>
      </c>
      <c r="M6" s="33">
        <v>1</v>
      </c>
      <c r="N6" s="10" t="s">
        <v>422</v>
      </c>
    </row>
    <row r="7" spans="1:16" s="20" customFormat="1" ht="75" outlineLevel="2" x14ac:dyDescent="0.25">
      <c r="A7" s="7" t="s">
        <v>12</v>
      </c>
      <c r="B7" s="10" t="s">
        <v>442</v>
      </c>
      <c r="C7" s="7"/>
      <c r="D7" s="12" t="s">
        <v>20</v>
      </c>
      <c r="E7" s="7" t="str">
        <f t="shared" ref="E7:E60" si="2">IF(C7="*","","=")</f>
        <v>=</v>
      </c>
      <c r="F7" s="7">
        <f t="shared" si="1"/>
        <v>3.8907599999999998</v>
      </c>
      <c r="G7" s="8"/>
      <c r="H7" s="13">
        <f>(4.185-H6*0.9808/100)</f>
        <v>3.8907599999999998</v>
      </c>
      <c r="I7" s="7" t="s">
        <v>32</v>
      </c>
      <c r="J7" s="37" t="s">
        <v>29</v>
      </c>
      <c r="K7" s="10" t="s">
        <v>295</v>
      </c>
      <c r="L7" s="10"/>
      <c r="M7" s="33">
        <v>1</v>
      </c>
      <c r="N7" s="10" t="s">
        <v>422</v>
      </c>
    </row>
    <row r="8" spans="1:16" s="20" customFormat="1" ht="30" outlineLevel="2" x14ac:dyDescent="0.25">
      <c r="A8" s="7" t="s">
        <v>12</v>
      </c>
      <c r="B8" s="10" t="s">
        <v>441</v>
      </c>
      <c r="C8" s="7"/>
      <c r="D8" s="12" t="s">
        <v>21</v>
      </c>
      <c r="E8" s="7" t="str">
        <f t="shared" si="2"/>
        <v>=</v>
      </c>
      <c r="F8" s="7">
        <f t="shared" si="1"/>
        <v>1014.2209</v>
      </c>
      <c r="G8" s="8"/>
      <c r="H8" s="13">
        <f>(1000+47.403*F6/100)</f>
        <v>1014.2209</v>
      </c>
      <c r="I8" s="7" t="s">
        <v>33</v>
      </c>
      <c r="J8" s="37" t="s">
        <v>30</v>
      </c>
      <c r="K8" s="10" t="s">
        <v>296</v>
      </c>
      <c r="L8" s="10"/>
      <c r="M8" s="33">
        <v>1</v>
      </c>
      <c r="N8" s="10" t="s">
        <v>422</v>
      </c>
    </row>
    <row r="9" spans="1:16" s="20" customFormat="1" ht="30" outlineLevel="2" x14ac:dyDescent="0.25">
      <c r="A9" s="7" t="s">
        <v>12</v>
      </c>
      <c r="B9" s="10" t="s">
        <v>441</v>
      </c>
      <c r="C9" s="7"/>
      <c r="D9" s="12" t="s">
        <v>22</v>
      </c>
      <c r="E9" s="7" t="str">
        <f t="shared" si="2"/>
        <v>=</v>
      </c>
      <c r="F9" s="7">
        <f t="shared" si="1"/>
        <v>3.2795999999999998</v>
      </c>
      <c r="G9" s="8"/>
      <c r="H9" s="13">
        <f>3600*(0.0005+0.0008*H6/100+0.0019*(H6/100)^2)</f>
        <v>3.2795999999999998</v>
      </c>
      <c r="I9" s="7" t="s">
        <v>34</v>
      </c>
      <c r="J9" s="37" t="s">
        <v>31</v>
      </c>
      <c r="K9" s="10" t="s">
        <v>297</v>
      </c>
      <c r="L9" s="10"/>
      <c r="M9" s="33">
        <v>1</v>
      </c>
      <c r="N9" s="10" t="s">
        <v>422</v>
      </c>
    </row>
    <row r="10" spans="1:16" s="20" customFormat="1" ht="30" outlineLevel="2" x14ac:dyDescent="0.25">
      <c r="A10" s="7" t="s">
        <v>12</v>
      </c>
      <c r="B10" s="10" t="s">
        <v>441</v>
      </c>
      <c r="C10" s="7"/>
      <c r="D10" s="7" t="s">
        <v>23</v>
      </c>
      <c r="E10" s="7" t="str">
        <f t="shared" si="2"/>
        <v>=</v>
      </c>
      <c r="F10" s="7">
        <f t="shared" si="1"/>
        <v>2.2000000000000002</v>
      </c>
      <c r="G10" s="8"/>
      <c r="H10" s="11">
        <v>2.2000000000000002</v>
      </c>
      <c r="I10" s="12" t="s">
        <v>35</v>
      </c>
      <c r="J10" s="36">
        <f>H10</f>
        <v>2.2000000000000002</v>
      </c>
      <c r="K10" s="10" t="s">
        <v>298</v>
      </c>
      <c r="L10" s="10"/>
      <c r="M10" s="33">
        <v>1</v>
      </c>
      <c r="N10" s="10" t="s">
        <v>422</v>
      </c>
    </row>
    <row r="11" spans="1:16" s="20" customFormat="1" ht="30" outlineLevel="2" x14ac:dyDescent="0.25">
      <c r="A11" s="7" t="s">
        <v>12</v>
      </c>
      <c r="B11" s="10" t="s">
        <v>443</v>
      </c>
      <c r="C11" s="7"/>
      <c r="D11" s="7" t="s">
        <v>24</v>
      </c>
      <c r="E11" s="7" t="str">
        <f t="shared" si="2"/>
        <v>=</v>
      </c>
      <c r="F11" s="7">
        <f>IF((ISBLANK(G11))=TRUE,H11,G11)</f>
        <v>4.1900000000000004</v>
      </c>
      <c r="G11" s="8"/>
      <c r="H11" s="13">
        <f>H144</f>
        <v>4.1900000000000004</v>
      </c>
      <c r="I11" s="12" t="s">
        <v>32</v>
      </c>
      <c r="J11" s="12" t="s">
        <v>36</v>
      </c>
      <c r="K11" s="10" t="s">
        <v>299</v>
      </c>
      <c r="L11" s="10"/>
      <c r="M11" s="33">
        <v>1</v>
      </c>
      <c r="N11" s="10" t="s">
        <v>422</v>
      </c>
    </row>
    <row r="12" spans="1:16" s="20" customFormat="1" ht="30" outlineLevel="2" x14ac:dyDescent="0.25">
      <c r="A12" s="7" t="s">
        <v>12</v>
      </c>
      <c r="B12" s="10" t="s">
        <v>441</v>
      </c>
      <c r="C12" s="7"/>
      <c r="D12" s="7" t="s">
        <v>25</v>
      </c>
      <c r="E12" s="7" t="str">
        <f t="shared" si="2"/>
        <v>=</v>
      </c>
      <c r="F12" s="7">
        <f t="shared" si="1"/>
        <v>1000</v>
      </c>
      <c r="G12" s="8"/>
      <c r="H12" s="13">
        <f>H145</f>
        <v>1000</v>
      </c>
      <c r="I12" s="12" t="s">
        <v>33</v>
      </c>
      <c r="J12" s="12" t="s">
        <v>199</v>
      </c>
      <c r="K12" s="10" t="s">
        <v>300</v>
      </c>
      <c r="L12" s="10"/>
      <c r="M12" s="33">
        <v>1</v>
      </c>
      <c r="N12" s="10" t="s">
        <v>422</v>
      </c>
    </row>
    <row r="13" spans="1:16" s="20" customFormat="1" ht="30" outlineLevel="2" x14ac:dyDescent="0.25">
      <c r="A13" s="7" t="s">
        <v>12</v>
      </c>
      <c r="B13" s="10"/>
      <c r="C13" s="7"/>
      <c r="D13" s="7" t="s">
        <v>26</v>
      </c>
      <c r="E13" s="7" t="str">
        <f t="shared" si="2"/>
        <v>=</v>
      </c>
      <c r="F13" s="7">
        <f t="shared" si="1"/>
        <v>1.8</v>
      </c>
      <c r="G13" s="8"/>
      <c r="H13" s="13">
        <f>H146</f>
        <v>1.8</v>
      </c>
      <c r="I13" s="12" t="s">
        <v>34</v>
      </c>
      <c r="J13" s="12" t="s">
        <v>200</v>
      </c>
      <c r="K13" s="10" t="s">
        <v>445</v>
      </c>
      <c r="L13" s="10"/>
      <c r="M13" s="33">
        <v>1</v>
      </c>
      <c r="N13" s="10" t="s">
        <v>422</v>
      </c>
    </row>
    <row r="14" spans="1:16" s="20" customFormat="1" ht="30" outlineLevel="2" x14ac:dyDescent="0.25">
      <c r="A14" s="7" t="s">
        <v>12</v>
      </c>
      <c r="B14" s="10"/>
      <c r="C14" s="7"/>
      <c r="D14" s="7" t="s">
        <v>27</v>
      </c>
      <c r="E14" s="7" t="str">
        <f t="shared" si="2"/>
        <v>=</v>
      </c>
      <c r="F14" s="7">
        <f t="shared" si="1"/>
        <v>2.3400000000000003</v>
      </c>
      <c r="G14" s="8"/>
      <c r="H14" s="13">
        <f>H147</f>
        <v>2.3400000000000003</v>
      </c>
      <c r="I14" s="12" t="s">
        <v>35</v>
      </c>
      <c r="J14" s="7" t="s">
        <v>201</v>
      </c>
      <c r="K14" s="10" t="s">
        <v>446</v>
      </c>
      <c r="L14" s="10"/>
      <c r="M14" s="33">
        <v>1</v>
      </c>
      <c r="N14" s="10" t="s">
        <v>422</v>
      </c>
    </row>
    <row r="15" spans="1:16" s="20" customFormat="1" ht="15.75" outlineLevel="1" x14ac:dyDescent="0.25">
      <c r="A15" s="1" t="s">
        <v>12</v>
      </c>
      <c r="B15" s="3"/>
      <c r="C15" s="1" t="s">
        <v>9</v>
      </c>
      <c r="D15" s="1" t="s">
        <v>329</v>
      </c>
      <c r="E15" s="1"/>
      <c r="F15" s="1"/>
      <c r="G15" s="2"/>
      <c r="H15" s="1"/>
      <c r="I15" s="1"/>
      <c r="J15" s="15"/>
      <c r="K15" s="3"/>
      <c r="L15" s="3"/>
      <c r="M15" s="31" t="s">
        <v>428</v>
      </c>
      <c r="N15" s="3"/>
    </row>
    <row r="16" spans="1:16" s="24" customFormat="1" outlineLevel="2" x14ac:dyDescent="0.25">
      <c r="A16" s="25" t="s">
        <v>12</v>
      </c>
      <c r="B16" s="26"/>
      <c r="C16" s="25"/>
      <c r="D16" s="25" t="s">
        <v>11</v>
      </c>
      <c r="E16" s="25">
        <f>COUNTBLANK(C17:C27)</f>
        <v>9</v>
      </c>
      <c r="F16" s="25"/>
      <c r="G16" s="25"/>
      <c r="H16" s="25"/>
      <c r="I16" s="25"/>
      <c r="J16" s="27"/>
      <c r="K16" s="26"/>
      <c r="L16" s="26"/>
      <c r="M16" s="33">
        <v>1</v>
      </c>
      <c r="N16" s="28" t="s">
        <v>422</v>
      </c>
    </row>
    <row r="17" spans="1:14" s="20" customFormat="1" outlineLevel="2" x14ac:dyDescent="0.25">
      <c r="A17" s="7" t="s">
        <v>12</v>
      </c>
      <c r="B17" s="10" t="s">
        <v>439</v>
      </c>
      <c r="C17" s="7"/>
      <c r="D17" s="7" t="s">
        <v>45</v>
      </c>
      <c r="E17" s="7" t="str">
        <f t="shared" si="2"/>
        <v>=</v>
      </c>
      <c r="F17" s="7"/>
      <c r="G17" s="8"/>
      <c r="H17" s="9">
        <v>16</v>
      </c>
      <c r="I17" s="7" t="s">
        <v>8</v>
      </c>
      <c r="J17" s="36">
        <f>H17</f>
        <v>16</v>
      </c>
      <c r="K17" s="10" t="s">
        <v>301</v>
      </c>
      <c r="L17" s="10"/>
      <c r="M17" s="33">
        <v>1</v>
      </c>
      <c r="N17" s="10" t="s">
        <v>422</v>
      </c>
    </row>
    <row r="18" spans="1:14" s="20" customFormat="1" outlineLevel="2" x14ac:dyDescent="0.25">
      <c r="A18" s="7" t="s">
        <v>12</v>
      </c>
      <c r="B18" s="10" t="s">
        <v>440</v>
      </c>
      <c r="C18" s="7"/>
      <c r="D18" s="7" t="s">
        <v>46</v>
      </c>
      <c r="E18" s="7" t="str">
        <f t="shared" si="2"/>
        <v>=</v>
      </c>
      <c r="F18" s="7"/>
      <c r="G18" s="8"/>
      <c r="H18" s="9">
        <v>0</v>
      </c>
      <c r="I18" s="7" t="s">
        <v>7</v>
      </c>
      <c r="J18" s="36">
        <v>0</v>
      </c>
      <c r="K18" s="10" t="s">
        <v>450</v>
      </c>
      <c r="L18" s="10" t="s">
        <v>427</v>
      </c>
      <c r="M18" s="33">
        <v>1</v>
      </c>
      <c r="N18" s="10" t="s">
        <v>422</v>
      </c>
    </row>
    <row r="19" spans="1:14" s="20" customFormat="1" outlineLevel="2" x14ac:dyDescent="0.25">
      <c r="A19" s="7" t="s">
        <v>12</v>
      </c>
      <c r="B19" s="10" t="s">
        <v>440</v>
      </c>
      <c r="C19" s="7"/>
      <c r="D19" s="7" t="s">
        <v>47</v>
      </c>
      <c r="E19" s="7" t="str">
        <f t="shared" si="2"/>
        <v>=</v>
      </c>
      <c r="F19" s="7"/>
      <c r="G19" s="8"/>
      <c r="H19" s="9">
        <v>0</v>
      </c>
      <c r="I19" s="7" t="s">
        <v>7</v>
      </c>
      <c r="J19" s="36">
        <f t="shared" ref="J19" si="3">H19</f>
        <v>0</v>
      </c>
      <c r="K19" s="23" t="s">
        <v>327</v>
      </c>
      <c r="L19" s="10" t="s">
        <v>427</v>
      </c>
      <c r="M19" s="33">
        <v>1</v>
      </c>
      <c r="N19" s="10" t="s">
        <v>422</v>
      </c>
    </row>
    <row r="20" spans="1:14" s="20" customFormat="1" ht="45" outlineLevel="2" x14ac:dyDescent="0.25">
      <c r="A20" s="7" t="s">
        <v>12</v>
      </c>
      <c r="B20" s="10" t="s">
        <v>440</v>
      </c>
      <c r="C20" s="7"/>
      <c r="D20" s="7" t="s">
        <v>48</v>
      </c>
      <c r="E20" s="7" t="str">
        <f t="shared" si="2"/>
        <v>=</v>
      </c>
      <c r="F20" s="7">
        <f t="shared" si="1"/>
        <v>2.427</v>
      </c>
      <c r="G20" s="8"/>
      <c r="H20" s="13">
        <f>H45+IF(OR(H30=4,H30=7),1,0)</f>
        <v>2.427</v>
      </c>
      <c r="I20" s="7" t="s">
        <v>5</v>
      </c>
      <c r="J20" s="37" t="s">
        <v>28</v>
      </c>
      <c r="K20" s="10" t="s">
        <v>328</v>
      </c>
      <c r="L20" s="10" t="s">
        <v>430</v>
      </c>
      <c r="M20" s="33">
        <v>1</v>
      </c>
      <c r="N20" s="10" t="s">
        <v>422</v>
      </c>
    </row>
    <row r="21" spans="1:14" s="20" customFormat="1" outlineLevel="2" x14ac:dyDescent="0.25">
      <c r="A21" s="7" t="s">
        <v>12</v>
      </c>
      <c r="B21" s="10" t="s">
        <v>440</v>
      </c>
      <c r="C21" s="7"/>
      <c r="D21" s="7" t="s">
        <v>49</v>
      </c>
      <c r="E21" s="7" t="str">
        <f t="shared" si="2"/>
        <v>=</v>
      </c>
      <c r="F21" s="7">
        <f t="shared" si="1"/>
        <v>45.000999999999998</v>
      </c>
      <c r="G21" s="8"/>
      <c r="H21" s="13">
        <f>H38+0.001</f>
        <v>45.000999999999998</v>
      </c>
      <c r="I21" s="7" t="s">
        <v>7</v>
      </c>
      <c r="J21" s="36" t="s">
        <v>451</v>
      </c>
      <c r="K21" s="10" t="s">
        <v>452</v>
      </c>
      <c r="L21" s="10"/>
      <c r="M21" s="33">
        <v>1</v>
      </c>
      <c r="N21" s="10" t="s">
        <v>422</v>
      </c>
    </row>
    <row r="22" spans="1:14" s="20" customFormat="1" ht="30" outlineLevel="2" x14ac:dyDescent="0.25">
      <c r="A22" s="7" t="s">
        <v>12</v>
      </c>
      <c r="B22" s="10"/>
      <c r="C22" s="7" t="s">
        <v>9</v>
      </c>
      <c r="D22" s="7" t="s">
        <v>50</v>
      </c>
      <c r="E22" s="7" t="str">
        <f t="shared" si="2"/>
        <v/>
      </c>
      <c r="F22" s="7">
        <f t="shared" si="1"/>
        <v>0.35520622552742415</v>
      </c>
      <c r="G22" s="8"/>
      <c r="H22" s="13">
        <f>H24*COS(RADIANS(H38))/H27</f>
        <v>0.35520622552742415</v>
      </c>
      <c r="I22" s="7" t="s">
        <v>8</v>
      </c>
      <c r="J22" s="71" t="s">
        <v>543</v>
      </c>
      <c r="K22" s="10" t="s">
        <v>447</v>
      </c>
      <c r="L22" s="10"/>
      <c r="M22" s="33">
        <v>1</v>
      </c>
      <c r="N22" s="10" t="s">
        <v>422</v>
      </c>
    </row>
    <row r="23" spans="1:14" s="20" customFormat="1" ht="30" outlineLevel="2" x14ac:dyDescent="0.25">
      <c r="A23" s="7" t="s">
        <v>12</v>
      </c>
      <c r="B23" s="10"/>
      <c r="C23" s="7" t="s">
        <v>9</v>
      </c>
      <c r="D23" s="7" t="s">
        <v>51</v>
      </c>
      <c r="E23" s="7" t="str">
        <f t="shared" si="2"/>
        <v/>
      </c>
      <c r="F23" s="7">
        <f t="shared" si="1"/>
        <v>0.50233746158023951</v>
      </c>
      <c r="G23" s="8"/>
      <c r="H23" s="13">
        <f>H24/H27</f>
        <v>0.50233746158023951</v>
      </c>
      <c r="I23" s="7" t="s">
        <v>8</v>
      </c>
      <c r="J23" s="37" t="s">
        <v>56</v>
      </c>
      <c r="K23" s="10" t="s">
        <v>448</v>
      </c>
      <c r="L23" s="10"/>
      <c r="M23" s="33">
        <v>1</v>
      </c>
      <c r="N23" s="10" t="s">
        <v>422</v>
      </c>
    </row>
    <row r="24" spans="1:14" s="20" customFormat="1" ht="60" outlineLevel="2" x14ac:dyDescent="0.25">
      <c r="A24" s="7" t="s">
        <v>12</v>
      </c>
      <c r="B24" s="10" t="s">
        <v>433</v>
      </c>
      <c r="C24" s="7"/>
      <c r="D24" s="7" t="s">
        <v>52</v>
      </c>
      <c r="E24" s="7" t="str">
        <f t="shared" si="2"/>
        <v>=</v>
      </c>
      <c r="F24" s="7">
        <f t="shared" si="1"/>
        <v>3.2789000000000001</v>
      </c>
      <c r="G24" s="8"/>
      <c r="H24" s="13">
        <f>IF(H30=1,2.191,IF(H30=2,2.224,IF(H30=3,3.0736,IF(H30=4,3.9231,IF(H30=5,2.427,IF(H30=6,3.2789,4.1332))))))</f>
        <v>3.2789000000000001</v>
      </c>
      <c r="I24" s="7" t="s">
        <v>8</v>
      </c>
      <c r="J24" s="17" t="s">
        <v>57</v>
      </c>
      <c r="K24" s="10" t="s">
        <v>449</v>
      </c>
      <c r="L24" s="10" t="s">
        <v>430</v>
      </c>
      <c r="M24" s="33">
        <v>1</v>
      </c>
      <c r="N24" s="10" t="s">
        <v>422</v>
      </c>
    </row>
    <row r="25" spans="1:14" s="20" customFormat="1" ht="60" outlineLevel="2" x14ac:dyDescent="0.25">
      <c r="A25" s="7" t="s">
        <v>12</v>
      </c>
      <c r="B25" s="10" t="s">
        <v>440</v>
      </c>
      <c r="C25" s="7"/>
      <c r="D25" s="7" t="s">
        <v>53</v>
      </c>
      <c r="E25" s="7" t="str">
        <f t="shared" si="2"/>
        <v>=</v>
      </c>
      <c r="F25" s="7">
        <f t="shared" si="1"/>
        <v>237.34080362444456</v>
      </c>
      <c r="G25" s="8"/>
      <c r="H25" s="13">
        <f>MAX(60,(H35*3)^0.5)</f>
        <v>237.34080362444456</v>
      </c>
      <c r="I25" s="7" t="s">
        <v>5</v>
      </c>
      <c r="J25" s="17" t="s">
        <v>453</v>
      </c>
      <c r="K25" s="10" t="s">
        <v>454</v>
      </c>
      <c r="L25" s="10"/>
      <c r="M25" s="33">
        <v>1</v>
      </c>
      <c r="N25" s="10" t="s">
        <v>422</v>
      </c>
    </row>
    <row r="26" spans="1:14" s="20" customFormat="1" ht="45" outlineLevel="2" x14ac:dyDescent="0.25">
      <c r="A26" s="7" t="s">
        <v>12</v>
      </c>
      <c r="B26" s="10" t="s">
        <v>440</v>
      </c>
      <c r="C26" s="7"/>
      <c r="D26" s="7" t="s">
        <v>54</v>
      </c>
      <c r="E26" s="7" t="str">
        <f t="shared" si="2"/>
        <v>=</v>
      </c>
      <c r="F26" s="7">
        <f t="shared" si="1"/>
        <v>79.113601208148197</v>
      </c>
      <c r="G26" s="8"/>
      <c r="H26" s="13">
        <f>H35/H25</f>
        <v>79.113601208148197</v>
      </c>
      <c r="I26" s="7" t="s">
        <v>8</v>
      </c>
      <c r="J26" s="17" t="s">
        <v>455</v>
      </c>
      <c r="K26" s="10" t="s">
        <v>456</v>
      </c>
      <c r="L26" s="10"/>
      <c r="M26" s="33">
        <v>1</v>
      </c>
      <c r="N26" s="10" t="s">
        <v>422</v>
      </c>
    </row>
    <row r="27" spans="1:14" s="20" customFormat="1" ht="75" outlineLevel="2" x14ac:dyDescent="0.25">
      <c r="A27" s="7" t="s">
        <v>12</v>
      </c>
      <c r="B27" s="10" t="s">
        <v>440</v>
      </c>
      <c r="C27" s="7"/>
      <c r="D27" s="7" t="s">
        <v>55</v>
      </c>
      <c r="E27" s="7" t="str">
        <f t="shared" si="2"/>
        <v>=</v>
      </c>
      <c r="F27" s="7">
        <f t="shared" si="1"/>
        <v>6.5272854421116158</v>
      </c>
      <c r="G27" s="8"/>
      <c r="H27" s="9">
        <f>(1+0.25*IF(H38&lt;&gt;0,1,0)+0.25*(MIN(90,ABS(H18))/90))*(H20)*(COS(RADIANS(H38))+SIN(RADIANS(H38))/TAN(RADIANS(90-ABS(H131)-23.5)))</f>
        <v>6.5272854421116158</v>
      </c>
      <c r="I27" s="7" t="s">
        <v>5</v>
      </c>
      <c r="J27" s="17" t="s">
        <v>410</v>
      </c>
      <c r="K27" s="23" t="s">
        <v>423</v>
      </c>
      <c r="L27" s="10" t="s">
        <v>427</v>
      </c>
      <c r="M27" s="33">
        <v>1</v>
      </c>
      <c r="N27" s="10" t="s">
        <v>422</v>
      </c>
    </row>
    <row r="28" spans="1:14" s="20" customFormat="1" ht="15.75" outlineLevel="1" x14ac:dyDescent="0.25">
      <c r="A28" s="1" t="s">
        <v>12</v>
      </c>
      <c r="B28" s="3"/>
      <c r="C28" s="1" t="s">
        <v>9</v>
      </c>
      <c r="D28" s="1" t="s">
        <v>58</v>
      </c>
      <c r="E28" s="1"/>
      <c r="F28" s="1"/>
      <c r="G28" s="2"/>
      <c r="H28" s="1"/>
      <c r="I28" s="1"/>
      <c r="J28" s="15"/>
      <c r="K28" s="3"/>
      <c r="L28" s="3"/>
      <c r="M28" s="31" t="s">
        <v>428</v>
      </c>
      <c r="N28" s="3"/>
    </row>
    <row r="29" spans="1:14" s="24" customFormat="1" outlineLevel="2" x14ac:dyDescent="0.25">
      <c r="A29" s="25" t="s">
        <v>12</v>
      </c>
      <c r="B29" s="26"/>
      <c r="C29" s="25"/>
      <c r="D29" s="25" t="s">
        <v>11</v>
      </c>
      <c r="E29" s="25">
        <v>37</v>
      </c>
      <c r="F29" s="25"/>
      <c r="G29" s="25"/>
      <c r="H29" s="25"/>
      <c r="I29" s="25"/>
      <c r="J29" s="27"/>
      <c r="K29" s="26"/>
      <c r="L29" s="26"/>
      <c r="M29" s="34">
        <v>1</v>
      </c>
      <c r="N29" s="28" t="s">
        <v>422</v>
      </c>
    </row>
    <row r="30" spans="1:14" s="20" customFormat="1" ht="75" outlineLevel="2" x14ac:dyDescent="0.25">
      <c r="A30" s="7" t="s">
        <v>12</v>
      </c>
      <c r="B30" s="10" t="s">
        <v>433</v>
      </c>
      <c r="C30" s="7"/>
      <c r="D30" s="7" t="s">
        <v>14</v>
      </c>
      <c r="E30" s="7" t="str">
        <f>IF(C30="*","","=")</f>
        <v>=</v>
      </c>
      <c r="F30" s="7">
        <f>IF((ISBLANK(G30))=TRUE,H30,G30)</f>
        <v>6</v>
      </c>
      <c r="G30" s="8"/>
      <c r="H30" s="11">
        <v>6</v>
      </c>
      <c r="I30" s="12" t="s">
        <v>8</v>
      </c>
      <c r="J30" s="36">
        <f>H30</f>
        <v>6</v>
      </c>
      <c r="K30" s="39" t="s">
        <v>457</v>
      </c>
      <c r="L30" s="10" t="s">
        <v>430</v>
      </c>
      <c r="M30" s="33">
        <v>1</v>
      </c>
      <c r="N30" s="10" t="s">
        <v>422</v>
      </c>
    </row>
    <row r="31" spans="1:14" s="20" customFormat="1" outlineLevel="2" x14ac:dyDescent="0.25">
      <c r="A31" s="7" t="s">
        <v>12</v>
      </c>
      <c r="B31" s="10" t="s">
        <v>433</v>
      </c>
      <c r="C31" s="7"/>
      <c r="D31" s="7" t="s">
        <v>15</v>
      </c>
      <c r="E31" s="7" t="str">
        <f>IF(C31="*","","=")</f>
        <v>=</v>
      </c>
      <c r="F31" s="7">
        <f>IF((ISBLANK(G31))=TRUE,H31,G31)</f>
        <v>0</v>
      </c>
      <c r="G31" s="8"/>
      <c r="H31" s="11">
        <v>0</v>
      </c>
      <c r="I31" s="12" t="s">
        <v>8</v>
      </c>
      <c r="J31" s="36">
        <f t="shared" ref="J31:J32" si="4">H31</f>
        <v>0</v>
      </c>
      <c r="K31" s="23" t="s">
        <v>324</v>
      </c>
      <c r="L31" s="10"/>
      <c r="M31" s="33">
        <v>1</v>
      </c>
      <c r="N31" s="10" t="s">
        <v>422</v>
      </c>
    </row>
    <row r="32" spans="1:14" s="20" customFormat="1" ht="45" outlineLevel="2" x14ac:dyDescent="0.25">
      <c r="A32" s="7" t="s">
        <v>12</v>
      </c>
      <c r="B32" s="10" t="s">
        <v>433</v>
      </c>
      <c r="C32" s="7"/>
      <c r="D32" s="7" t="s">
        <v>16</v>
      </c>
      <c r="E32" s="7" t="str">
        <f>IF(C32="*","","=")</f>
        <v>=</v>
      </c>
      <c r="F32" s="7">
        <f>IF((ISBLANK(G32))=TRUE,H32,G32)</f>
        <v>0.8</v>
      </c>
      <c r="G32" s="8"/>
      <c r="H32" s="11">
        <v>0.8</v>
      </c>
      <c r="I32" s="12" t="s">
        <v>8</v>
      </c>
      <c r="J32" s="36">
        <f t="shared" si="4"/>
        <v>0.8</v>
      </c>
      <c r="K32" s="39" t="s">
        <v>458</v>
      </c>
      <c r="L32" s="10"/>
      <c r="M32" s="33">
        <v>1</v>
      </c>
      <c r="N32" s="10" t="s">
        <v>422</v>
      </c>
    </row>
    <row r="33" spans="1:14" s="20" customFormat="1" ht="30" outlineLevel="2" x14ac:dyDescent="0.25">
      <c r="A33" s="7" t="s">
        <v>12</v>
      </c>
      <c r="B33" s="10" t="s">
        <v>433</v>
      </c>
      <c r="C33" s="7"/>
      <c r="D33" s="7" t="s">
        <v>61</v>
      </c>
      <c r="E33" s="7" t="str">
        <f>IF(C33="*","","=")</f>
        <v>=</v>
      </c>
      <c r="F33" s="7">
        <f>IF((ISBLANK(G33))=TRUE,H33,G33)</f>
        <v>101.5</v>
      </c>
      <c r="G33" s="8"/>
      <c r="H33" s="13">
        <f>(H163+H164)*0.5+H80+15*H158</f>
        <v>101.5</v>
      </c>
      <c r="I33" s="7" t="s">
        <v>6</v>
      </c>
      <c r="J33" s="17" t="s">
        <v>91</v>
      </c>
      <c r="K33" s="23" t="s">
        <v>459</v>
      </c>
      <c r="L33" s="10"/>
      <c r="M33" s="33">
        <v>1</v>
      </c>
      <c r="N33" s="10" t="s">
        <v>422</v>
      </c>
    </row>
    <row r="34" spans="1:14" s="20" customFormat="1" ht="75" outlineLevel="2" x14ac:dyDescent="0.25">
      <c r="A34" s="7" t="s">
        <v>12</v>
      </c>
      <c r="B34" s="10" t="s">
        <v>433</v>
      </c>
      <c r="C34" s="7"/>
      <c r="D34" s="7" t="s">
        <v>59</v>
      </c>
      <c r="E34" s="7" t="str">
        <f t="shared" si="2"/>
        <v>=</v>
      </c>
      <c r="F34" s="7">
        <f t="shared" si="1"/>
        <v>0.53717929590920532</v>
      </c>
      <c r="G34" s="8"/>
      <c r="H34" s="13">
        <f>MAX(0.3,H52-H54/H139*(H33-H132)/H130-H56/H139*(H33-H132)^2/H130)</f>
        <v>0.53717929590920532</v>
      </c>
      <c r="I34" s="7" t="s">
        <v>214</v>
      </c>
      <c r="J34" s="17" t="s">
        <v>90</v>
      </c>
      <c r="K34" s="23" t="s">
        <v>460</v>
      </c>
      <c r="L34" s="10"/>
      <c r="M34" s="33">
        <v>1</v>
      </c>
      <c r="N34" s="10" t="s">
        <v>422</v>
      </c>
    </row>
    <row r="35" spans="1:14" s="20" customFormat="1" ht="45" outlineLevel="2" x14ac:dyDescent="0.25">
      <c r="A35" s="7" t="s">
        <v>12</v>
      </c>
      <c r="B35" s="10" t="s">
        <v>433</v>
      </c>
      <c r="C35" s="7"/>
      <c r="D35" s="7" t="s">
        <v>60</v>
      </c>
      <c r="E35" s="7" t="str">
        <f t="shared" si="2"/>
        <v>=</v>
      </c>
      <c r="F35" s="7">
        <f t="shared" si="1"/>
        <v>18776.885688365721</v>
      </c>
      <c r="G35" s="8"/>
      <c r="H35" s="13">
        <f>0.75*H161*H158/(((H127+H128/H50)*COS(RADIANS(ABS(H131)-H38)))*H34)</f>
        <v>18776.885688365721</v>
      </c>
      <c r="I35" s="7" t="s">
        <v>316</v>
      </c>
      <c r="J35" s="17" t="s">
        <v>94</v>
      </c>
      <c r="K35" s="23" t="s">
        <v>509</v>
      </c>
      <c r="L35" s="10"/>
      <c r="M35" s="33">
        <v>1</v>
      </c>
      <c r="N35" s="10" t="s">
        <v>422</v>
      </c>
    </row>
    <row r="36" spans="1:14" s="20" customFormat="1" ht="45" outlineLevel="2" x14ac:dyDescent="0.25">
      <c r="A36" s="7" t="s">
        <v>12</v>
      </c>
      <c r="B36" s="10" t="s">
        <v>433</v>
      </c>
      <c r="C36" s="7"/>
      <c r="D36" s="7" t="s">
        <v>507</v>
      </c>
      <c r="E36" s="7" t="str">
        <f t="shared" ref="E36:E37" si="5">IF(C36="*","","=")</f>
        <v>=</v>
      </c>
      <c r="F36" s="7">
        <f>IF((ISBLANK(G36))=TRUE,H36,G36)</f>
        <v>0.9</v>
      </c>
      <c r="G36" s="8"/>
      <c r="H36" s="11">
        <v>0.9</v>
      </c>
      <c r="I36" s="12" t="s">
        <v>8</v>
      </c>
      <c r="J36" s="17">
        <v>0.9</v>
      </c>
      <c r="K36" s="23" t="s">
        <v>512</v>
      </c>
      <c r="L36" s="10"/>
      <c r="M36" s="33">
        <v>1</v>
      </c>
      <c r="N36" s="10" t="s">
        <v>422</v>
      </c>
    </row>
    <row r="37" spans="1:14" s="20" customFormat="1" ht="30" outlineLevel="2" x14ac:dyDescent="0.25">
      <c r="A37" s="7" t="s">
        <v>12</v>
      </c>
      <c r="B37" s="10" t="s">
        <v>433</v>
      </c>
      <c r="C37" s="7"/>
      <c r="D37" s="7" t="s">
        <v>508</v>
      </c>
      <c r="E37" s="7" t="str">
        <f t="shared" si="5"/>
        <v>=</v>
      </c>
      <c r="F37" s="7">
        <f t="shared" ref="F37" si="6">IF((ISBLANK(G37))=TRUE,H37,G37)</f>
        <v>16899.197119529148</v>
      </c>
      <c r="G37" s="8"/>
      <c r="H37" s="13">
        <f>H35*H36</f>
        <v>16899.197119529148</v>
      </c>
      <c r="I37" s="7" t="s">
        <v>316</v>
      </c>
      <c r="J37" s="17" t="s">
        <v>511</v>
      </c>
      <c r="K37" s="23" t="s">
        <v>510</v>
      </c>
      <c r="L37" s="10"/>
      <c r="M37" s="33">
        <v>1</v>
      </c>
      <c r="N37" s="10" t="s">
        <v>422</v>
      </c>
    </row>
    <row r="38" spans="1:14" s="20" customFormat="1" outlineLevel="2" x14ac:dyDescent="0.25">
      <c r="A38" s="7" t="s">
        <v>12</v>
      </c>
      <c r="B38" s="10" t="s">
        <v>433</v>
      </c>
      <c r="C38" s="7"/>
      <c r="D38" s="7" t="s">
        <v>62</v>
      </c>
      <c r="E38" s="7" t="str">
        <f t="shared" si="2"/>
        <v>=</v>
      </c>
      <c r="F38" s="7">
        <f t="shared" si="1"/>
        <v>45</v>
      </c>
      <c r="G38" s="8"/>
      <c r="H38" s="9">
        <v>45</v>
      </c>
      <c r="I38" s="7" t="s">
        <v>7</v>
      </c>
      <c r="J38" s="36">
        <f>H38</f>
        <v>45</v>
      </c>
      <c r="K38" s="23" t="s">
        <v>326</v>
      </c>
      <c r="L38" s="10" t="s">
        <v>427</v>
      </c>
      <c r="M38" s="33">
        <v>1</v>
      </c>
      <c r="N38" s="10" t="s">
        <v>422</v>
      </c>
    </row>
    <row r="39" spans="1:14" s="20" customFormat="1" outlineLevel="2" x14ac:dyDescent="0.25">
      <c r="A39" s="7" t="s">
        <v>12</v>
      </c>
      <c r="B39" s="10" t="s">
        <v>433</v>
      </c>
      <c r="C39" s="7"/>
      <c r="D39" s="7" t="s">
        <v>63</v>
      </c>
      <c r="E39" s="7" t="str">
        <f t="shared" si="2"/>
        <v>=</v>
      </c>
      <c r="F39" s="7">
        <f t="shared" si="1"/>
        <v>0</v>
      </c>
      <c r="G39" s="8"/>
      <c r="H39" s="13">
        <f>H18</f>
        <v>0</v>
      </c>
      <c r="I39" s="7" t="s">
        <v>7</v>
      </c>
      <c r="J39" s="36" t="s">
        <v>46</v>
      </c>
      <c r="K39" s="10" t="s">
        <v>325</v>
      </c>
      <c r="L39" s="10"/>
      <c r="M39" s="33">
        <v>1</v>
      </c>
      <c r="N39" s="10" t="s">
        <v>422</v>
      </c>
    </row>
    <row r="40" spans="1:14" s="20" customFormat="1" ht="60" outlineLevel="2" x14ac:dyDescent="0.25">
      <c r="A40" s="7" t="s">
        <v>12</v>
      </c>
      <c r="B40" s="10" t="s">
        <v>433</v>
      </c>
      <c r="C40" s="7"/>
      <c r="D40" s="7" t="s">
        <v>64</v>
      </c>
      <c r="E40" s="7" t="str">
        <f t="shared" si="2"/>
        <v>=</v>
      </c>
      <c r="F40" s="7">
        <f t="shared" si="1"/>
        <v>2</v>
      </c>
      <c r="G40" s="8"/>
      <c r="H40" s="13">
        <f>IF(OR(H30=1,H30=2),1,2)</f>
        <v>2</v>
      </c>
      <c r="I40" s="7" t="s">
        <v>8</v>
      </c>
      <c r="J40" s="37" t="s">
        <v>302</v>
      </c>
      <c r="K40" s="10" t="s">
        <v>471</v>
      </c>
      <c r="L40" s="10" t="s">
        <v>430</v>
      </c>
      <c r="M40" s="33">
        <v>1</v>
      </c>
      <c r="N40" s="10" t="s">
        <v>422</v>
      </c>
    </row>
    <row r="41" spans="1:14" s="20" customFormat="1" ht="30" outlineLevel="2" x14ac:dyDescent="0.25">
      <c r="A41" s="7" t="s">
        <v>12</v>
      </c>
      <c r="B41" s="10" t="s">
        <v>433</v>
      </c>
      <c r="C41" s="7"/>
      <c r="D41" s="7" t="s">
        <v>65</v>
      </c>
      <c r="E41" s="7" t="str">
        <f t="shared" si="2"/>
        <v>=</v>
      </c>
      <c r="F41" s="7">
        <f t="shared" si="1"/>
        <v>2</v>
      </c>
      <c r="G41" s="8"/>
      <c r="H41" s="13">
        <f>MIN(H44,2)</f>
        <v>2</v>
      </c>
      <c r="I41" s="7" t="s">
        <v>8</v>
      </c>
      <c r="J41" s="37" t="s">
        <v>92</v>
      </c>
      <c r="K41" s="10" t="s">
        <v>472</v>
      </c>
      <c r="L41" s="10"/>
      <c r="M41" s="33">
        <v>1</v>
      </c>
      <c r="N41" s="10" t="s">
        <v>422</v>
      </c>
    </row>
    <row r="42" spans="1:14" s="20" customFormat="1" outlineLevel="2" x14ac:dyDescent="0.25">
      <c r="A42" s="7" t="s">
        <v>12</v>
      </c>
      <c r="B42" s="10" t="s">
        <v>433</v>
      </c>
      <c r="C42" s="7"/>
      <c r="D42" s="7" t="s">
        <v>66</v>
      </c>
      <c r="E42" s="7" t="str">
        <f t="shared" si="2"/>
        <v>=</v>
      </c>
      <c r="F42" s="7">
        <f t="shared" si="1"/>
        <v>1558.2477749681095</v>
      </c>
      <c r="G42" s="8"/>
      <c r="H42" s="13">
        <f>H44/H41</f>
        <v>1558.2477749681095</v>
      </c>
      <c r="I42" s="7" t="s">
        <v>8</v>
      </c>
      <c r="J42" s="37" t="s">
        <v>93</v>
      </c>
      <c r="K42" s="10" t="s">
        <v>303</v>
      </c>
      <c r="L42" s="10"/>
      <c r="M42" s="33">
        <v>1</v>
      </c>
      <c r="N42" s="10" t="s">
        <v>422</v>
      </c>
    </row>
    <row r="43" spans="1:14" s="20" customFormat="1" ht="45" outlineLevel="2" x14ac:dyDescent="0.25">
      <c r="A43" s="7" t="s">
        <v>12</v>
      </c>
      <c r="B43" s="10" t="s">
        <v>433</v>
      </c>
      <c r="C43" s="7"/>
      <c r="D43" s="7" t="s">
        <v>67</v>
      </c>
      <c r="E43" s="7" t="str">
        <f t="shared" si="2"/>
        <v>=</v>
      </c>
      <c r="F43" s="7">
        <f t="shared" si="1"/>
        <v>6.0250000000000004</v>
      </c>
      <c r="G43" s="8"/>
      <c r="H43" s="13">
        <f>IF(H30=1,2.52,IF(H30=2,12.13,IF(H30=3,16.764,IF(H30=4,21.397,IF(H30=5,4.46,IF(H30=6,6.025,7.595))))))</f>
        <v>6.0250000000000004</v>
      </c>
      <c r="I43" s="7" t="s">
        <v>316</v>
      </c>
      <c r="J43" s="37" t="s">
        <v>95</v>
      </c>
      <c r="K43" s="10" t="s">
        <v>473</v>
      </c>
      <c r="L43" s="10" t="s">
        <v>430</v>
      </c>
      <c r="M43" s="33">
        <v>1</v>
      </c>
      <c r="N43" s="10" t="s">
        <v>422</v>
      </c>
    </row>
    <row r="44" spans="1:14" s="20" customFormat="1" outlineLevel="2" x14ac:dyDescent="0.25">
      <c r="A44" s="7" t="s">
        <v>12</v>
      </c>
      <c r="B44" s="10" t="s">
        <v>433</v>
      </c>
      <c r="C44" s="7"/>
      <c r="D44" s="7" t="s">
        <v>68</v>
      </c>
      <c r="E44" s="7" t="str">
        <f t="shared" si="2"/>
        <v>=</v>
      </c>
      <c r="F44" s="7">
        <f t="shared" si="1"/>
        <v>3116.495549936219</v>
      </c>
      <c r="G44" s="8"/>
      <c r="H44" s="13">
        <f>H35/(H43)</f>
        <v>3116.495549936219</v>
      </c>
      <c r="I44" s="7" t="s">
        <v>8</v>
      </c>
      <c r="J44" s="37" t="s">
        <v>96</v>
      </c>
      <c r="K44" s="10" t="s">
        <v>304</v>
      </c>
      <c r="L44" s="10"/>
      <c r="M44" s="33">
        <v>1</v>
      </c>
      <c r="N44" s="10" t="s">
        <v>422</v>
      </c>
    </row>
    <row r="45" spans="1:14" s="20" customFormat="1" ht="45" outlineLevel="2" x14ac:dyDescent="0.25">
      <c r="A45" s="7" t="s">
        <v>12</v>
      </c>
      <c r="B45" s="10" t="s">
        <v>433</v>
      </c>
      <c r="C45" s="7"/>
      <c r="D45" s="7" t="s">
        <v>69</v>
      </c>
      <c r="E45" s="7" t="str">
        <f t="shared" si="2"/>
        <v>=</v>
      </c>
      <c r="F45" s="7">
        <f t="shared" ref="F45:F47" si="7">IF((ISBLANK(G45))=TRUE,H45,G45)</f>
        <v>2.427</v>
      </c>
      <c r="G45" s="8"/>
      <c r="H45" s="13">
        <f>IF(H30=1,2.191,IF(H30=2,2.224,IF(H30=3,2.224,IF(H30=4,2.224,IF(H30=5,2.427,IF(H30=6,2.427,2.427))))))</f>
        <v>2.427</v>
      </c>
      <c r="I45" s="7" t="s">
        <v>316</v>
      </c>
      <c r="J45" s="37" t="s">
        <v>97</v>
      </c>
      <c r="K45" s="10" t="s">
        <v>474</v>
      </c>
      <c r="L45" s="10" t="s">
        <v>430</v>
      </c>
      <c r="M45" s="33">
        <v>1</v>
      </c>
      <c r="N45" s="10" t="s">
        <v>422</v>
      </c>
    </row>
    <row r="46" spans="1:14" s="20" customFormat="1" ht="90" outlineLevel="2" x14ac:dyDescent="0.25">
      <c r="A46" s="7" t="s">
        <v>12</v>
      </c>
      <c r="B46" s="10" t="s">
        <v>433</v>
      </c>
      <c r="C46" s="7"/>
      <c r="D46" s="7" t="s">
        <v>70</v>
      </c>
      <c r="E46" s="7" t="str">
        <f t="shared" si="2"/>
        <v>=</v>
      </c>
      <c r="F46" s="7">
        <f t="shared" si="7"/>
        <v>2</v>
      </c>
      <c r="G46" s="8"/>
      <c r="H46" s="11">
        <v>2</v>
      </c>
      <c r="I46" s="7" t="s">
        <v>8</v>
      </c>
      <c r="J46" s="36">
        <f>H46</f>
        <v>2</v>
      </c>
      <c r="K46" s="10" t="s">
        <v>475</v>
      </c>
      <c r="L46" s="10"/>
      <c r="M46" s="33">
        <v>1</v>
      </c>
      <c r="N46" s="10" t="s">
        <v>422</v>
      </c>
    </row>
    <row r="47" spans="1:14" s="20" customFormat="1" ht="30" outlineLevel="2" x14ac:dyDescent="0.25">
      <c r="A47" s="7" t="s">
        <v>12</v>
      </c>
      <c r="B47" s="10" t="s">
        <v>433</v>
      </c>
      <c r="C47" s="7"/>
      <c r="D47" s="7" t="s">
        <v>71</v>
      </c>
      <c r="E47" s="7" t="str">
        <f t="shared" si="2"/>
        <v>=</v>
      </c>
      <c r="F47" s="7">
        <f t="shared" si="7"/>
        <v>68899.134367489372</v>
      </c>
      <c r="G47" s="8"/>
      <c r="H47" s="13">
        <f>H48*H35/H50</f>
        <v>68899.134367489372</v>
      </c>
      <c r="I47" s="7" t="s">
        <v>317</v>
      </c>
      <c r="J47" s="37" t="s">
        <v>98</v>
      </c>
      <c r="K47" s="10" t="s">
        <v>476</v>
      </c>
      <c r="L47" s="10"/>
      <c r="M47" s="33">
        <v>1</v>
      </c>
      <c r="N47" s="10" t="s">
        <v>422</v>
      </c>
    </row>
    <row r="48" spans="1:14" s="20" customFormat="1" ht="30" outlineLevel="2" x14ac:dyDescent="0.25">
      <c r="A48" s="7" t="s">
        <v>12</v>
      </c>
      <c r="B48" s="10" t="s">
        <v>433</v>
      </c>
      <c r="C48" s="7"/>
      <c r="D48" s="7" t="s">
        <v>72</v>
      </c>
      <c r="E48" s="7" t="str">
        <f t="shared" si="2"/>
        <v>=</v>
      </c>
      <c r="F48" s="7">
        <f t="shared" si="1"/>
        <v>4.9573039999999997</v>
      </c>
      <c r="G48" s="8"/>
      <c r="H48" s="13">
        <f>(0.4*H7+0.2*9*0.82+5*0.385)</f>
        <v>4.9573039999999997</v>
      </c>
      <c r="I48" s="7" t="s">
        <v>318</v>
      </c>
      <c r="J48" s="37" t="s">
        <v>99</v>
      </c>
      <c r="K48" s="10" t="s">
        <v>490</v>
      </c>
      <c r="L48" s="10"/>
      <c r="M48" s="33">
        <v>1</v>
      </c>
      <c r="N48" s="10" t="s">
        <v>422</v>
      </c>
    </row>
    <row r="49" spans="1:14" s="20" customFormat="1" ht="30" outlineLevel="2" x14ac:dyDescent="0.25">
      <c r="A49" s="7" t="s">
        <v>12</v>
      </c>
      <c r="B49" s="10" t="s">
        <v>433</v>
      </c>
      <c r="C49" s="7"/>
      <c r="D49" s="7" t="s">
        <v>73</v>
      </c>
      <c r="E49" s="7" t="str">
        <f t="shared" si="2"/>
        <v>=</v>
      </c>
      <c r="F49" s="7">
        <f t="shared" si="1"/>
        <v>0.94</v>
      </c>
      <c r="G49" s="8"/>
      <c r="H49" s="9">
        <v>0.94</v>
      </c>
      <c r="I49" s="7" t="s">
        <v>214</v>
      </c>
      <c r="J49" s="36">
        <f>H49</f>
        <v>0.94</v>
      </c>
      <c r="K49" s="10" t="s">
        <v>477</v>
      </c>
      <c r="L49" s="10" t="s">
        <v>425</v>
      </c>
      <c r="M49" s="33">
        <v>1</v>
      </c>
      <c r="N49" s="10" t="s">
        <v>422</v>
      </c>
    </row>
    <row r="50" spans="1:14" s="20" customFormat="1" ht="45" outlineLevel="2" x14ac:dyDescent="0.25">
      <c r="A50" s="7" t="s">
        <v>12</v>
      </c>
      <c r="B50" s="10" t="s">
        <v>433</v>
      </c>
      <c r="C50" s="7"/>
      <c r="D50" s="7" t="s">
        <v>74</v>
      </c>
      <c r="E50" s="7" t="str">
        <f t="shared" si="2"/>
        <v>=</v>
      </c>
      <c r="F50" s="7">
        <f t="shared" si="1"/>
        <v>1.351</v>
      </c>
      <c r="G50" s="8"/>
      <c r="H50" s="13">
        <f>IF(H30=1,1,IF(H30=2,1,IF(H30=3,1.382,IF(H30=4,1.764,IF(H30=5,1,IF(H30=6,1.351,1.703))))))</f>
        <v>1.351</v>
      </c>
      <c r="I50" s="7" t="s">
        <v>8</v>
      </c>
      <c r="J50" s="37" t="s">
        <v>100</v>
      </c>
      <c r="K50" s="10" t="s">
        <v>478</v>
      </c>
      <c r="L50" s="10" t="s">
        <v>430</v>
      </c>
      <c r="M50" s="33">
        <v>1</v>
      </c>
      <c r="N50" s="10" t="s">
        <v>422</v>
      </c>
    </row>
    <row r="51" spans="1:14" s="20" customFormat="1" ht="45" outlineLevel="2" x14ac:dyDescent="0.25">
      <c r="A51" s="7" t="s">
        <v>12</v>
      </c>
      <c r="B51" s="10" t="s">
        <v>433</v>
      </c>
      <c r="C51" s="7"/>
      <c r="D51" s="7" t="s">
        <v>75</v>
      </c>
      <c r="E51" s="7" t="str">
        <f t="shared" si="2"/>
        <v>=</v>
      </c>
      <c r="F51" s="7">
        <f t="shared" si="1"/>
        <v>0.64200000000000002</v>
      </c>
      <c r="G51" s="8"/>
      <c r="H51" s="13">
        <f>IF(H30=1,0.761,IF(H30=2,0.857,IF(H30=3,0.857,IF(H30=4,0.857,IF(H30=5,0.642,IF(H30=6,0.642,0.642))))))</f>
        <v>0.64200000000000002</v>
      </c>
      <c r="I51" s="12" t="s">
        <v>8</v>
      </c>
      <c r="J51" s="37" t="s">
        <v>101</v>
      </c>
      <c r="K51" s="10" t="s">
        <v>479</v>
      </c>
      <c r="L51" s="10" t="s">
        <v>430</v>
      </c>
      <c r="M51" s="33">
        <v>1</v>
      </c>
      <c r="N51" s="10" t="s">
        <v>422</v>
      </c>
    </row>
    <row r="52" spans="1:14" s="20" customFormat="1" ht="45" outlineLevel="2" x14ac:dyDescent="0.25">
      <c r="A52" s="7" t="s">
        <v>12</v>
      </c>
      <c r="B52" s="10" t="s">
        <v>433</v>
      </c>
      <c r="C52" s="7"/>
      <c r="D52" s="7" t="s">
        <v>76</v>
      </c>
      <c r="E52" s="7" t="str">
        <f t="shared" si="2"/>
        <v>=</v>
      </c>
      <c r="F52" s="7">
        <f t="shared" si="1"/>
        <v>0.63199221317542553</v>
      </c>
      <c r="G52" s="8"/>
      <c r="H52" s="13">
        <f>H51*(1-H31)*(1+H49*(H50-1))/H50</f>
        <v>0.63199221317542553</v>
      </c>
      <c r="I52" s="7" t="s">
        <v>8</v>
      </c>
      <c r="J52" s="37" t="s">
        <v>102</v>
      </c>
      <c r="K52" s="10" t="s">
        <v>480</v>
      </c>
      <c r="L52" s="10"/>
      <c r="M52" s="33">
        <v>1</v>
      </c>
      <c r="N52" s="10" t="s">
        <v>422</v>
      </c>
    </row>
    <row r="53" spans="1:14" s="20" customFormat="1" ht="45" outlineLevel="2" x14ac:dyDescent="0.25">
      <c r="A53" s="7" t="s">
        <v>12</v>
      </c>
      <c r="B53" s="10" t="s">
        <v>433</v>
      </c>
      <c r="C53" s="7"/>
      <c r="D53" s="7" t="s">
        <v>77</v>
      </c>
      <c r="E53" s="7" t="str">
        <f t="shared" si="2"/>
        <v>=</v>
      </c>
      <c r="F53" s="7">
        <f t="shared" ref="F53:F56" si="8">IF((ISBLANK(G53))=TRUE,H53,G53)</f>
        <v>0.89</v>
      </c>
      <c r="G53" s="8"/>
      <c r="H53" s="13">
        <f>IF(H30=1,3.711,IF(H30=2,3.083,IF(H30=3,3.083,IF(H30=4,3.083,IF(H30=5,0.89,IF(H30=6,0.89,0.89))))))</f>
        <v>0.89</v>
      </c>
      <c r="I53" s="18" t="s">
        <v>405</v>
      </c>
      <c r="J53" s="37" t="s">
        <v>103</v>
      </c>
      <c r="K53" s="10" t="s">
        <v>481</v>
      </c>
      <c r="L53" s="10" t="s">
        <v>430</v>
      </c>
      <c r="M53" s="33">
        <v>1</v>
      </c>
      <c r="N53" s="10" t="s">
        <v>422</v>
      </c>
    </row>
    <row r="54" spans="1:14" s="20" customFormat="1" outlineLevel="2" x14ac:dyDescent="0.25">
      <c r="A54" s="7" t="s">
        <v>12</v>
      </c>
      <c r="B54" s="10" t="s">
        <v>433</v>
      </c>
      <c r="C54" s="7"/>
      <c r="D54" s="7" t="s">
        <v>78</v>
      </c>
      <c r="E54" s="7" t="str">
        <f t="shared" si="2"/>
        <v>=</v>
      </c>
      <c r="F54" s="7">
        <f t="shared" si="8"/>
        <v>2.3715766099185789</v>
      </c>
      <c r="G54" s="8"/>
      <c r="H54" s="13">
        <f>H53/H50*H139</f>
        <v>2.3715766099185789</v>
      </c>
      <c r="I54" s="18" t="s">
        <v>44</v>
      </c>
      <c r="J54" s="37" t="s">
        <v>104</v>
      </c>
      <c r="K54" s="10" t="s">
        <v>482</v>
      </c>
      <c r="L54" s="10"/>
      <c r="M54" s="33">
        <v>1</v>
      </c>
      <c r="N54" s="10" t="s">
        <v>422</v>
      </c>
    </row>
    <row r="55" spans="1:14" s="20" customFormat="1" ht="45" outlineLevel="2" x14ac:dyDescent="0.25">
      <c r="A55" s="7" t="s">
        <v>12</v>
      </c>
      <c r="B55" s="10" t="s">
        <v>433</v>
      </c>
      <c r="C55" s="7"/>
      <c r="D55" s="7" t="s">
        <v>79</v>
      </c>
      <c r="E55" s="7" t="str">
        <f t="shared" si="2"/>
        <v>=</v>
      </c>
      <c r="F55" s="7">
        <f t="shared" si="8"/>
        <v>1E-3</v>
      </c>
      <c r="G55" s="8"/>
      <c r="H55" s="13">
        <f>IF(H30=1,0.014,IF(H30=2,0.013,IF(H30=3,0.013,IF(H30=4,0.013,IF(H30=5,0.001,IF(H30=6,0.001,0.001))))))</f>
        <v>1E-3</v>
      </c>
      <c r="I55" s="18" t="s">
        <v>424</v>
      </c>
      <c r="J55" s="37" t="s">
        <v>105</v>
      </c>
      <c r="K55" s="10" t="s">
        <v>483</v>
      </c>
      <c r="L55" s="10" t="s">
        <v>430</v>
      </c>
      <c r="M55" s="33">
        <v>1</v>
      </c>
      <c r="N55" s="10" t="s">
        <v>422</v>
      </c>
    </row>
    <row r="56" spans="1:14" s="20" customFormat="1" outlineLevel="2" x14ac:dyDescent="0.25">
      <c r="A56" s="7" t="s">
        <v>12</v>
      </c>
      <c r="B56" s="10" t="s">
        <v>433</v>
      </c>
      <c r="C56" s="7"/>
      <c r="D56" s="7" t="s">
        <v>80</v>
      </c>
      <c r="E56" s="7" t="str">
        <f t="shared" si="2"/>
        <v>=</v>
      </c>
      <c r="F56" s="7">
        <f t="shared" si="8"/>
        <v>2.664692820133235E-3</v>
      </c>
      <c r="G56" s="8"/>
      <c r="H56" s="13">
        <f>H55/H50*H139</f>
        <v>2.664692820133235E-3</v>
      </c>
      <c r="I56" s="18" t="s">
        <v>406</v>
      </c>
      <c r="J56" s="37" t="s">
        <v>106</v>
      </c>
      <c r="K56" s="10" t="s">
        <v>484</v>
      </c>
      <c r="L56" s="10"/>
      <c r="M56" s="33">
        <v>1</v>
      </c>
      <c r="N56" s="10" t="s">
        <v>422</v>
      </c>
    </row>
    <row r="57" spans="1:14" s="20" customFormat="1" outlineLevel="2" x14ac:dyDescent="0.25">
      <c r="A57" s="7" t="s">
        <v>12</v>
      </c>
      <c r="B57" s="10" t="s">
        <v>433</v>
      </c>
      <c r="C57" s="7"/>
      <c r="D57" s="7" t="s">
        <v>81</v>
      </c>
      <c r="E57" s="7" t="str">
        <f t="shared" si="2"/>
        <v>=</v>
      </c>
      <c r="F57" s="7">
        <f t="shared" ref="F57:F203" si="9">IF((ISBLANK(G57))=TRUE,H57,G57)</f>
        <v>50</v>
      </c>
      <c r="G57" s="8"/>
      <c r="H57" s="9">
        <v>50</v>
      </c>
      <c r="I57" s="7" t="s">
        <v>3</v>
      </c>
      <c r="J57" s="36">
        <f>H57</f>
        <v>50</v>
      </c>
      <c r="K57" s="10" t="s">
        <v>305</v>
      </c>
      <c r="L57" s="10"/>
      <c r="M57" s="33">
        <v>1</v>
      </c>
      <c r="N57" s="10" t="s">
        <v>422</v>
      </c>
    </row>
    <row r="58" spans="1:14" s="20" customFormat="1" ht="45" outlineLevel="2" x14ac:dyDescent="0.25">
      <c r="A58" s="7" t="s">
        <v>12</v>
      </c>
      <c r="B58" s="10" t="s">
        <v>433</v>
      </c>
      <c r="C58" s="7"/>
      <c r="D58" s="7" t="s">
        <v>82</v>
      </c>
      <c r="E58" s="7" t="str">
        <f t="shared" si="2"/>
        <v>=</v>
      </c>
      <c r="F58" s="7">
        <f t="shared" si="9"/>
        <v>1</v>
      </c>
      <c r="G58" s="8"/>
      <c r="H58" s="13">
        <f>IF(H30=1,0.91,IF(H30=2,0.91,IF(H30=3,1,IF(H30=4,1,IF(H30=5,1,IF(H30=6,1,1))))))</f>
        <v>1</v>
      </c>
      <c r="I58" s="7" t="s">
        <v>8</v>
      </c>
      <c r="J58" s="37" t="s">
        <v>107</v>
      </c>
      <c r="K58" s="10" t="s">
        <v>494</v>
      </c>
      <c r="L58" s="10" t="s">
        <v>430</v>
      </c>
      <c r="M58" s="33">
        <v>1</v>
      </c>
      <c r="N58" s="10" t="s">
        <v>422</v>
      </c>
    </row>
    <row r="59" spans="1:14" s="20" customFormat="1" ht="30" outlineLevel="2" x14ac:dyDescent="0.25">
      <c r="A59" s="7" t="s">
        <v>12</v>
      </c>
      <c r="B59" s="10" t="s">
        <v>433</v>
      </c>
      <c r="C59" s="7"/>
      <c r="D59" s="7" t="s">
        <v>83</v>
      </c>
      <c r="E59" s="7" t="str">
        <f t="shared" si="2"/>
        <v>=</v>
      </c>
      <c r="F59" s="7">
        <f t="shared" si="9"/>
        <v>0</v>
      </c>
      <c r="G59" s="8"/>
      <c r="H59" s="13">
        <f>MAX(0,(1-H58)*COS(RADIANS(50))/(1-COS(RADIANS(50))))</f>
        <v>0</v>
      </c>
      <c r="I59" s="18" t="s">
        <v>8</v>
      </c>
      <c r="J59" s="37" t="s">
        <v>108</v>
      </c>
      <c r="K59" s="10" t="s">
        <v>485</v>
      </c>
      <c r="L59" s="10"/>
      <c r="M59" s="33">
        <v>1</v>
      </c>
      <c r="N59" s="10" t="s">
        <v>422</v>
      </c>
    </row>
    <row r="60" spans="1:14" s="20" customFormat="1" ht="30" outlineLevel="2" x14ac:dyDescent="0.25">
      <c r="A60" s="7" t="s">
        <v>12</v>
      </c>
      <c r="B60" s="10" t="s">
        <v>433</v>
      </c>
      <c r="C60" s="7"/>
      <c r="D60" s="7" t="s">
        <v>84</v>
      </c>
      <c r="E60" s="7" t="str">
        <f t="shared" si="2"/>
        <v>=</v>
      </c>
      <c r="F60" s="7">
        <f t="shared" si="9"/>
        <v>0</v>
      </c>
      <c r="G60" s="8"/>
      <c r="H60" s="9">
        <v>0</v>
      </c>
      <c r="I60" s="18" t="s">
        <v>8</v>
      </c>
      <c r="J60" s="36">
        <f>H60</f>
        <v>0</v>
      </c>
      <c r="K60" s="10" t="s">
        <v>486</v>
      </c>
      <c r="L60" s="10"/>
      <c r="M60" s="33">
        <v>1</v>
      </c>
      <c r="N60" s="10" t="s">
        <v>422</v>
      </c>
    </row>
    <row r="61" spans="1:14" s="20" customFormat="1" outlineLevel="2" x14ac:dyDescent="0.25">
      <c r="A61" s="7" t="s">
        <v>12</v>
      </c>
      <c r="B61" s="10" t="s">
        <v>433</v>
      </c>
      <c r="C61" s="7"/>
      <c r="D61" s="7" t="s">
        <v>85</v>
      </c>
      <c r="E61" s="7" t="str">
        <f t="shared" ref="E61:E203" si="10">IF(C61="*","","=")</f>
        <v>=</v>
      </c>
      <c r="F61" s="7">
        <f t="shared" si="9"/>
        <v>35</v>
      </c>
      <c r="G61" s="8"/>
      <c r="H61" s="11">
        <v>35</v>
      </c>
      <c r="I61" s="7" t="s">
        <v>8</v>
      </c>
      <c r="J61" s="36">
        <v>35</v>
      </c>
      <c r="K61" s="10" t="s">
        <v>306</v>
      </c>
      <c r="L61" s="10"/>
      <c r="M61" s="33">
        <v>1</v>
      </c>
      <c r="N61" s="10" t="s">
        <v>422</v>
      </c>
    </row>
    <row r="62" spans="1:14" s="20" customFormat="1" outlineLevel="2" x14ac:dyDescent="0.25">
      <c r="A62" s="7" t="s">
        <v>12</v>
      </c>
      <c r="B62" s="10" t="s">
        <v>433</v>
      </c>
      <c r="C62" s="7"/>
      <c r="D62" s="7" t="s">
        <v>86</v>
      </c>
      <c r="E62" s="7" t="str">
        <f t="shared" si="10"/>
        <v>=</v>
      </c>
      <c r="F62" s="7">
        <f t="shared" si="9"/>
        <v>13</v>
      </c>
      <c r="G62" s="8"/>
      <c r="H62" s="11">
        <v>13</v>
      </c>
      <c r="I62" s="7" t="s">
        <v>8</v>
      </c>
      <c r="J62" s="36">
        <v>13</v>
      </c>
      <c r="K62" s="10" t="s">
        <v>307</v>
      </c>
      <c r="L62" s="10"/>
      <c r="M62" s="33">
        <v>1</v>
      </c>
      <c r="N62" s="10" t="s">
        <v>422</v>
      </c>
    </row>
    <row r="63" spans="1:14" s="20" customFormat="1" ht="45" outlineLevel="2" x14ac:dyDescent="0.25">
      <c r="A63" s="7" t="s">
        <v>12</v>
      </c>
      <c r="B63" s="10" t="s">
        <v>433</v>
      </c>
      <c r="C63" s="7"/>
      <c r="D63" s="7" t="s">
        <v>87</v>
      </c>
      <c r="E63" s="7" t="str">
        <f t="shared" si="10"/>
        <v>=</v>
      </c>
      <c r="F63" s="7">
        <f t="shared" si="9"/>
        <v>0</v>
      </c>
      <c r="G63" s="8"/>
      <c r="H63" s="9">
        <v>0</v>
      </c>
      <c r="I63" s="7" t="s">
        <v>3</v>
      </c>
      <c r="J63" s="36">
        <f t="shared" ref="J63" si="11">H63</f>
        <v>0</v>
      </c>
      <c r="K63" s="10" t="s">
        <v>487</v>
      </c>
      <c r="L63" s="10"/>
      <c r="M63" s="33">
        <v>1</v>
      </c>
      <c r="N63" s="10" t="s">
        <v>422</v>
      </c>
    </row>
    <row r="64" spans="1:14" s="20" customFormat="1" ht="30" outlineLevel="2" x14ac:dyDescent="0.25">
      <c r="A64" s="7" t="s">
        <v>12</v>
      </c>
      <c r="B64" s="10" t="s">
        <v>433</v>
      </c>
      <c r="C64" s="7"/>
      <c r="D64" s="7" t="s">
        <v>88</v>
      </c>
      <c r="E64" s="7" t="str">
        <f t="shared" si="10"/>
        <v>=</v>
      </c>
      <c r="F64" s="7">
        <f t="shared" si="9"/>
        <v>25</v>
      </c>
      <c r="G64" s="8"/>
      <c r="H64" s="13">
        <f>H57/H41</f>
        <v>25</v>
      </c>
      <c r="I64" s="7" t="s">
        <v>489</v>
      </c>
      <c r="J64" s="37" t="s">
        <v>109</v>
      </c>
      <c r="K64" s="10" t="s">
        <v>488</v>
      </c>
      <c r="L64" s="10" t="s">
        <v>427</v>
      </c>
      <c r="M64" s="33">
        <v>1</v>
      </c>
      <c r="N64" s="10" t="s">
        <v>422</v>
      </c>
    </row>
    <row r="65" spans="1:14" s="20" customFormat="1" ht="105" outlineLevel="2" x14ac:dyDescent="0.25">
      <c r="A65" s="7" t="s">
        <v>12</v>
      </c>
      <c r="B65" s="10" t="s">
        <v>433</v>
      </c>
      <c r="C65" s="7"/>
      <c r="D65" s="7" t="s">
        <v>89</v>
      </c>
      <c r="E65" s="7" t="str">
        <f t="shared" si="10"/>
        <v>=</v>
      </c>
      <c r="F65" s="7">
        <f t="shared" si="9"/>
        <v>0</v>
      </c>
      <c r="G65" s="8"/>
      <c r="H65" s="9">
        <v>0</v>
      </c>
      <c r="I65" s="7" t="s">
        <v>8</v>
      </c>
      <c r="J65" s="36">
        <f>H65</f>
        <v>0</v>
      </c>
      <c r="K65" s="10" t="s">
        <v>493</v>
      </c>
      <c r="L65" s="10" t="s">
        <v>427</v>
      </c>
      <c r="M65" s="33">
        <v>1</v>
      </c>
      <c r="N65" s="10" t="s">
        <v>422</v>
      </c>
    </row>
    <row r="66" spans="1:14" s="20" customFormat="1" ht="30" outlineLevel="2" x14ac:dyDescent="0.25">
      <c r="A66" s="7" t="s">
        <v>12</v>
      </c>
      <c r="B66" s="10" t="s">
        <v>433</v>
      </c>
      <c r="C66" s="7"/>
      <c r="D66" s="7" t="s">
        <v>293</v>
      </c>
      <c r="E66" s="7" t="str">
        <f t="shared" si="10"/>
        <v>=</v>
      </c>
      <c r="F66" s="7">
        <f t="shared" si="9"/>
        <v>101</v>
      </c>
      <c r="G66" s="8"/>
      <c r="H66" s="13">
        <f>H163 + H80 + 2</f>
        <v>101</v>
      </c>
      <c r="I66" s="7" t="s">
        <v>6</v>
      </c>
      <c r="J66" s="37" t="s">
        <v>110</v>
      </c>
      <c r="K66" s="10" t="s">
        <v>492</v>
      </c>
      <c r="L66" s="10"/>
      <c r="M66" s="33">
        <v>1</v>
      </c>
      <c r="N66" s="10" t="s">
        <v>422</v>
      </c>
    </row>
    <row r="67" spans="1:14" s="20" customFormat="1" ht="15.75" outlineLevel="1" x14ac:dyDescent="0.25">
      <c r="A67" s="1" t="s">
        <v>12</v>
      </c>
      <c r="B67" s="3"/>
      <c r="C67" s="1" t="s">
        <v>9</v>
      </c>
      <c r="D67" s="1" t="s">
        <v>111</v>
      </c>
      <c r="E67" s="1"/>
      <c r="F67" s="1"/>
      <c r="G67" s="2"/>
      <c r="H67" s="1"/>
      <c r="I67" s="1"/>
      <c r="J67" s="15"/>
      <c r="K67" s="3"/>
      <c r="L67" s="3"/>
      <c r="M67" s="31" t="s">
        <v>428</v>
      </c>
      <c r="N67" s="3"/>
    </row>
    <row r="68" spans="1:14" s="24" customFormat="1" outlineLevel="2" x14ac:dyDescent="0.25">
      <c r="A68" s="25" t="s">
        <v>12</v>
      </c>
      <c r="B68" s="26"/>
      <c r="C68" s="25"/>
      <c r="D68" s="25" t="s">
        <v>11</v>
      </c>
      <c r="E68" s="25">
        <f>COUNTBLANK(C69:C77)</f>
        <v>9</v>
      </c>
      <c r="F68" s="25"/>
      <c r="G68" s="25"/>
      <c r="H68" s="25"/>
      <c r="I68" s="25"/>
      <c r="J68" s="38"/>
      <c r="K68" s="26"/>
      <c r="L68" s="26"/>
      <c r="M68" s="34">
        <v>1</v>
      </c>
      <c r="N68" s="28" t="s">
        <v>422</v>
      </c>
    </row>
    <row r="69" spans="1:14" s="20" customFormat="1" ht="30" outlineLevel="2" x14ac:dyDescent="0.25">
      <c r="A69" s="7" t="s">
        <v>12</v>
      </c>
      <c r="B69" s="10" t="s">
        <v>441</v>
      </c>
      <c r="C69" s="7"/>
      <c r="D69" s="7" t="s">
        <v>112</v>
      </c>
      <c r="E69" s="7" t="str">
        <f t="shared" si="10"/>
        <v>=</v>
      </c>
      <c r="F69" s="7">
        <f t="shared" si="9"/>
        <v>0</v>
      </c>
      <c r="G69" s="8"/>
      <c r="H69" s="9">
        <v>0</v>
      </c>
      <c r="I69" s="7"/>
      <c r="J69" s="36">
        <f>H69</f>
        <v>0</v>
      </c>
      <c r="K69" s="10" t="s">
        <v>491</v>
      </c>
      <c r="L69" s="10"/>
      <c r="M69" s="33">
        <v>1</v>
      </c>
      <c r="N69" s="10" t="s">
        <v>422</v>
      </c>
    </row>
    <row r="70" spans="1:14" s="20" customFormat="1" ht="30" outlineLevel="2" x14ac:dyDescent="0.25">
      <c r="A70" s="7" t="s">
        <v>12</v>
      </c>
      <c r="B70" s="10" t="s">
        <v>441</v>
      </c>
      <c r="C70" s="7"/>
      <c r="D70" s="7" t="s">
        <v>113</v>
      </c>
      <c r="E70" s="7" t="str">
        <f t="shared" si="10"/>
        <v>=</v>
      </c>
      <c r="F70" s="7">
        <f t="shared" si="9"/>
        <v>0.32270579673688593</v>
      </c>
      <c r="G70" s="8"/>
      <c r="H70" s="13">
        <f>MAX(0.015*(H86/H8)^0.5,0.012)</f>
        <v>0.32270579673688593</v>
      </c>
      <c r="I70" s="7" t="s">
        <v>5</v>
      </c>
      <c r="J70" s="37" t="s">
        <v>121</v>
      </c>
      <c r="K70" s="10" t="s">
        <v>308</v>
      </c>
      <c r="L70" s="10"/>
      <c r="M70" s="33">
        <v>1</v>
      </c>
      <c r="N70" s="10" t="s">
        <v>422</v>
      </c>
    </row>
    <row r="71" spans="1:14" s="20" customFormat="1" ht="60" outlineLevel="2" x14ac:dyDescent="0.25">
      <c r="A71" s="7" t="s">
        <v>12</v>
      </c>
      <c r="B71" s="10" t="s">
        <v>441</v>
      </c>
      <c r="C71" s="7"/>
      <c r="D71" s="7" t="s">
        <v>114</v>
      </c>
      <c r="E71" s="7" t="str">
        <f t="shared" si="10"/>
        <v>=</v>
      </c>
      <c r="F71" s="7">
        <f t="shared" si="9"/>
        <v>7.5608932022213308E-3</v>
      </c>
      <c r="G71" s="8"/>
      <c r="H71" s="13">
        <f>((1000*H70)*0.01823616+1.67597866)/1000</f>
        <v>7.5608932022213308E-3</v>
      </c>
      <c r="I71" s="7" t="s">
        <v>5</v>
      </c>
      <c r="J71" s="37" t="s">
        <v>122</v>
      </c>
      <c r="K71" s="23" t="s">
        <v>503</v>
      </c>
      <c r="L71" s="10"/>
      <c r="M71" s="33">
        <v>1</v>
      </c>
      <c r="N71" s="10" t="s">
        <v>422</v>
      </c>
    </row>
    <row r="72" spans="1:14" s="20" customFormat="1" ht="30" outlineLevel="2" x14ac:dyDescent="0.25">
      <c r="A72" s="7" t="s">
        <v>12</v>
      </c>
      <c r="B72" s="10" t="s">
        <v>441</v>
      </c>
      <c r="C72" s="7"/>
      <c r="D72" s="7" t="s">
        <v>115</v>
      </c>
      <c r="E72" s="7" t="str">
        <f t="shared" si="10"/>
        <v>=</v>
      </c>
      <c r="F72" s="7">
        <f t="shared" si="9"/>
        <v>0.3378275831413286</v>
      </c>
      <c r="G72" s="8"/>
      <c r="H72" s="13">
        <f>H70+2*H71</f>
        <v>0.3378275831413286</v>
      </c>
      <c r="I72" s="7" t="s">
        <v>5</v>
      </c>
      <c r="J72" s="37" t="s">
        <v>123</v>
      </c>
      <c r="K72" s="10" t="s">
        <v>309</v>
      </c>
      <c r="L72" s="10"/>
      <c r="M72" s="33">
        <v>1</v>
      </c>
      <c r="N72" s="10" t="s">
        <v>422</v>
      </c>
    </row>
    <row r="73" spans="1:14" s="20" customFormat="1" ht="30" outlineLevel="2" x14ac:dyDescent="0.25">
      <c r="A73" s="7" t="s">
        <v>12</v>
      </c>
      <c r="B73" s="10" t="s">
        <v>441</v>
      </c>
      <c r="C73" s="7"/>
      <c r="D73" s="7" t="s">
        <v>116</v>
      </c>
      <c r="E73" s="7" t="str">
        <f t="shared" si="10"/>
        <v>=</v>
      </c>
      <c r="F73" s="7">
        <f t="shared" si="9"/>
        <v>1180.8</v>
      </c>
      <c r="G73" s="8"/>
      <c r="H73" s="13">
        <f>328*H139</f>
        <v>1180.8</v>
      </c>
      <c r="I73" s="7" t="s">
        <v>35</v>
      </c>
      <c r="J73" s="37" t="s">
        <v>124</v>
      </c>
      <c r="K73" s="10" t="s">
        <v>310</v>
      </c>
      <c r="L73" s="10"/>
      <c r="M73" s="33">
        <v>1</v>
      </c>
      <c r="N73" s="10" t="s">
        <v>422</v>
      </c>
    </row>
    <row r="74" spans="1:14" s="20" customFormat="1" ht="60" outlineLevel="2" x14ac:dyDescent="0.25">
      <c r="A74" s="7" t="s">
        <v>12</v>
      </c>
      <c r="B74" s="10" t="s">
        <v>441</v>
      </c>
      <c r="C74" s="7"/>
      <c r="D74" s="7" t="s">
        <v>117</v>
      </c>
      <c r="E74" s="7" t="str">
        <f t="shared" si="10"/>
        <v>=</v>
      </c>
      <c r="F74" s="7">
        <f t="shared" si="9"/>
        <v>5.9730891783633167E-2</v>
      </c>
      <c r="G74" s="8"/>
      <c r="H74" s="13">
        <f>((1000*H72)*0.0253172213+51.1780361)/1000</f>
        <v>5.9730891783633167E-2</v>
      </c>
      <c r="I74" s="7" t="s">
        <v>5</v>
      </c>
      <c r="J74" s="37" t="s">
        <v>125</v>
      </c>
      <c r="K74" s="23" t="s">
        <v>504</v>
      </c>
      <c r="L74" s="10"/>
      <c r="M74" s="33">
        <v>1</v>
      </c>
      <c r="N74" s="10" t="s">
        <v>422</v>
      </c>
    </row>
    <row r="75" spans="1:14" s="20" customFormat="1" ht="30" outlineLevel="2" x14ac:dyDescent="0.25">
      <c r="A75" s="7" t="s">
        <v>12</v>
      </c>
      <c r="B75" s="10" t="s">
        <v>441</v>
      </c>
      <c r="C75" s="7"/>
      <c r="D75" s="7" t="s">
        <v>118</v>
      </c>
      <c r="E75" s="7" t="str">
        <f t="shared" si="10"/>
        <v>=</v>
      </c>
      <c r="F75" s="7">
        <f t="shared" si="9"/>
        <v>0.15479999999999999</v>
      </c>
      <c r="G75" s="8"/>
      <c r="H75" s="13">
        <f>0.043*H139</f>
        <v>0.15479999999999999</v>
      </c>
      <c r="I75" s="7" t="s">
        <v>35</v>
      </c>
      <c r="J75" s="37" t="s">
        <v>126</v>
      </c>
      <c r="K75" s="10" t="s">
        <v>312</v>
      </c>
      <c r="L75" s="10"/>
      <c r="M75" s="33">
        <v>1</v>
      </c>
      <c r="N75" s="10" t="s">
        <v>422</v>
      </c>
    </row>
    <row r="76" spans="1:14" s="20" customFormat="1" ht="30" outlineLevel="2" x14ac:dyDescent="0.25">
      <c r="A76" s="7" t="s">
        <v>12</v>
      </c>
      <c r="B76" s="10" t="s">
        <v>441</v>
      </c>
      <c r="C76" s="7"/>
      <c r="D76" s="7" t="s">
        <v>119</v>
      </c>
      <c r="E76" s="7" t="str">
        <f t="shared" si="10"/>
        <v>=</v>
      </c>
      <c r="F76" s="7">
        <f t="shared" si="9"/>
        <v>712.02241087333368</v>
      </c>
      <c r="G76" s="8"/>
      <c r="H76" s="13">
        <f>3*(H35*3)^0.5</f>
        <v>712.02241087333368</v>
      </c>
      <c r="I76" s="7" t="s">
        <v>5</v>
      </c>
      <c r="J76" s="37" t="s">
        <v>127</v>
      </c>
      <c r="K76" s="23" t="s">
        <v>496</v>
      </c>
      <c r="L76" s="10" t="s">
        <v>425</v>
      </c>
      <c r="M76" s="33">
        <v>1</v>
      </c>
      <c r="N76" s="10" t="s">
        <v>422</v>
      </c>
    </row>
    <row r="77" spans="1:14" s="20" customFormat="1" ht="30" outlineLevel="2" x14ac:dyDescent="0.25">
      <c r="A77" s="7" t="s">
        <v>12</v>
      </c>
      <c r="B77" s="10" t="s">
        <v>441</v>
      </c>
      <c r="C77" s="7"/>
      <c r="D77" s="7" t="s">
        <v>120</v>
      </c>
      <c r="E77" s="7" t="str">
        <f t="shared" si="10"/>
        <v>=</v>
      </c>
      <c r="F77" s="7">
        <f t="shared" si="9"/>
        <v>356.01120543666684</v>
      </c>
      <c r="G77" s="8"/>
      <c r="H77" s="13">
        <f>0.5*H76</f>
        <v>356.01120543666684</v>
      </c>
      <c r="I77" s="7" t="s">
        <v>5</v>
      </c>
      <c r="J77" s="37" t="s">
        <v>128</v>
      </c>
      <c r="K77" s="10" t="s">
        <v>497</v>
      </c>
      <c r="L77" s="10"/>
      <c r="M77" s="33">
        <v>1</v>
      </c>
      <c r="N77" s="10" t="s">
        <v>422</v>
      </c>
    </row>
    <row r="78" spans="1:14" s="20" customFormat="1" ht="15.75" outlineLevel="1" x14ac:dyDescent="0.25">
      <c r="A78" s="1" t="s">
        <v>12</v>
      </c>
      <c r="B78" s="3"/>
      <c r="C78" s="1" t="s">
        <v>9</v>
      </c>
      <c r="D78" s="1" t="s">
        <v>129</v>
      </c>
      <c r="E78" s="1"/>
      <c r="F78" s="1"/>
      <c r="G78" s="2"/>
      <c r="H78" s="1"/>
      <c r="I78" s="1"/>
      <c r="J78" s="15"/>
      <c r="K78" s="3"/>
      <c r="L78" s="3"/>
      <c r="M78" s="31" t="s">
        <v>428</v>
      </c>
      <c r="N78" s="3"/>
    </row>
    <row r="79" spans="1:14" s="24" customFormat="1" outlineLevel="2" x14ac:dyDescent="0.25">
      <c r="A79" s="25" t="s">
        <v>12</v>
      </c>
      <c r="B79" s="26"/>
      <c r="C79" s="25"/>
      <c r="D79" s="25" t="s">
        <v>11</v>
      </c>
      <c r="E79" s="25">
        <f>COUNTBLANK(C80:C82)</f>
        <v>3</v>
      </c>
      <c r="F79" s="25"/>
      <c r="G79" s="25"/>
      <c r="H79" s="25"/>
      <c r="I79" s="25"/>
      <c r="J79" s="38"/>
      <c r="K79" s="26"/>
      <c r="L79" s="26"/>
      <c r="M79" s="34">
        <v>1</v>
      </c>
      <c r="N79" s="28" t="s">
        <v>422</v>
      </c>
    </row>
    <row r="80" spans="1:14" s="20" customFormat="1" outlineLevel="2" x14ac:dyDescent="0.25">
      <c r="A80" s="7" t="s">
        <v>12</v>
      </c>
      <c r="B80" s="10" t="s">
        <v>434</v>
      </c>
      <c r="C80" s="7"/>
      <c r="D80" s="7" t="s">
        <v>130</v>
      </c>
      <c r="E80" s="7" t="str">
        <f t="shared" si="10"/>
        <v>=</v>
      </c>
      <c r="F80" s="7">
        <f t="shared" ref="F80:F82" si="12">IF((ISBLANK(G80))=TRUE,H80,G80)</f>
        <v>4</v>
      </c>
      <c r="G80" s="8"/>
      <c r="H80" s="9">
        <v>4</v>
      </c>
      <c r="I80" s="7" t="s">
        <v>6</v>
      </c>
      <c r="J80" s="36">
        <f>H80</f>
        <v>4</v>
      </c>
      <c r="K80" s="10" t="s">
        <v>319</v>
      </c>
      <c r="L80" s="10" t="s">
        <v>425</v>
      </c>
      <c r="M80" s="33">
        <v>1</v>
      </c>
      <c r="N80" s="10" t="s">
        <v>422</v>
      </c>
    </row>
    <row r="81" spans="1:14" s="20" customFormat="1" ht="30" outlineLevel="2" x14ac:dyDescent="0.25">
      <c r="A81" s="7" t="s">
        <v>12</v>
      </c>
      <c r="B81" s="10" t="s">
        <v>434</v>
      </c>
      <c r="C81" s="7"/>
      <c r="D81" s="7" t="s">
        <v>131</v>
      </c>
      <c r="E81" s="7" t="str">
        <f t="shared" si="10"/>
        <v>=</v>
      </c>
      <c r="F81" s="7">
        <f t="shared" si="12"/>
        <v>46992708.349219613</v>
      </c>
      <c r="G81" s="8"/>
      <c r="H81" s="13">
        <f>H35*H129*H52</f>
        <v>46992708.349219613</v>
      </c>
      <c r="I81" s="7" t="s">
        <v>4</v>
      </c>
      <c r="J81" s="37" t="s">
        <v>133</v>
      </c>
      <c r="K81" s="10" t="s">
        <v>498</v>
      </c>
      <c r="L81" s="10"/>
      <c r="M81" s="33">
        <v>1</v>
      </c>
      <c r="N81" s="10" t="s">
        <v>422</v>
      </c>
    </row>
    <row r="82" spans="1:14" s="20" customFormat="1" ht="30" outlineLevel="2" x14ac:dyDescent="0.25">
      <c r="A82" s="7" t="s">
        <v>12</v>
      </c>
      <c r="B82" s="10" t="s">
        <v>434</v>
      </c>
      <c r="C82" s="7"/>
      <c r="D82" s="7" t="s">
        <v>132</v>
      </c>
      <c r="E82" s="7" t="str">
        <f t="shared" si="10"/>
        <v>=</v>
      </c>
      <c r="F82" s="7">
        <f t="shared" si="12"/>
        <v>11748177.087304903</v>
      </c>
      <c r="G82" s="8"/>
      <c r="H82" s="13">
        <f>H81/H80</f>
        <v>11748177.087304903</v>
      </c>
      <c r="I82" s="7" t="s">
        <v>407</v>
      </c>
      <c r="J82" s="37" t="s">
        <v>134</v>
      </c>
      <c r="K82" s="10" t="s">
        <v>320</v>
      </c>
      <c r="L82" s="10"/>
      <c r="M82" s="33">
        <v>1</v>
      </c>
      <c r="N82" s="10" t="s">
        <v>422</v>
      </c>
    </row>
    <row r="83" spans="1:14" s="20" customFormat="1" ht="15.75" outlineLevel="1" x14ac:dyDescent="0.25">
      <c r="A83" s="1" t="s">
        <v>12</v>
      </c>
      <c r="B83" s="3"/>
      <c r="C83" s="1" t="s">
        <v>9</v>
      </c>
      <c r="D83" s="1" t="s">
        <v>151</v>
      </c>
      <c r="E83" s="1"/>
      <c r="F83" s="1"/>
      <c r="G83" s="2"/>
      <c r="H83" s="1"/>
      <c r="I83" s="1"/>
      <c r="J83" s="15"/>
      <c r="K83" s="3"/>
      <c r="L83" s="3"/>
      <c r="M83" s="31" t="s">
        <v>428</v>
      </c>
      <c r="N83" s="3"/>
    </row>
    <row r="84" spans="1:14" s="24" customFormat="1" outlineLevel="2" x14ac:dyDescent="0.25">
      <c r="A84" s="25" t="s">
        <v>12</v>
      </c>
      <c r="B84" s="26"/>
      <c r="C84" s="25"/>
      <c r="D84" s="25" t="s">
        <v>11</v>
      </c>
      <c r="E84" s="25">
        <f>COUNTBLANK(C85:C93)</f>
        <v>9</v>
      </c>
      <c r="F84" s="25"/>
      <c r="G84" s="25"/>
      <c r="H84" s="25"/>
      <c r="I84" s="25"/>
      <c r="J84" s="27"/>
      <c r="K84" s="26"/>
      <c r="L84" s="26"/>
      <c r="M84" s="34">
        <v>1</v>
      </c>
      <c r="N84" s="28" t="s">
        <v>422</v>
      </c>
    </row>
    <row r="85" spans="1:14" s="20" customFormat="1" outlineLevel="2" x14ac:dyDescent="0.25">
      <c r="A85" s="7" t="s">
        <v>12</v>
      </c>
      <c r="B85" s="10" t="s">
        <v>435</v>
      </c>
      <c r="C85" s="7"/>
      <c r="D85" s="7" t="s">
        <v>135</v>
      </c>
      <c r="E85" s="7" t="str">
        <f t="shared" ref="E85:E103" si="13">IF(C85="*","","=")</f>
        <v>=</v>
      </c>
      <c r="F85" s="7">
        <f t="shared" ref="F85:F103" si="14">IF((ISBLANK(G85))=TRUE,H85,G85)</f>
        <v>0</v>
      </c>
      <c r="G85" s="8"/>
      <c r="H85" s="13">
        <f>H63*H86</f>
        <v>0</v>
      </c>
      <c r="I85" s="7" t="s">
        <v>3</v>
      </c>
      <c r="J85" s="17" t="s">
        <v>144</v>
      </c>
      <c r="K85" s="10" t="s">
        <v>322</v>
      </c>
      <c r="L85" s="10"/>
      <c r="M85" s="33">
        <v>1</v>
      </c>
      <c r="N85" s="10" t="s">
        <v>422</v>
      </c>
    </row>
    <row r="86" spans="1:14" s="20" customFormat="1" outlineLevel="2" x14ac:dyDescent="0.25">
      <c r="A86" s="7" t="s">
        <v>12</v>
      </c>
      <c r="B86" s="10" t="s">
        <v>435</v>
      </c>
      <c r="C86" s="7"/>
      <c r="D86" s="7" t="s">
        <v>136</v>
      </c>
      <c r="E86" s="7" t="str">
        <f t="shared" si="13"/>
        <v>=</v>
      </c>
      <c r="F86" s="7">
        <f t="shared" si="14"/>
        <v>469422.14220914303</v>
      </c>
      <c r="G86" s="8"/>
      <c r="H86" s="13">
        <f>H64*H35</f>
        <v>469422.14220914303</v>
      </c>
      <c r="I86" s="7" t="s">
        <v>3</v>
      </c>
      <c r="J86" s="17" t="s">
        <v>145</v>
      </c>
      <c r="K86" s="10" t="s">
        <v>321</v>
      </c>
      <c r="L86" s="10"/>
      <c r="M86" s="33">
        <v>1</v>
      </c>
      <c r="N86" s="10" t="s">
        <v>422</v>
      </c>
    </row>
    <row r="87" spans="1:14" s="20" customFormat="1" outlineLevel="2" x14ac:dyDescent="0.25">
      <c r="A87" s="7" t="s">
        <v>12</v>
      </c>
      <c r="B87" s="10" t="s">
        <v>435</v>
      </c>
      <c r="C87" s="7"/>
      <c r="D87" s="7" t="s">
        <v>137</v>
      </c>
      <c r="E87" s="7" t="str">
        <f t="shared" si="13"/>
        <v>=</v>
      </c>
      <c r="F87" s="7">
        <f t="shared" si="14"/>
        <v>462.84013887817042</v>
      </c>
      <c r="G87" s="8"/>
      <c r="H87" s="13">
        <f>H86/H8</f>
        <v>462.84013887817042</v>
      </c>
      <c r="I87" s="7" t="s">
        <v>408</v>
      </c>
      <c r="J87" s="17" t="s">
        <v>146</v>
      </c>
      <c r="K87" s="10" t="s">
        <v>323</v>
      </c>
      <c r="L87" s="10"/>
      <c r="M87" s="33">
        <v>1</v>
      </c>
      <c r="N87" s="10" t="s">
        <v>422</v>
      </c>
    </row>
    <row r="88" spans="1:14" s="20" customFormat="1" ht="75" outlineLevel="2" x14ac:dyDescent="0.25">
      <c r="A88" s="7" t="s">
        <v>12</v>
      </c>
      <c r="B88" s="10" t="s">
        <v>435</v>
      </c>
      <c r="C88" s="7"/>
      <c r="D88" s="7" t="s">
        <v>138</v>
      </c>
      <c r="E88" s="7" t="str">
        <f t="shared" si="13"/>
        <v>=</v>
      </c>
      <c r="F88" s="7">
        <f t="shared" si="14"/>
        <v>298180.94460000005</v>
      </c>
      <c r="G88" s="8"/>
      <c r="H88" s="13">
        <f>MIN(IF(H87&lt;=0.2,1,0)*(25*H87)+IF(H87&gt;0.2,1,0)*((9.49779473*10^(-6))*(H87^(3))-0.00350971*(H87^(2))+0.44274642*(H87)+5.87642027),30)*H8*9.8</f>
        <v>298180.94460000005</v>
      </c>
      <c r="I88" s="7" t="s">
        <v>409</v>
      </c>
      <c r="J88" s="70" t="s">
        <v>513</v>
      </c>
      <c r="K88" s="10" t="s">
        <v>332</v>
      </c>
      <c r="L88" s="10"/>
      <c r="M88" s="33">
        <v>1</v>
      </c>
      <c r="N88" s="10" t="s">
        <v>422</v>
      </c>
    </row>
    <row r="89" spans="1:14" s="20" customFormat="1" ht="30" outlineLevel="2" x14ac:dyDescent="0.25">
      <c r="A89" s="7" t="s">
        <v>12</v>
      </c>
      <c r="B89" s="10" t="s">
        <v>435</v>
      </c>
      <c r="C89" s="7"/>
      <c r="D89" s="7" t="s">
        <v>139</v>
      </c>
      <c r="E89" s="7" t="str">
        <f t="shared" si="13"/>
        <v>=</v>
      </c>
      <c r="F89" s="7">
        <f t="shared" si="14"/>
        <v>197157.29972784009</v>
      </c>
      <c r="G89" s="8"/>
      <c r="H89" s="13">
        <f>H88*H87*(1/3600)*3.6/H142</f>
        <v>197157.29972784009</v>
      </c>
      <c r="I89" s="7" t="s">
        <v>4</v>
      </c>
      <c r="J89" s="17" t="s">
        <v>147</v>
      </c>
      <c r="K89" s="10" t="s">
        <v>495</v>
      </c>
      <c r="L89" s="10"/>
      <c r="M89" s="33">
        <v>1</v>
      </c>
      <c r="N89" s="10" t="s">
        <v>422</v>
      </c>
    </row>
    <row r="90" spans="1:14" s="20" customFormat="1" outlineLevel="2" x14ac:dyDescent="0.25">
      <c r="A90" s="7" t="s">
        <v>12</v>
      </c>
      <c r="B90" s="10" t="s">
        <v>436</v>
      </c>
      <c r="C90" s="7"/>
      <c r="D90" s="7" t="s">
        <v>140</v>
      </c>
      <c r="E90" s="7" t="str">
        <f t="shared" si="13"/>
        <v>=</v>
      </c>
      <c r="F90" s="7">
        <f t="shared" si="14"/>
        <v>435897.11074502266</v>
      </c>
      <c r="G90" s="8"/>
      <c r="H90" s="13">
        <f>H86*H7/H11</f>
        <v>435897.11074502266</v>
      </c>
      <c r="I90" s="7" t="s">
        <v>3</v>
      </c>
      <c r="J90" s="17" t="s">
        <v>148</v>
      </c>
      <c r="K90" s="10" t="s">
        <v>333</v>
      </c>
      <c r="L90" s="10"/>
      <c r="M90" s="33">
        <v>1</v>
      </c>
      <c r="N90" s="10" t="s">
        <v>422</v>
      </c>
    </row>
    <row r="91" spans="1:14" s="20" customFormat="1" outlineLevel="2" x14ac:dyDescent="0.25">
      <c r="A91" s="7" t="s">
        <v>12</v>
      </c>
      <c r="B91" s="10" t="s">
        <v>436</v>
      </c>
      <c r="C91" s="7"/>
      <c r="D91" s="7" t="s">
        <v>141</v>
      </c>
      <c r="E91" s="7" t="str">
        <f t="shared" si="13"/>
        <v>=</v>
      </c>
      <c r="F91" s="7">
        <f t="shared" si="14"/>
        <v>435.89711074502264</v>
      </c>
      <c r="G91" s="8"/>
      <c r="H91" s="13">
        <f>H90/H12</f>
        <v>435.89711074502264</v>
      </c>
      <c r="I91" s="7" t="s">
        <v>408</v>
      </c>
      <c r="J91" s="17" t="s">
        <v>149</v>
      </c>
      <c r="K91" s="10" t="s">
        <v>323</v>
      </c>
      <c r="L91" s="10"/>
      <c r="M91" s="33">
        <v>1</v>
      </c>
      <c r="N91" s="10" t="s">
        <v>422</v>
      </c>
    </row>
    <row r="92" spans="1:14" s="20" customFormat="1" ht="75" outlineLevel="2" x14ac:dyDescent="0.25">
      <c r="A92" s="7" t="s">
        <v>12</v>
      </c>
      <c r="B92" s="10" t="s">
        <v>436</v>
      </c>
      <c r="C92" s="7"/>
      <c r="D92" s="7" t="s">
        <v>142</v>
      </c>
      <c r="E92" s="7" t="str">
        <f t="shared" si="13"/>
        <v>=</v>
      </c>
      <c r="F92" s="7">
        <f t="shared" si="14"/>
        <v>294000</v>
      </c>
      <c r="G92" s="8"/>
      <c r="H92" s="13">
        <f>MIN(IF(H91&lt;=0.2,1,0)*(25*H91)+IF(H91&gt;0.2,1,0)*((9.49779473*10^(-6))*(H91^(3))-0.00350971*(H91^(2))+0.44274642*(H91)+5.87642027),30)*H12*9.8</f>
        <v>294000</v>
      </c>
      <c r="I92" s="7" t="s">
        <v>409</v>
      </c>
      <c r="J92" s="70" t="s">
        <v>514</v>
      </c>
      <c r="K92" s="10" t="s">
        <v>332</v>
      </c>
      <c r="L92" s="10"/>
      <c r="M92" s="33">
        <v>1</v>
      </c>
      <c r="N92" s="10" t="s">
        <v>422</v>
      </c>
    </row>
    <row r="93" spans="1:14" s="20" customFormat="1" ht="30" outlineLevel="2" x14ac:dyDescent="0.25">
      <c r="A93" s="7" t="s">
        <v>12</v>
      </c>
      <c r="B93" s="10" t="s">
        <v>436</v>
      </c>
      <c r="C93" s="7"/>
      <c r="D93" s="7" t="s">
        <v>143</v>
      </c>
      <c r="E93" s="7" t="str">
        <f t="shared" si="13"/>
        <v>=</v>
      </c>
      <c r="F93" s="7">
        <f t="shared" si="14"/>
        <v>183076.78651290954</v>
      </c>
      <c r="G93" s="8"/>
      <c r="H93" s="13">
        <f>H92*H91*(1/3600)*3.6/H142</f>
        <v>183076.78651290954</v>
      </c>
      <c r="I93" s="7" t="s">
        <v>4</v>
      </c>
      <c r="J93" s="17" t="s">
        <v>150</v>
      </c>
      <c r="K93" s="10" t="s">
        <v>495</v>
      </c>
      <c r="L93" s="10"/>
      <c r="M93" s="33">
        <v>1</v>
      </c>
      <c r="N93" s="10" t="s">
        <v>422</v>
      </c>
    </row>
    <row r="94" spans="1:14" s="20" customFormat="1" ht="15.75" outlineLevel="1" x14ac:dyDescent="0.25">
      <c r="A94" s="1" t="s">
        <v>12</v>
      </c>
      <c r="B94" s="3"/>
      <c r="C94" s="1" t="s">
        <v>9</v>
      </c>
      <c r="D94" s="1" t="s">
        <v>152</v>
      </c>
      <c r="E94" s="1"/>
      <c r="F94" s="1"/>
      <c r="G94" s="2"/>
      <c r="H94" s="1"/>
      <c r="I94" s="1"/>
      <c r="J94" s="15"/>
      <c r="K94" s="3"/>
      <c r="L94" s="3"/>
      <c r="M94" s="31" t="s">
        <v>428</v>
      </c>
      <c r="N94" s="3"/>
    </row>
    <row r="95" spans="1:14" s="24" customFormat="1" outlineLevel="2" x14ac:dyDescent="0.25">
      <c r="A95" s="25" t="s">
        <v>12</v>
      </c>
      <c r="B95" s="26"/>
      <c r="C95" s="25"/>
      <c r="D95" s="25" t="s">
        <v>11</v>
      </c>
      <c r="E95" s="25">
        <f>COUNTBLANK(C96:C103)</f>
        <v>8</v>
      </c>
      <c r="F95" s="25"/>
      <c r="G95" s="25"/>
      <c r="H95" s="25"/>
      <c r="I95" s="25"/>
      <c r="J95" s="27"/>
      <c r="K95" s="26"/>
      <c r="L95" s="26"/>
      <c r="M95" s="34">
        <v>1</v>
      </c>
      <c r="N95" s="28" t="s">
        <v>422</v>
      </c>
    </row>
    <row r="96" spans="1:14" s="20" customFormat="1" outlineLevel="2" x14ac:dyDescent="0.25">
      <c r="A96" s="7" t="s">
        <v>12</v>
      </c>
      <c r="B96" s="10" t="s">
        <v>437</v>
      </c>
      <c r="C96" s="7"/>
      <c r="D96" s="7" t="s">
        <v>153</v>
      </c>
      <c r="E96" s="7" t="str">
        <f t="shared" si="13"/>
        <v>=</v>
      </c>
      <c r="F96" s="7">
        <f t="shared" si="14"/>
        <v>137.92857741175592</v>
      </c>
      <c r="G96" s="8"/>
      <c r="H96" s="13">
        <f>H98+50</f>
        <v>137.92857741175592</v>
      </c>
      <c r="I96" s="18" t="s">
        <v>193</v>
      </c>
      <c r="J96" s="17" t="s">
        <v>163</v>
      </c>
      <c r="K96" s="10"/>
      <c r="L96" s="26"/>
      <c r="M96" s="33">
        <v>1</v>
      </c>
      <c r="N96" s="10" t="s">
        <v>422</v>
      </c>
    </row>
    <row r="97" spans="1:14" s="20" customFormat="1" outlineLevel="2" x14ac:dyDescent="0.25">
      <c r="A97" s="7" t="s">
        <v>12</v>
      </c>
      <c r="B97" s="10" t="s">
        <v>437</v>
      </c>
      <c r="C97" s="7"/>
      <c r="D97" s="7" t="s">
        <v>154</v>
      </c>
      <c r="E97" s="7" t="str">
        <f t="shared" si="13"/>
        <v>=</v>
      </c>
      <c r="F97" s="7">
        <f t="shared" si="14"/>
        <v>496.54287868232132</v>
      </c>
      <c r="G97" s="8"/>
      <c r="H97" s="13">
        <f>H96*H139</f>
        <v>496.54287868232132</v>
      </c>
      <c r="I97" s="18" t="s">
        <v>192</v>
      </c>
      <c r="J97" s="17" t="s">
        <v>164</v>
      </c>
      <c r="K97" s="10" t="s">
        <v>334</v>
      </c>
      <c r="L97" s="10"/>
      <c r="M97" s="33">
        <v>1</v>
      </c>
      <c r="N97" s="10" t="s">
        <v>422</v>
      </c>
    </row>
    <row r="98" spans="1:14" s="20" customFormat="1" ht="60" outlineLevel="2" x14ac:dyDescent="0.25">
      <c r="A98" s="7" t="s">
        <v>12</v>
      </c>
      <c r="B98" s="10" t="s">
        <v>437</v>
      </c>
      <c r="C98" s="7"/>
      <c r="D98" s="7" t="s">
        <v>155</v>
      </c>
      <c r="E98" s="7" t="str">
        <f t="shared" si="13"/>
        <v>=</v>
      </c>
      <c r="F98" s="7">
        <f t="shared" si="14"/>
        <v>87.928577411755924</v>
      </c>
      <c r="G98" s="8"/>
      <c r="H98" s="13">
        <f>(H54/H139*(H33-20*H158-H132)+H56/H139*(H33-20*H158-H132)^2)/H52</f>
        <v>87.928577411755924</v>
      </c>
      <c r="I98" s="18" t="s">
        <v>193</v>
      </c>
      <c r="J98" s="17" t="s">
        <v>165</v>
      </c>
      <c r="K98" s="10"/>
      <c r="L98" s="10" t="s">
        <v>425</v>
      </c>
      <c r="M98" s="33">
        <v>1</v>
      </c>
      <c r="N98" s="10" t="s">
        <v>422</v>
      </c>
    </row>
    <row r="99" spans="1:14" s="20" customFormat="1" outlineLevel="2" x14ac:dyDescent="0.25">
      <c r="A99" s="7" t="s">
        <v>12</v>
      </c>
      <c r="B99" s="10" t="s">
        <v>437</v>
      </c>
      <c r="C99" s="7"/>
      <c r="D99" s="7" t="s">
        <v>156</v>
      </c>
      <c r="E99" s="7" t="str">
        <f t="shared" si="13"/>
        <v>=</v>
      </c>
      <c r="F99" s="7">
        <f t="shared" si="14"/>
        <v>316.54287868232132</v>
      </c>
      <c r="G99" s="8"/>
      <c r="H99" s="13">
        <f>H98*H139</f>
        <v>316.54287868232132</v>
      </c>
      <c r="I99" s="18" t="s">
        <v>192</v>
      </c>
      <c r="J99" s="17" t="s">
        <v>166</v>
      </c>
      <c r="K99" s="10" t="s">
        <v>335</v>
      </c>
      <c r="L99" s="10"/>
      <c r="M99" s="33">
        <v>1</v>
      </c>
      <c r="N99" s="10" t="s">
        <v>422</v>
      </c>
    </row>
    <row r="100" spans="1:14" s="20" customFormat="1" outlineLevel="2" x14ac:dyDescent="0.25">
      <c r="A100" s="7" t="s">
        <v>12</v>
      </c>
      <c r="B100" s="10" t="s">
        <v>438</v>
      </c>
      <c r="C100" s="7"/>
      <c r="D100" s="7" t="s">
        <v>157</v>
      </c>
      <c r="E100" s="7" t="str">
        <f t="shared" si="13"/>
        <v>=</v>
      </c>
      <c r="F100" s="7">
        <f t="shared" si="14"/>
        <v>4</v>
      </c>
      <c r="G100" s="8"/>
      <c r="H100" s="13">
        <f>H80</f>
        <v>4</v>
      </c>
      <c r="I100" s="18" t="s">
        <v>6</v>
      </c>
      <c r="J100" s="17" t="s">
        <v>130</v>
      </c>
      <c r="K100" s="10" t="s">
        <v>336</v>
      </c>
      <c r="L100" s="10"/>
      <c r="M100" s="33">
        <v>1</v>
      </c>
      <c r="N100" s="10" t="s">
        <v>422</v>
      </c>
    </row>
    <row r="101" spans="1:14" s="20" customFormat="1" outlineLevel="2" x14ac:dyDescent="0.25">
      <c r="A101" s="7" t="s">
        <v>12</v>
      </c>
      <c r="B101" s="10" t="s">
        <v>438</v>
      </c>
      <c r="C101" s="7"/>
      <c r="D101" s="7" t="s">
        <v>158</v>
      </c>
      <c r="E101" s="7" t="str">
        <f t="shared" si="13"/>
        <v>=</v>
      </c>
      <c r="F101" s="7">
        <f t="shared" si="14"/>
        <v>6</v>
      </c>
      <c r="G101" s="8"/>
      <c r="H101" s="13">
        <f>H100+2</f>
        <v>6</v>
      </c>
      <c r="I101" s="18" t="s">
        <v>6</v>
      </c>
      <c r="J101" s="17" t="s">
        <v>167</v>
      </c>
      <c r="K101" s="10" t="s">
        <v>337</v>
      </c>
      <c r="L101" s="10"/>
      <c r="M101" s="33">
        <v>1</v>
      </c>
      <c r="N101" s="10" t="s">
        <v>422</v>
      </c>
    </row>
    <row r="102" spans="1:14" s="20" customFormat="1" outlineLevel="2" x14ac:dyDescent="0.25">
      <c r="A102" s="7" t="s">
        <v>12</v>
      </c>
      <c r="B102" s="10" t="s">
        <v>433</v>
      </c>
      <c r="C102" s="7"/>
      <c r="D102" s="7" t="s">
        <v>159</v>
      </c>
      <c r="E102" s="7" t="str">
        <f t="shared" si="13"/>
        <v>=</v>
      </c>
      <c r="F102" s="7">
        <f t="shared" si="14"/>
        <v>140</v>
      </c>
      <c r="G102" s="8"/>
      <c r="H102" s="9">
        <v>140</v>
      </c>
      <c r="I102" s="18" t="s">
        <v>6</v>
      </c>
      <c r="J102" s="36">
        <f>H102</f>
        <v>140</v>
      </c>
      <c r="K102" s="10" t="s">
        <v>338</v>
      </c>
      <c r="L102" s="10" t="s">
        <v>427</v>
      </c>
      <c r="M102" s="33">
        <v>1</v>
      </c>
      <c r="N102" s="10" t="s">
        <v>422</v>
      </c>
    </row>
    <row r="103" spans="1:14" s="20" customFormat="1" outlineLevel="2" x14ac:dyDescent="0.25">
      <c r="A103" s="7" t="s">
        <v>12</v>
      </c>
      <c r="B103" s="10" t="s">
        <v>438</v>
      </c>
      <c r="C103" s="7"/>
      <c r="D103" s="7" t="s">
        <v>160</v>
      </c>
      <c r="E103" s="7" t="str">
        <f t="shared" si="13"/>
        <v>=</v>
      </c>
      <c r="F103" s="7">
        <f t="shared" si="14"/>
        <v>115</v>
      </c>
      <c r="G103" s="8"/>
      <c r="H103" s="13">
        <f>MAX(90,H163+20)</f>
        <v>115</v>
      </c>
      <c r="I103" s="18" t="s">
        <v>6</v>
      </c>
      <c r="J103" s="17" t="s">
        <v>168</v>
      </c>
      <c r="K103" s="10" t="s">
        <v>338</v>
      </c>
      <c r="L103" s="10" t="s">
        <v>427</v>
      </c>
      <c r="M103" s="33">
        <v>1</v>
      </c>
      <c r="N103" s="10" t="s">
        <v>422</v>
      </c>
    </row>
    <row r="104" spans="1:14" s="20" customFormat="1" ht="15.75" x14ac:dyDescent="0.25">
      <c r="A104" s="4" t="s">
        <v>170</v>
      </c>
      <c r="B104" s="6"/>
      <c r="C104" s="4"/>
      <c r="D104" s="4"/>
      <c r="E104" s="4"/>
      <c r="F104" s="4"/>
      <c r="G104" s="5"/>
      <c r="H104" s="4"/>
      <c r="I104" s="4"/>
      <c r="J104" s="16"/>
      <c r="K104" s="6"/>
      <c r="L104" s="6" t="s">
        <v>428</v>
      </c>
      <c r="M104" s="30" t="s">
        <v>428</v>
      </c>
      <c r="N104" s="6"/>
    </row>
    <row r="105" spans="1:14" s="20" customFormat="1" ht="15.75" outlineLevel="1" x14ac:dyDescent="0.25">
      <c r="A105" s="1" t="s">
        <v>411</v>
      </c>
      <c r="B105" s="3"/>
      <c r="C105" s="1" t="s">
        <v>9</v>
      </c>
      <c r="D105" s="1" t="s">
        <v>331</v>
      </c>
      <c r="E105" s="1"/>
      <c r="F105" s="1"/>
      <c r="G105" s="2"/>
      <c r="H105" s="1"/>
      <c r="I105" s="1"/>
      <c r="J105" s="15"/>
      <c r="K105" s="3"/>
      <c r="L105" s="3"/>
      <c r="M105" s="31" t="s">
        <v>428</v>
      </c>
      <c r="N105" s="3"/>
    </row>
    <row r="106" spans="1:14" s="20" customFormat="1" ht="15.75" outlineLevel="2" x14ac:dyDescent="0.25">
      <c r="A106" s="1"/>
      <c r="B106" s="3"/>
      <c r="C106" s="1"/>
      <c r="D106" s="1" t="s">
        <v>520</v>
      </c>
      <c r="E106" s="67" t="s">
        <v>537</v>
      </c>
      <c r="F106" s="1"/>
      <c r="G106" s="2"/>
      <c r="H106" s="1"/>
      <c r="I106" s="1"/>
      <c r="J106" s="15"/>
      <c r="K106" s="3"/>
      <c r="L106" s="3"/>
      <c r="M106" s="31">
        <v>1</v>
      </c>
      <c r="N106" s="3"/>
    </row>
    <row r="107" spans="1:14" s="20" customFormat="1" ht="15.75" outlineLevel="2" x14ac:dyDescent="0.25">
      <c r="A107" s="1"/>
      <c r="B107" s="3"/>
      <c r="C107" s="1"/>
      <c r="D107" s="1" t="s">
        <v>521</v>
      </c>
      <c r="E107" s="1" t="s">
        <v>522</v>
      </c>
      <c r="F107" s="1"/>
      <c r="G107" s="2"/>
      <c r="H107" s="1"/>
      <c r="I107" s="1"/>
      <c r="J107" s="15"/>
      <c r="K107" s="3"/>
      <c r="L107" s="3"/>
      <c r="M107" s="31">
        <v>1</v>
      </c>
      <c r="N107" s="3"/>
    </row>
    <row r="108" spans="1:14" s="20" customFormat="1" ht="15.75" outlineLevel="2" x14ac:dyDescent="0.25">
      <c r="A108" s="1"/>
      <c r="B108" s="3"/>
      <c r="C108" s="1"/>
      <c r="D108" s="1" t="s">
        <v>523</v>
      </c>
      <c r="E108" s="1" t="s">
        <v>524</v>
      </c>
      <c r="F108" s="1"/>
      <c r="G108" s="2"/>
      <c r="H108" s="1"/>
      <c r="I108" s="1"/>
      <c r="J108" s="15"/>
      <c r="K108" s="3"/>
      <c r="L108" s="3"/>
      <c r="M108" s="31">
        <v>1</v>
      </c>
      <c r="N108" s="3"/>
    </row>
    <row r="109" spans="1:14" s="20" customFormat="1" ht="15.75" outlineLevel="2" x14ac:dyDescent="0.25">
      <c r="A109" s="1"/>
      <c r="B109" s="3"/>
      <c r="C109" s="1"/>
      <c r="D109" s="1" t="s">
        <v>525</v>
      </c>
      <c r="E109" s="1" t="s">
        <v>526</v>
      </c>
      <c r="F109" s="1"/>
      <c r="G109" s="2"/>
      <c r="H109" s="1"/>
      <c r="I109" s="1"/>
      <c r="J109" s="15"/>
      <c r="K109" s="3"/>
      <c r="L109" s="3"/>
      <c r="M109" s="31">
        <v>1</v>
      </c>
      <c r="N109" s="3"/>
    </row>
    <row r="110" spans="1:14" s="20" customFormat="1" ht="15.75" outlineLevel="2" x14ac:dyDescent="0.25">
      <c r="A110" s="1"/>
      <c r="B110" s="3"/>
      <c r="C110" s="1"/>
      <c r="D110" s="1" t="s">
        <v>527</v>
      </c>
      <c r="E110" s="1" t="s">
        <v>528</v>
      </c>
      <c r="F110" s="1"/>
      <c r="G110" s="2"/>
      <c r="H110" s="1"/>
      <c r="I110" s="1"/>
      <c r="J110" s="15"/>
      <c r="K110" s="3"/>
      <c r="L110" s="3"/>
      <c r="M110" s="31">
        <v>1</v>
      </c>
      <c r="N110" s="3"/>
    </row>
    <row r="111" spans="1:14" s="20" customFormat="1" ht="15.75" outlineLevel="2" x14ac:dyDescent="0.25">
      <c r="A111" s="1"/>
      <c r="B111" s="3"/>
      <c r="C111" s="1"/>
      <c r="D111" s="1" t="s">
        <v>529</v>
      </c>
      <c r="E111" s="1" t="s">
        <v>530</v>
      </c>
      <c r="F111" s="1"/>
      <c r="G111" s="2"/>
      <c r="H111" s="1"/>
      <c r="I111" s="1"/>
      <c r="J111" s="15"/>
      <c r="K111" s="3"/>
      <c r="L111" s="3"/>
      <c r="M111" s="31">
        <v>1</v>
      </c>
      <c r="N111" s="3"/>
    </row>
    <row r="112" spans="1:14" s="20" customFormat="1" ht="15.75" outlineLevel="2" x14ac:dyDescent="0.25">
      <c r="A112" s="1"/>
      <c r="B112" s="3"/>
      <c r="C112" s="1"/>
      <c r="D112" s="1" t="s">
        <v>531</v>
      </c>
      <c r="E112" s="1" t="s">
        <v>532</v>
      </c>
      <c r="F112" s="1"/>
      <c r="G112" s="2"/>
      <c r="H112" s="1"/>
      <c r="I112" s="1"/>
      <c r="J112" s="15"/>
      <c r="K112" s="3"/>
      <c r="L112" s="3"/>
      <c r="M112" s="31">
        <v>1</v>
      </c>
      <c r="N112" s="3"/>
    </row>
    <row r="113" spans="1:14" s="20" customFormat="1" ht="15.75" outlineLevel="2" x14ac:dyDescent="0.25">
      <c r="A113" s="1"/>
      <c r="B113" s="3"/>
      <c r="C113" s="1"/>
      <c r="D113" s="1" t="s">
        <v>533</v>
      </c>
      <c r="E113" s="1" t="s">
        <v>534</v>
      </c>
      <c r="F113" s="1"/>
      <c r="G113" s="2"/>
      <c r="H113" s="1"/>
      <c r="I113" s="1"/>
      <c r="J113" s="15"/>
      <c r="K113" s="3"/>
      <c r="L113" s="3"/>
      <c r="M113" s="31">
        <v>1</v>
      </c>
      <c r="N113" s="3"/>
    </row>
    <row r="114" spans="1:14" s="20" customFormat="1" ht="15.75" outlineLevel="2" x14ac:dyDescent="0.25">
      <c r="A114" s="1"/>
      <c r="B114" s="3"/>
      <c r="C114" s="1"/>
      <c r="D114" s="1" t="s">
        <v>535</v>
      </c>
      <c r="E114" s="1" t="s">
        <v>536</v>
      </c>
      <c r="F114" s="1"/>
      <c r="G114" s="2"/>
      <c r="H114" s="1"/>
      <c r="I114" s="1"/>
      <c r="J114" s="15"/>
      <c r="K114" s="3"/>
      <c r="L114" s="3"/>
      <c r="M114" s="31">
        <v>1</v>
      </c>
      <c r="N114" s="3"/>
    </row>
    <row r="115" spans="1:14" s="24" customFormat="1" outlineLevel="2" x14ac:dyDescent="0.25">
      <c r="A115" s="25" t="s">
        <v>411</v>
      </c>
      <c r="B115" s="26"/>
      <c r="C115" s="25"/>
      <c r="D115" s="25" t="s">
        <v>11</v>
      </c>
      <c r="E115" s="25">
        <f>COUNTBLANK(C116:C120)</f>
        <v>5</v>
      </c>
      <c r="F115" s="25"/>
      <c r="G115" s="25"/>
      <c r="H115" s="25"/>
      <c r="I115" s="25"/>
      <c r="J115" s="38"/>
      <c r="K115" s="26"/>
      <c r="L115" s="26"/>
      <c r="M115" s="34">
        <v>1</v>
      </c>
      <c r="N115" s="28" t="s">
        <v>422</v>
      </c>
    </row>
    <row r="116" spans="1:14" s="20" customFormat="1" outlineLevel="2" x14ac:dyDescent="0.25">
      <c r="A116" s="7" t="s">
        <v>411</v>
      </c>
      <c r="B116" s="10" t="s">
        <v>12</v>
      </c>
      <c r="C116" s="7"/>
      <c r="D116" s="7" t="s">
        <v>171</v>
      </c>
      <c r="E116" s="7" t="str">
        <f t="shared" ref="E116:E120" si="15">IF(C116="*","","=")</f>
        <v>=</v>
      </c>
      <c r="F116" s="7">
        <f t="shared" ref="F116:F120" si="16">IF((ISBLANK(G116))=TRUE,H116,G116)</f>
        <v>0</v>
      </c>
      <c r="G116" s="8"/>
      <c r="H116" s="7">
        <v>0</v>
      </c>
      <c r="I116" s="7" t="s">
        <v>8</v>
      </c>
      <c r="J116" s="37">
        <f>H116</f>
        <v>0</v>
      </c>
      <c r="K116" s="10" t="s">
        <v>339</v>
      </c>
      <c r="L116" s="10"/>
      <c r="M116" s="33">
        <v>1</v>
      </c>
      <c r="N116" s="10" t="s">
        <v>422</v>
      </c>
    </row>
    <row r="117" spans="1:14" s="20" customFormat="1" ht="45" outlineLevel="2" x14ac:dyDescent="0.25">
      <c r="A117" s="7" t="s">
        <v>411</v>
      </c>
      <c r="B117" s="10" t="s">
        <v>12</v>
      </c>
      <c r="C117" s="7"/>
      <c r="D117" s="7" t="s">
        <v>515</v>
      </c>
      <c r="E117" s="7" t="str">
        <f t="shared" si="15"/>
        <v>=</v>
      </c>
      <c r="F117" s="7">
        <f t="shared" si="16"/>
        <v>14</v>
      </c>
      <c r="G117" s="8"/>
      <c r="H117" s="14">
        <f>IF(H125=1,11,IF(H125=2,12,IF(H125=3,13,IF(H125=4,14,IF(H125=5,15,16)))))</f>
        <v>14</v>
      </c>
      <c r="I117" s="7" t="s">
        <v>8</v>
      </c>
      <c r="J117" s="37" t="s">
        <v>519</v>
      </c>
      <c r="K117" s="10" t="s">
        <v>340</v>
      </c>
      <c r="L117" s="10" t="s">
        <v>431</v>
      </c>
      <c r="M117" s="33">
        <v>1</v>
      </c>
      <c r="N117" s="10" t="s">
        <v>422</v>
      </c>
    </row>
    <row r="118" spans="1:14" s="20" customFormat="1" outlineLevel="2" x14ac:dyDescent="0.25">
      <c r="A118" s="7" t="s">
        <v>411</v>
      </c>
      <c r="B118" s="10" t="s">
        <v>12</v>
      </c>
      <c r="C118" s="7"/>
      <c r="D118" s="7" t="s">
        <v>516</v>
      </c>
      <c r="E118" s="7" t="str">
        <f t="shared" si="15"/>
        <v>=</v>
      </c>
      <c r="F118" s="7">
        <f t="shared" si="16"/>
        <v>90</v>
      </c>
      <c r="G118" s="8"/>
      <c r="H118" s="7">
        <v>90</v>
      </c>
      <c r="I118" s="7" t="s">
        <v>8</v>
      </c>
      <c r="J118" s="37">
        <f>H118</f>
        <v>90</v>
      </c>
      <c r="K118" s="10" t="s">
        <v>341</v>
      </c>
      <c r="L118" s="10"/>
      <c r="M118" s="33">
        <v>1</v>
      </c>
      <c r="N118" s="10" t="s">
        <v>422</v>
      </c>
    </row>
    <row r="119" spans="1:14" s="20" customFormat="1" ht="45" outlineLevel="2" x14ac:dyDescent="0.25">
      <c r="A119" s="7" t="s">
        <v>411</v>
      </c>
      <c r="B119" s="10" t="s">
        <v>12</v>
      </c>
      <c r="C119" s="7"/>
      <c r="D119" s="7" t="s">
        <v>517</v>
      </c>
      <c r="E119" s="7" t="str">
        <f t="shared" si="15"/>
        <v>=</v>
      </c>
      <c r="F119" s="7">
        <f t="shared" si="16"/>
        <v>48</v>
      </c>
      <c r="G119" s="8"/>
      <c r="H119" s="14">
        <f>IF(H30=1,44,IF(H30=2,44,IF(H30=3,45,IF(H30=4,46,IF(H30=5,47,IF(H30=6,48,49))))))</f>
        <v>48</v>
      </c>
      <c r="I119" s="7" t="s">
        <v>8</v>
      </c>
      <c r="J119" s="37" t="s">
        <v>518</v>
      </c>
      <c r="K119" s="10" t="s">
        <v>342</v>
      </c>
      <c r="L119" s="10" t="s">
        <v>430</v>
      </c>
      <c r="M119" s="33">
        <v>1</v>
      </c>
      <c r="N119" s="10" t="s">
        <v>422</v>
      </c>
    </row>
    <row r="120" spans="1:14" s="20" customFormat="1" outlineLevel="2" x14ac:dyDescent="0.25">
      <c r="A120" s="7" t="s">
        <v>411</v>
      </c>
      <c r="B120" s="10" t="s">
        <v>12</v>
      </c>
      <c r="C120" s="7"/>
      <c r="D120" s="7" t="s">
        <v>538</v>
      </c>
      <c r="E120" s="7" t="str">
        <f t="shared" si="15"/>
        <v>=</v>
      </c>
      <c r="F120" s="7">
        <f t="shared" si="16"/>
        <v>801</v>
      </c>
      <c r="G120" s="8"/>
      <c r="H120" s="14">
        <v>801</v>
      </c>
      <c r="I120" s="7" t="s">
        <v>8</v>
      </c>
      <c r="J120" s="37">
        <f t="shared" ref="J120" si="17">H120</f>
        <v>801</v>
      </c>
      <c r="K120" s="10" t="s">
        <v>343</v>
      </c>
      <c r="L120" s="10"/>
      <c r="M120" s="33">
        <v>1</v>
      </c>
      <c r="N120" s="10" t="s">
        <v>422</v>
      </c>
    </row>
    <row r="121" spans="1:14" s="20" customFormat="1" ht="15.75" outlineLevel="1" x14ac:dyDescent="0.25">
      <c r="A121" s="1" t="s">
        <v>411</v>
      </c>
      <c r="B121" s="3"/>
      <c r="C121" s="1" t="s">
        <v>9</v>
      </c>
      <c r="D121" s="1" t="s">
        <v>172</v>
      </c>
      <c r="E121" s="1"/>
      <c r="F121" s="1"/>
      <c r="G121" s="2"/>
      <c r="H121" s="1"/>
      <c r="I121" s="1"/>
      <c r="J121" s="15"/>
      <c r="K121" s="3"/>
      <c r="L121" s="3"/>
      <c r="M121" s="31" t="s">
        <v>428</v>
      </c>
      <c r="N121" s="3"/>
    </row>
    <row r="122" spans="1:14" s="24" customFormat="1" outlineLevel="2" x14ac:dyDescent="0.25">
      <c r="A122" s="25" t="s">
        <v>411</v>
      </c>
      <c r="B122" s="26"/>
      <c r="C122" s="25"/>
      <c r="D122" s="25" t="s">
        <v>11</v>
      </c>
      <c r="E122" s="25">
        <f>COUNTBLANK(C123:C134)</f>
        <v>12</v>
      </c>
      <c r="F122" s="25"/>
      <c r="G122" s="25"/>
      <c r="H122" s="25"/>
      <c r="I122" s="25"/>
      <c r="J122" s="27"/>
      <c r="K122" s="26"/>
      <c r="L122" s="26"/>
      <c r="M122" s="34">
        <v>1</v>
      </c>
      <c r="N122" s="28" t="s">
        <v>422</v>
      </c>
    </row>
    <row r="123" spans="1:14" s="20" customFormat="1" ht="75" outlineLevel="2" x14ac:dyDescent="0.25">
      <c r="A123" s="7" t="s">
        <v>411</v>
      </c>
      <c r="B123" s="10" t="s">
        <v>12</v>
      </c>
      <c r="C123" s="7"/>
      <c r="D123" s="7" t="s">
        <v>500</v>
      </c>
      <c r="E123" s="7" t="str">
        <f t="shared" ref="E123" si="18">IF(C123="*","","=")</f>
        <v>=</v>
      </c>
      <c r="F123" s="7">
        <f t="shared" ref="F123" si="19">IF((ISBLANK(G123))=TRUE,H123,G123)</f>
        <v>2</v>
      </c>
      <c r="G123" s="8"/>
      <c r="H123" s="9">
        <v>2</v>
      </c>
      <c r="I123" s="7" t="s">
        <v>194</v>
      </c>
      <c r="J123" s="36">
        <f>H123</f>
        <v>2</v>
      </c>
      <c r="K123" s="10" t="s">
        <v>462</v>
      </c>
      <c r="L123" s="10"/>
      <c r="M123" s="33">
        <v>1</v>
      </c>
      <c r="N123" s="10" t="s">
        <v>422</v>
      </c>
    </row>
    <row r="124" spans="1:14" s="20" customFormat="1" ht="90" outlineLevel="2" x14ac:dyDescent="0.25">
      <c r="A124" s="7" t="s">
        <v>411</v>
      </c>
      <c r="B124" s="10" t="s">
        <v>12</v>
      </c>
      <c r="C124" s="7"/>
      <c r="D124" s="7" t="s">
        <v>502</v>
      </c>
      <c r="E124" s="7" t="str">
        <f>IF(C124="*","","=")</f>
        <v>=</v>
      </c>
      <c r="F124" s="7">
        <f>IF((ISBLANK(G124))=TRUE,H124,G124)</f>
        <v>1</v>
      </c>
      <c r="G124" s="8"/>
      <c r="H124" s="9">
        <v>1</v>
      </c>
      <c r="I124" s="7" t="s">
        <v>194</v>
      </c>
      <c r="J124" s="36">
        <v>1</v>
      </c>
      <c r="K124" s="10" t="s">
        <v>501</v>
      </c>
      <c r="L124" s="10"/>
      <c r="M124" s="33">
        <v>1</v>
      </c>
      <c r="N124" s="10" t="s">
        <v>422</v>
      </c>
    </row>
    <row r="125" spans="1:14" s="20" customFormat="1" ht="30" outlineLevel="2" x14ac:dyDescent="0.25">
      <c r="A125" s="7" t="s">
        <v>411</v>
      </c>
      <c r="B125" s="10" t="s">
        <v>12</v>
      </c>
      <c r="C125" s="7"/>
      <c r="D125" s="7" t="s">
        <v>173</v>
      </c>
      <c r="E125" s="7" t="str">
        <f t="shared" ref="E125:E134" si="20">IF(C125="*","","=")</f>
        <v>=</v>
      </c>
      <c r="F125" s="7">
        <f t="shared" ref="F125:F134" si="21">IF((ISBLANK(G125))=TRUE,H125,G125)</f>
        <v>4</v>
      </c>
      <c r="G125" s="8"/>
      <c r="H125" s="11">
        <v>4</v>
      </c>
      <c r="I125" s="7"/>
      <c r="J125" s="36">
        <f>H125</f>
        <v>4</v>
      </c>
      <c r="K125" s="10"/>
      <c r="L125" s="10" t="s">
        <v>431</v>
      </c>
      <c r="M125" s="33">
        <v>1</v>
      </c>
      <c r="N125" s="10" t="s">
        <v>422</v>
      </c>
    </row>
    <row r="126" spans="1:14" s="20" customFormat="1" ht="45" outlineLevel="2" x14ac:dyDescent="0.25">
      <c r="A126" s="7" t="s">
        <v>411</v>
      </c>
      <c r="B126" s="10" t="s">
        <v>12</v>
      </c>
      <c r="C126" s="7"/>
      <c r="D126" s="7" t="s">
        <v>174</v>
      </c>
      <c r="E126" s="7" t="str">
        <f t="shared" si="20"/>
        <v>=</v>
      </c>
      <c r="F126" s="7">
        <f t="shared" si="21"/>
        <v>1661.53</v>
      </c>
      <c r="G126" s="8"/>
      <c r="H126" s="13">
        <f>IF(H125=1,988.27,IF(H125=2,1143.27,IF(H125=3,1443.75,IF(H125=4,1661.53,IF(H125=5,1843.28,2359.84)))))</f>
        <v>1661.53</v>
      </c>
      <c r="I126" s="7" t="s">
        <v>191</v>
      </c>
      <c r="J126" s="37" t="s">
        <v>183</v>
      </c>
      <c r="K126" s="10" t="s">
        <v>466</v>
      </c>
      <c r="L126" s="10" t="s">
        <v>431</v>
      </c>
      <c r="M126" s="33">
        <v>1</v>
      </c>
      <c r="N126" s="10" t="s">
        <v>422</v>
      </c>
    </row>
    <row r="127" spans="1:14" s="20" customFormat="1" ht="45" outlineLevel="2" x14ac:dyDescent="0.25">
      <c r="A127" s="7" t="s">
        <v>411</v>
      </c>
      <c r="B127" s="10" t="s">
        <v>12</v>
      </c>
      <c r="C127" s="7"/>
      <c r="D127" s="7" t="s">
        <v>175</v>
      </c>
      <c r="E127" s="7" t="str">
        <f t="shared" si="20"/>
        <v>=</v>
      </c>
      <c r="F127" s="7">
        <f t="shared" si="21"/>
        <v>1008.62</v>
      </c>
      <c r="G127" s="8"/>
      <c r="H127" s="13">
        <f>IF(H125=1,436.11,IF(H125=2,482.44,IF(H125=3,731.47,IF(H125=4,1008.62,IF(H125=5,1206.82,1677.3)))))</f>
        <v>1008.62</v>
      </c>
      <c r="I127" s="7" t="s">
        <v>191</v>
      </c>
      <c r="J127" s="37" t="s">
        <v>184</v>
      </c>
      <c r="K127" s="10" t="s">
        <v>467</v>
      </c>
      <c r="L127" s="10" t="s">
        <v>431</v>
      </c>
      <c r="M127" s="33">
        <v>1</v>
      </c>
      <c r="N127" s="10" t="s">
        <v>422</v>
      </c>
    </row>
    <row r="128" spans="1:14" s="20" customFormat="1" ht="45" outlineLevel="2" x14ac:dyDescent="0.25">
      <c r="A128" s="7" t="s">
        <v>411</v>
      </c>
      <c r="B128" s="10" t="s">
        <v>12</v>
      </c>
      <c r="C128" s="7"/>
      <c r="D128" s="7" t="s">
        <v>176</v>
      </c>
      <c r="E128" s="7" t="str">
        <f t="shared" si="20"/>
        <v>=</v>
      </c>
      <c r="F128" s="7">
        <f t="shared" si="21"/>
        <v>652.91</v>
      </c>
      <c r="G128" s="8"/>
      <c r="H128" s="13">
        <f>H126-H127</f>
        <v>652.91</v>
      </c>
      <c r="I128" s="7" t="s">
        <v>191</v>
      </c>
      <c r="J128" s="37" t="s">
        <v>185</v>
      </c>
      <c r="K128" s="10" t="s">
        <v>468</v>
      </c>
      <c r="L128" s="10"/>
      <c r="M128" s="33">
        <v>1</v>
      </c>
      <c r="N128" s="10" t="s">
        <v>422</v>
      </c>
    </row>
    <row r="129" spans="1:14" s="20" customFormat="1" ht="60" outlineLevel="2" x14ac:dyDescent="0.25">
      <c r="A129" s="7" t="s">
        <v>411</v>
      </c>
      <c r="B129" s="10" t="s">
        <v>12</v>
      </c>
      <c r="C129" s="7"/>
      <c r="D129" s="7" t="s">
        <v>177</v>
      </c>
      <c r="E129" s="7" t="str">
        <f t="shared" si="20"/>
        <v>=</v>
      </c>
      <c r="F129" s="7">
        <f t="shared" si="21"/>
        <v>3960</v>
      </c>
      <c r="G129" s="8"/>
      <c r="H129" s="13">
        <f>1100*H139</f>
        <v>3960</v>
      </c>
      <c r="I129" s="7" t="s">
        <v>192</v>
      </c>
      <c r="J129" s="37" t="s">
        <v>186</v>
      </c>
      <c r="K129" s="10" t="s">
        <v>469</v>
      </c>
      <c r="L129" s="10" t="s">
        <v>431</v>
      </c>
      <c r="M129" s="33">
        <v>1</v>
      </c>
      <c r="N129" s="10" t="s">
        <v>422</v>
      </c>
    </row>
    <row r="130" spans="1:14" s="20" customFormat="1" ht="45" outlineLevel="2" x14ac:dyDescent="0.25">
      <c r="A130" s="7" t="s">
        <v>411</v>
      </c>
      <c r="B130" s="10" t="s">
        <v>12</v>
      </c>
      <c r="C130" s="7"/>
      <c r="D130" s="7" t="s">
        <v>178</v>
      </c>
      <c r="E130" s="7" t="str">
        <f t="shared" si="20"/>
        <v>=</v>
      </c>
      <c r="F130" s="7">
        <f t="shared" si="21"/>
        <v>668.48</v>
      </c>
      <c r="G130" s="8"/>
      <c r="H130" s="13">
        <f>IF(H125=1,511.03,IF(H125=2,537.89,IF(H125=3,604.22,IF(H125=4,668.48,IF(H125=5,718.02,861.92)))))</f>
        <v>668.48</v>
      </c>
      <c r="I130" s="7" t="s">
        <v>193</v>
      </c>
      <c r="J130" s="37" t="s">
        <v>187</v>
      </c>
      <c r="K130" s="10" t="s">
        <v>470</v>
      </c>
      <c r="L130" s="10" t="s">
        <v>431</v>
      </c>
      <c r="M130" s="33">
        <v>1</v>
      </c>
      <c r="N130" s="10" t="s">
        <v>422</v>
      </c>
    </row>
    <row r="131" spans="1:14" s="20" customFormat="1" ht="45" outlineLevel="2" x14ac:dyDescent="0.25">
      <c r="A131" s="7" t="s">
        <v>411</v>
      </c>
      <c r="B131" s="10" t="s">
        <v>12</v>
      </c>
      <c r="C131" s="7"/>
      <c r="D131" s="7" t="s">
        <v>179</v>
      </c>
      <c r="E131" s="7" t="str">
        <f t="shared" si="20"/>
        <v>=</v>
      </c>
      <c r="F131" s="7">
        <f t="shared" si="21"/>
        <v>40.416699999999999</v>
      </c>
      <c r="G131" s="8"/>
      <c r="H131" s="13">
        <f>IF(H125=1,55.6667,IF(H125=2,46.9833,IF(H125=3,41.3879,IF(H125=4,40.4167,IF(H125=5,-33.4667,-22.3094)))))</f>
        <v>40.416699999999999</v>
      </c>
      <c r="I131" s="7" t="s">
        <v>7</v>
      </c>
      <c r="J131" s="37" t="s">
        <v>188</v>
      </c>
      <c r="K131" s="10" t="s">
        <v>461</v>
      </c>
      <c r="L131" s="10" t="s">
        <v>431</v>
      </c>
      <c r="M131" s="33">
        <v>1</v>
      </c>
      <c r="N131" s="10" t="s">
        <v>422</v>
      </c>
    </row>
    <row r="132" spans="1:14" s="20" customFormat="1" ht="45" outlineLevel="2" x14ac:dyDescent="0.25">
      <c r="A132" s="7" t="s">
        <v>411</v>
      </c>
      <c r="B132" s="10" t="s">
        <v>12</v>
      </c>
      <c r="C132" s="7"/>
      <c r="D132" s="7" t="s">
        <v>180</v>
      </c>
      <c r="E132" s="7" t="str">
        <f t="shared" si="20"/>
        <v>=</v>
      </c>
      <c r="F132" s="7">
        <f t="shared" si="21"/>
        <v>13.91</v>
      </c>
      <c r="G132" s="8"/>
      <c r="H132" s="13">
        <f>IF(H125=1,7.99,IF(H125=2,8.41,IF(H125=3,16.27,IF(H125=4,13.91,IF(H125=5,14.01,11.85)))))</f>
        <v>13.91</v>
      </c>
      <c r="I132" s="7" t="s">
        <v>6</v>
      </c>
      <c r="J132" s="37" t="s">
        <v>189</v>
      </c>
      <c r="K132" s="10" t="s">
        <v>465</v>
      </c>
      <c r="L132" s="10" t="s">
        <v>431</v>
      </c>
      <c r="M132" s="33">
        <v>1</v>
      </c>
      <c r="N132" s="10" t="s">
        <v>422</v>
      </c>
    </row>
    <row r="133" spans="1:14" s="20" customFormat="1" ht="30" outlineLevel="2" x14ac:dyDescent="0.25">
      <c r="A133" s="7" t="s">
        <v>411</v>
      </c>
      <c r="B133" s="10" t="s">
        <v>12</v>
      </c>
      <c r="C133" s="7"/>
      <c r="D133" s="7" t="s">
        <v>181</v>
      </c>
      <c r="E133" s="7" t="str">
        <f t="shared" si="20"/>
        <v>=</v>
      </c>
      <c r="F133" s="7">
        <f t="shared" si="21"/>
        <v>35</v>
      </c>
      <c r="G133" s="8"/>
      <c r="H133" s="9">
        <v>35</v>
      </c>
      <c r="I133" s="7" t="s">
        <v>6</v>
      </c>
      <c r="J133" s="36">
        <f>H133</f>
        <v>35</v>
      </c>
      <c r="K133" s="10" t="s">
        <v>464</v>
      </c>
      <c r="L133" s="10"/>
      <c r="M133" s="33">
        <v>1</v>
      </c>
      <c r="N133" s="10" t="s">
        <v>422</v>
      </c>
    </row>
    <row r="134" spans="1:14" s="20" customFormat="1" ht="75" outlineLevel="2" x14ac:dyDescent="0.25">
      <c r="A134" s="7" t="s">
        <v>411</v>
      </c>
      <c r="B134" s="10" t="s">
        <v>12</v>
      </c>
      <c r="C134" s="7"/>
      <c r="D134" s="7" t="s">
        <v>182</v>
      </c>
      <c r="E134" s="7" t="str">
        <f t="shared" si="20"/>
        <v>=</v>
      </c>
      <c r="F134" s="7">
        <f t="shared" si="21"/>
        <v>222</v>
      </c>
      <c r="G134" s="8"/>
      <c r="H134" s="13">
        <f>IF(H131&gt;0,1,0)*222+IF(H131&lt;0,1,0)*42</f>
        <v>222</v>
      </c>
      <c r="I134" s="7"/>
      <c r="J134" s="37" t="s">
        <v>190</v>
      </c>
      <c r="K134" s="10" t="s">
        <v>463</v>
      </c>
      <c r="L134" s="10"/>
      <c r="M134" s="33">
        <v>1</v>
      </c>
      <c r="N134" s="10" t="s">
        <v>422</v>
      </c>
    </row>
    <row r="135" spans="1:14" s="20" customFormat="1" ht="15.75" outlineLevel="1" x14ac:dyDescent="0.25">
      <c r="A135" s="1" t="s">
        <v>411</v>
      </c>
      <c r="B135" s="3"/>
      <c r="C135" s="1" t="s">
        <v>9</v>
      </c>
      <c r="D135" s="1" t="s">
        <v>18</v>
      </c>
      <c r="E135" s="1"/>
      <c r="F135" s="1"/>
      <c r="G135" s="2"/>
      <c r="H135" s="1"/>
      <c r="I135" s="1"/>
      <c r="J135" s="15"/>
      <c r="K135" s="3"/>
      <c r="L135" s="3"/>
      <c r="M135" s="31" t="s">
        <v>428</v>
      </c>
      <c r="N135" s="3"/>
    </row>
    <row r="136" spans="1:14" s="24" customFormat="1" outlineLevel="2" x14ac:dyDescent="0.25">
      <c r="A136" s="25" t="s">
        <v>411</v>
      </c>
      <c r="B136" s="26"/>
      <c r="C136" s="25"/>
      <c r="D136" s="25" t="s">
        <v>11</v>
      </c>
      <c r="E136" s="25">
        <v>16</v>
      </c>
      <c r="F136" s="25"/>
      <c r="G136" s="25"/>
      <c r="H136" s="25"/>
      <c r="I136" s="25"/>
      <c r="J136" s="38"/>
      <c r="K136" s="26"/>
      <c r="L136" s="26"/>
      <c r="M136" s="34">
        <v>1</v>
      </c>
      <c r="N136" s="28" t="s">
        <v>422</v>
      </c>
    </row>
    <row r="137" spans="1:14" s="20" customFormat="1" outlineLevel="2" x14ac:dyDescent="0.25">
      <c r="A137" s="7" t="s">
        <v>411</v>
      </c>
      <c r="B137" s="10" t="s">
        <v>12</v>
      </c>
      <c r="C137" s="7"/>
      <c r="D137" s="7" t="s">
        <v>541</v>
      </c>
      <c r="E137" s="7" t="str">
        <f t="shared" ref="E137" si="22">IF(C137="*","","=")</f>
        <v>=</v>
      </c>
      <c r="F137" s="7">
        <f t="shared" ref="F137" si="23">IF((ISBLANK(G137))=TRUE,H137,G137)</f>
        <v>2.7777777777777778E-4</v>
      </c>
      <c r="G137" s="8"/>
      <c r="H137" s="68">
        <f>1/3600</f>
        <v>2.7777777777777778E-4</v>
      </c>
      <c r="I137" s="7" t="s">
        <v>202</v>
      </c>
      <c r="J137" s="69">
        <f t="shared" ref="J137:J142" si="24">H137</f>
        <v>2.7777777777777778E-4</v>
      </c>
      <c r="K137" s="10" t="s">
        <v>542</v>
      </c>
      <c r="L137" s="10"/>
      <c r="M137" s="33">
        <v>1</v>
      </c>
      <c r="N137" s="10" t="s">
        <v>422</v>
      </c>
    </row>
    <row r="138" spans="1:14" s="20" customFormat="1" outlineLevel="2" x14ac:dyDescent="0.25">
      <c r="A138" s="7" t="s">
        <v>411</v>
      </c>
      <c r="B138" s="10" t="s">
        <v>12</v>
      </c>
      <c r="C138" s="7"/>
      <c r="D138" s="7" t="s">
        <v>539</v>
      </c>
      <c r="E138" s="7" t="str">
        <f t="shared" ref="E138" si="25">IF(C138="*","","=")</f>
        <v>=</v>
      </c>
      <c r="F138" s="7">
        <f t="shared" ref="F138" si="26">IF((ISBLANK(G138))=TRUE,H138,G138)</f>
        <v>2.7777777777777776E-7</v>
      </c>
      <c r="G138" s="8"/>
      <c r="H138" s="68">
        <f>1/3600000</f>
        <v>2.7777777777777776E-7</v>
      </c>
      <c r="I138" s="7" t="s">
        <v>202</v>
      </c>
      <c r="J138" s="69">
        <f t="shared" si="24"/>
        <v>2.7777777777777776E-7</v>
      </c>
      <c r="K138" s="10" t="s">
        <v>540</v>
      </c>
      <c r="L138" s="10"/>
      <c r="M138" s="33">
        <v>1</v>
      </c>
      <c r="N138" s="10" t="s">
        <v>422</v>
      </c>
    </row>
    <row r="139" spans="1:14" s="20" customFormat="1" outlineLevel="2" x14ac:dyDescent="0.25">
      <c r="A139" s="7" t="s">
        <v>411</v>
      </c>
      <c r="B139" s="10" t="s">
        <v>12</v>
      </c>
      <c r="C139" s="7"/>
      <c r="D139" s="7" t="s">
        <v>10</v>
      </c>
      <c r="E139" s="7" t="str">
        <f t="shared" ref="E139:E152" si="27">IF(C139="*","","=")</f>
        <v>=</v>
      </c>
      <c r="F139" s="7">
        <f t="shared" ref="F139:F152" si="28">IF((ISBLANK(G139))=TRUE,H139,G139)</f>
        <v>3.6</v>
      </c>
      <c r="G139" s="8"/>
      <c r="H139" s="9">
        <v>3.6</v>
      </c>
      <c r="I139" s="7" t="s">
        <v>202</v>
      </c>
      <c r="J139" s="36">
        <f t="shared" si="24"/>
        <v>3.6</v>
      </c>
      <c r="K139" s="10" t="s">
        <v>344</v>
      </c>
      <c r="L139" s="10"/>
      <c r="M139" s="33">
        <v>1</v>
      </c>
      <c r="N139" s="10" t="s">
        <v>422</v>
      </c>
    </row>
    <row r="140" spans="1:14" s="20" customFormat="1" outlineLevel="2" x14ac:dyDescent="0.25">
      <c r="A140" s="7" t="s">
        <v>411</v>
      </c>
      <c r="B140" s="10" t="s">
        <v>12</v>
      </c>
      <c r="C140" s="7"/>
      <c r="D140" s="7" t="s">
        <v>195</v>
      </c>
      <c r="E140" s="7" t="str">
        <f t="shared" si="27"/>
        <v>=</v>
      </c>
      <c r="F140" s="7">
        <f t="shared" si="28"/>
        <v>0.2</v>
      </c>
      <c r="G140" s="8"/>
      <c r="H140" s="9">
        <v>0.2</v>
      </c>
      <c r="I140" s="7" t="s">
        <v>8</v>
      </c>
      <c r="J140" s="36">
        <f t="shared" si="24"/>
        <v>0.2</v>
      </c>
      <c r="K140" s="10" t="s">
        <v>345</v>
      </c>
      <c r="L140" s="10"/>
      <c r="M140" s="33">
        <v>1</v>
      </c>
      <c r="N140" s="10" t="s">
        <v>422</v>
      </c>
    </row>
    <row r="141" spans="1:14" s="20" customFormat="1" outlineLevel="2" x14ac:dyDescent="0.25">
      <c r="A141" s="7" t="s">
        <v>411</v>
      </c>
      <c r="B141" s="10" t="s">
        <v>12</v>
      </c>
      <c r="C141" s="7"/>
      <c r="D141" s="7" t="s">
        <v>196</v>
      </c>
      <c r="E141" s="7" t="str">
        <f t="shared" si="27"/>
        <v>=</v>
      </c>
      <c r="F141" s="7">
        <f t="shared" si="28"/>
        <v>3.1415926540000001</v>
      </c>
      <c r="G141" s="8"/>
      <c r="H141" s="9">
        <v>3.1415926540000001</v>
      </c>
      <c r="I141" s="7" t="s">
        <v>8</v>
      </c>
      <c r="J141" s="36">
        <f t="shared" si="24"/>
        <v>3.1415926540000001</v>
      </c>
      <c r="K141" s="10" t="s">
        <v>346</v>
      </c>
      <c r="L141" s="10"/>
      <c r="M141" s="33">
        <v>1</v>
      </c>
      <c r="N141" s="10" t="s">
        <v>422</v>
      </c>
    </row>
    <row r="142" spans="1:14" s="20" customFormat="1" outlineLevel="2" x14ac:dyDescent="0.25">
      <c r="A142" s="7" t="s">
        <v>411</v>
      </c>
      <c r="B142" s="10" t="s">
        <v>12</v>
      </c>
      <c r="C142" s="7"/>
      <c r="D142" s="7" t="s">
        <v>197</v>
      </c>
      <c r="E142" s="7" t="str">
        <f t="shared" si="27"/>
        <v>=</v>
      </c>
      <c r="F142" s="7">
        <f t="shared" si="28"/>
        <v>0.7</v>
      </c>
      <c r="G142" s="8"/>
      <c r="H142" s="9">
        <v>0.7</v>
      </c>
      <c r="I142" s="7" t="s">
        <v>8</v>
      </c>
      <c r="J142" s="36">
        <f t="shared" si="24"/>
        <v>0.7</v>
      </c>
      <c r="K142" s="10" t="s">
        <v>347</v>
      </c>
      <c r="L142" s="10"/>
      <c r="M142" s="33">
        <v>1</v>
      </c>
      <c r="N142" s="10" t="s">
        <v>422</v>
      </c>
    </row>
    <row r="143" spans="1:14" s="20" customFormat="1" ht="30" outlineLevel="2" x14ac:dyDescent="0.25">
      <c r="A143" s="7" t="s">
        <v>411</v>
      </c>
      <c r="B143" s="10" t="s">
        <v>12</v>
      </c>
      <c r="C143" s="7"/>
      <c r="D143" s="7" t="s">
        <v>198</v>
      </c>
      <c r="E143" s="7" t="str">
        <f t="shared" si="27"/>
        <v>=</v>
      </c>
      <c r="F143" s="7">
        <f t="shared" si="28"/>
        <v>13.91</v>
      </c>
      <c r="G143" s="8"/>
      <c r="H143" s="13">
        <f>H132</f>
        <v>13.91</v>
      </c>
      <c r="I143" s="7" t="s">
        <v>6</v>
      </c>
      <c r="J143" s="37" t="s">
        <v>180</v>
      </c>
      <c r="K143" s="10" t="s">
        <v>499</v>
      </c>
      <c r="L143" s="10"/>
      <c r="M143" s="33">
        <v>1</v>
      </c>
      <c r="N143" s="10" t="s">
        <v>422</v>
      </c>
    </row>
    <row r="144" spans="1:14" s="20" customFormat="1" outlineLevel="2" x14ac:dyDescent="0.25">
      <c r="A144" s="7" t="s">
        <v>411</v>
      </c>
      <c r="B144" s="10" t="s">
        <v>12</v>
      </c>
      <c r="C144" s="7"/>
      <c r="D144" s="7" t="s">
        <v>36</v>
      </c>
      <c r="E144" s="7" t="str">
        <f t="shared" si="27"/>
        <v>=</v>
      </c>
      <c r="F144" s="7">
        <f t="shared" si="28"/>
        <v>4.1900000000000004</v>
      </c>
      <c r="G144" s="8"/>
      <c r="H144" s="9">
        <v>4.1900000000000004</v>
      </c>
      <c r="I144" s="7" t="s">
        <v>32</v>
      </c>
      <c r="J144" s="36">
        <f>H144</f>
        <v>4.1900000000000004</v>
      </c>
      <c r="K144" s="10" t="s">
        <v>348</v>
      </c>
      <c r="L144" s="10"/>
      <c r="M144" s="33">
        <v>1</v>
      </c>
      <c r="N144" s="10" t="s">
        <v>422</v>
      </c>
    </row>
    <row r="145" spans="1:14" s="20" customFormat="1" outlineLevel="2" x14ac:dyDescent="0.25">
      <c r="A145" s="7" t="s">
        <v>411</v>
      </c>
      <c r="B145" s="10" t="s">
        <v>12</v>
      </c>
      <c r="C145" s="7"/>
      <c r="D145" s="7" t="s">
        <v>199</v>
      </c>
      <c r="E145" s="7" t="str">
        <f t="shared" si="27"/>
        <v>=</v>
      </c>
      <c r="F145" s="7">
        <f t="shared" si="28"/>
        <v>1000</v>
      </c>
      <c r="G145" s="8"/>
      <c r="H145" s="9">
        <v>1000</v>
      </c>
      <c r="I145" s="7" t="s">
        <v>33</v>
      </c>
      <c r="J145" s="36">
        <f>H145</f>
        <v>1000</v>
      </c>
      <c r="K145" s="10" t="s">
        <v>349</v>
      </c>
      <c r="L145" s="10"/>
      <c r="M145" s="33">
        <v>1</v>
      </c>
      <c r="N145" s="10" t="s">
        <v>422</v>
      </c>
    </row>
    <row r="146" spans="1:14" s="20" customFormat="1" outlineLevel="2" x14ac:dyDescent="0.25">
      <c r="A146" s="7" t="s">
        <v>411</v>
      </c>
      <c r="B146" s="10" t="s">
        <v>12</v>
      </c>
      <c r="C146" s="7"/>
      <c r="D146" s="7" t="s">
        <v>200</v>
      </c>
      <c r="E146" s="7" t="str">
        <f t="shared" si="27"/>
        <v>=</v>
      </c>
      <c r="F146" s="7">
        <f t="shared" si="28"/>
        <v>1.8</v>
      </c>
      <c r="G146" s="8"/>
      <c r="H146" s="13">
        <f>3600*0.0005</f>
        <v>1.8</v>
      </c>
      <c r="I146" s="7" t="s">
        <v>34</v>
      </c>
      <c r="J146" s="37" t="s">
        <v>37</v>
      </c>
      <c r="K146" s="10" t="s">
        <v>350</v>
      </c>
      <c r="L146" s="10"/>
      <c r="M146" s="33">
        <v>1</v>
      </c>
      <c r="N146" s="10" t="s">
        <v>422</v>
      </c>
    </row>
    <row r="147" spans="1:14" s="20" customFormat="1" outlineLevel="2" x14ac:dyDescent="0.25">
      <c r="A147" s="7" t="s">
        <v>411</v>
      </c>
      <c r="B147" s="10" t="s">
        <v>12</v>
      </c>
      <c r="C147" s="7"/>
      <c r="D147" s="7" t="s">
        <v>201</v>
      </c>
      <c r="E147" s="7" t="str">
        <f t="shared" si="27"/>
        <v>=</v>
      </c>
      <c r="F147" s="7">
        <f t="shared" si="28"/>
        <v>2.3400000000000003</v>
      </c>
      <c r="G147" s="8"/>
      <c r="H147" s="13">
        <f>3.6*0.65</f>
        <v>2.3400000000000003</v>
      </c>
      <c r="I147" s="7" t="s">
        <v>35</v>
      </c>
      <c r="J147" s="37" t="s">
        <v>38</v>
      </c>
      <c r="K147" s="10" t="s">
        <v>351</v>
      </c>
      <c r="L147" s="10"/>
      <c r="M147" s="33">
        <v>1</v>
      </c>
      <c r="N147" s="10" t="s">
        <v>422</v>
      </c>
    </row>
    <row r="148" spans="1:14" s="20" customFormat="1" outlineLevel="2" x14ac:dyDescent="0.25">
      <c r="A148" s="7" t="s">
        <v>411</v>
      </c>
      <c r="B148" s="10" t="s">
        <v>12</v>
      </c>
      <c r="C148" s="7"/>
      <c r="D148" s="7" t="s">
        <v>39</v>
      </c>
      <c r="E148" s="7" t="str">
        <f t="shared" si="27"/>
        <v>=</v>
      </c>
      <c r="F148" s="7">
        <f t="shared" si="28"/>
        <v>6</v>
      </c>
      <c r="G148" s="8"/>
      <c r="H148" s="9">
        <v>6</v>
      </c>
      <c r="I148" s="7" t="s">
        <v>44</v>
      </c>
      <c r="J148" s="36">
        <f>H148</f>
        <v>6</v>
      </c>
      <c r="K148" s="10" t="s">
        <v>352</v>
      </c>
      <c r="L148" s="10"/>
      <c r="M148" s="33">
        <v>1</v>
      </c>
      <c r="N148" s="10" t="s">
        <v>422</v>
      </c>
    </row>
    <row r="149" spans="1:14" s="20" customFormat="1" outlineLevel="2" x14ac:dyDescent="0.25">
      <c r="A149" s="7" t="s">
        <v>411</v>
      </c>
      <c r="B149" s="10" t="s">
        <v>12</v>
      </c>
      <c r="C149" s="7"/>
      <c r="D149" s="7" t="s">
        <v>40</v>
      </c>
      <c r="E149" s="7" t="str">
        <f t="shared" si="27"/>
        <v>=</v>
      </c>
      <c r="F149" s="7">
        <f t="shared" si="28"/>
        <v>13</v>
      </c>
      <c r="G149" s="8"/>
      <c r="H149" s="9">
        <v>13</v>
      </c>
      <c r="I149" s="7" t="s">
        <v>44</v>
      </c>
      <c r="J149" s="36">
        <f>H149</f>
        <v>13</v>
      </c>
      <c r="K149" s="10" t="s">
        <v>353</v>
      </c>
      <c r="L149" s="10"/>
      <c r="M149" s="33">
        <v>1</v>
      </c>
      <c r="N149" s="10" t="s">
        <v>422</v>
      </c>
    </row>
    <row r="150" spans="1:14" s="20" customFormat="1" outlineLevel="2" x14ac:dyDescent="0.25">
      <c r="A150" s="7" t="s">
        <v>411</v>
      </c>
      <c r="B150" s="10" t="s">
        <v>12</v>
      </c>
      <c r="C150" s="7"/>
      <c r="D150" s="7" t="s">
        <v>41</v>
      </c>
      <c r="E150" s="7" t="str">
        <f t="shared" si="27"/>
        <v>=</v>
      </c>
      <c r="F150" s="7">
        <f t="shared" si="28"/>
        <v>8.7200000000000006</v>
      </c>
      <c r="G150" s="8"/>
      <c r="H150" s="9">
        <v>8.7200000000000006</v>
      </c>
      <c r="I150" s="7" t="s">
        <v>35</v>
      </c>
      <c r="J150" s="36">
        <f>H150</f>
        <v>8.7200000000000006</v>
      </c>
      <c r="K150" s="10" t="s">
        <v>354</v>
      </c>
      <c r="L150" s="10"/>
      <c r="M150" s="33">
        <v>1</v>
      </c>
      <c r="N150" s="10" t="s">
        <v>422</v>
      </c>
    </row>
    <row r="151" spans="1:14" s="20" customFormat="1" outlineLevel="2" x14ac:dyDescent="0.25">
      <c r="A151" s="7" t="s">
        <v>411</v>
      </c>
      <c r="B151" s="10" t="s">
        <v>12</v>
      </c>
      <c r="C151" s="7"/>
      <c r="D151" s="7" t="s">
        <v>42</v>
      </c>
      <c r="E151" s="7" t="str">
        <f t="shared" si="27"/>
        <v>=</v>
      </c>
      <c r="F151" s="7">
        <f t="shared" si="28"/>
        <v>3200</v>
      </c>
      <c r="G151" s="8"/>
      <c r="H151" s="9">
        <v>3200</v>
      </c>
      <c r="I151" s="7" t="s">
        <v>33</v>
      </c>
      <c r="J151" s="36">
        <f>H151</f>
        <v>3200</v>
      </c>
      <c r="K151" s="10" t="s">
        <v>355</v>
      </c>
      <c r="L151" s="10"/>
      <c r="M151" s="33">
        <v>1</v>
      </c>
      <c r="N151" s="10" t="s">
        <v>422</v>
      </c>
    </row>
    <row r="152" spans="1:14" s="20" customFormat="1" outlineLevel="2" x14ac:dyDescent="0.25">
      <c r="A152" s="7" t="s">
        <v>411</v>
      </c>
      <c r="B152" s="10" t="s">
        <v>12</v>
      </c>
      <c r="C152" s="7"/>
      <c r="D152" s="7" t="s">
        <v>43</v>
      </c>
      <c r="E152" s="7" t="str">
        <f t="shared" si="27"/>
        <v>=</v>
      </c>
      <c r="F152" s="7">
        <f t="shared" si="28"/>
        <v>0.84</v>
      </c>
      <c r="G152" s="8"/>
      <c r="H152" s="9">
        <v>0.84</v>
      </c>
      <c r="I152" s="7" t="s">
        <v>203</v>
      </c>
      <c r="J152" s="36">
        <f>H152</f>
        <v>0.84</v>
      </c>
      <c r="K152" s="10" t="s">
        <v>356</v>
      </c>
      <c r="L152" s="10"/>
      <c r="M152" s="33">
        <v>1</v>
      </c>
      <c r="N152" s="10" t="s">
        <v>422</v>
      </c>
    </row>
    <row r="153" spans="1:14" s="22" customFormat="1" ht="15.75" x14ac:dyDescent="0.25">
      <c r="A153" s="5" t="s">
        <v>505</v>
      </c>
      <c r="B153" s="45"/>
      <c r="C153" s="5"/>
      <c r="D153" s="5"/>
      <c r="E153" s="5"/>
      <c r="F153" s="5"/>
      <c r="G153" s="5"/>
      <c r="H153" s="5"/>
      <c r="I153" s="5"/>
      <c r="J153" s="46"/>
      <c r="K153" s="45"/>
      <c r="L153" s="45" t="s">
        <v>428</v>
      </c>
      <c r="M153" s="47" t="s">
        <v>428</v>
      </c>
      <c r="N153" s="45"/>
    </row>
    <row r="154" spans="1:14" s="22" customFormat="1" ht="15.75" outlineLevel="2" x14ac:dyDescent="0.25">
      <c r="A154" s="2"/>
      <c r="B154" s="48"/>
      <c r="C154" s="2" t="s">
        <v>9</v>
      </c>
      <c r="D154" s="2" t="s">
        <v>17</v>
      </c>
      <c r="E154" s="2"/>
      <c r="F154" s="2"/>
      <c r="G154" s="2"/>
      <c r="H154" s="2"/>
      <c r="I154" s="2"/>
      <c r="J154" s="49"/>
      <c r="K154" s="48"/>
      <c r="L154" s="48"/>
      <c r="M154" s="50" t="s">
        <v>428</v>
      </c>
      <c r="N154" s="48"/>
    </row>
    <row r="155" spans="1:14" s="22" customFormat="1" outlineLevel="2" x14ac:dyDescent="0.25">
      <c r="A155" s="51"/>
      <c r="B155" s="52"/>
      <c r="C155" s="51"/>
      <c r="D155" s="51" t="s">
        <v>11</v>
      </c>
      <c r="E155" s="51">
        <f>COUNTBLANK(C156:C158)</f>
        <v>3</v>
      </c>
      <c r="F155" s="51"/>
      <c r="G155" s="51"/>
      <c r="H155" s="51"/>
      <c r="I155" s="51"/>
      <c r="J155" s="53"/>
      <c r="K155" s="52"/>
      <c r="L155" s="52"/>
      <c r="M155" s="54">
        <v>1</v>
      </c>
      <c r="N155" s="52"/>
    </row>
    <row r="156" spans="1:14" s="22" customFormat="1" outlineLevel="2" x14ac:dyDescent="0.25">
      <c r="A156" s="8"/>
      <c r="B156" s="55"/>
      <c r="C156" s="8"/>
      <c r="D156" s="8" t="s">
        <v>204</v>
      </c>
      <c r="E156" s="8" t="str">
        <f t="shared" ref="E156:E158" si="29">IF(C156="*","","=")</f>
        <v>=</v>
      </c>
      <c r="F156" s="8">
        <f t="shared" ref="F156:F158" si="30">IF((ISBLANK(G156))=TRUE,H156,G156)</f>
        <v>1</v>
      </c>
      <c r="G156" s="8"/>
      <c r="H156" s="56">
        <v>1</v>
      </c>
      <c r="I156" s="8" t="s">
        <v>8</v>
      </c>
      <c r="J156" s="57">
        <f>H156</f>
        <v>1</v>
      </c>
      <c r="K156" s="55" t="s">
        <v>357</v>
      </c>
      <c r="L156" s="55"/>
      <c r="M156" s="58">
        <v>1</v>
      </c>
      <c r="N156" s="55"/>
    </row>
    <row r="157" spans="1:14" s="22" customFormat="1" outlineLevel="2" x14ac:dyDescent="0.25">
      <c r="A157" s="8"/>
      <c r="B157" s="55"/>
      <c r="C157" s="8"/>
      <c r="D157" s="8" t="s">
        <v>205</v>
      </c>
      <c r="E157" s="8" t="str">
        <f t="shared" si="29"/>
        <v>=</v>
      </c>
      <c r="F157" s="8">
        <f t="shared" si="30"/>
        <v>85</v>
      </c>
      <c r="G157" s="8"/>
      <c r="H157" s="56">
        <v>85</v>
      </c>
      <c r="I157" s="8" t="s">
        <v>6</v>
      </c>
      <c r="J157" s="57">
        <f t="shared" ref="J157:J158" si="31">H157</f>
        <v>85</v>
      </c>
      <c r="K157" s="55" t="s">
        <v>358</v>
      </c>
      <c r="L157" s="55"/>
      <c r="M157" s="58">
        <v>1</v>
      </c>
      <c r="N157" s="55"/>
    </row>
    <row r="158" spans="1:14" s="22" customFormat="1" outlineLevel="2" x14ac:dyDescent="0.25">
      <c r="A158" s="8"/>
      <c r="B158" s="55"/>
      <c r="C158" s="8"/>
      <c r="D158" s="8" t="s">
        <v>206</v>
      </c>
      <c r="E158" s="8" t="str">
        <f t="shared" si="29"/>
        <v>=</v>
      </c>
      <c r="F158" s="8">
        <f t="shared" si="30"/>
        <v>0.5</v>
      </c>
      <c r="G158" s="8"/>
      <c r="H158" s="56">
        <v>0.5</v>
      </c>
      <c r="I158" s="8" t="s">
        <v>214</v>
      </c>
      <c r="J158" s="57">
        <f t="shared" si="31"/>
        <v>0.5</v>
      </c>
      <c r="K158" s="66" t="s">
        <v>506</v>
      </c>
      <c r="L158" s="55"/>
      <c r="M158" s="58">
        <v>1</v>
      </c>
      <c r="N158" s="66"/>
    </row>
    <row r="159" spans="1:14" s="22" customFormat="1" ht="15.75" outlineLevel="2" x14ac:dyDescent="0.25">
      <c r="A159" s="2"/>
      <c r="B159" s="48"/>
      <c r="C159" s="2" t="s">
        <v>9</v>
      </c>
      <c r="D159" s="2" t="s">
        <v>216</v>
      </c>
      <c r="E159" s="2"/>
      <c r="F159" s="2"/>
      <c r="G159" s="2"/>
      <c r="H159" s="2"/>
      <c r="I159" s="2"/>
      <c r="J159" s="49"/>
      <c r="K159" s="48"/>
      <c r="L159" s="48"/>
      <c r="M159" s="50" t="s">
        <v>428</v>
      </c>
      <c r="N159" s="48"/>
    </row>
    <row r="160" spans="1:14" s="22" customFormat="1" outlineLevel="2" x14ac:dyDescent="0.25">
      <c r="A160" s="51"/>
      <c r="B160" s="52"/>
      <c r="C160" s="51"/>
      <c r="D160" s="51" t="s">
        <v>11</v>
      </c>
      <c r="E160" s="51">
        <f>COUNTBLANK(C161:C164)</f>
        <v>4</v>
      </c>
      <c r="F160" s="51"/>
      <c r="G160" s="51"/>
      <c r="H160" s="51"/>
      <c r="I160" s="51"/>
      <c r="J160" s="59"/>
      <c r="K160" s="52"/>
      <c r="L160" s="52"/>
      <c r="M160" s="54">
        <v>1</v>
      </c>
      <c r="N160" s="52"/>
    </row>
    <row r="161" spans="1:14" s="22" customFormat="1" outlineLevel="2" x14ac:dyDescent="0.25">
      <c r="A161" s="8"/>
      <c r="B161" s="55"/>
      <c r="C161" s="8"/>
      <c r="D161" s="8" t="s">
        <v>207</v>
      </c>
      <c r="E161" s="8" t="str">
        <f t="shared" ref="E161:E163" si="32">IF(C161="*","","=")</f>
        <v>=</v>
      </c>
      <c r="F161" s="8">
        <f t="shared" ref="F161:F163" si="33">IF((ISBLANK(G161))=TRUE,H161,G161)</f>
        <v>40000000</v>
      </c>
      <c r="G161" s="8"/>
      <c r="H161" s="60">
        <f>40000*10^3</f>
        <v>40000000</v>
      </c>
      <c r="I161" s="8" t="s">
        <v>213</v>
      </c>
      <c r="J161" s="61" t="s">
        <v>211</v>
      </c>
      <c r="K161" s="66" t="s">
        <v>506</v>
      </c>
      <c r="L161" s="55"/>
      <c r="M161" s="58">
        <v>1</v>
      </c>
      <c r="N161" s="55"/>
    </row>
    <row r="162" spans="1:14" s="22" customFormat="1" outlineLevel="2" x14ac:dyDescent="0.25">
      <c r="A162" s="8"/>
      <c r="B162" s="55"/>
      <c r="C162" s="8"/>
      <c r="D162" s="8" t="s">
        <v>208</v>
      </c>
      <c r="E162" s="8" t="str">
        <f t="shared" si="32"/>
        <v>=</v>
      </c>
      <c r="F162" s="8">
        <f t="shared" si="33"/>
        <v>11200</v>
      </c>
      <c r="G162" s="8"/>
      <c r="H162" s="56">
        <v>11200</v>
      </c>
      <c r="I162" s="8" t="s">
        <v>212</v>
      </c>
      <c r="J162" s="57">
        <f>H162</f>
        <v>11200</v>
      </c>
      <c r="K162" s="55" t="s">
        <v>359</v>
      </c>
      <c r="L162" s="55"/>
      <c r="M162" s="58">
        <v>1</v>
      </c>
      <c r="N162" s="55"/>
    </row>
    <row r="163" spans="1:14" s="22" customFormat="1" outlineLevel="2" x14ac:dyDescent="0.25">
      <c r="A163" s="8"/>
      <c r="B163" s="55"/>
      <c r="C163" s="8"/>
      <c r="D163" s="8" t="s">
        <v>209</v>
      </c>
      <c r="E163" s="8" t="str">
        <f t="shared" si="32"/>
        <v>=</v>
      </c>
      <c r="F163" s="8">
        <f t="shared" si="33"/>
        <v>95</v>
      </c>
      <c r="G163" s="8"/>
      <c r="H163" s="60">
        <f>H157+10</f>
        <v>95</v>
      </c>
      <c r="I163" s="8" t="s">
        <v>6</v>
      </c>
      <c r="J163" s="61" t="s">
        <v>215</v>
      </c>
      <c r="K163" s="55" t="s">
        <v>360</v>
      </c>
      <c r="L163" s="55"/>
      <c r="M163" s="58">
        <v>1</v>
      </c>
      <c r="N163" s="55"/>
    </row>
    <row r="164" spans="1:14" s="22" customFormat="1" outlineLevel="2" x14ac:dyDescent="0.25">
      <c r="A164" s="8"/>
      <c r="B164" s="55"/>
      <c r="C164" s="8"/>
      <c r="D164" s="8" t="s">
        <v>210</v>
      </c>
      <c r="E164" s="8" t="str">
        <f t="shared" ref="E164:E202" si="34">IF(C164="*","","=")</f>
        <v>=</v>
      </c>
      <c r="F164" s="8">
        <f t="shared" ref="F164:F202" si="35">IF((ISBLANK(G164))=TRUE,H164,G164)</f>
        <v>85</v>
      </c>
      <c r="G164" s="8"/>
      <c r="H164" s="60">
        <f>H157</f>
        <v>85</v>
      </c>
      <c r="I164" s="8" t="s">
        <v>6</v>
      </c>
      <c r="J164" s="61" t="s">
        <v>205</v>
      </c>
      <c r="K164" s="55" t="s">
        <v>358</v>
      </c>
      <c r="L164" s="55"/>
      <c r="M164" s="58">
        <v>1</v>
      </c>
      <c r="N164" s="55"/>
    </row>
    <row r="165" spans="1:14" s="22" customFormat="1" ht="15.75" outlineLevel="2" x14ac:dyDescent="0.25">
      <c r="A165" s="2"/>
      <c r="B165" s="48"/>
      <c r="C165" s="2" t="s">
        <v>9</v>
      </c>
      <c r="D165" s="2" t="s">
        <v>217</v>
      </c>
      <c r="E165" s="2"/>
      <c r="F165" s="2"/>
      <c r="G165" s="2"/>
      <c r="H165" s="2"/>
      <c r="I165" s="2"/>
      <c r="J165" s="49"/>
      <c r="K165" s="48"/>
      <c r="L165" s="48"/>
      <c r="M165" s="50" t="s">
        <v>428</v>
      </c>
      <c r="N165" s="48"/>
    </row>
    <row r="166" spans="1:14" s="22" customFormat="1" outlineLevel="2" x14ac:dyDescent="0.25">
      <c r="A166" s="51"/>
      <c r="B166" s="52"/>
      <c r="C166" s="51"/>
      <c r="D166" s="51" t="s">
        <v>11</v>
      </c>
      <c r="E166" s="51">
        <f>COUNTBLANK(C167:C169)</f>
        <v>3</v>
      </c>
      <c r="F166" s="51"/>
      <c r="G166" s="51"/>
      <c r="H166" s="51"/>
      <c r="I166" s="51"/>
      <c r="J166" s="53"/>
      <c r="K166" s="52"/>
      <c r="L166" s="52"/>
      <c r="M166" s="54">
        <v>1</v>
      </c>
      <c r="N166" s="52"/>
    </row>
    <row r="167" spans="1:14" s="22" customFormat="1" outlineLevel="2" x14ac:dyDescent="0.25">
      <c r="A167" s="8"/>
      <c r="B167" s="55"/>
      <c r="C167" s="8"/>
      <c r="D167" s="8" t="s">
        <v>218</v>
      </c>
      <c r="E167" s="8" t="str">
        <f t="shared" si="34"/>
        <v>=</v>
      </c>
      <c r="F167" s="8">
        <f t="shared" si="35"/>
        <v>0.48346136631828479</v>
      </c>
      <c r="G167" s="8"/>
      <c r="H167" s="60">
        <f>H168*H34</f>
        <v>0.48346136631828479</v>
      </c>
      <c r="I167" s="8" t="s">
        <v>8</v>
      </c>
      <c r="J167" s="61" t="s">
        <v>221</v>
      </c>
      <c r="K167" s="55"/>
      <c r="L167" s="55"/>
      <c r="M167" s="58">
        <v>1</v>
      </c>
      <c r="N167" s="55"/>
    </row>
    <row r="168" spans="1:14" s="22" customFormat="1" outlineLevel="2" x14ac:dyDescent="0.25">
      <c r="A168" s="8"/>
      <c r="B168" s="55"/>
      <c r="C168" s="8"/>
      <c r="D168" s="8" t="s">
        <v>219</v>
      </c>
      <c r="E168" s="8" t="str">
        <f t="shared" si="34"/>
        <v>=</v>
      </c>
      <c r="F168" s="8">
        <f t="shared" si="35"/>
        <v>0.9</v>
      </c>
      <c r="G168" s="8"/>
      <c r="H168" s="56">
        <v>0.9</v>
      </c>
      <c r="I168" s="8" t="s">
        <v>8</v>
      </c>
      <c r="J168" s="57">
        <f>H168</f>
        <v>0.9</v>
      </c>
      <c r="K168" s="55"/>
      <c r="L168" s="55"/>
      <c r="M168" s="58">
        <v>1</v>
      </c>
      <c r="N168" s="55"/>
    </row>
    <row r="169" spans="1:14" s="22" customFormat="1" outlineLevel="2" x14ac:dyDescent="0.25">
      <c r="A169" s="8"/>
      <c r="B169" s="55"/>
      <c r="C169" s="8"/>
      <c r="D169" s="8" t="s">
        <v>220</v>
      </c>
      <c r="E169" s="8" t="str">
        <f t="shared" si="34"/>
        <v>=</v>
      </c>
      <c r="F169" s="8">
        <f t="shared" si="35"/>
        <v>150</v>
      </c>
      <c r="G169" s="8"/>
      <c r="H169" s="56">
        <v>150</v>
      </c>
      <c r="I169" s="8"/>
      <c r="J169" s="57">
        <f>H169</f>
        <v>150</v>
      </c>
      <c r="K169" s="55" t="s">
        <v>361</v>
      </c>
      <c r="L169" s="55"/>
      <c r="M169" s="58">
        <v>1</v>
      </c>
      <c r="N169" s="55"/>
    </row>
    <row r="170" spans="1:14" s="22" customFormat="1" ht="15.75" outlineLevel="2" x14ac:dyDescent="0.25">
      <c r="A170" s="2"/>
      <c r="B170" s="48"/>
      <c r="C170" s="2" t="s">
        <v>9</v>
      </c>
      <c r="D170" s="2" t="s">
        <v>18</v>
      </c>
      <c r="E170" s="2"/>
      <c r="F170" s="2"/>
      <c r="G170" s="2"/>
      <c r="H170" s="2"/>
      <c r="I170" s="2"/>
      <c r="J170" s="49"/>
      <c r="K170" s="48"/>
      <c r="L170" s="48"/>
      <c r="M170" s="50" t="s">
        <v>428</v>
      </c>
      <c r="N170" s="48"/>
    </row>
    <row r="171" spans="1:14" s="22" customFormat="1" outlineLevel="2" x14ac:dyDescent="0.25">
      <c r="A171" s="51"/>
      <c r="B171" s="52"/>
      <c r="C171" s="51"/>
      <c r="D171" s="51" t="s">
        <v>11</v>
      </c>
      <c r="E171" s="51">
        <f>COUNTBLANK(C172:C172)</f>
        <v>1</v>
      </c>
      <c r="F171" s="51"/>
      <c r="G171" s="51"/>
      <c r="H171" s="51"/>
      <c r="I171" s="51"/>
      <c r="J171" s="53"/>
      <c r="K171" s="52"/>
      <c r="L171" s="52"/>
      <c r="M171" s="54">
        <v>1</v>
      </c>
      <c r="N171" s="52"/>
    </row>
    <row r="172" spans="1:14" s="22" customFormat="1" outlineLevel="2" x14ac:dyDescent="0.25">
      <c r="A172" s="8"/>
      <c r="B172" s="55"/>
      <c r="C172" s="8"/>
      <c r="D172" s="8" t="s">
        <v>222</v>
      </c>
      <c r="E172" s="8" t="str">
        <f t="shared" si="34"/>
        <v>=</v>
      </c>
      <c r="F172" s="8">
        <f t="shared" si="35"/>
        <v>3.9</v>
      </c>
      <c r="G172" s="8"/>
      <c r="H172" s="56">
        <v>3.9</v>
      </c>
      <c r="I172" s="8" t="s">
        <v>32</v>
      </c>
      <c r="J172" s="57">
        <f>H172</f>
        <v>3.9</v>
      </c>
      <c r="K172" s="55"/>
      <c r="L172" s="55"/>
      <c r="M172" s="58">
        <v>1</v>
      </c>
      <c r="N172" s="55"/>
    </row>
    <row r="173" spans="1:14" s="22" customFormat="1" ht="15.75" outlineLevel="2" x14ac:dyDescent="0.25">
      <c r="A173" s="2"/>
      <c r="B173" s="48"/>
      <c r="C173" s="2" t="s">
        <v>9</v>
      </c>
      <c r="D173" s="2" t="s">
        <v>111</v>
      </c>
      <c r="E173" s="2"/>
      <c r="F173" s="2"/>
      <c r="G173" s="2"/>
      <c r="H173" s="2"/>
      <c r="I173" s="2"/>
      <c r="J173" s="49"/>
      <c r="K173" s="48"/>
      <c r="L173" s="48"/>
      <c r="M173" s="50" t="s">
        <v>428</v>
      </c>
      <c r="N173" s="48"/>
    </row>
    <row r="174" spans="1:14" s="22" customFormat="1" outlineLevel="2" x14ac:dyDescent="0.25">
      <c r="A174" s="51"/>
      <c r="B174" s="52"/>
      <c r="C174" s="51"/>
      <c r="D174" s="51" t="s">
        <v>11</v>
      </c>
      <c r="E174" s="51">
        <f>COUNTBLANK(C175:C182)</f>
        <v>8</v>
      </c>
      <c r="F174" s="51"/>
      <c r="G174" s="51"/>
      <c r="H174" s="51"/>
      <c r="I174" s="51"/>
      <c r="J174" s="53"/>
      <c r="K174" s="52"/>
      <c r="L174" s="52"/>
      <c r="M174" s="54">
        <v>1</v>
      </c>
      <c r="N174" s="52"/>
    </row>
    <row r="175" spans="1:14" s="22" customFormat="1" outlineLevel="2" x14ac:dyDescent="0.25">
      <c r="A175" s="8"/>
      <c r="B175" s="55"/>
      <c r="C175" s="8"/>
      <c r="D175" s="8" t="s">
        <v>223</v>
      </c>
      <c r="E175" s="8" t="str">
        <f t="shared" si="34"/>
        <v>=</v>
      </c>
      <c r="F175" s="8">
        <f t="shared" si="35"/>
        <v>0.52088634519958821</v>
      </c>
      <c r="G175" s="8"/>
      <c r="H175" s="60">
        <f>MAX(0.0162*(H190/H12)^0.5,0.012)</f>
        <v>0.52088634519958821</v>
      </c>
      <c r="I175" s="8" t="s">
        <v>5</v>
      </c>
      <c r="J175" s="62" t="s">
        <v>362</v>
      </c>
      <c r="K175" s="55" t="s">
        <v>308</v>
      </c>
      <c r="L175" s="55"/>
      <c r="M175" s="58">
        <v>1</v>
      </c>
      <c r="N175" s="55"/>
    </row>
    <row r="176" spans="1:14" s="22" customFormat="1" outlineLevel="2" x14ac:dyDescent="0.25">
      <c r="A176" s="8"/>
      <c r="B176" s="55"/>
      <c r="C176" s="8"/>
      <c r="D176" s="8" t="s">
        <v>224</v>
      </c>
      <c r="E176" s="8" t="str">
        <f t="shared" si="34"/>
        <v>=</v>
      </c>
      <c r="F176" s="8">
        <f t="shared" si="35"/>
        <v>1.1174945392874922E-2</v>
      </c>
      <c r="G176" s="8"/>
      <c r="H176" s="60">
        <f>((1000*H175)*0.01823616+1.67597866)/1000</f>
        <v>1.1174945392874922E-2</v>
      </c>
      <c r="I176" s="8" t="s">
        <v>5</v>
      </c>
      <c r="J176" s="62" t="s">
        <v>363</v>
      </c>
      <c r="K176" s="55" t="s">
        <v>314</v>
      </c>
      <c r="L176" s="55"/>
      <c r="M176" s="58">
        <v>1</v>
      </c>
      <c r="N176" s="55"/>
    </row>
    <row r="177" spans="1:14" s="22" customFormat="1" outlineLevel="2" x14ac:dyDescent="0.25">
      <c r="A177" s="8"/>
      <c r="B177" s="55"/>
      <c r="C177" s="8"/>
      <c r="D177" s="8" t="s">
        <v>225</v>
      </c>
      <c r="E177" s="8" t="str">
        <f t="shared" si="34"/>
        <v>=</v>
      </c>
      <c r="F177" s="8">
        <f t="shared" si="35"/>
        <v>0.5432362359853381</v>
      </c>
      <c r="G177" s="8"/>
      <c r="H177" s="60">
        <f>H175+2*H176</f>
        <v>0.5432362359853381</v>
      </c>
      <c r="I177" s="8" t="s">
        <v>5</v>
      </c>
      <c r="J177" s="62" t="s">
        <v>231</v>
      </c>
      <c r="K177" s="55" t="s">
        <v>309</v>
      </c>
      <c r="L177" s="55"/>
      <c r="M177" s="58">
        <v>1</v>
      </c>
      <c r="N177" s="55"/>
    </row>
    <row r="178" spans="1:14" s="22" customFormat="1" outlineLevel="2" x14ac:dyDescent="0.25">
      <c r="A178" s="8"/>
      <c r="B178" s="55"/>
      <c r="C178" s="8"/>
      <c r="D178" s="8" t="s">
        <v>226</v>
      </c>
      <c r="E178" s="8" t="str">
        <f t="shared" si="34"/>
        <v>=</v>
      </c>
      <c r="F178" s="8">
        <f t="shared" si="35"/>
        <v>1180.8</v>
      </c>
      <c r="G178" s="8"/>
      <c r="H178" s="60">
        <f>328*H139</f>
        <v>1180.8</v>
      </c>
      <c r="I178" s="8" t="s">
        <v>35</v>
      </c>
      <c r="J178" s="62" t="s">
        <v>124</v>
      </c>
      <c r="K178" s="55" t="s">
        <v>310</v>
      </c>
      <c r="L178" s="55"/>
      <c r="M178" s="58">
        <v>1</v>
      </c>
      <c r="N178" s="55"/>
    </row>
    <row r="179" spans="1:14" s="22" customFormat="1" outlineLevel="2" x14ac:dyDescent="0.25">
      <c r="A179" s="8"/>
      <c r="B179" s="55"/>
      <c r="C179" s="8"/>
      <c r="D179" s="8" t="s">
        <v>227</v>
      </c>
      <c r="E179" s="8" t="str">
        <f t="shared" si="34"/>
        <v>=</v>
      </c>
      <c r="F179" s="8">
        <f t="shared" si="35"/>
        <v>5.119178933200462E-2</v>
      </c>
      <c r="G179" s="8"/>
      <c r="H179" s="60">
        <f>((H177)*0.0253172213+51.1780361)/1000</f>
        <v>5.119178933200462E-2</v>
      </c>
      <c r="I179" s="8" t="s">
        <v>232</v>
      </c>
      <c r="J179" s="62" t="s">
        <v>364</v>
      </c>
      <c r="K179" s="55" t="s">
        <v>311</v>
      </c>
      <c r="L179" s="55"/>
      <c r="M179" s="58">
        <v>1</v>
      </c>
      <c r="N179" s="55"/>
    </row>
    <row r="180" spans="1:14" s="22" customFormat="1" outlineLevel="2" x14ac:dyDescent="0.25">
      <c r="A180" s="8"/>
      <c r="B180" s="55"/>
      <c r="C180" s="8"/>
      <c r="D180" s="8" t="s">
        <v>228</v>
      </c>
      <c r="E180" s="8" t="str">
        <f t="shared" si="34"/>
        <v>=</v>
      </c>
      <c r="F180" s="8">
        <f t="shared" si="35"/>
        <v>0.15479999999999999</v>
      </c>
      <c r="G180" s="8"/>
      <c r="H180" s="60">
        <f>0.043*H139</f>
        <v>0.15479999999999999</v>
      </c>
      <c r="I180" s="8" t="s">
        <v>35</v>
      </c>
      <c r="J180" s="62" t="s">
        <v>126</v>
      </c>
      <c r="K180" s="55" t="s">
        <v>312</v>
      </c>
      <c r="L180" s="55"/>
      <c r="M180" s="58">
        <v>1</v>
      </c>
      <c r="N180" s="55"/>
    </row>
    <row r="181" spans="1:14" s="22" customFormat="1" outlineLevel="2" x14ac:dyDescent="0.25">
      <c r="A181" s="8"/>
      <c r="B181" s="55"/>
      <c r="C181" s="8"/>
      <c r="D181" s="8" t="s">
        <v>229</v>
      </c>
      <c r="E181" s="8" t="str">
        <f t="shared" si="34"/>
        <v>=</v>
      </c>
      <c r="F181" s="8">
        <f t="shared" si="35"/>
        <v>1E-3</v>
      </c>
      <c r="G181" s="8"/>
      <c r="H181" s="56">
        <v>1E-3</v>
      </c>
      <c r="I181" s="8" t="s">
        <v>5</v>
      </c>
      <c r="J181" s="63">
        <f>H181</f>
        <v>1E-3</v>
      </c>
      <c r="K181" s="55" t="s">
        <v>315</v>
      </c>
      <c r="L181" s="55"/>
      <c r="M181" s="58">
        <v>1</v>
      </c>
      <c r="N181" s="55"/>
    </row>
    <row r="182" spans="1:14" s="22" customFormat="1" outlineLevel="2" x14ac:dyDescent="0.25">
      <c r="A182" s="8"/>
      <c r="B182" s="55"/>
      <c r="C182" s="8"/>
      <c r="D182" s="8" t="s">
        <v>230</v>
      </c>
      <c r="E182" s="8" t="str">
        <f t="shared" si="34"/>
        <v>=</v>
      </c>
      <c r="F182" s="8">
        <f t="shared" si="35"/>
        <v>5.0000000000000001E-4</v>
      </c>
      <c r="G182" s="8"/>
      <c r="H182" s="60">
        <f>0.5*H181</f>
        <v>5.0000000000000001E-4</v>
      </c>
      <c r="I182" s="8" t="s">
        <v>5</v>
      </c>
      <c r="J182" s="62" t="s">
        <v>233</v>
      </c>
      <c r="K182" s="55" t="s">
        <v>313</v>
      </c>
      <c r="L182" s="55"/>
      <c r="M182" s="58">
        <v>1</v>
      </c>
      <c r="N182" s="55"/>
    </row>
    <row r="183" spans="1:14" s="22" customFormat="1" ht="15.75" outlineLevel="2" x14ac:dyDescent="0.25">
      <c r="A183" s="2"/>
      <c r="B183" s="48"/>
      <c r="C183" s="2" t="s">
        <v>9</v>
      </c>
      <c r="D183" s="2" t="s">
        <v>129</v>
      </c>
      <c r="E183" s="2"/>
      <c r="F183" s="2"/>
      <c r="G183" s="2"/>
      <c r="H183" s="2"/>
      <c r="I183" s="2"/>
      <c r="J183" s="49"/>
      <c r="K183" s="48"/>
      <c r="L183" s="48"/>
      <c r="M183" s="50" t="s">
        <v>428</v>
      </c>
      <c r="N183" s="48"/>
    </row>
    <row r="184" spans="1:14" s="22" customFormat="1" outlineLevel="2" x14ac:dyDescent="0.25">
      <c r="A184" s="51"/>
      <c r="B184" s="52"/>
      <c r="C184" s="51"/>
      <c r="D184" s="51" t="s">
        <v>11</v>
      </c>
      <c r="E184" s="51">
        <f>COUNTBLANK(C185:C187)</f>
        <v>3</v>
      </c>
      <c r="F184" s="51"/>
      <c r="G184" s="51"/>
      <c r="H184" s="51"/>
      <c r="I184" s="51"/>
      <c r="J184" s="53"/>
      <c r="K184" s="52"/>
      <c r="L184" s="52"/>
      <c r="M184" s="54">
        <v>1</v>
      </c>
      <c r="N184" s="52"/>
    </row>
    <row r="185" spans="1:14" s="22" customFormat="1" outlineLevel="2" x14ac:dyDescent="0.25">
      <c r="A185" s="8"/>
      <c r="B185" s="55"/>
      <c r="C185" s="8"/>
      <c r="D185" s="8" t="s">
        <v>234</v>
      </c>
      <c r="E185" s="8" t="str">
        <f t="shared" si="34"/>
        <v>=</v>
      </c>
      <c r="F185" s="8">
        <f t="shared" si="35"/>
        <v>40320000</v>
      </c>
      <c r="G185" s="8"/>
      <c r="H185" s="60">
        <f>H162*1000*H139</f>
        <v>40320000</v>
      </c>
      <c r="I185" s="8" t="s">
        <v>4</v>
      </c>
      <c r="J185" s="61" t="s">
        <v>286</v>
      </c>
      <c r="K185" s="55"/>
      <c r="L185" s="55"/>
      <c r="M185" s="58">
        <v>1</v>
      </c>
      <c r="N185" s="55"/>
    </row>
    <row r="186" spans="1:14" s="22" customFormat="1" ht="30" outlineLevel="2" x14ac:dyDescent="0.25">
      <c r="A186" s="8"/>
      <c r="B186" s="55"/>
      <c r="C186" s="8"/>
      <c r="D186" s="8" t="s">
        <v>235</v>
      </c>
      <c r="E186" s="8" t="str">
        <f t="shared" si="34"/>
        <v>=</v>
      </c>
      <c r="F186" s="8">
        <f t="shared" si="35"/>
        <v>4</v>
      </c>
      <c r="G186" s="8"/>
      <c r="H186" s="56">
        <v>4</v>
      </c>
      <c r="I186" s="8" t="s">
        <v>6</v>
      </c>
      <c r="J186" s="57">
        <f>H186</f>
        <v>4</v>
      </c>
      <c r="K186" s="55" t="s">
        <v>365</v>
      </c>
      <c r="L186" s="55"/>
      <c r="M186" s="58">
        <v>1</v>
      </c>
      <c r="N186" s="55"/>
    </row>
    <row r="187" spans="1:14" s="22" customFormat="1" outlineLevel="2" x14ac:dyDescent="0.25">
      <c r="A187" s="8"/>
      <c r="B187" s="55"/>
      <c r="C187" s="8"/>
      <c r="D187" s="8" t="s">
        <v>236</v>
      </c>
      <c r="E187" s="8" t="str">
        <f t="shared" si="34"/>
        <v>=</v>
      </c>
      <c r="F187" s="8">
        <f t="shared" si="35"/>
        <v>10080000</v>
      </c>
      <c r="G187" s="8"/>
      <c r="H187" s="60">
        <f>H185/H186</f>
        <v>10080000</v>
      </c>
      <c r="I187" s="8" t="s">
        <v>288</v>
      </c>
      <c r="J187" s="64" t="s">
        <v>287</v>
      </c>
      <c r="K187" s="55" t="s">
        <v>366</v>
      </c>
      <c r="L187" s="55"/>
      <c r="M187" s="58">
        <v>1</v>
      </c>
      <c r="N187" s="55"/>
    </row>
    <row r="188" spans="1:14" s="22" customFormat="1" ht="15.75" outlineLevel="2" x14ac:dyDescent="0.25">
      <c r="A188" s="2"/>
      <c r="B188" s="48"/>
      <c r="C188" s="2" t="s">
        <v>9</v>
      </c>
      <c r="D188" s="2" t="s">
        <v>151</v>
      </c>
      <c r="E188" s="2"/>
      <c r="F188" s="2"/>
      <c r="G188" s="2"/>
      <c r="H188" s="2"/>
      <c r="I188" s="2"/>
      <c r="J188" s="49"/>
      <c r="K188" s="48"/>
      <c r="L188" s="48"/>
      <c r="M188" s="50" t="s">
        <v>428</v>
      </c>
      <c r="N188" s="48"/>
    </row>
    <row r="189" spans="1:14" s="22" customFormat="1" outlineLevel="2" x14ac:dyDescent="0.25">
      <c r="A189" s="51"/>
      <c r="B189" s="52"/>
      <c r="C189" s="51"/>
      <c r="D189" s="51" t="s">
        <v>11</v>
      </c>
      <c r="E189" s="51">
        <f>COUNTBLANK(C190:C193)</f>
        <v>4</v>
      </c>
      <c r="F189" s="51"/>
      <c r="G189" s="51"/>
      <c r="H189" s="51"/>
      <c r="I189" s="51"/>
      <c r="J189" s="53"/>
      <c r="K189" s="52"/>
      <c r="L189" s="52"/>
      <c r="M189" s="54">
        <v>1</v>
      </c>
      <c r="N189" s="52"/>
    </row>
    <row r="190" spans="1:14" s="22" customFormat="1" outlineLevel="2" x14ac:dyDescent="0.25">
      <c r="A190" s="8"/>
      <c r="B190" s="55"/>
      <c r="C190" s="8"/>
      <c r="D190" s="8" t="s">
        <v>237</v>
      </c>
      <c r="E190" s="8" t="str">
        <f t="shared" si="34"/>
        <v>=</v>
      </c>
      <c r="F190" s="8">
        <f t="shared" si="35"/>
        <v>1033846.1538461538</v>
      </c>
      <c r="G190" s="8"/>
      <c r="H190" s="60">
        <f>H185/H172/(H163-H164)</f>
        <v>1033846.1538461538</v>
      </c>
      <c r="I190" s="8" t="s">
        <v>3</v>
      </c>
      <c r="J190" s="64" t="s">
        <v>289</v>
      </c>
      <c r="K190" s="55" t="s">
        <v>367</v>
      </c>
      <c r="L190" s="55"/>
      <c r="M190" s="58">
        <v>1</v>
      </c>
      <c r="N190" s="55"/>
    </row>
    <row r="191" spans="1:14" s="22" customFormat="1" outlineLevel="2" x14ac:dyDescent="0.25">
      <c r="A191" s="8"/>
      <c r="B191" s="55"/>
      <c r="C191" s="8"/>
      <c r="D191" s="8" t="s">
        <v>238</v>
      </c>
      <c r="E191" s="8" t="str">
        <f t="shared" si="34"/>
        <v>=</v>
      </c>
      <c r="F191" s="8">
        <f t="shared" si="35"/>
        <v>0</v>
      </c>
      <c r="G191" s="8"/>
      <c r="H191" s="60">
        <f>H190*0</f>
        <v>0</v>
      </c>
      <c r="I191" s="8" t="s">
        <v>3</v>
      </c>
      <c r="J191" s="64" t="s">
        <v>290</v>
      </c>
      <c r="K191" s="55" t="s">
        <v>368</v>
      </c>
      <c r="L191" s="55"/>
      <c r="M191" s="58">
        <v>1</v>
      </c>
      <c r="N191" s="55"/>
    </row>
    <row r="192" spans="1:14" s="22" customFormat="1" outlineLevel="2" x14ac:dyDescent="0.25">
      <c r="A192" s="8"/>
      <c r="B192" s="55"/>
      <c r="C192" s="8"/>
      <c r="D192" s="8" t="s">
        <v>239</v>
      </c>
      <c r="E192" s="8" t="str">
        <f t="shared" si="34"/>
        <v>=</v>
      </c>
      <c r="F192" s="8">
        <f t="shared" si="35"/>
        <v>100</v>
      </c>
      <c r="G192" s="8"/>
      <c r="H192" s="56">
        <v>100</v>
      </c>
      <c r="I192" s="8" t="s">
        <v>291</v>
      </c>
      <c r="J192" s="57">
        <f>H192</f>
        <v>100</v>
      </c>
      <c r="K192" s="55" t="s">
        <v>369</v>
      </c>
      <c r="L192" s="55"/>
      <c r="M192" s="58">
        <v>1</v>
      </c>
      <c r="N192" s="55"/>
    </row>
    <row r="193" spans="1:14" s="22" customFormat="1" outlineLevel="2" x14ac:dyDescent="0.25">
      <c r="A193" s="8"/>
      <c r="B193" s="55"/>
      <c r="C193" s="8"/>
      <c r="D193" s="8" t="s">
        <v>240</v>
      </c>
      <c r="E193" s="8" t="str">
        <f t="shared" si="34"/>
        <v>=</v>
      </c>
      <c r="F193" s="8">
        <f t="shared" si="35"/>
        <v>170454.29864253395</v>
      </c>
      <c r="G193" s="8"/>
      <c r="H193" s="60">
        <f>H190*H192/10*9.81/0.85/0.7/1000</f>
        <v>170454.29864253395</v>
      </c>
      <c r="I193" s="8" t="s">
        <v>4</v>
      </c>
      <c r="J193" s="64" t="s">
        <v>292</v>
      </c>
      <c r="K193" s="55" t="s">
        <v>370</v>
      </c>
      <c r="L193" s="55"/>
      <c r="M193" s="58">
        <v>1</v>
      </c>
      <c r="N193" s="55"/>
    </row>
    <row r="194" spans="1:14" s="22" customFormat="1" ht="15.75" outlineLevel="2" x14ac:dyDescent="0.25">
      <c r="A194" s="2"/>
      <c r="B194" s="48"/>
      <c r="C194" s="2" t="s">
        <v>9</v>
      </c>
      <c r="D194" s="2" t="s">
        <v>241</v>
      </c>
      <c r="E194" s="2"/>
      <c r="F194" s="2"/>
      <c r="G194" s="2"/>
      <c r="H194" s="2"/>
      <c r="I194" s="2"/>
      <c r="J194" s="49"/>
      <c r="K194" s="48"/>
      <c r="L194" s="48"/>
      <c r="M194" s="50" t="s">
        <v>428</v>
      </c>
      <c r="N194" s="48"/>
    </row>
    <row r="195" spans="1:14" s="22" customFormat="1" outlineLevel="2" x14ac:dyDescent="0.25">
      <c r="A195" s="51"/>
      <c r="B195" s="52"/>
      <c r="C195" s="51"/>
      <c r="D195" s="51" t="s">
        <v>11</v>
      </c>
      <c r="E195" s="51">
        <f>COUNTBLANK(C196:C228)</f>
        <v>33</v>
      </c>
      <c r="F195" s="51"/>
      <c r="G195" s="51"/>
      <c r="H195" s="51"/>
      <c r="I195" s="51"/>
      <c r="J195" s="53"/>
      <c r="K195" s="52"/>
      <c r="L195" s="52"/>
      <c r="M195" s="54">
        <v>1</v>
      </c>
      <c r="N195" s="52"/>
    </row>
    <row r="196" spans="1:14" s="22" customFormat="1" outlineLevel="2" x14ac:dyDescent="0.25">
      <c r="A196" s="8"/>
      <c r="B196" s="55"/>
      <c r="C196" s="8"/>
      <c r="D196" s="8" t="s">
        <v>246</v>
      </c>
      <c r="E196" s="8" t="str">
        <f t="shared" si="34"/>
        <v>=</v>
      </c>
      <c r="F196" s="8">
        <f t="shared" si="35"/>
        <v>0</v>
      </c>
      <c r="G196" s="8"/>
      <c r="H196" s="56">
        <v>0</v>
      </c>
      <c r="I196" s="8" t="s">
        <v>8</v>
      </c>
      <c r="J196" s="57">
        <f>H196</f>
        <v>0</v>
      </c>
      <c r="K196" s="55"/>
      <c r="L196" s="55"/>
      <c r="M196" s="58">
        <v>1</v>
      </c>
      <c r="N196" s="55"/>
    </row>
    <row r="197" spans="1:14" s="22" customFormat="1" outlineLevel="2" x14ac:dyDescent="0.25">
      <c r="A197" s="8"/>
      <c r="B197" s="55"/>
      <c r="C197" s="8"/>
      <c r="D197" s="8" t="s">
        <v>247</v>
      </c>
      <c r="E197" s="8" t="str">
        <f t="shared" si="34"/>
        <v>=</v>
      </c>
      <c r="F197" s="8">
        <f t="shared" si="35"/>
        <v>10</v>
      </c>
      <c r="G197" s="8"/>
      <c r="H197" s="56">
        <v>10</v>
      </c>
      <c r="I197" s="8" t="s">
        <v>8</v>
      </c>
      <c r="J197" s="57">
        <f>H197</f>
        <v>10</v>
      </c>
      <c r="K197" s="55" t="s">
        <v>371</v>
      </c>
      <c r="L197" s="55"/>
      <c r="M197" s="58">
        <v>1</v>
      </c>
      <c r="N197" s="55"/>
    </row>
    <row r="198" spans="1:14" s="22" customFormat="1" outlineLevel="2" x14ac:dyDescent="0.25">
      <c r="A198" s="8"/>
      <c r="B198" s="55"/>
      <c r="C198" s="8"/>
      <c r="D198" s="8" t="s">
        <v>248</v>
      </c>
      <c r="E198" s="8" t="str">
        <f t="shared" si="34"/>
        <v>=</v>
      </c>
      <c r="F198" s="8">
        <f t="shared" si="35"/>
        <v>2816.5328532548579</v>
      </c>
      <c r="G198" s="8"/>
      <c r="H198" s="60">
        <f>H169*H35/1000</f>
        <v>2816.5328532548579</v>
      </c>
      <c r="I198" s="8" t="s">
        <v>283</v>
      </c>
      <c r="J198" s="61" t="s">
        <v>285</v>
      </c>
      <c r="K198" s="55" t="s">
        <v>372</v>
      </c>
      <c r="L198" s="55"/>
      <c r="M198" s="58">
        <v>1</v>
      </c>
      <c r="N198" s="55"/>
    </row>
    <row r="199" spans="1:14" s="22" customFormat="1" outlineLevel="2" x14ac:dyDescent="0.25">
      <c r="A199" s="8"/>
      <c r="B199" s="55"/>
      <c r="C199" s="8"/>
      <c r="D199" s="8" t="s">
        <v>249</v>
      </c>
      <c r="E199" s="8" t="str">
        <f t="shared" si="34"/>
        <v>=</v>
      </c>
      <c r="F199" s="8">
        <f t="shared" si="35"/>
        <v>4</v>
      </c>
      <c r="G199" s="8"/>
      <c r="H199" s="56">
        <v>4</v>
      </c>
      <c r="I199" s="8" t="s">
        <v>5</v>
      </c>
      <c r="J199" s="57">
        <f>H199</f>
        <v>4</v>
      </c>
      <c r="K199" s="55" t="s">
        <v>373</v>
      </c>
      <c r="L199" s="55"/>
      <c r="M199" s="58">
        <v>1</v>
      </c>
      <c r="N199" s="55"/>
    </row>
    <row r="200" spans="1:14" s="22" customFormat="1" outlineLevel="2" x14ac:dyDescent="0.25">
      <c r="A200" s="8"/>
      <c r="B200" s="55"/>
      <c r="C200" s="8"/>
      <c r="D200" s="8" t="s">
        <v>250</v>
      </c>
      <c r="E200" s="8" t="str">
        <f t="shared" si="34"/>
        <v>=</v>
      </c>
      <c r="F200" s="8">
        <f t="shared" si="35"/>
        <v>4.1900000000000004</v>
      </c>
      <c r="G200" s="8"/>
      <c r="H200" s="60">
        <f>H144</f>
        <v>4.1900000000000004</v>
      </c>
      <c r="I200" s="8" t="s">
        <v>32</v>
      </c>
      <c r="J200" s="61" t="s">
        <v>36</v>
      </c>
      <c r="K200" s="55" t="s">
        <v>374</v>
      </c>
      <c r="L200" s="55"/>
      <c r="M200" s="58">
        <v>1</v>
      </c>
      <c r="N200" s="55"/>
    </row>
    <row r="201" spans="1:14" s="22" customFormat="1" outlineLevel="2" x14ac:dyDescent="0.25">
      <c r="A201" s="8"/>
      <c r="B201" s="55"/>
      <c r="C201" s="8"/>
      <c r="D201" s="8" t="s">
        <v>242</v>
      </c>
      <c r="E201" s="8" t="str">
        <f t="shared" si="34"/>
        <v>=</v>
      </c>
      <c r="F201" s="8">
        <f t="shared" si="35"/>
        <v>1000</v>
      </c>
      <c r="G201" s="8"/>
      <c r="H201" s="60">
        <f>H145</f>
        <v>1000</v>
      </c>
      <c r="I201" s="8" t="s">
        <v>33</v>
      </c>
      <c r="J201" s="61" t="s">
        <v>199</v>
      </c>
      <c r="K201" s="55" t="s">
        <v>375</v>
      </c>
      <c r="L201" s="55"/>
      <c r="M201" s="58">
        <v>1</v>
      </c>
      <c r="N201" s="55"/>
    </row>
    <row r="202" spans="1:14" s="22" customFormat="1" outlineLevel="2" x14ac:dyDescent="0.25">
      <c r="A202" s="8"/>
      <c r="B202" s="55"/>
      <c r="C202" s="8"/>
      <c r="D202" s="8" t="s">
        <v>251</v>
      </c>
      <c r="E202" s="8" t="str">
        <f t="shared" si="34"/>
        <v>=</v>
      </c>
      <c r="F202" s="8">
        <f t="shared" si="35"/>
        <v>1.8</v>
      </c>
      <c r="G202" s="8"/>
      <c r="H202" s="60">
        <f>H146</f>
        <v>1.8</v>
      </c>
      <c r="I202" s="8" t="s">
        <v>282</v>
      </c>
      <c r="J202" s="61" t="s">
        <v>200</v>
      </c>
      <c r="K202" s="55" t="s">
        <v>376</v>
      </c>
      <c r="L202" s="55"/>
      <c r="M202" s="58">
        <v>1</v>
      </c>
      <c r="N202" s="55"/>
    </row>
    <row r="203" spans="1:14" s="22" customFormat="1" outlineLevel="2" x14ac:dyDescent="0.25">
      <c r="A203" s="8"/>
      <c r="B203" s="55"/>
      <c r="C203" s="8"/>
      <c r="D203" s="8" t="s">
        <v>252</v>
      </c>
      <c r="E203" s="8" t="str">
        <f t="shared" si="10"/>
        <v>=</v>
      </c>
      <c r="F203" s="8">
        <f t="shared" si="9"/>
        <v>2.3400000000000003</v>
      </c>
      <c r="G203" s="8"/>
      <c r="H203" s="60">
        <f>H147</f>
        <v>2.3400000000000003</v>
      </c>
      <c r="I203" s="8" t="s">
        <v>281</v>
      </c>
      <c r="J203" s="61" t="s">
        <v>284</v>
      </c>
      <c r="K203" s="55" t="s">
        <v>377</v>
      </c>
      <c r="L203" s="55"/>
      <c r="M203" s="58">
        <v>1</v>
      </c>
      <c r="N203" s="55"/>
    </row>
    <row r="204" spans="1:14" s="22" customFormat="1" outlineLevel="2" x14ac:dyDescent="0.25">
      <c r="A204" s="8"/>
      <c r="B204" s="55"/>
      <c r="C204" s="8"/>
      <c r="D204" s="8" t="s">
        <v>243</v>
      </c>
      <c r="E204" s="8" t="str">
        <f t="shared" ref="E204:E228" si="36">IF(C204="*","","=")</f>
        <v>=</v>
      </c>
      <c r="F204" s="8">
        <f t="shared" ref="F204:F228" si="37">IF((ISBLANK(G204))=TRUE,H204,G204)</f>
        <v>3.0959999999999998E-2</v>
      </c>
      <c r="G204" s="8"/>
      <c r="H204" s="60">
        <f>0.043*3.6/5</f>
        <v>3.0959999999999998E-2</v>
      </c>
      <c r="I204" s="8" t="s">
        <v>5</v>
      </c>
      <c r="J204" s="61" t="s">
        <v>278</v>
      </c>
      <c r="K204" s="55" t="s">
        <v>378</v>
      </c>
      <c r="L204" s="55"/>
      <c r="M204" s="58">
        <v>1</v>
      </c>
      <c r="N204" s="55"/>
    </row>
    <row r="205" spans="1:14" s="22" customFormat="1" outlineLevel="2" x14ac:dyDescent="0.25">
      <c r="A205" s="8"/>
      <c r="B205" s="55"/>
      <c r="C205" s="8"/>
      <c r="D205" s="8" t="s">
        <v>253</v>
      </c>
      <c r="E205" s="8" t="str">
        <f t="shared" si="36"/>
        <v>=</v>
      </c>
      <c r="F205" s="8">
        <f t="shared" si="37"/>
        <v>4.2999999999999997E-2</v>
      </c>
      <c r="G205" s="8"/>
      <c r="H205" s="56">
        <v>4.2999999999999997E-2</v>
      </c>
      <c r="I205" s="8" t="s">
        <v>279</v>
      </c>
      <c r="J205" s="57">
        <f>H205</f>
        <v>4.2999999999999997E-2</v>
      </c>
      <c r="K205" s="55" t="s">
        <v>380</v>
      </c>
      <c r="L205" s="55"/>
      <c r="M205" s="58">
        <v>1</v>
      </c>
      <c r="N205" s="55"/>
    </row>
    <row r="206" spans="1:14" s="22" customFormat="1" outlineLevel="2" x14ac:dyDescent="0.25">
      <c r="A206" s="8"/>
      <c r="B206" s="55"/>
      <c r="C206" s="8"/>
      <c r="D206" s="8" t="s">
        <v>244</v>
      </c>
      <c r="E206" s="8" t="str">
        <f t="shared" si="36"/>
        <v>=</v>
      </c>
      <c r="F206" s="8">
        <f t="shared" si="37"/>
        <v>3.0959999999999998E-2</v>
      </c>
      <c r="G206" s="8"/>
      <c r="H206" s="60">
        <f>0.043*3.6/5</f>
        <v>3.0959999999999998E-2</v>
      </c>
      <c r="I206" s="8" t="s">
        <v>5</v>
      </c>
      <c r="J206" s="61" t="s">
        <v>278</v>
      </c>
      <c r="K206" s="55" t="s">
        <v>379</v>
      </c>
      <c r="L206" s="55"/>
      <c r="M206" s="58">
        <v>1</v>
      </c>
      <c r="N206" s="55"/>
    </row>
    <row r="207" spans="1:14" s="22" customFormat="1" outlineLevel="2" x14ac:dyDescent="0.25">
      <c r="A207" s="8"/>
      <c r="B207" s="55"/>
      <c r="C207" s="8"/>
      <c r="D207" s="8" t="s">
        <v>254</v>
      </c>
      <c r="E207" s="8" t="str">
        <f t="shared" si="36"/>
        <v>=</v>
      </c>
      <c r="F207" s="8">
        <f t="shared" si="37"/>
        <v>4.2999999999999997E-2</v>
      </c>
      <c r="G207" s="8"/>
      <c r="H207" s="56">
        <v>4.2999999999999997E-2</v>
      </c>
      <c r="I207" s="8" t="s">
        <v>279</v>
      </c>
      <c r="J207" s="57">
        <f>H207</f>
        <v>4.2999999999999997E-2</v>
      </c>
      <c r="K207" s="55" t="s">
        <v>381</v>
      </c>
      <c r="L207" s="55"/>
      <c r="M207" s="58">
        <v>1</v>
      </c>
      <c r="N207" s="55"/>
    </row>
    <row r="208" spans="1:14" s="22" customFormat="1" outlineLevel="2" x14ac:dyDescent="0.25">
      <c r="A208" s="8"/>
      <c r="B208" s="55"/>
      <c r="C208" s="8"/>
      <c r="D208" s="8" t="s">
        <v>245</v>
      </c>
      <c r="E208" s="8" t="str">
        <f t="shared" si="36"/>
        <v>=</v>
      </c>
      <c r="F208" s="8">
        <f t="shared" si="37"/>
        <v>3.0959999999999998E-2</v>
      </c>
      <c r="G208" s="8"/>
      <c r="H208" s="60">
        <f>0.043*3.6/5</f>
        <v>3.0959999999999998E-2</v>
      </c>
      <c r="I208" s="8" t="s">
        <v>5</v>
      </c>
      <c r="J208" s="61" t="s">
        <v>278</v>
      </c>
      <c r="K208" s="55" t="s">
        <v>382</v>
      </c>
      <c r="L208" s="55"/>
      <c r="M208" s="58">
        <v>1</v>
      </c>
      <c r="N208" s="55"/>
    </row>
    <row r="209" spans="1:14" s="22" customFormat="1" outlineLevel="2" x14ac:dyDescent="0.25">
      <c r="A209" s="8"/>
      <c r="B209" s="55"/>
      <c r="C209" s="8"/>
      <c r="D209" s="8" t="s">
        <v>255</v>
      </c>
      <c r="E209" s="8" t="str">
        <f t="shared" si="36"/>
        <v>=</v>
      </c>
      <c r="F209" s="8">
        <f t="shared" si="37"/>
        <v>4.2999999999999997E-2</v>
      </c>
      <c r="G209" s="8"/>
      <c r="H209" s="56">
        <v>4.2999999999999997E-2</v>
      </c>
      <c r="I209" s="8" t="s">
        <v>279</v>
      </c>
      <c r="J209" s="57">
        <f>H209</f>
        <v>4.2999999999999997E-2</v>
      </c>
      <c r="K209" s="55" t="s">
        <v>383</v>
      </c>
      <c r="L209" s="55"/>
      <c r="M209" s="58">
        <v>1</v>
      </c>
      <c r="N209" s="55"/>
    </row>
    <row r="210" spans="1:14" s="22" customFormat="1" outlineLevel="2" x14ac:dyDescent="0.25">
      <c r="A210" s="8"/>
      <c r="B210" s="55"/>
      <c r="C210" s="8"/>
      <c r="D210" s="8" t="s">
        <v>256</v>
      </c>
      <c r="E210" s="8" t="str">
        <f t="shared" si="36"/>
        <v>=</v>
      </c>
      <c r="F210" s="8">
        <f t="shared" si="37"/>
        <v>5</v>
      </c>
      <c r="G210" s="8"/>
      <c r="H210" s="60">
        <f>H205*H139/H204</f>
        <v>5</v>
      </c>
      <c r="I210" s="8" t="s">
        <v>280</v>
      </c>
      <c r="J210" s="61" t="s">
        <v>277</v>
      </c>
      <c r="K210" s="55" t="s">
        <v>384</v>
      </c>
      <c r="L210" s="55"/>
      <c r="M210" s="58">
        <v>1</v>
      </c>
      <c r="N210" s="55"/>
    </row>
    <row r="211" spans="1:14" s="22" customFormat="1" outlineLevel="2" x14ac:dyDescent="0.25">
      <c r="A211" s="8"/>
      <c r="B211" s="55"/>
      <c r="C211" s="8"/>
      <c r="D211" s="8" t="s">
        <v>257</v>
      </c>
      <c r="E211" s="8" t="str">
        <f t="shared" si="36"/>
        <v>=</v>
      </c>
      <c r="F211" s="8">
        <f t="shared" si="37"/>
        <v>5</v>
      </c>
      <c r="G211" s="8"/>
      <c r="H211" s="60">
        <f>H207*H139/H206</f>
        <v>5</v>
      </c>
      <c r="I211" s="8" t="s">
        <v>280</v>
      </c>
      <c r="J211" s="61" t="s">
        <v>276</v>
      </c>
      <c r="K211" s="55" t="s">
        <v>385</v>
      </c>
      <c r="L211" s="55"/>
      <c r="M211" s="58">
        <v>1</v>
      </c>
      <c r="N211" s="55"/>
    </row>
    <row r="212" spans="1:14" s="22" customFormat="1" outlineLevel="2" x14ac:dyDescent="0.25">
      <c r="A212" s="8"/>
      <c r="B212" s="55"/>
      <c r="C212" s="8"/>
      <c r="D212" s="8" t="s">
        <v>258</v>
      </c>
      <c r="E212" s="8" t="str">
        <f t="shared" si="36"/>
        <v>=</v>
      </c>
      <c r="F212" s="8">
        <f t="shared" si="37"/>
        <v>5</v>
      </c>
      <c r="G212" s="8"/>
      <c r="H212" s="60">
        <f>H209*H139/H208</f>
        <v>5</v>
      </c>
      <c r="I212" s="8" t="s">
        <v>280</v>
      </c>
      <c r="J212" s="61" t="s">
        <v>275</v>
      </c>
      <c r="K212" s="55" t="s">
        <v>386</v>
      </c>
      <c r="L212" s="55"/>
      <c r="M212" s="58">
        <v>1</v>
      </c>
      <c r="N212" s="55"/>
    </row>
    <row r="213" spans="1:14" s="22" customFormat="1" outlineLevel="2" x14ac:dyDescent="0.25">
      <c r="A213" s="8"/>
      <c r="B213" s="55"/>
      <c r="C213" s="8"/>
      <c r="D213" s="8" t="s">
        <v>259</v>
      </c>
      <c r="E213" s="8" t="str">
        <f t="shared" si="36"/>
        <v>=</v>
      </c>
      <c r="F213" s="8">
        <f t="shared" si="37"/>
        <v>1</v>
      </c>
      <c r="G213" s="8"/>
      <c r="H213" s="56">
        <v>1</v>
      </c>
      <c r="I213" s="8"/>
      <c r="J213" s="57">
        <f>H213</f>
        <v>1</v>
      </c>
      <c r="K213" s="55" t="s">
        <v>387</v>
      </c>
      <c r="L213" s="55"/>
      <c r="M213" s="58">
        <v>1</v>
      </c>
      <c r="N213" s="55"/>
    </row>
    <row r="214" spans="1:14" s="22" customFormat="1" outlineLevel="2" x14ac:dyDescent="0.25">
      <c r="A214" s="8"/>
      <c r="B214" s="55"/>
      <c r="C214" s="8"/>
      <c r="D214" s="8" t="s">
        <v>260</v>
      </c>
      <c r="E214" s="8" t="str">
        <f t="shared" si="36"/>
        <v>=</v>
      </c>
      <c r="F214" s="8">
        <f t="shared" si="37"/>
        <v>1</v>
      </c>
      <c r="G214" s="8"/>
      <c r="H214" s="56">
        <v>1</v>
      </c>
      <c r="I214" s="8"/>
      <c r="J214" s="57">
        <f t="shared" ref="J214:J227" si="38">H214</f>
        <v>1</v>
      </c>
      <c r="K214" s="55" t="s">
        <v>388</v>
      </c>
      <c r="L214" s="55"/>
      <c r="M214" s="58">
        <v>1</v>
      </c>
      <c r="N214" s="55"/>
    </row>
    <row r="215" spans="1:14" s="22" customFormat="1" outlineLevel="2" x14ac:dyDescent="0.25">
      <c r="A215" s="8"/>
      <c r="B215" s="55"/>
      <c r="C215" s="8"/>
      <c r="D215" s="8" t="s">
        <v>261</v>
      </c>
      <c r="E215" s="8" t="str">
        <f t="shared" si="36"/>
        <v>=</v>
      </c>
      <c r="F215" s="8">
        <f t="shared" si="37"/>
        <v>10</v>
      </c>
      <c r="G215" s="8"/>
      <c r="H215" s="56">
        <v>10</v>
      </c>
      <c r="I215" s="8"/>
      <c r="J215" s="57">
        <f t="shared" si="38"/>
        <v>10</v>
      </c>
      <c r="K215" s="55" t="s">
        <v>389</v>
      </c>
      <c r="L215" s="55"/>
      <c r="M215" s="58">
        <v>1</v>
      </c>
      <c r="N215" s="55"/>
    </row>
    <row r="216" spans="1:14" s="22" customFormat="1" outlineLevel="2" x14ac:dyDescent="0.25">
      <c r="A216" s="8"/>
      <c r="B216" s="55"/>
      <c r="C216" s="8"/>
      <c r="D216" s="8" t="s">
        <v>262</v>
      </c>
      <c r="E216" s="8" t="str">
        <f t="shared" si="36"/>
        <v>=</v>
      </c>
      <c r="F216" s="8">
        <f t="shared" si="37"/>
        <v>1</v>
      </c>
      <c r="G216" s="8"/>
      <c r="H216" s="56">
        <v>1</v>
      </c>
      <c r="I216" s="8"/>
      <c r="J216" s="57">
        <f t="shared" si="38"/>
        <v>1</v>
      </c>
      <c r="K216" s="55" t="s">
        <v>390</v>
      </c>
      <c r="L216" s="55"/>
      <c r="M216" s="58">
        <v>1</v>
      </c>
      <c r="N216" s="55"/>
    </row>
    <row r="217" spans="1:14" s="22" customFormat="1" outlineLevel="2" x14ac:dyDescent="0.25">
      <c r="A217" s="8"/>
      <c r="B217" s="55"/>
      <c r="C217" s="8"/>
      <c r="D217" s="8" t="s">
        <v>263</v>
      </c>
      <c r="E217" s="8" t="str">
        <f t="shared" si="36"/>
        <v>=</v>
      </c>
      <c r="F217" s="8">
        <f t="shared" si="37"/>
        <v>10</v>
      </c>
      <c r="G217" s="8"/>
      <c r="H217" s="56">
        <v>10</v>
      </c>
      <c r="I217" s="8"/>
      <c r="J217" s="57">
        <f t="shared" si="38"/>
        <v>10</v>
      </c>
      <c r="K217" s="55" t="s">
        <v>391</v>
      </c>
      <c r="L217" s="55"/>
      <c r="M217" s="58">
        <v>1</v>
      </c>
      <c r="N217" s="55"/>
    </row>
    <row r="218" spans="1:14" s="22" customFormat="1" outlineLevel="2" x14ac:dyDescent="0.25">
      <c r="A218" s="8"/>
      <c r="B218" s="55"/>
      <c r="C218" s="8"/>
      <c r="D218" s="8" t="s">
        <v>264</v>
      </c>
      <c r="E218" s="8" t="str">
        <f t="shared" si="36"/>
        <v>=</v>
      </c>
      <c r="F218" s="8">
        <f t="shared" si="37"/>
        <v>1</v>
      </c>
      <c r="G218" s="8"/>
      <c r="H218" s="56">
        <v>1</v>
      </c>
      <c r="I218" s="8"/>
      <c r="J218" s="57">
        <f t="shared" si="38"/>
        <v>1</v>
      </c>
      <c r="K218" s="55" t="s">
        <v>392</v>
      </c>
      <c r="L218" s="55"/>
      <c r="M218" s="58">
        <v>1</v>
      </c>
      <c r="N218" s="55"/>
    </row>
    <row r="219" spans="1:14" s="22" customFormat="1" outlineLevel="2" x14ac:dyDescent="0.25">
      <c r="A219" s="8"/>
      <c r="B219" s="55"/>
      <c r="C219" s="8"/>
      <c r="D219" s="8" t="s">
        <v>265</v>
      </c>
      <c r="E219" s="8" t="str">
        <f t="shared" si="36"/>
        <v>=</v>
      </c>
      <c r="F219" s="8">
        <f t="shared" si="37"/>
        <v>1</v>
      </c>
      <c r="G219" s="8"/>
      <c r="H219" s="56">
        <v>1</v>
      </c>
      <c r="I219" s="8"/>
      <c r="J219" s="57">
        <f t="shared" si="38"/>
        <v>1</v>
      </c>
      <c r="K219" s="55" t="s">
        <v>393</v>
      </c>
      <c r="L219" s="55"/>
      <c r="M219" s="58">
        <v>1</v>
      </c>
      <c r="N219" s="55"/>
    </row>
    <row r="220" spans="1:14" s="22" customFormat="1" outlineLevel="2" x14ac:dyDescent="0.25">
      <c r="A220" s="8"/>
      <c r="B220" s="55"/>
      <c r="C220" s="8"/>
      <c r="D220" s="8" t="s">
        <v>266</v>
      </c>
      <c r="E220" s="8" t="str">
        <f t="shared" si="36"/>
        <v>=</v>
      </c>
      <c r="F220" s="8">
        <f t="shared" si="37"/>
        <v>10</v>
      </c>
      <c r="G220" s="8"/>
      <c r="H220" s="56">
        <v>10</v>
      </c>
      <c r="I220" s="8"/>
      <c r="J220" s="57">
        <f t="shared" si="38"/>
        <v>10</v>
      </c>
      <c r="K220" s="55" t="s">
        <v>394</v>
      </c>
      <c r="L220" s="55"/>
      <c r="M220" s="58">
        <v>1</v>
      </c>
      <c r="N220" s="55"/>
    </row>
    <row r="221" spans="1:14" s="22" customFormat="1" outlineLevel="2" x14ac:dyDescent="0.25">
      <c r="A221" s="8"/>
      <c r="B221" s="55"/>
      <c r="C221" s="8"/>
      <c r="D221" s="8" t="s">
        <v>267</v>
      </c>
      <c r="E221" s="8" t="str">
        <f t="shared" si="36"/>
        <v>=</v>
      </c>
      <c r="F221" s="8">
        <f t="shared" si="37"/>
        <v>1</v>
      </c>
      <c r="G221" s="8"/>
      <c r="H221" s="56">
        <v>1</v>
      </c>
      <c r="I221" s="8"/>
      <c r="J221" s="57">
        <f t="shared" si="38"/>
        <v>1</v>
      </c>
      <c r="K221" s="55" t="s">
        <v>396</v>
      </c>
      <c r="L221" s="55"/>
      <c r="M221" s="58">
        <v>1</v>
      </c>
      <c r="N221" s="55"/>
    </row>
    <row r="222" spans="1:14" s="22" customFormat="1" outlineLevel="2" x14ac:dyDescent="0.25">
      <c r="A222" s="8"/>
      <c r="B222" s="55"/>
      <c r="C222" s="8"/>
      <c r="D222" s="8" t="s">
        <v>268</v>
      </c>
      <c r="E222" s="8" t="str">
        <f t="shared" si="36"/>
        <v>=</v>
      </c>
      <c r="F222" s="8">
        <f t="shared" si="37"/>
        <v>1</v>
      </c>
      <c r="G222" s="8"/>
      <c r="H222" s="56">
        <v>1</v>
      </c>
      <c r="I222" s="8"/>
      <c r="J222" s="57">
        <f t="shared" si="38"/>
        <v>1</v>
      </c>
      <c r="K222" s="55" t="s">
        <v>397</v>
      </c>
      <c r="L222" s="55"/>
      <c r="M222" s="58">
        <v>1</v>
      </c>
      <c r="N222" s="55"/>
    </row>
    <row r="223" spans="1:14" s="22" customFormat="1" outlineLevel="2" x14ac:dyDescent="0.25">
      <c r="A223" s="8"/>
      <c r="B223" s="55"/>
      <c r="C223" s="8"/>
      <c r="D223" s="8" t="s">
        <v>269</v>
      </c>
      <c r="E223" s="8" t="str">
        <f t="shared" si="36"/>
        <v>=</v>
      </c>
      <c r="F223" s="8">
        <f t="shared" si="37"/>
        <v>10</v>
      </c>
      <c r="G223" s="8"/>
      <c r="H223" s="56">
        <v>10</v>
      </c>
      <c r="I223" s="8"/>
      <c r="J223" s="57">
        <f t="shared" si="38"/>
        <v>10</v>
      </c>
      <c r="K223" s="55" t="s">
        <v>398</v>
      </c>
      <c r="L223" s="55"/>
      <c r="M223" s="58">
        <v>1</v>
      </c>
      <c r="N223" s="55"/>
    </row>
    <row r="224" spans="1:14" s="22" customFormat="1" outlineLevel="2" x14ac:dyDescent="0.25">
      <c r="A224" s="8"/>
      <c r="B224" s="55"/>
      <c r="C224" s="8"/>
      <c r="D224" s="8" t="s">
        <v>270</v>
      </c>
      <c r="E224" s="8" t="str">
        <f t="shared" si="36"/>
        <v>=</v>
      </c>
      <c r="F224" s="8">
        <f t="shared" si="37"/>
        <v>1</v>
      </c>
      <c r="G224" s="8"/>
      <c r="H224" s="56">
        <v>1</v>
      </c>
      <c r="I224" s="8"/>
      <c r="J224" s="57">
        <f t="shared" si="38"/>
        <v>1</v>
      </c>
      <c r="K224" s="55" t="s">
        <v>395</v>
      </c>
      <c r="L224" s="55"/>
      <c r="M224" s="58">
        <v>1</v>
      </c>
      <c r="N224" s="55"/>
    </row>
    <row r="225" spans="1:14" s="22" customFormat="1" outlineLevel="2" x14ac:dyDescent="0.25">
      <c r="A225" s="8"/>
      <c r="B225" s="55"/>
      <c r="C225" s="8"/>
      <c r="D225" s="8" t="s">
        <v>271</v>
      </c>
      <c r="E225" s="8" t="str">
        <f t="shared" si="36"/>
        <v>=</v>
      </c>
      <c r="F225" s="8">
        <f t="shared" si="37"/>
        <v>1</v>
      </c>
      <c r="G225" s="8"/>
      <c r="H225" s="56">
        <v>1</v>
      </c>
      <c r="I225" s="8"/>
      <c r="J225" s="57">
        <f t="shared" si="38"/>
        <v>1</v>
      </c>
      <c r="K225" s="55" t="s">
        <v>399</v>
      </c>
      <c r="L225" s="55"/>
      <c r="M225" s="58">
        <v>1</v>
      </c>
      <c r="N225" s="55"/>
    </row>
    <row r="226" spans="1:14" s="22" customFormat="1" outlineLevel="2" x14ac:dyDescent="0.25">
      <c r="A226" s="8"/>
      <c r="B226" s="55"/>
      <c r="C226" s="8"/>
      <c r="D226" s="8" t="s">
        <v>272</v>
      </c>
      <c r="E226" s="8" t="str">
        <f t="shared" si="36"/>
        <v>=</v>
      </c>
      <c r="F226" s="8">
        <f t="shared" si="37"/>
        <v>10</v>
      </c>
      <c r="G226" s="8"/>
      <c r="H226" s="56">
        <v>10</v>
      </c>
      <c r="I226" s="8"/>
      <c r="J226" s="57">
        <f t="shared" si="38"/>
        <v>10</v>
      </c>
      <c r="K226" s="55" t="s">
        <v>400</v>
      </c>
      <c r="L226" s="55"/>
      <c r="M226" s="58">
        <v>1</v>
      </c>
      <c r="N226" s="55"/>
    </row>
    <row r="227" spans="1:14" s="22" customFormat="1" outlineLevel="2" x14ac:dyDescent="0.25">
      <c r="A227" s="8"/>
      <c r="B227" s="55"/>
      <c r="C227" s="8"/>
      <c r="D227" s="8" t="s">
        <v>273</v>
      </c>
      <c r="E227" s="8" t="str">
        <f t="shared" si="36"/>
        <v>=</v>
      </c>
      <c r="F227" s="8">
        <f t="shared" si="37"/>
        <v>1</v>
      </c>
      <c r="G227" s="8"/>
      <c r="H227" s="56">
        <v>1</v>
      </c>
      <c r="I227" s="8"/>
      <c r="J227" s="57">
        <f t="shared" si="38"/>
        <v>1</v>
      </c>
      <c r="K227" s="55" t="s">
        <v>401</v>
      </c>
      <c r="L227" s="55"/>
      <c r="M227" s="58">
        <v>1</v>
      </c>
      <c r="N227" s="55"/>
    </row>
    <row r="228" spans="1:14" s="22" customFormat="1" outlineLevel="2" x14ac:dyDescent="0.25">
      <c r="A228" s="8"/>
      <c r="B228" s="55"/>
      <c r="C228" s="8"/>
      <c r="D228" s="8" t="s">
        <v>274</v>
      </c>
      <c r="E228" s="8" t="str">
        <f t="shared" si="36"/>
        <v>=</v>
      </c>
      <c r="F228" s="8">
        <f t="shared" si="37"/>
        <v>85</v>
      </c>
      <c r="G228" s="8"/>
      <c r="H228" s="60">
        <f>H164</f>
        <v>85</v>
      </c>
      <c r="I228" s="8"/>
      <c r="J228" s="61" t="s">
        <v>210</v>
      </c>
      <c r="K228" s="55" t="s">
        <v>402</v>
      </c>
      <c r="L228" s="55"/>
      <c r="M228" s="58">
        <v>1</v>
      </c>
      <c r="N228" s="55"/>
    </row>
    <row r="229" spans="1:14" s="22" customFormat="1" ht="15.75" outlineLevel="2" x14ac:dyDescent="0.25">
      <c r="A229" s="2"/>
      <c r="B229" s="48"/>
      <c r="C229" s="2" t="s">
        <v>9</v>
      </c>
      <c r="D229" s="2" t="s">
        <v>152</v>
      </c>
      <c r="E229" s="2"/>
      <c r="F229" s="2"/>
      <c r="G229" s="2"/>
      <c r="H229" s="2"/>
      <c r="I229" s="2"/>
      <c r="J229" s="48"/>
      <c r="K229" s="48"/>
      <c r="L229" s="48"/>
      <c r="M229" s="50" t="s">
        <v>428</v>
      </c>
      <c r="N229" s="48"/>
    </row>
    <row r="230" spans="1:14" s="22" customFormat="1" outlineLevel="2" x14ac:dyDescent="0.25">
      <c r="A230" s="51"/>
      <c r="B230" s="52"/>
      <c r="C230" s="51"/>
      <c r="D230" s="51" t="s">
        <v>11</v>
      </c>
      <c r="E230" s="51">
        <f>COUNTBLANK(C231:C232)</f>
        <v>2</v>
      </c>
      <c r="F230" s="51"/>
      <c r="G230" s="51"/>
      <c r="H230" s="51"/>
      <c r="I230" s="51"/>
      <c r="J230" s="53"/>
      <c r="K230" s="52"/>
      <c r="L230" s="52"/>
      <c r="M230" s="54">
        <v>1</v>
      </c>
      <c r="N230" s="52"/>
    </row>
    <row r="231" spans="1:14" s="22" customFormat="1" outlineLevel="2" x14ac:dyDescent="0.25">
      <c r="A231" s="8" t="s">
        <v>12</v>
      </c>
      <c r="B231" s="55"/>
      <c r="C231" s="8"/>
      <c r="D231" s="8" t="s">
        <v>161</v>
      </c>
      <c r="E231" s="8" t="str">
        <f t="shared" ref="E231:E232" si="39">IF(C231="*","","=")</f>
        <v>=</v>
      </c>
      <c r="F231" s="8">
        <f t="shared" ref="F231:F232" si="40">IF((ISBLANK(G231))=TRUE,H231,G231)</f>
        <v>2</v>
      </c>
      <c r="G231" s="8"/>
      <c r="H231" s="56">
        <v>2</v>
      </c>
      <c r="I231" s="8" t="s">
        <v>6</v>
      </c>
      <c r="J231" s="63">
        <f>H231</f>
        <v>2</v>
      </c>
      <c r="K231" s="55" t="s">
        <v>404</v>
      </c>
      <c r="L231" s="55"/>
      <c r="M231" s="65">
        <v>1</v>
      </c>
      <c r="N231" s="55"/>
    </row>
    <row r="232" spans="1:14" s="22" customFormat="1" outlineLevel="2" x14ac:dyDescent="0.25">
      <c r="A232" s="8" t="s">
        <v>12</v>
      </c>
      <c r="B232" s="55"/>
      <c r="C232" s="8"/>
      <c r="D232" s="8" t="s">
        <v>162</v>
      </c>
      <c r="E232" s="8" t="str">
        <f t="shared" si="39"/>
        <v>=</v>
      </c>
      <c r="F232" s="8">
        <f t="shared" si="40"/>
        <v>6</v>
      </c>
      <c r="G232" s="8"/>
      <c r="H232" s="60">
        <f>H100+2</f>
        <v>6</v>
      </c>
      <c r="I232" s="8" t="s">
        <v>6</v>
      </c>
      <c r="J232" s="55" t="s">
        <v>167</v>
      </c>
      <c r="K232" s="55" t="s">
        <v>403</v>
      </c>
      <c r="L232" s="55"/>
      <c r="M232" s="65">
        <v>1</v>
      </c>
      <c r="N232" s="55"/>
    </row>
  </sheetData>
  <phoneticPr fontId="4" type="noConversion"/>
  <conditionalFormatting sqref="M2:M35 M38:M136 M139:M999">
    <cfRule type="expression" dxfId="7" priority="11">
      <formula>($M2=0)</formula>
    </cfRule>
  </conditionalFormatting>
  <conditionalFormatting sqref="M1:N1 L1:L35 L38:L136 L139:L999">
    <cfRule type="expression" dxfId="6" priority="13">
      <formula>($L1="")</formula>
    </cfRule>
  </conditionalFormatting>
  <conditionalFormatting sqref="M36:M37">
    <cfRule type="expression" dxfId="5" priority="5">
      <formula>($M36=0)</formula>
    </cfRule>
  </conditionalFormatting>
  <conditionalFormatting sqref="L36:L37">
    <cfRule type="expression" dxfId="4" priority="6">
      <formula>($L36="")</formula>
    </cfRule>
  </conditionalFormatting>
  <conditionalFormatting sqref="M138">
    <cfRule type="expression" dxfId="3" priority="3">
      <formula>($M138=0)</formula>
    </cfRule>
  </conditionalFormatting>
  <conditionalFormatting sqref="L138">
    <cfRule type="expression" dxfId="2" priority="4">
      <formula>($L138="")</formula>
    </cfRule>
  </conditionalFormatting>
  <conditionalFormatting sqref="M137">
    <cfRule type="expression" dxfId="1" priority="1">
      <formula>($M137=0)</formula>
    </cfRule>
  </conditionalFormatting>
  <conditionalFormatting sqref="L137">
    <cfRule type="expression" dxfId="0" priority="2">
      <formula>($L137="")</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52A85-4193-4029-9106-79922CCB2F08}">
  <sheetPr codeName="Hoja2"/>
  <dimension ref="A1:A107"/>
  <sheetViews>
    <sheetView workbookViewId="0">
      <selection activeCell="C18" sqref="C18"/>
    </sheetView>
  </sheetViews>
  <sheetFormatPr baseColWidth="10" defaultRowHeight="15" x14ac:dyDescent="0.25"/>
  <cols>
    <col min="1" max="1" width="52.28515625" customWidth="1"/>
  </cols>
  <sheetData>
    <row r="1" spans="1:1" x14ac:dyDescent="0.25">
      <c r="A1" t="str">
        <f>IF(Definition!C4="*","*","")&amp;Definition!D4&amp;" "&amp;IF(Definition!E4="","",Definition!E4)&amp;" "&amp;IF(Definition!J4="","",Definition!J4)&amp;" "&amp;IF(Definition!J4="","","!")&amp;IF(Definition!I4="","",Definition!I4)</f>
        <v xml:space="preserve">*FLUID PARAMETERS   </v>
      </c>
    </row>
    <row r="2" spans="1:1" x14ac:dyDescent="0.25">
      <c r="A2" t="str">
        <f>IF(Definition!C5="*","*","")&amp;Definition!D5&amp;" "&amp;IF(Definition!E5="","",Definition!E5)&amp;" "&amp;IF(Definition!J5="","",Definition!J5)&amp;" "&amp;IF(Definition!J5="","","!")&amp;IF(Definition!I5="","",Definition!I5)</f>
        <v xml:space="preserve">EQUATION 9  </v>
      </c>
    </row>
    <row r="3" spans="1:1" x14ac:dyDescent="0.25">
      <c r="A3" t="str">
        <f>IF(Definition!C6="*","*","")&amp;Definition!D6&amp;" "&amp;IF(Definition!E6="","",Definition!E6)&amp;" "&amp;IF(Definition!J6="","",Definition!J6)&amp;" "&amp;IF(Definition!J6="","","!")&amp;IF(Definition!I6="","",Definition!I6)</f>
        <v>M1300_PriAntifree = 30 !%</v>
      </c>
    </row>
    <row r="4" spans="1:1" x14ac:dyDescent="0.25">
      <c r="A4" t="str">
        <f>IF(Definition!C7="*","*","")&amp;Definition!D7&amp;" "&amp;IF(Definition!E7="","",Definition!E7)&amp;" "&amp;IF(Definition!J7="","",Definition!J7)&amp;" "&amp;IF(Definition!J7="","","!")&amp;IF(Definition!I7="","",Definition!I7)</f>
        <v>M1300_CpPri = (4.185-M1300_PriAntifree*0.9808/100) !kJ/kg.K</v>
      </c>
    </row>
    <row r="5" spans="1:1" x14ac:dyDescent="0.25">
      <c r="A5" t="str">
        <f>IF(Definition!C8="*","*","")&amp;Definition!D8&amp;" "&amp;IF(Definition!E8="","",Definition!E8)&amp;" "&amp;IF(Definition!J8="","",Definition!J8)&amp;" "&amp;IF(Definition!J8="","","!")&amp;IF(Definition!I8="","",Definition!I8)</f>
        <v>M1300_RoPri = (1000+47.403*M1300_PriAntifree/100) !kg/m3</v>
      </c>
    </row>
    <row r="6" spans="1:1" x14ac:dyDescent="0.25">
      <c r="A6" t="str">
        <f>IF(Definition!C9="*","*","")&amp;Definition!D9&amp;" "&amp;IF(Definition!E9="","",Definition!E9)&amp;" "&amp;IF(Definition!J9="","",Definition!J9)&amp;" "&amp;IF(Definition!J9="","","!")&amp;IF(Definition!I9="","",Definition!I9)</f>
        <v>M1300_MuPri = 3600*(0.0005+0.0008*M1300_PriAntifree/100+0.0019*(M1300_PriAntifree/100)^2) !kg/m.h</v>
      </c>
    </row>
    <row r="7" spans="1:1" x14ac:dyDescent="0.25">
      <c r="A7" t="str">
        <f>IF(Definition!C10="*","*","")&amp;Definition!D10&amp;" "&amp;IF(Definition!E10="","",Definition!E10)&amp;" "&amp;IF(Definition!J10="","",Definition!J10)&amp;" "&amp;IF(Definition!J10="","","!")&amp;IF(Definition!I10="","",Definition!I10)</f>
        <v>M1300_KPri = 2.2 !kJ/h.m.K</v>
      </c>
    </row>
    <row r="8" spans="1:1" x14ac:dyDescent="0.25">
      <c r="A8" t="str">
        <f>IF(Definition!C11="*","*","")&amp;Definition!D11&amp;" "&amp;IF(Definition!E11="","",Definition!E11)&amp;" "&amp;IF(Definition!J11="","",Definition!J11)&amp;" "&amp;IF(Definition!J11="","","!")&amp;IF(Definition!I11="","",Definition!I11)</f>
        <v>M1300_CpSec = CpAgua !kJ/kg.K</v>
      </c>
    </row>
    <row r="9" spans="1:1" x14ac:dyDescent="0.25">
      <c r="A9" t="str">
        <f>IF(Definition!C12="*","*","")&amp;Definition!D12&amp;" "&amp;IF(Definition!E12="","",Definition!E12)&amp;" "&amp;IF(Definition!J12="","",Definition!J12)&amp;" "&amp;IF(Definition!J12="","","!")&amp;IF(Definition!I12="","",Definition!I12)</f>
        <v>M1300_RoSec = RoAgua !kg/m3</v>
      </c>
    </row>
    <row r="10" spans="1:1" x14ac:dyDescent="0.25">
      <c r="A10" t="str">
        <f>IF(Definition!C13="*","*","")&amp;Definition!D13&amp;" "&amp;IF(Definition!E13="","",Definition!E13)&amp;" "&amp;IF(Definition!J13="","",Definition!J13)&amp;" "&amp;IF(Definition!J13="","","!")&amp;IF(Definition!I13="","",Definition!I13)</f>
        <v>M1300_MuSec = MuAgua !kg/m.h</v>
      </c>
    </row>
    <row r="11" spans="1:1" x14ac:dyDescent="0.25">
      <c r="A11" t="str">
        <f>IF(Definition!C14="*","*","")&amp;Definition!D14&amp;" "&amp;IF(Definition!E14="","",Definition!E14)&amp;" "&amp;IF(Definition!J14="","",Definition!J14)&amp;" "&amp;IF(Definition!J14="","","!")&amp;IF(Definition!I14="","",Definition!I14)</f>
        <v>M1300_KSec = Kagua !kJ/h.m.K</v>
      </c>
    </row>
    <row r="12" spans="1:1" x14ac:dyDescent="0.25">
      <c r="A12" t="str">
        <f>IF(Definition!C15="*","*","")&amp;Definition!D15&amp;" "&amp;IF(Definition!E15="","",Definition!E15)&amp;" "&amp;IF(Definition!J15="","",Definition!J15)&amp;" "&amp;IF(Definition!J15="","","!")&amp;IF(Definition!I15="","",Definition!I15)</f>
        <v xml:space="preserve">*HORIZON AND ARRAY SHADOW PARAMETERS   </v>
      </c>
    </row>
    <row r="13" spans="1:1" x14ac:dyDescent="0.25">
      <c r="A13" t="str">
        <f>IF(Definition!C16="*","*","")&amp;Definition!D16&amp;" "&amp;IF(Definition!E16="","",Definition!E16)&amp;" "&amp;IF(Definition!J16="","",Definition!J16)&amp;" "&amp;IF(Definition!J16="","","!")&amp;IF(Definition!I16="","",Definition!I16)</f>
        <v xml:space="preserve">EQUATION 9  </v>
      </c>
    </row>
    <row r="14" spans="1:1" x14ac:dyDescent="0.25">
      <c r="A14" t="str">
        <f>IF(Definition!C17="*","*","")&amp;Definition!D17&amp;" "&amp;IF(Definition!E17="","",Definition!E17)&amp;" "&amp;IF(Definition!J17="","",Definition!J17)&amp;" "&amp;IF(Definition!J17="","","!")&amp;IF(Definition!I17="","",Definition!I17)</f>
        <v>M1300_MSK_NumAngles = 16 !-</v>
      </c>
    </row>
    <row r="15" spans="1:1" x14ac:dyDescent="0.25">
      <c r="A15" t="str">
        <f>IF(Definition!C18="*","*","")&amp;Definition!D18&amp;" "&amp;IF(Definition!E18="","",Definition!E18)&amp;" "&amp;IF(Definition!J18="","",Definition!J18)&amp;" "&amp;IF(Definition!J18="","","!")&amp;IF(Definition!I18="","",Definition!I18)</f>
        <v>M1300_GrHrAzimuth = 0 !°</v>
      </c>
    </row>
    <row r="16" spans="1:1" x14ac:dyDescent="0.25">
      <c r="A16" t="str">
        <f>IF(Definition!C19="*","*","")&amp;Definition!D19&amp;" "&amp;IF(Definition!E19="","",Definition!E19)&amp;" "&amp;IF(Definition!J19="","",Definition!J19)&amp;" "&amp;IF(Definition!J19="","","!")&amp;IF(Definition!I19="","",Definition!I19)</f>
        <v>M1300_GrHrSlope = 0 !°</v>
      </c>
    </row>
    <row r="17" spans="1:1" x14ac:dyDescent="0.25">
      <c r="A17" t="str">
        <f>IF(Definition!C20="*","*","")&amp;Definition!D20&amp;" "&amp;IF(Definition!E20="","",Definition!E20)&amp;" "&amp;IF(Definition!J20="","",Definition!J20)&amp;" "&amp;IF(Definition!J20="","","!")&amp;IF(Definition!I20="","",Definition!I20)</f>
        <v>M1300_WSSHeightShadow = M1300_COL01_Cheight+(EQL(PAR_STC,4)+EQL(PAR_STC,7)) !m</v>
      </c>
    </row>
    <row r="18" spans="1:1" x14ac:dyDescent="0.25">
      <c r="A18" t="str">
        <f>IF(Definition!C21="*","*","")&amp;Definition!D21&amp;" "&amp;IF(Definition!E21="","",Definition!E21)&amp;" "&amp;IF(Definition!J21="","",Definition!J21)&amp;" "&amp;IF(Definition!J21="","","!")&amp;IF(Definition!I21="","",Definition!I21)</f>
        <v>M1300_WSSSlopeShadow = M1300_ColHrSlope+0.001 !°</v>
      </c>
    </row>
    <row r="19" spans="1:1" x14ac:dyDescent="0.25">
      <c r="A19" t="str">
        <f>IF(Definition!C22="*","*","")&amp;Definition!D22&amp;" "&amp;IF(Definition!E22="","",Definition!E22)&amp;" "&amp;IF(Definition!J22="","",Definition!J22)&amp;" "&amp;IF(Definition!J22="","","!")&amp;IF(Definition!I22="","",Definition!I22)</f>
        <v>*M1300_WSS01_GndUsability  M1300_WSS01_Cheight*COS(M1300_ColHrSlope)/M1300_WSSRowSep*1 !-</v>
      </c>
    </row>
    <row r="20" spans="1:1" x14ac:dyDescent="0.25">
      <c r="A20" t="str">
        <f>IF(Definition!C23="*","*","")&amp;Definition!D23&amp;" "&amp;IF(Definition!E23="","",Definition!E23)&amp;" "&amp;IF(Definition!J23="","",Definition!J23)&amp;" "&amp;IF(Definition!J23="","","!")&amp;IF(Definition!I23="","",Definition!I23)</f>
        <v>*M1300_COL01_GndUsability  M1300_WSS01_Cheight/M1300_WSSRowSep !-</v>
      </c>
    </row>
    <row r="21" spans="1:1" x14ac:dyDescent="0.25">
      <c r="A21" t="str">
        <f>IF(Definition!C24="*","*","")&amp;Definition!D24&amp;" "&amp;IF(Definition!E24="","",Definition!E24)&amp;" "&amp;IF(Definition!J24="","",Definition!J24)&amp;" "&amp;IF(Definition!J24="","","!")&amp;IF(Definition!I24="","",Definition!I24)</f>
        <v>M1300_WSS01_Cheight = (EQL(PAR_STC,1)*2.191+EQL(PAR_STC,2)*2.224+EQL(PAR_STC,3)*3.0736+EQL(PAR_STC,4)*3.9231+EQL(PAR_STC,5)*2.427+EQL(PAR_STC,6)*3.2789+EQL(PAR_STC,7)*4.1332) !-</v>
      </c>
    </row>
    <row r="22" spans="1:1" x14ac:dyDescent="0.25">
      <c r="A22" t="str">
        <f>IF(Definition!C25="*","*","")&amp;Definition!D25&amp;" "&amp;IF(Definition!E25="","",Definition!E25)&amp;" "&amp;IF(Definition!J25="","",Definition!J25)&amp;" "&amp;IF(Definition!J25="","","!")&amp;IF(Definition!I25="","",Definition!I25)</f>
        <v>M1300_WSSRowLen = MAX(60,(3*M1300_WSS01_Area)^0.5) !m</v>
      </c>
    </row>
    <row r="23" spans="1:1" x14ac:dyDescent="0.25">
      <c r="A23" t="str">
        <f>IF(Definition!C26="*","*","")&amp;Definition!D26&amp;" "&amp;IF(Definition!E26="","",Definition!E26)&amp;" "&amp;IF(Definition!J26="","",Definition!J26)&amp;" "&amp;IF(Definition!J26="","","!")&amp;IF(Definition!I26="","",Definition!I26)</f>
        <v>M1300_WSSNRows = M1300_WSS01_Area/M1300_WSSRowLen !-</v>
      </c>
    </row>
    <row r="24" spans="1:1" x14ac:dyDescent="0.25">
      <c r="A24" t="str">
        <f>IF(Definition!C27="*","*","")&amp;Definition!D27&amp;" "&amp;IF(Definition!E27="","",Definition!E27)&amp;" "&amp;IF(Definition!J27="","",Definition!J27)&amp;" "&amp;IF(Definition!J27="","","!")&amp;IF(Definition!I27="","",Definition!I27)</f>
        <v>M1300_WSSRowSep = (1+0.25*NOT(EQL(M1300_ColHrSlope,0))+0.25*(MIN(90,ABS(M1300_ColHrAzimuth))/90))*(M1300_WSSHeightShadow)*(COS(M1300_ColHrSlope)+SIN(M1300_ColHrSlope)/TAN(90-ABS(Lat)-23.5)) !m</v>
      </c>
    </row>
    <row r="25" spans="1:1" x14ac:dyDescent="0.25">
      <c r="A25" t="str">
        <f>IF(Definition!C28="*","*","")&amp;Definition!D28&amp;" "&amp;IF(Definition!E28="","",Definition!E28)&amp;" "&amp;IF(Definition!J28="","",Definition!J28)&amp;" "&amp;IF(Definition!J28="","","!")&amp;IF(Definition!I28="","",Definition!I28)</f>
        <v xml:space="preserve">*COLLECTOR PARAMETERS   </v>
      </c>
    </row>
    <row r="26" spans="1:1" x14ac:dyDescent="0.25">
      <c r="A26" t="str">
        <f>IF(Definition!C29="*","*","")&amp;Definition!D29&amp;" "&amp;IF(Definition!E29="","",Definition!E29)&amp;" "&amp;IF(Definition!J29="","",Definition!J29)&amp;" "&amp;IF(Definition!J29="","","!")&amp;IF(Definition!I29="","",Definition!I29)</f>
        <v xml:space="preserve">EQUATION 37  </v>
      </c>
    </row>
    <row r="27" spans="1:1" x14ac:dyDescent="0.25">
      <c r="A27" t="str">
        <f>IF(Definition!C30="*","*","")&amp;Definition!D30&amp;" "&amp;IF(Definition!E30="","",Definition!E30)&amp;" "&amp;IF(Definition!J30="","",Definition!J30)&amp;" "&amp;IF(Definition!J30="","","!")&amp;IF(Definition!I30="","",Definition!I30)</f>
        <v>PAR_STC = 6 !-</v>
      </c>
    </row>
    <row r="28" spans="1:1" x14ac:dyDescent="0.25">
      <c r="A28" t="str">
        <f>IF(Definition!C31="*","*","")&amp;Definition!D31&amp;" "&amp;IF(Definition!E31="","",Definition!E31)&amp;" "&amp;IF(Definition!J31="","",Definition!J31)&amp;" "&amp;IF(Definition!J31="","","!")&amp;IF(Definition!I31="","",Definition!I31)</f>
        <v>PAR_KSOIL = 0 !-</v>
      </c>
    </row>
    <row r="29" spans="1:1" x14ac:dyDescent="0.25">
      <c r="A29" t="str">
        <f>IF(Definition!C32="*","*","")&amp;Definition!D32&amp;" "&amp;IF(Definition!E32="","",Definition!E32)&amp;" "&amp;IF(Definition!J32="","",Definition!J32)&amp;" "&amp;IF(Definition!J32="","","!")&amp;IF(Definition!I32="","",Definition!I32)</f>
        <v>PAR_fRedDifusa = 0.8 !-</v>
      </c>
    </row>
    <row r="30" spans="1:1" x14ac:dyDescent="0.25">
      <c r="A30" t="str">
        <f>IF(Definition!C33="*","*","")&amp;Definition!D33&amp;" "&amp;IF(Definition!E33="","",Definition!E33)&amp;" "&amp;IF(Definition!J33="","",Definition!J33)&amp;" "&amp;IF(Definition!J33="","","!")&amp;IF(Definition!I33="","",Definition!I33)</f>
        <v>M1300_WSS01_TCol_est = (TDemSetpar+TDemRetpar)*0.5+M1300_HX01_DTLM+15*PAR_REN !°C</v>
      </c>
    </row>
    <row r="31" spans="1:1" x14ac:dyDescent="0.25">
      <c r="A31" t="str">
        <f>IF(Definition!C34="*","*","")&amp;Definition!D34&amp;" "&amp;IF(Definition!E34="","",Definition!E34)&amp;" "&amp;IF(Definition!J34="","",Definition!J34)&amp;" "&amp;IF(Definition!J34="","","!")&amp;IF(Definition!I34="","",Definition!I34)</f>
        <v>M1300_EFF_COL = MAX(0.3,M1300_WSS01_a0-M1300_WSS01_a1/WTOKJPH*(M1300_WSS01_TCol_est-TAirAve)/Itnom-M1300_WSS01_a2/WTOKJPH*(M1300_WSS01_TCol_est-TAirAve)^2/Itnom) !%</v>
      </c>
    </row>
    <row r="32" spans="1:1" x14ac:dyDescent="0.25">
      <c r="A32" t="str">
        <f>IF(Definition!C35="*","*","")&amp;Definition!D35&amp;" "&amp;IF(Definition!E35="","",Definition!E35)&amp;" "&amp;IF(Definition!J35="","",Definition!J35)&amp;" "&amp;IF(Definition!J35="","","!")&amp;IF(Definition!I35="","",Definition!I35)</f>
        <v>M1300_WSS01_Area = 0.75*QDEMMAND*PAR_REN/(((Gbh+Gdh/M1300_WSS01_C)*COS(ABS(Lat)-M1300_ColHrSlope))*M1300_EFF_COL) !m2</v>
      </c>
    </row>
    <row r="33" spans="1:1" x14ac:dyDescent="0.25">
      <c r="A33" t="str">
        <f>IF(Definition!C38="*","*","")&amp;Definition!D38&amp;" "&amp;IF(Definition!E38="","",Definition!E38)&amp;" "&amp;IF(Definition!J38="","",Definition!J38)&amp;" "&amp;IF(Definition!J38="","","!")&amp;IF(Definition!I38="","",Definition!I38)</f>
        <v>M1300_ColHrSlope = 45 !°</v>
      </c>
    </row>
    <row r="34" spans="1:1" x14ac:dyDescent="0.25">
      <c r="A34" t="str">
        <f>IF(Definition!C39="*","*","")&amp;Definition!D39&amp;" "&amp;IF(Definition!E39="","",Definition!E39)&amp;" "&amp;IF(Definition!J39="","",Definition!J39)&amp;" "&amp;IF(Definition!J39="","","!")&amp;IF(Definition!I39="","",Definition!I39)</f>
        <v>M1300_ColHrAzimuth = M1300_GrHrAzimuth !°</v>
      </c>
    </row>
    <row r="35" spans="1:1" x14ac:dyDescent="0.25">
      <c r="A35" t="str">
        <f>IF(Definition!C40="*","*","")&amp;Definition!D40&amp;" "&amp;IF(Definition!E40="","",Definition!E40)&amp;" "&amp;IF(Definition!J40="","",Definition!J40)&amp;" "&amp;IF(Definition!J40="","","!")&amp;IF(Definition!I40="","",Definition!I40)</f>
        <v>M1300_COL01_Mode = (EQL(PAR_STC,1)+EQL(PAR_STC,2))*1+(EQL(PAR_STC,3)+EQL(PAR_STC,4)+EQL(PAR_STC,5)+EQL(PAR_STC,6)+EQL(PAR_STC,7))*2 ! !-</v>
      </c>
    </row>
    <row r="36" spans="1:1" x14ac:dyDescent="0.25">
      <c r="A36" t="str">
        <f>IF(Definition!C41="*","*","")&amp;Definition!D41&amp;" "&amp;IF(Definition!E41="","",Definition!E41)&amp;" "&amp;IF(Definition!J41="","",Definition!J41)&amp;" "&amp;IF(Definition!J41="","","!")&amp;IF(Definition!I41="","",Definition!I41)</f>
        <v>M1300_WSS01_Nserie = MIN(M1300_WSS01_Ncol,2) !-</v>
      </c>
    </row>
    <row r="37" spans="1:1" x14ac:dyDescent="0.25">
      <c r="A37" t="str">
        <f>IF(Definition!C42="*","*","")&amp;Definition!D42&amp;" "&amp;IF(Definition!E42="","",Definition!E42)&amp;" "&amp;IF(Definition!J42="","",Definition!J42)&amp;" "&amp;IF(Definition!J42="","","!")&amp;IF(Definition!I42="","",Definition!I42)</f>
        <v>M1300_WSS01_Nparalel = M1300_WSS01_Ncol/M1300_WSS01_Nserie !-</v>
      </c>
    </row>
    <row r="38" spans="1:1" x14ac:dyDescent="0.25">
      <c r="A38" t="str">
        <f>IF(Definition!C43="*","*","")&amp;Definition!D43&amp;" "&amp;IF(Definition!E43="","",Definition!E43)&amp;" "&amp;IF(Definition!J43="","",Definition!J43)&amp;" "&amp;IF(Definition!J43="","","!")&amp;IF(Definition!I43="","",Definition!I43)</f>
        <v>M1300_WSS01_Acol = (EQL(PAR_STC,1)*2.52+EQL(PAR_STC,2)*12.13+EQL(PAR_STC,3)*16.764+EQL(PAR_STC,4)*21.397+EQL(PAR_STC,5)*4.46+EQL(PAR_STC,6)*6.025+EQL(PAR_STC,7)*7.595) !m2</v>
      </c>
    </row>
    <row r="39" spans="1:1" x14ac:dyDescent="0.25">
      <c r="A39" t="str">
        <f>IF(Definition!C44="*","*","")&amp;Definition!D44&amp;" "&amp;IF(Definition!E44="","",Definition!E44)&amp;" "&amp;IF(Definition!J44="","",Definition!J44)&amp;" "&amp;IF(Definition!J44="","","!")&amp;IF(Definition!I44="","",Definition!I44)</f>
        <v>M1300_WSS01_Ncol = M1300_WSS01_Area/(M1300_WSS01_Acol) !-</v>
      </c>
    </row>
    <row r="40" spans="1:1" x14ac:dyDescent="0.25">
      <c r="A40" t="str">
        <f>IF(Definition!C45="*","*","")&amp;Definition!D45&amp;" "&amp;IF(Definition!E45="","",Definition!E45)&amp;" "&amp;IF(Definition!J45="","",Definition!J45)&amp;" "&amp;IF(Definition!J45="","","!")&amp;IF(Definition!I45="","",Definition!I45)</f>
        <v>M1300_COL01_Cheight = (EQL(PAR_STC,1)*2.191+(EQL(PAR_STC,2)+EQL(PAR_STC,3)+EQL(PAR_STC,4))*2.224+(EQL(PAR_STC,5)+EQL(PAR_STC,6)+EQL(PAR_STC,7))*2.427) !m2</v>
      </c>
    </row>
    <row r="41" spans="1:1" x14ac:dyDescent="0.25">
      <c r="A41" t="str">
        <f>IF(Definition!C46="*","*","")&amp;Definition!D46&amp;" "&amp;IF(Definition!E46="","",Definition!E46)&amp;" "&amp;IF(Definition!J46="","",Definition!J46)&amp;" "&amp;IF(Definition!J46="","","!")&amp;IF(Definition!I46="","",Definition!I46)</f>
        <v>M1300_WSS01_TestMode = 2 !-</v>
      </c>
    </row>
    <row r="42" spans="1:1" x14ac:dyDescent="0.25">
      <c r="A42" t="str">
        <f>IF(Definition!C47="*","*","")&amp;Definition!D47&amp;" "&amp;IF(Definition!E47="","",Definition!E47)&amp;" "&amp;IF(Definition!J47="","",Definition!J47)&amp;" "&amp;IF(Definition!J47="","","!")&amp;IF(Definition!I47="","",Definition!I47)</f>
        <v>M1300_WSS01_ThCap = M1300_WSS01_ThCapUn*M1300_WSS01_Area/M1300_WSS01_C !kJ/K</v>
      </c>
    </row>
    <row r="43" spans="1:1" x14ac:dyDescent="0.25">
      <c r="A43" t="str">
        <f>IF(Definition!C48="*","*","")&amp;Definition!D48&amp;" "&amp;IF(Definition!E48="","",Definition!E48)&amp;" "&amp;IF(Definition!J48="","",Definition!J48)&amp;" "&amp;IF(Definition!J48="","","!")&amp;IF(Definition!I48="","",Definition!I48)</f>
        <v>M1300_WSS01_ThCapUn = (0.4*M1300_CpPri+0.2*9*0.82+5*0.385) !kJ/K.m2</v>
      </c>
    </row>
    <row r="44" spans="1:1" x14ac:dyDescent="0.25">
      <c r="A44" t="str">
        <f>IF(Definition!C49="*","*","")&amp;Definition!D49&amp;" "&amp;IF(Definition!E49="","",Definition!E49)&amp;" "&amp;IF(Definition!J49="","",Definition!J49)&amp;" "&amp;IF(Definition!J49="","","!")&amp;IF(Definition!I49="","",Definition!I49)</f>
        <v>M1300_WSS01_Reflec = 0.94 !%</v>
      </c>
    </row>
    <row r="45" spans="1:1" x14ac:dyDescent="0.25">
      <c r="A45" t="str">
        <f>IF(Definition!C50="*","*","")&amp;Definition!D50&amp;" "&amp;IF(Definition!E50="","",Definition!E50)&amp;" "&amp;IF(Definition!J50="","",Definition!J50)&amp;" "&amp;IF(Definition!J50="","","!")&amp;IF(Definition!I50="","",Definition!I50)</f>
        <v>M1300_WSS01_C = ((EQL(PAR_STC,1)+EQL(PAR_STC,2)+EQL(PAR_STC,5))*1+EQL(PAR_STC,3)*1.382+EQL(PAR_STC,4)*1.764+EQL(PAR_STC,6)*1.351+EQL(PAR_STC,7)*1.703) !-</v>
      </c>
    </row>
    <row r="46" spans="1:1" x14ac:dyDescent="0.25">
      <c r="A46" t="str">
        <f>IF(Definition!C51="*","*","")&amp;Definition!D51&amp;" "&amp;IF(Definition!E51="","",Definition!E51)&amp;" "&amp;IF(Definition!J51="","",Definition!J51)&amp;" "&amp;IF(Definition!J51="","","!")&amp;IF(Definition!I51="","",Definition!I51)</f>
        <v>M1300_COL01_a0 = EQL(PAR_STC,1)*0.761+(EQL(PAR_STC,2)+EQL(PAR_STC,3)+EQL(PAR_STC,4))*0.857+(EQL(PAR_STC,5)+EQL(PAR_STC,6)+EQL(PAR_STC,7))*0.642 !-</v>
      </c>
    </row>
    <row r="47" spans="1:1" x14ac:dyDescent="0.25">
      <c r="A47" t="str">
        <f>IF(Definition!C52="*","*","")&amp;Definition!D52&amp;" "&amp;IF(Definition!E52="","",Definition!E52)&amp;" "&amp;IF(Definition!J52="","",Definition!J52)&amp;" "&amp;IF(Definition!J52="","","!")&amp;IF(Definition!I52="","",Definition!I52)</f>
        <v>M1300_WSS01_a0 = M1300_COL01_a0*(1-PAR_KSOIL)*(1+M1300_WSS01_Reflec*(M1300_WSS01_C-1))/M1300_WSS01_C !-</v>
      </c>
    </row>
    <row r="48" spans="1:1" x14ac:dyDescent="0.25">
      <c r="A48" t="str">
        <f>IF(Definition!C53="*","*","")&amp;Definition!D53&amp;" "&amp;IF(Definition!E53="","",Definition!E53)&amp;" "&amp;IF(Definition!J53="","",Definition!J53)&amp;" "&amp;IF(Definition!J53="","","!")&amp;IF(Definition!I53="","",Definition!I53)</f>
        <v>M1300_COL01_a1 = (EQL(PAR_STC,1)*3.711+(EQL(PAR_STC,2)+EQL(PAR_STC,3)+EQL(PAR_STC,4))*3.083+(EQL(PAR_STC,5)+EQL(PAR_STC,6)+EQL(PAR_STC,7))*0.89) !W/m2.K</v>
      </c>
    </row>
    <row r="49" spans="1:1" x14ac:dyDescent="0.25">
      <c r="A49" t="str">
        <f>IF(Definition!C54="*","*","")&amp;Definition!D54&amp;" "&amp;IF(Definition!E54="","",Definition!E54)&amp;" "&amp;IF(Definition!J54="","",Definition!J54)&amp;" "&amp;IF(Definition!J54="","","!")&amp;IF(Definition!I54="","",Definition!I54)</f>
        <v>M1300_WSS01_a1 = M1300_COL01_a1/M1300_WSS01_C*WTOKJPH !kJ/h.m2.K</v>
      </c>
    </row>
    <row r="50" spans="1:1" x14ac:dyDescent="0.25">
      <c r="A50" t="str">
        <f>IF(Definition!C55="*","*","")&amp;Definition!D55&amp;" "&amp;IF(Definition!E55="","",Definition!E55)&amp;" "&amp;IF(Definition!J55="","",Definition!J55)&amp;" "&amp;IF(Definition!J55="","","!")&amp;IF(Definition!I55="","",Definition!I55)</f>
        <v>M1300_COL01_a2 = (EQL(PAR_STC,1)*0.014+(EQL(PAR_STC,2)+EQL(PAR_STC,3)+EQL(PAR_STC,4))*0.013+(EQL(PAR_STC,5)+EQL(PAR_STC,6)+EQL(PAR_STC,7))*0.001) !W/m2.K2</v>
      </c>
    </row>
    <row r="51" spans="1:1" x14ac:dyDescent="0.25">
      <c r="A51" t="str">
        <f>IF(Definition!C56="*","*","")&amp;Definition!D56&amp;" "&amp;IF(Definition!E56="","",Definition!E56)&amp;" "&amp;IF(Definition!J56="","",Definition!J56)&amp;" "&amp;IF(Definition!J56="","","!")&amp;IF(Definition!I56="","",Definition!I56)</f>
        <v>M1300_WSS01_a2 = M1300_COL01_a2/M1300_WSS01_C*WTOKJPH !kJ/h.m2.k2</v>
      </c>
    </row>
    <row r="52" spans="1:1" x14ac:dyDescent="0.25">
      <c r="A52" t="str">
        <f>IF(Definition!C57="*","*","")&amp;Definition!D57&amp;" "&amp;IF(Definition!E57="","",Definition!E57)&amp;" "&amp;IF(Definition!J57="","",Definition!J57)&amp;" "&amp;IF(Definition!J57="","","!")&amp;IF(Definition!I57="","",Definition!I57)</f>
        <v>M1300_WSS01_Mtest = 50 !kg/h</v>
      </c>
    </row>
    <row r="53" spans="1:1" x14ac:dyDescent="0.25">
      <c r="A53" t="str">
        <f>IF(Definition!C58="*","*","")&amp;Definition!D58&amp;" "&amp;IF(Definition!E58="","",Definition!E58)&amp;" "&amp;IF(Definition!J58="","",Definition!J58)&amp;" "&amp;IF(Definition!J58="","","!")&amp;IF(Definition!I58="","",Definition!I58)</f>
        <v>M1300_COL01_IAMK50 = EQL(PAR_STC,1)*0.91+EQL(PAR_STC,2)*0.91+(EQL(PAR_STC,3)+EQL(PAR_STC,4)+EQL(PAR_STC,5)+EQL(PAR_STC,6)+EQL(PAR_STC,7))*1 !-</v>
      </c>
    </row>
    <row r="54" spans="1:1" x14ac:dyDescent="0.25">
      <c r="A54" t="str">
        <f>IF(Definition!C59="*","*","")&amp;Definition!D59&amp;" "&amp;IF(Definition!E59="","",Definition!E59)&amp;" "&amp;IF(Definition!J59="","",Definition!J59)&amp;" "&amp;IF(Definition!J59="","","!")&amp;IF(Definition!I59="","",Definition!I59)</f>
        <v>M1300_COL01_IAM1 = MAX(0,(1-M1300_COL01_IAMK50)*COS(50)/(1-COS(50))) !-</v>
      </c>
    </row>
    <row r="55" spans="1:1" x14ac:dyDescent="0.25">
      <c r="A55" t="str">
        <f>IF(Definition!C60="*","*","")&amp;Definition!D60&amp;" "&amp;IF(Definition!E60="","",Definition!E60)&amp;" "&amp;IF(Definition!J60="","",Definition!J60)&amp;" "&amp;IF(Definition!J60="","","!")&amp;IF(Definition!I60="","",Definition!I60)</f>
        <v>M1300_COL01_IAM2 = 0 !-</v>
      </c>
    </row>
    <row r="56" spans="1:1" x14ac:dyDescent="0.25">
      <c r="A56" t="str">
        <f>IF(Definition!C61="*","*","")&amp;Definition!D61&amp;" "&amp;IF(Definition!E61="","",Definition!E61)&amp;" "&amp;IF(Definition!J61="","",Definition!J61)&amp;" "&amp;IF(Definition!J61="","","!")&amp;IF(Definition!I61="","",Definition!I61)</f>
        <v>M1300_WSS01_DataTrans = 35 !-</v>
      </c>
    </row>
    <row r="57" spans="1:1" x14ac:dyDescent="0.25">
      <c r="A57" t="str">
        <f>IF(Definition!C62="*","*","")&amp;Definition!D62&amp;" "&amp;IF(Definition!E62="","",Definition!E62)&amp;" "&amp;IF(Definition!J62="","",Definition!J62)&amp;" "&amp;IF(Definition!J62="","","!")&amp;IF(Definition!I62="","",Definition!I62)</f>
        <v>M1300_WSS01_DataLong = 13 !-</v>
      </c>
    </row>
    <row r="58" spans="1:1" x14ac:dyDescent="0.25">
      <c r="A58" t="str">
        <f>IF(Definition!C63="*","*","")&amp;Definition!D63&amp;" "&amp;IF(Definition!E63="","",Definition!E63)&amp;" "&amp;IF(Definition!J63="","",Definition!J63)&amp;" "&amp;IF(Definition!J63="","","!")&amp;IF(Definition!I63="","",Definition!I63)</f>
        <v>M1300_WSS01_CtFRMin = 0 !kg/h</v>
      </c>
    </row>
    <row r="59" spans="1:1" x14ac:dyDescent="0.25">
      <c r="A59" t="str">
        <f>IF(Definition!C64="*","*","")&amp;Definition!D64&amp;" "&amp;IF(Definition!E64="","",Definition!E64)&amp;" "&amp;IF(Definition!J64="","",Definition!J64)&amp;" "&amp;IF(Definition!J64="","","!")&amp;IF(Definition!I64="","",Definition!I64)</f>
        <v>M1300_WSS01_MPAC = M1300_WSS01_MTest/M1300_WSS01_Nserie !kg/h.m2</v>
      </c>
    </row>
    <row r="60" spans="1:1" x14ac:dyDescent="0.25">
      <c r="A60" t="str">
        <f>IF(Definition!C65="*","*","")&amp;Definition!D65&amp;" "&amp;IF(Definition!E65="","",Definition!E65)&amp;" "&amp;IF(Definition!J65="","",Definition!J65)&amp;" "&amp;IF(Definition!J65="","","!")&amp;IF(Definition!I65="","",Definition!I65)</f>
        <v>M1300_WSS01_Control = 0 !-</v>
      </c>
    </row>
    <row r="61" spans="1:1" x14ac:dyDescent="0.25">
      <c r="A61" t="str">
        <f>IF(Definition!C66="*","*","")&amp;Definition!D66&amp;" "&amp;IF(Definition!E66="","",Definition!E66)&amp;" "&amp;IF(Definition!J66="","",Definition!J66)&amp;" "&amp;IF(Definition!J66="","","!")&amp;IF(Definition!I66="","",Definition!I66)</f>
        <v>M1300_WSS01_Tset = TDemSetpar + M1300_HX01_DTLM + 2 !°C</v>
      </c>
    </row>
    <row r="62" spans="1:1" x14ac:dyDescent="0.25">
      <c r="A62" t="str">
        <f>IF(Definition!C67="*","*","")&amp;Definition!D67&amp;" "&amp;IF(Definition!E67="","",Definition!E67)&amp;" "&amp;IF(Definition!J67="","",Definition!J67)&amp;" "&amp;IF(Definition!J67="","","!")&amp;IF(Definition!I67="","",Definition!I67)</f>
        <v xml:space="preserve">*PIPE PARAMETERS   </v>
      </c>
    </row>
    <row r="63" spans="1:1" x14ac:dyDescent="0.25">
      <c r="A63" t="str">
        <f>IF(Definition!C68="*","*","")&amp;Definition!D68&amp;" "&amp;IF(Definition!E68="","",Definition!E68)&amp;" "&amp;IF(Definition!J68="","",Definition!J68)&amp;" "&amp;IF(Definition!J68="","","!")&amp;IF(Definition!I68="","",Definition!I68)</f>
        <v xml:space="preserve">EQUATION 9  </v>
      </c>
    </row>
    <row r="64" spans="1:1" x14ac:dyDescent="0.25">
      <c r="A64" t="str">
        <f>IF(Definition!C69="*","*","")&amp;Definition!D69&amp;" "&amp;IF(Definition!E69="","",Definition!E69)&amp;" "&amp;IF(Definition!J69="","",Definition!J69)&amp;" "&amp;IF(Definition!J69="","","!")&amp;IF(Definition!I69="","",Definition!I69)</f>
        <v>M1300_PI0102_Loc = 0 !</v>
      </c>
    </row>
    <row r="65" spans="1:1" x14ac:dyDescent="0.25">
      <c r="A65" t="str">
        <f>IF(Definition!C70="*","*","")&amp;Definition!D70&amp;" "&amp;IF(Definition!E70="","",Definition!E70)&amp;" "&amp;IF(Definition!J70="","",Definition!J70)&amp;" "&amp;IF(Definition!J70="","","!")&amp;IF(Definition!I70="","",Definition!I70)</f>
        <v>M1300_PI01_Di = MAX(0.0150*(M1300_PU01_M/M1300_RoPri)^0.5,0.012) !m</v>
      </c>
    </row>
    <row r="66" spans="1:1" x14ac:dyDescent="0.25">
      <c r="A66" t="str">
        <f>IF(Definition!C71="*","*","")&amp;Definition!D71&amp;" "&amp;IF(Definition!E71="","",Definition!E71)&amp;" "&amp;IF(Definition!J71="","",Definition!J71)&amp;" "&amp;IF(Definition!J71="","","!")&amp;IF(Definition!I71="","",Definition!I71)</f>
        <v>M1300_PI01_e = ((1000*M1300_PI01_Di)*0.01823616+1.67597866)/1000 !m</v>
      </c>
    </row>
    <row r="67" spans="1:1" x14ac:dyDescent="0.25">
      <c r="A67" t="str">
        <f>IF(Definition!C72="*","*","")&amp;Definition!D72&amp;" "&amp;IF(Definition!E72="","",Definition!E72)&amp;" "&amp;IF(Definition!J72="","",Definition!J72)&amp;" "&amp;IF(Definition!J72="","","!")&amp;IF(Definition!I72="","",Definition!I72)</f>
        <v>M1300_PI01_Do = M1300_PI01_Di+2*M1300_PI01_e !m</v>
      </c>
    </row>
    <row r="68" spans="1:1" x14ac:dyDescent="0.25">
      <c r="A68" t="str">
        <f>IF(Definition!C73="*","*","")&amp;Definition!D73&amp;" "&amp;IF(Definition!E73="","",Definition!E73)&amp;" "&amp;IF(Definition!J73="","",Definition!J73)&amp;" "&amp;IF(Definition!J73="","","!")&amp;IF(Definition!I73="","",Definition!I73)</f>
        <v>M1300_PI01_Kpi = 328*WTOKJPH !kJ/h.m.K</v>
      </c>
    </row>
    <row r="69" spans="1:1" x14ac:dyDescent="0.25">
      <c r="A69" t="str">
        <f>IF(Definition!C74="*","*","")&amp;Definition!D74&amp;" "&amp;IF(Definition!E74="","",Definition!E74)&amp;" "&amp;IF(Definition!J74="","",Definition!J74)&amp;" "&amp;IF(Definition!J74="","","!")&amp;IF(Definition!I74="","",Definition!I74)</f>
        <v>M1300_PI01_Insth = ((1000*M1300_PI01_Do)*0.0253172213+51.1780361)/1000 !m</v>
      </c>
    </row>
    <row r="70" spans="1:1" x14ac:dyDescent="0.25">
      <c r="A70" t="str">
        <f>IF(Definition!C75="*","*","")&amp;Definition!D75&amp;" "&amp;IF(Definition!E75="","",Definition!E75)&amp;" "&amp;IF(Definition!J75="","",Definition!J75)&amp;" "&amp;IF(Definition!J75="","","!")&amp;IF(Definition!I75="","",Definition!I75)</f>
        <v>M1300_PI01_Insk = 0.043*WTOKJPH !kJ/h.m.K</v>
      </c>
    </row>
    <row r="71" spans="1:1" x14ac:dyDescent="0.25">
      <c r="A71" t="str">
        <f>IF(Definition!C76="*","*","")&amp;Definition!D76&amp;" "&amp;IF(Definition!E76="","",Definition!E76)&amp;" "&amp;IF(Definition!J76="","",Definition!J76)&amp;" "&amp;IF(Definition!J76="","","!")&amp;IF(Definition!I76="","",Definition!I76)</f>
        <v>M1300_PI01_L = 3*(M1300_WSS01_Area*3)^0.5 !m</v>
      </c>
    </row>
    <row r="72" spans="1:1" x14ac:dyDescent="0.25">
      <c r="A72" t="str">
        <f>IF(Definition!C77="*","*","")&amp;Definition!D77&amp;" "&amp;IF(Definition!E77="","",Definition!E77)&amp;" "&amp;IF(Definition!J77="","",Definition!J77)&amp;" "&amp;IF(Definition!J77="","","!")&amp;IF(Definition!I77="","",Definition!I77)</f>
        <v>M1300_PI01_L2 = 0.5*M1300_PI01_L !m</v>
      </c>
    </row>
    <row r="73" spans="1:1" x14ac:dyDescent="0.25">
      <c r="A73" t="e">
        <f>IF(Definition!#REF!="*","*","")&amp;Definition!#REF!&amp;" "&amp;IF(Definition!#REF!="","",Definition!#REF!)&amp;" "&amp;IF(Definition!#REF!="","",Definition!#REF!)&amp;" "&amp;IF(Definition!#REF!="","","!")&amp;IF(Definition!#REF!="","",Definition!#REF!)</f>
        <v>#REF!</v>
      </c>
    </row>
    <row r="74" spans="1:1" x14ac:dyDescent="0.25">
      <c r="A74" t="e">
        <f>IF(Definition!#REF!="*","*","")&amp;Definition!#REF!&amp;" "&amp;IF(Definition!#REF!="","",Definition!#REF!)&amp;" "&amp;IF(Definition!#REF!="","",Definition!#REF!)&amp;" "&amp;IF(Definition!#REF!="","","!")&amp;IF(Definition!#REF!="","",Definition!#REF!)</f>
        <v>#REF!</v>
      </c>
    </row>
    <row r="75" spans="1:1" x14ac:dyDescent="0.25">
      <c r="A75" t="e">
        <f>IF(Definition!#REF!="*","*","")&amp;Definition!#REF!&amp;" "&amp;IF(Definition!#REF!="","",Definition!#REF!)&amp;" "&amp;IF(Definition!#REF!="","",Definition!#REF!)&amp;" "&amp;IF(Definition!#REF!="","","!")&amp;IF(Definition!#REF!="","",Definition!#REF!)</f>
        <v>#REF!</v>
      </c>
    </row>
    <row r="76" spans="1:1" x14ac:dyDescent="0.25">
      <c r="A76" t="e">
        <f>IF(Definition!#REF!="*","*","")&amp;Definition!#REF!&amp;" "&amp;IF(Definition!#REF!="","",Definition!#REF!)&amp;" "&amp;IF(Definition!#REF!="","",Definition!#REF!)&amp;" "&amp;IF(Definition!#REF!="","","!")&amp;IF(Definition!#REF!="","",Definition!#REF!)</f>
        <v>#REF!</v>
      </c>
    </row>
    <row r="77" spans="1:1" x14ac:dyDescent="0.25">
      <c r="A77" t="e">
        <f>IF(Definition!#REF!="*","*","")&amp;Definition!#REF!&amp;" "&amp;IF(Definition!#REF!="","",Definition!#REF!)&amp;" "&amp;IF(Definition!#REF!="","",Definition!#REF!)&amp;" "&amp;IF(Definition!#REF!="","","!")&amp;IF(Definition!#REF!="","",Definition!#REF!)</f>
        <v>#REF!</v>
      </c>
    </row>
    <row r="78" spans="1:1" x14ac:dyDescent="0.25">
      <c r="A78" t="e">
        <f>IF(Definition!#REF!="*","*","")&amp;Definition!#REF!&amp;" "&amp;IF(Definition!#REF!="","",Definition!#REF!)&amp;" "&amp;IF(Definition!#REF!="","",Definition!#REF!)&amp;" "&amp;IF(Definition!#REF!="","","!")&amp;IF(Definition!#REF!="","",Definition!#REF!)</f>
        <v>#REF!</v>
      </c>
    </row>
    <row r="79" spans="1:1" x14ac:dyDescent="0.25">
      <c r="A79" t="e">
        <f>IF(Definition!#REF!="*","*","")&amp;Definition!#REF!&amp;" "&amp;IF(Definition!#REF!="","",Definition!#REF!)&amp;" "&amp;IF(Definition!#REF!="","",Definition!#REF!)&amp;" "&amp;IF(Definition!#REF!="","","!")&amp;IF(Definition!#REF!="","",Definition!#REF!)</f>
        <v>#REF!</v>
      </c>
    </row>
    <row r="80" spans="1:1" x14ac:dyDescent="0.25">
      <c r="A80" t="e">
        <f>IF(Definition!#REF!="*","*","")&amp;Definition!#REF!&amp;" "&amp;IF(Definition!#REF!="","",Definition!#REF!)&amp;" "&amp;IF(Definition!#REF!="","",Definition!#REF!)&amp;" "&amp;IF(Definition!#REF!="","","!")&amp;IF(Definition!#REF!="","",Definition!#REF!)</f>
        <v>#REF!</v>
      </c>
    </row>
    <row r="81" spans="1:1" x14ac:dyDescent="0.25">
      <c r="A81" t="str">
        <f>IF(Definition!C78="*","*","")&amp;Definition!D78&amp;" "&amp;IF(Definition!E78="","",Definition!E78)&amp;" "&amp;IF(Definition!J78="","",Definition!J78)&amp;" "&amp;IF(Definition!J78="","","!")&amp;IF(Definition!I78="","",Definition!I78)</f>
        <v xml:space="preserve">*HEAT EXCHANGER PARAMETERS   </v>
      </c>
    </row>
    <row r="82" spans="1:1" x14ac:dyDescent="0.25">
      <c r="A82" t="str">
        <f>IF(Definition!C79="*","*","")&amp;Definition!D79&amp;" "&amp;IF(Definition!E79="","",Definition!E79)&amp;" "&amp;IF(Definition!J79="","",Definition!J79)&amp;" "&amp;IF(Definition!J79="","","!")&amp;IF(Definition!I79="","",Definition!I79)</f>
        <v xml:space="preserve">EQUATION 3  </v>
      </c>
    </row>
    <row r="83" spans="1:1" x14ac:dyDescent="0.25">
      <c r="A83" t="str">
        <f>IF(Definition!C80="*","*","")&amp;Definition!D80&amp;" "&amp;IF(Definition!E80="","",Definition!E80)&amp;" "&amp;IF(Definition!J80="","",Definition!J80)&amp;" "&amp;IF(Definition!J80="","","!")&amp;IF(Definition!I80="","",Definition!I80)</f>
        <v>M1300_HX01_DTLM = 4 !°C</v>
      </c>
    </row>
    <row r="84" spans="1:1" x14ac:dyDescent="0.25">
      <c r="A84" t="str">
        <f>IF(Definition!C81="*","*","")&amp;Definition!D81&amp;" "&amp;IF(Definition!E81="","",Definition!E81)&amp;" "&amp;IF(Definition!J81="","",Definition!J81)&amp;" "&amp;IF(Definition!J81="","","!")&amp;IF(Definition!I81="","",Definition!I81)</f>
        <v>M1300_Qmax_solar = M1300_WSS01_Area*Itmax*M1300_WSS01_a0 !kJ/h</v>
      </c>
    </row>
    <row r="85" spans="1:1" x14ac:dyDescent="0.25">
      <c r="A85" t="str">
        <f>IF(Definition!C82="*","*","")&amp;Definition!D82&amp;" "&amp;IF(Definition!E82="","",Definition!E82)&amp;" "&amp;IF(Definition!J82="","",Definition!J82)&amp;" "&amp;IF(Definition!J82="","","!")&amp;IF(Definition!I82="","",Definition!I82)</f>
        <v>M1300_HX01_UA = M1300_Qmax_solar/M1300_HX01_DTLM !kJ/h.°C</v>
      </c>
    </row>
    <row r="86" spans="1:1" x14ac:dyDescent="0.25">
      <c r="A86" t="str">
        <f>IF(Definition!C83="*","*","")&amp;Definition!D83&amp;" "&amp;IF(Definition!E83="","",Definition!E83)&amp;" "&amp;IF(Definition!J83="","",Definition!J83)&amp;" "&amp;IF(Definition!J83="","","!")&amp;IF(Definition!I83="","",Definition!I83)</f>
        <v xml:space="preserve">*PUMP PARAMETERS   </v>
      </c>
    </row>
    <row r="87" spans="1:1" x14ac:dyDescent="0.25">
      <c r="A87" t="str">
        <f>IF(Definition!C84="*","*","")&amp;Definition!D84&amp;" "&amp;IF(Definition!E84="","",Definition!E84)&amp;" "&amp;IF(Definition!J84="","",Definition!J84)&amp;" "&amp;IF(Definition!J84="","","!")&amp;IF(Definition!I84="","",Definition!I84)</f>
        <v xml:space="preserve">EQUATION 9  </v>
      </c>
    </row>
    <row r="88" spans="1:1" x14ac:dyDescent="0.25">
      <c r="A88" t="str">
        <f>IF(Definition!C85="*","*","")&amp;Definition!D85&amp;" "&amp;IF(Definition!E85="","",Definition!E85)&amp;" "&amp;IF(Definition!J85="","",Definition!J85)&amp;" "&amp;IF(Definition!J85="","","!")&amp;IF(Definition!I85="","",Definition!I85)</f>
        <v>M1300_PU01_MMin = M1300_WSS01_CtFRMin*M1300_PU01_M !kg/h</v>
      </c>
    </row>
    <row r="89" spans="1:1" x14ac:dyDescent="0.25">
      <c r="A89" t="str">
        <f>IF(Definition!C86="*","*","")&amp;Definition!D86&amp;" "&amp;IF(Definition!E86="","",Definition!E86)&amp;" "&amp;IF(Definition!J86="","",Definition!J86)&amp;" "&amp;IF(Definition!J86="","","!")&amp;IF(Definition!I86="","",Definition!I86)</f>
        <v>M1300_PU01_M = M1300_WSS01_MPAC*M1300_WSS01_Area !kg/h</v>
      </c>
    </row>
    <row r="90" spans="1:1" x14ac:dyDescent="0.25">
      <c r="A90" t="str">
        <f>IF(Definition!C87="*","*","")&amp;Definition!D87&amp;" "&amp;IF(Definition!E87="","",Definition!E87)&amp;" "&amp;IF(Definition!J87="","",Definition!J87)&amp;" "&amp;IF(Definition!J87="","","!")&amp;IF(Definition!I87="","",Definition!I87)</f>
        <v>M1300_PU01_V = M1300_PU01_M/M1300_RoPri !m3/h</v>
      </c>
    </row>
    <row r="91" spans="1:1" x14ac:dyDescent="0.25">
      <c r="A91" t="str">
        <f>IF(Definition!C88="*","*","")&amp;Definition!D88&amp;" "&amp;IF(Definition!E88="","",Definition!E88)&amp;" "&amp;IF(Definition!J88="","",Definition!J88)&amp;" "&amp;IF(Definition!J88="","","!")&amp;IF(Definition!I88="","",Definition!I88)</f>
        <v>M1300_PU01_AP = MIN(GT(M1300_PU01_V,0.2)*((9.49779473*10**-6)*M1300_PU01_V**3-0.00350971*M1300_PU01_V**2+0.44274642*M1300_PU01_V+5.87642027)+LE(M1300_PU01_V,0.2)*25*M1300_PU01_V,30)*M1300_RoPri*9.8 !Pa</v>
      </c>
    </row>
    <row r="92" spans="1:1" x14ac:dyDescent="0.25">
      <c r="A92" t="str">
        <f>IF(Definition!C89="*","*","")&amp;Definition!D89&amp;" "&amp;IF(Definition!E89="","",Definition!E89)&amp;" "&amp;IF(Definition!J89="","",Definition!J89)&amp;" "&amp;IF(Definition!J89="","","!")&amp;IF(Definition!I89="","",Definition!I89)</f>
        <v>M1300_PU01_P = M1300_PU01_AP*M1300_PU01_V*(1/3600)*3.6/eta_pump !kJ/h</v>
      </c>
    </row>
    <row r="93" spans="1:1" x14ac:dyDescent="0.25">
      <c r="A93" t="str">
        <f>IF(Definition!C90="*","*","")&amp;Definition!D90&amp;" "&amp;IF(Definition!E90="","",Definition!E90)&amp;" "&amp;IF(Definition!J90="","",Definition!J90)&amp;" "&amp;IF(Definition!J90="","","!")&amp;IF(Definition!I90="","",Definition!I90)</f>
        <v>M1300_PU02_M = M1300_PU01_M*M1300_CpPri/M1300_CpSec !kg/h</v>
      </c>
    </row>
    <row r="94" spans="1:1" x14ac:dyDescent="0.25">
      <c r="A94" t="str">
        <f>IF(Definition!C91="*","*","")&amp;Definition!D91&amp;" "&amp;IF(Definition!E91="","",Definition!E91)&amp;" "&amp;IF(Definition!J91="","",Definition!J91)&amp;" "&amp;IF(Definition!J91="","","!")&amp;IF(Definition!I91="","",Definition!I91)</f>
        <v>M1300_PU02_V = M1300_PU02_M/M1300_RoSec !m3/h</v>
      </c>
    </row>
    <row r="95" spans="1:1" x14ac:dyDescent="0.25">
      <c r="A95" t="str">
        <f>IF(Definition!C92="*","*","")&amp;Definition!D92&amp;" "&amp;IF(Definition!E92="","",Definition!E92)&amp;" "&amp;IF(Definition!J92="","",Definition!J92)&amp;" "&amp;IF(Definition!J92="","","!")&amp;IF(Definition!I92="","",Definition!I92)</f>
        <v>M1300_PU02_AP = MIN(GT(M1300_PU02_V,0.2)*((9.49779473*10**-6)*M1300_PU02_V**3-0.00350971*M1300_PU02_V**2+0.44274642*M1300_PU02_V+5.87642027)+LE(M1300_PU02_V,0.2)*25*M1300_PU02_V,30)*M1300_RoSec*9.8 !Pa</v>
      </c>
    </row>
    <row r="96" spans="1:1" x14ac:dyDescent="0.25">
      <c r="A96" t="str">
        <f>IF(Definition!C93="*","*","")&amp;Definition!D93&amp;" "&amp;IF(Definition!E93="","",Definition!E93)&amp;" "&amp;IF(Definition!J93="","",Definition!J93)&amp;" "&amp;IF(Definition!J93="","","!")&amp;IF(Definition!I93="","",Definition!I93)</f>
        <v>M1300_PU02_P = M1300_PU02_AP*M1300_PU02_V*(1/3600)*3.6/eta_pump !kJ/h</v>
      </c>
    </row>
    <row r="97" spans="1:1" x14ac:dyDescent="0.25">
      <c r="A97" t="str">
        <f>IF(Definition!C94="*","*","")&amp;Definition!D94&amp;" "&amp;IF(Definition!E94="","",Definition!E94)&amp;" "&amp;IF(Definition!J94="","",Definition!J94)&amp;" "&amp;IF(Definition!J94="","","!")&amp;IF(Definition!I94="","",Definition!I94)</f>
        <v xml:space="preserve">*CONTROL PARAMETERS   </v>
      </c>
    </row>
    <row r="98" spans="1:1" x14ac:dyDescent="0.25">
      <c r="A98" t="str">
        <f>IF(Definition!C95="*","*","")&amp;Definition!D95&amp;" "&amp;IF(Definition!E95="","",Definition!E95)&amp;" "&amp;IF(Definition!J95="","",Definition!J95)&amp;" "&amp;IF(Definition!J95="","","!")&amp;IF(Definition!I95="","",Definition!I95)</f>
        <v xml:space="preserve">EQUATION 8  </v>
      </c>
    </row>
    <row r="99" spans="1:1" x14ac:dyDescent="0.25">
      <c r="A99" t="str">
        <f>IF(Definition!C96="*","*","")&amp;Definition!D96&amp;" "&amp;IF(Definition!E96="","",Definition!E96)&amp;" "&amp;IF(Definition!J96="","",Definition!J96)&amp;" "&amp;IF(Definition!J96="","","!")&amp;IF(Definition!I96="","",Definition!I96)</f>
        <v>M1300_CON01_GTHb = M1300_CON01_GTLb+50 !W/m2</v>
      </c>
    </row>
    <row r="100" spans="1:1" x14ac:dyDescent="0.25">
      <c r="A100" t="str">
        <f>IF(Definition!C97="*","*","")&amp;Definition!D97&amp;" "&amp;IF(Definition!E97="","",Definition!E97)&amp;" "&amp;IF(Definition!J97="","",Definition!J97)&amp;" "&amp;IF(Definition!J97="","","!")&amp;IF(Definition!I97="","",Definition!I97)</f>
        <v>M1300_CON01_SRadGTH = M1300_CON01_GTHb*WTOKJPH !kJ/h.m2</v>
      </c>
    </row>
    <row r="101" spans="1:1" x14ac:dyDescent="0.25">
      <c r="A101" t="str">
        <f>IF(Definition!C98="*","*","")&amp;Definition!D98&amp;" "&amp;IF(Definition!E98="","",Definition!E98)&amp;" "&amp;IF(Definition!J98="","",Definition!J98)&amp;" "&amp;IF(Definition!J98="","","!")&amp;IF(Definition!I98="","",Definition!I98)</f>
        <v>M1300_CON01_GTLb = (M1300_WSS01_a1/WTOKJPH*(M1300_WSS01_TCol_est-20*PAR_REN-TAirAve)+M1300_WSS01_a2/WTOKJPH*(M1300_WSS01_TCol_est-20*PAR_REN-TAirAve)^2)/M1300_WSS01_a0 !W/m2</v>
      </c>
    </row>
    <row r="102" spans="1:1" x14ac:dyDescent="0.25">
      <c r="A102" t="str">
        <f>IF(Definition!C99="*","*","")&amp;Definition!D99&amp;" "&amp;IF(Definition!E99="","",Definition!E99)&amp;" "&amp;IF(Definition!J99="","",Definition!J99)&amp;" "&amp;IF(Definition!J99="","","!")&amp;IF(Definition!I99="","",Definition!I99)</f>
        <v>M1300_CON01_SRadGTL = M1300_CON01_GTLb*WTOKJPH !kJ/h.m2</v>
      </c>
    </row>
    <row r="103" spans="1:1" x14ac:dyDescent="0.25">
      <c r="A103" t="str">
        <f>IF(Definition!C100="*","*","")&amp;Definition!D100&amp;" "&amp;IF(Definition!E100="","",Definition!E100)&amp;" "&amp;IF(Definition!J100="","",Definition!J100)&amp;" "&amp;IF(Definition!J100="","","!")&amp;IF(Definition!I100="","",Definition!I100)</f>
        <v>M1300_CON02_DifDelTL = M1300_HX01_DTLM !°C</v>
      </c>
    </row>
    <row r="104" spans="1:1" x14ac:dyDescent="0.25">
      <c r="A104" t="str">
        <f>IF(Definition!C101="*","*","")&amp;Definition!D101&amp;" "&amp;IF(Definition!E101="","",Definition!E101)&amp;" "&amp;IF(Definition!J101="","",Definition!J101)&amp;" "&amp;IF(Definition!J101="","","!")&amp;IF(Definition!I101="","",Definition!I101)</f>
        <v>M1300_CON02_DifDelTH = M1300_CON02_DifDelTL+2 !°C</v>
      </c>
    </row>
    <row r="105" spans="1:1" x14ac:dyDescent="0.25">
      <c r="A105" t="str">
        <f>IF(Definition!C102="*","*","")&amp;Definition!D102&amp;" "&amp;IF(Definition!E102="","",Definition!E102)&amp;" "&amp;IF(Definition!J102="","",Definition!J102)&amp;" "&amp;IF(Definition!J102="","","!")&amp;IF(Definition!I102="","",Definition!I102)</f>
        <v>M1300_WSS01_Tmax = 140 !°C</v>
      </c>
    </row>
    <row r="106" spans="1:1" x14ac:dyDescent="0.25">
      <c r="A106" t="str">
        <f>IF(Definition!C103="*","*","")&amp;Definition!D103&amp;" "&amp;IF(Definition!E103="","",Definition!E103)&amp;" "&amp;IF(Definition!J103="","",Definition!J103)&amp;" "&amp;IF(Definition!J103="","","!")&amp;IF(Definition!I103="","",Definition!I103)</f>
        <v>M1300_CON02_TST1Max = max(90,TDemSetpar+20) !°C</v>
      </c>
    </row>
    <row r="107" spans="1:1" x14ac:dyDescent="0.25">
      <c r="A107" t="str">
        <f>IF(Definition!C104="*","*","")&amp;Definition!D104&amp;" "&amp;IF(Definition!E104="","",Definition!E104)&amp;" "&amp;IF(Definition!J104="","",Definition!J104)&amp;" "&amp;IF(Definition!J104="","","!")&amp;IF(Definition!I104="","",Definition!I104)</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C8FB-4FE4-41D9-81C4-FC522266627E}">
  <sheetPr codeName="Hoja3"/>
  <dimension ref="A1:A123"/>
  <sheetViews>
    <sheetView workbookViewId="0">
      <selection activeCell="A123" sqref="A1:A123"/>
    </sheetView>
  </sheetViews>
  <sheetFormatPr baseColWidth="10" defaultRowHeight="15" x14ac:dyDescent="0.25"/>
  <sheetData>
    <row r="1" spans="1:1" x14ac:dyDescent="0.25">
      <c r="A1" t="str">
        <f>IF(Definition!C105="*","*","")&amp;Definition!D105&amp;" "&amp;IF(Definition!E105="","",Definition!E105)&amp;" "&amp;IF(Definition!J105="","",Definition!J105)&amp;" "&amp;IF(Definition!J105="","","!")&amp;IF(Definition!I105="","",Definition!I105)</f>
        <v xml:space="preserve">*LOGICAL UNIT ASSIGN   </v>
      </c>
    </row>
    <row r="2" spans="1:1" x14ac:dyDescent="0.25">
      <c r="A2" t="str">
        <f>IF(Definition!C115="*","*","")&amp;Definition!D115&amp;" "&amp;IF(Definition!E115="","",Definition!E115)&amp;" "&amp;IF(Definition!J115="","",Definition!J115)&amp;" "&amp;IF(Definition!J115="","","!")&amp;IF(Definition!I115="","",Definition!I115)</f>
        <v xml:space="preserve">EQUATION 5  </v>
      </c>
    </row>
    <row r="3" spans="1:1" x14ac:dyDescent="0.25">
      <c r="A3" t="str">
        <f>IF(Definition!C116="*","*","")&amp;Definition!D116&amp;" "&amp;IF(Definition!E116="","",Definition!E116)&amp;" "&amp;IF(Definition!J116="","",Definition!J116)&amp;" "&amp;IF(Definition!J116="","","!")&amp;IF(Definition!I116="","",Definition!I116)</f>
        <v>ONLINE = 0 !-</v>
      </c>
    </row>
    <row r="4" spans="1:1" x14ac:dyDescent="0.25">
      <c r="A4" t="str">
        <f>IF(Definition!C117="*","*","")&amp;Definition!D117&amp;" "&amp;IF(Definition!E117="","",Definition!E117)&amp;" "&amp;IF(Definition!J117="","",Definition!J117)&amp;" "&amp;IF(Definition!J117="","","!")&amp;IF(Definition!I117="","",Definition!I117)</f>
        <v>M0100_LU_MET = EQL(PAR_LOC,1)*11+EQL(PAR_LOC,2)*12+EQL(PAR_LOC,3)*13+EQL(PAR_LOC,4)*14+EQL(PAR_LOC,5)*15+EQL(PAR_LOC,6)*16 !-</v>
      </c>
    </row>
    <row r="5" spans="1:1" x14ac:dyDescent="0.25">
      <c r="A5" t="str">
        <f>IF(Definition!C118="*","*","")&amp;Definition!D118&amp;" "&amp;IF(Definition!E118="","",Definition!E118)&amp;" "&amp;IF(Definition!J118="","",Definition!J118)&amp;" "&amp;IF(Definition!J118="","","!")&amp;IF(Definition!I118="","",Definition!I118)</f>
        <v>M1300_LU_MSK = 90 !-</v>
      </c>
    </row>
    <row r="6" spans="1:1" x14ac:dyDescent="0.25">
      <c r="A6" t="str">
        <f>IF(Definition!C119="*","*","")&amp;Definition!D119&amp;" "&amp;IF(Definition!E119="","",Definition!E119)&amp;" "&amp;IF(Definition!J119="","",Definition!J119)&amp;" "&amp;IF(Definition!J119="","","!")&amp;IF(Definition!I119="","",Definition!I119)</f>
        <v>M1300_LU_COL = (EQL(PAR_STC,1)+EQL(PAR_STC,2))*103+EQL(PAR_STC,3)*103+EQL(PAR_STC,4)*104+EQL(PAR_STC,5)*105+EQL(PAR_STC,6)*106+EQL(PAR_STC,7)*107  !-</v>
      </c>
    </row>
    <row r="7" spans="1:1" x14ac:dyDescent="0.25">
      <c r="A7" t="str">
        <f>IF(Definition!C120="*","*","")&amp;Definition!D120&amp;" "&amp;IF(Definition!E120="","",Definition!E120)&amp;" "&amp;IF(Definition!J120="","",Definition!J120)&amp;" "&amp;IF(Definition!J120="","","!")&amp;IF(Definition!I120="","",Definition!I120)</f>
        <v>M8100_LU_DEM = 801 !-</v>
      </c>
    </row>
    <row r="8" spans="1:1" x14ac:dyDescent="0.25">
      <c r="A8" t="e">
        <f>IF(Definition!#REF!="*","*","")&amp;Definition!#REF!&amp;" "&amp;IF(Definition!#REF!="","",Definition!#REF!)&amp;" "&amp;IF(Definition!#REF!="","",Definition!#REF!)&amp;" "&amp;IF(Definition!#REF!="","","!")&amp;IF(Definition!#REF!="","",Definition!#REF!)</f>
        <v>#REF!</v>
      </c>
    </row>
    <row r="9" spans="1:1" x14ac:dyDescent="0.25">
      <c r="A9" t="e">
        <f>IF(Definition!#REF!="*","*","")&amp;Definition!#REF!&amp;" "&amp;IF(Definition!#REF!="","",Definition!#REF!)&amp;" "&amp;IF(Definition!#REF!="","",Definition!#REF!)&amp;" "&amp;IF(Definition!#REF!="","","!")&amp;IF(Definition!#REF!="","",Definition!#REF!)</f>
        <v>#REF!</v>
      </c>
    </row>
    <row r="10" spans="1:1" x14ac:dyDescent="0.25">
      <c r="A10" t="e">
        <f>IF(Definition!#REF!="*","*","")&amp;Definition!#REF!&amp;" "&amp;IF(Definition!#REF!="","",Definition!#REF!)&amp;" "&amp;IF(Definition!#REF!="","",Definition!#REF!)&amp;" "&amp;IF(Definition!#REF!="","","!")&amp;IF(Definition!#REF!="","",Definition!#REF!)</f>
        <v>#REF!</v>
      </c>
    </row>
    <row r="11" spans="1:1" x14ac:dyDescent="0.25">
      <c r="A11" t="e">
        <f>IF(Definition!#REF!="*","*","")&amp;Definition!#REF!&amp;" "&amp;IF(Definition!#REF!="","",Definition!#REF!)&amp;" "&amp;IF(Definition!#REF!="","",Definition!#REF!)&amp;" "&amp;IF(Definition!#REF!="","","!")&amp;IF(Definition!#REF!="","",Definition!#REF!)</f>
        <v>#REF!</v>
      </c>
    </row>
    <row r="12" spans="1:1" x14ac:dyDescent="0.25">
      <c r="A12" t="e">
        <f>IF(Definition!#REF!="*","*","")&amp;Definition!#REF!&amp;" "&amp;IF(Definition!#REF!="","",Definition!#REF!)&amp;" "&amp;IF(Definition!#REF!="","",Definition!#REF!)&amp;" "&amp;IF(Definition!#REF!="","","!")&amp;IF(Definition!#REF!="","",Definition!#REF!)</f>
        <v>#REF!</v>
      </c>
    </row>
    <row r="13" spans="1:1" x14ac:dyDescent="0.25">
      <c r="A13" t="e">
        <f>IF(Definition!#REF!="*","*","")&amp;Definition!#REF!&amp;" "&amp;IF(Definition!#REF!="","",Definition!#REF!)&amp;" "&amp;IF(Definition!#REF!="","",Definition!#REF!)&amp;" "&amp;IF(Definition!#REF!="","","!")&amp;IF(Definition!#REF!="","",Definition!#REF!)</f>
        <v>#REF!</v>
      </c>
    </row>
    <row r="14" spans="1:1" x14ac:dyDescent="0.25">
      <c r="A14" t="str">
        <f>IF(Definition!C121="*","*","")&amp;Definition!D121&amp;" "&amp;IF(Definition!E121="","",Definition!E121)&amp;" "&amp;IF(Definition!J121="","",Definition!J121)&amp;" "&amp;IF(Definition!J121="","","!")&amp;IF(Definition!I121="","",Definition!I121)</f>
        <v xml:space="preserve">*LOCATION AND METEO PARAMETERS   </v>
      </c>
    </row>
    <row r="15" spans="1:1" x14ac:dyDescent="0.25">
      <c r="A15" t="str">
        <f>IF(Definition!C122="*","*","")&amp;Definition!D122&amp;" "&amp;IF(Definition!E122="","",Definition!E122)&amp;" "&amp;IF(Definition!J122="","",Definition!J122)&amp;" "&amp;IF(Definition!J122="","","!")&amp;IF(Definition!I122="","",Definition!I122)</f>
        <v xml:space="preserve">EQUATION 12  </v>
      </c>
    </row>
    <row r="16" spans="1:1" x14ac:dyDescent="0.25">
      <c r="A16" t="str">
        <f>IF(Definition!C125="*","*","")&amp;Definition!D125&amp;" "&amp;IF(Definition!E125="","",Definition!E125)&amp;" "&amp;IF(Definition!J125="","",Definition!J125)&amp;" "&amp;IF(Definition!J125="","","!")&amp;IF(Definition!I125="","",Definition!I125)</f>
        <v>PAR_LOC = 4 !</v>
      </c>
    </row>
    <row r="17" spans="1:1" x14ac:dyDescent="0.25">
      <c r="A17" t="str">
        <f>IF(Definition!C126="*","*","")&amp;Definition!D126&amp;" "&amp;IF(Definition!E126="","",Definition!E126)&amp;" "&amp;IF(Definition!J126="","",Definition!J126)&amp;" "&amp;IF(Definition!J126="","","!")&amp;IF(Definition!I126="","",Definition!I126)</f>
        <v>Gth = EQL(PAR_LOC,1)*988.27+EQL(PAR_LOC,2)*1143.27+EQL(PAR_LOC,3)*1443.75+EQL(PAR_LOC,4)*1661.53+EQL(PAR_LOC,5)*1843.28+EQL(PAR_LOC,6)*2359.84 !kWh/m2</v>
      </c>
    </row>
    <row r="18" spans="1:1" x14ac:dyDescent="0.25">
      <c r="A18" t="str">
        <f>IF(Definition!C127="*","*","")&amp;Definition!D127&amp;" "&amp;IF(Definition!E127="","",Definition!E127)&amp;" "&amp;IF(Definition!J127="","",Definition!J127)&amp;" "&amp;IF(Definition!J127="","","!")&amp;IF(Definition!I127="","",Definition!I127)</f>
        <v>Gbh = EQL(PAR_LOC,1)*436.11+EQL(PAR_LOC,2)*482.44+EQL(PAR_LOC,3)*731.47+EQL(PAR_LOC,4)*1008.62+EQL(PAR_LOC,5)*1206.82+EQL(PAR_LOC,6)*1677.30 !kWh/m2</v>
      </c>
    </row>
    <row r="19" spans="1:1" x14ac:dyDescent="0.25">
      <c r="A19" t="str">
        <f>IF(Definition!C128="*","*","")&amp;Definition!D128&amp;" "&amp;IF(Definition!E128="","",Definition!E128)&amp;" "&amp;IF(Definition!J128="","",Definition!J128)&amp;" "&amp;IF(Definition!J128="","","!")&amp;IF(Definition!I128="","",Definition!I128)</f>
        <v>Gdh = Gth-Gbh !kWh/m2</v>
      </c>
    </row>
    <row r="20" spans="1:1" x14ac:dyDescent="0.25">
      <c r="A20" t="e">
        <f>IF(Definition!#REF!="*","*","")&amp;Definition!#REF!&amp;" "&amp;IF(Definition!#REF!="","",Definition!#REF!)&amp;" "&amp;IF(Definition!#REF!="","",Definition!#REF!)&amp;" "&amp;IF(Definition!#REF!="","","!")&amp;IF(Definition!#REF!="","",Definition!#REF!)</f>
        <v>#REF!</v>
      </c>
    </row>
    <row r="21" spans="1:1" x14ac:dyDescent="0.25">
      <c r="A21" t="str">
        <f>IF(Definition!C129="*","*","")&amp;Definition!D129&amp;" "&amp;IF(Definition!E129="","",Definition!E129)&amp;" "&amp;IF(Definition!J129="","",Definition!J129)&amp;" "&amp;IF(Definition!J129="","","!")&amp;IF(Definition!I129="","",Definition!I129)</f>
        <v>Itmax = 1100*WTOKJPH !kJ/h.m2  (EQL(PAR_LOC,1)*1100+EQL(PAR_LOC,2)*1050+EQL(PAR_LOC,3)*1050+EQL(PAR_LOC,4)*1000+EQL(PAR_LOC,5)*1000)*WTOKJPH !kJ/h.m2</v>
      </c>
    </row>
    <row r="22" spans="1:1" x14ac:dyDescent="0.25">
      <c r="A22" t="str">
        <f>IF(Definition!C130="*","*","")&amp;Definition!D130&amp;" "&amp;IF(Definition!E130="","",Definition!E130)&amp;" "&amp;IF(Definition!J130="","",Definition!J130)&amp;" "&amp;IF(Definition!J130="","","!")&amp;IF(Definition!I130="","",Definition!I130)</f>
        <v>Itnom = EQL(PAR_LOC,1)*511.03+EQL(PAR_LOC,2)*537.89+EQL(PAR_LOC,3)*604.22+EQL(PAR_LOC,4)*668.48+EQL(PAR_LOC,5)*718.02+EQL(PAR_LOC,6)*861.92 !W/m2</v>
      </c>
    </row>
    <row r="23" spans="1:1" x14ac:dyDescent="0.25">
      <c r="A23" t="str">
        <f>IF(Definition!C131="*","*","")&amp;Definition!D131&amp;" "&amp;IF(Definition!E131="","",Definition!E131)&amp;" "&amp;IF(Definition!J131="","",Definition!J131)&amp;" "&amp;IF(Definition!J131="","","!")&amp;IF(Definition!I131="","",Definition!I131)</f>
        <v>Lat = EQL(PAR_LOC,1)*55.6667+EQL(PAR_LOC,2)*46.9833+EQL(PAR_LOC,3)*41.3879+EQL(PAR_LOC,4)*40.4167+EQL(PAR_LOC,5)*-33.4667+EQL(PAR_LOC,6)*-22.3094 !°</v>
      </c>
    </row>
    <row r="24" spans="1:1" x14ac:dyDescent="0.25">
      <c r="A24" t="str">
        <f>IF(Definition!C124="*","*","")&amp;Definition!D124&amp;" "&amp;IF(Definition!E124="","",Definition!E124)&amp;" "&amp;IF(Definition!J124="","",Definition!J124)&amp;" "&amp;IF(Definition!J124="","","!")&amp;IF(Definition!I124="","",Definition!I124)</f>
        <v>Mode_TiltSurf = 1 !TMY2</v>
      </c>
    </row>
    <row r="25" spans="1:1" x14ac:dyDescent="0.25">
      <c r="A25" t="str">
        <f>IF(Definition!C132="*","*","")&amp;Definition!D132&amp;" "&amp;IF(Definition!E132="","",Definition!E132)&amp;" "&amp;IF(Definition!J132="","",Definition!J132)&amp;" "&amp;IF(Definition!J132="","","!")&amp;IF(Definition!I132="","",Definition!I132)</f>
        <v>TAirAve = EQL(PAR_LOC,1)*7.99+EQL(PAR_LOC,2)*8.41+EQL(PAR_LOC,3)*16.27+EQL(PAR_LOC,4)*13.91+EQL(PAR_LOC,5)*14.01+EQL(PAR_LOC,6)*11.85 !°C</v>
      </c>
    </row>
    <row r="26" spans="1:1" x14ac:dyDescent="0.25">
      <c r="A26" t="str">
        <f>IF(Definition!C133="*","*","")&amp;Definition!D133&amp;" "&amp;IF(Definition!E133="","",Definition!E133)&amp;" "&amp;IF(Definition!J133="","",Definition!J133)&amp;" "&amp;IF(Definition!J133="","","!")&amp;IF(Definition!I133="","",Definition!I133)</f>
        <v>ATAir = 35 !°C</v>
      </c>
    </row>
    <row r="27" spans="1:1" x14ac:dyDescent="0.25">
      <c r="A27" t="str">
        <f>IF(Definition!C134="*","*","")&amp;Definition!D134&amp;" "&amp;IF(Definition!E134="","",Definition!E134)&amp;" "&amp;IF(Definition!J134="","",Definition!J134)&amp;" "&amp;IF(Definition!J134="","","!")&amp;IF(Definition!I134="","",Definition!I134)</f>
        <v>TAirTime = GT(Lat,0)*222+LT(Lat,0)*42 !</v>
      </c>
    </row>
    <row r="28" spans="1:1" x14ac:dyDescent="0.25">
      <c r="A28" t="str">
        <f>IF(Definition!C135="*","*","")&amp;Definition!D135&amp;" "&amp;IF(Definition!E135="","",Definition!E135)&amp;" "&amp;IF(Definition!J135="","",Definition!J135)&amp;" "&amp;IF(Definition!J135="","","!")&amp;IF(Definition!I135="","",Definition!I135)</f>
        <v xml:space="preserve">*GENERAL PARAMETERS   </v>
      </c>
    </row>
    <row r="29" spans="1:1" x14ac:dyDescent="0.25">
      <c r="A29" t="str">
        <f>IF(Definition!C136="*","*","")&amp;Definition!D136&amp;" "&amp;IF(Definition!E136="","",Definition!E136)&amp;" "&amp;IF(Definition!J136="","",Definition!J136)&amp;" "&amp;IF(Definition!J136="","","!")&amp;IF(Definition!I136="","",Definition!I136)</f>
        <v xml:space="preserve">EQUATION 16  </v>
      </c>
    </row>
    <row r="30" spans="1:1" x14ac:dyDescent="0.25">
      <c r="A30" t="str">
        <f>IF(Definition!C139="*","*","")&amp;Definition!D139&amp;" "&amp;IF(Definition!E139="","",Definition!E139)&amp;" "&amp;IF(Definition!J139="","",Definition!J139)&amp;" "&amp;IF(Definition!J139="","","!")&amp;IF(Definition!I139="","",Definition!I139)</f>
        <v>WTOKJPH = 3.6 !W to kJ/h</v>
      </c>
    </row>
    <row r="31" spans="1:1" x14ac:dyDescent="0.25">
      <c r="A31" t="str">
        <f>IF(Definition!C140="*","*","")&amp;Definition!D140&amp;" "&amp;IF(Definition!E140="","",Definition!E140)&amp;" "&amp;IF(Definition!J140="","",Definition!J140)&amp;" "&amp;IF(Definition!J140="","","!")&amp;IF(Definition!I140="","",Definition!I140)</f>
        <v>GrRef = 0.2 !-</v>
      </c>
    </row>
    <row r="32" spans="1:1" x14ac:dyDescent="0.25">
      <c r="A32" t="str">
        <f>IF(Definition!C141="*","*","")&amp;Definition!D141&amp;" "&amp;IF(Definition!E141="","",Definition!E141)&amp;" "&amp;IF(Definition!J141="","",Definition!J141)&amp;" "&amp;IF(Definition!J141="","","!")&amp;IF(Definition!I141="","",Definition!I141)</f>
        <v>PI = 3.141592654 !-</v>
      </c>
    </row>
    <row r="33" spans="1:1" x14ac:dyDescent="0.25">
      <c r="A33" t="str">
        <f>IF(Definition!C142="*","*","")&amp;Definition!D142&amp;" "&amp;IF(Definition!E142="","",Definition!E142)&amp;" "&amp;IF(Definition!J142="","",Definition!J142)&amp;" "&amp;IF(Definition!J142="","","!")&amp;IF(Definition!I142="","",Definition!I142)</f>
        <v>eta_pump = 0.7 !-</v>
      </c>
    </row>
    <row r="34" spans="1:1" x14ac:dyDescent="0.25">
      <c r="A34" t="str">
        <f>IF(Definition!C143="*","*","")&amp;Definition!D143&amp;" "&amp;IF(Definition!E143="","",Definition!E143)&amp;" "&amp;IF(Definition!J143="","",Definition!J143)&amp;" "&amp;IF(Definition!J143="","","!")&amp;IF(Definition!I143="","",Definition!I143)</f>
        <v>TCOLDW = TAirAve !°C</v>
      </c>
    </row>
    <row r="35" spans="1:1" x14ac:dyDescent="0.25">
      <c r="A35" t="str">
        <f>IF(Definition!C144="*","*","")&amp;Definition!D144&amp;" "&amp;IF(Definition!E144="","",Definition!E144)&amp;" "&amp;IF(Definition!J144="","",Definition!J144)&amp;" "&amp;IF(Definition!J144="","","!")&amp;IF(Definition!I144="","",Definition!I144)</f>
        <v>CpAgua = 4.19 !kJ/kg.K</v>
      </c>
    </row>
    <row r="36" spans="1:1" x14ac:dyDescent="0.25">
      <c r="A36" t="str">
        <f>IF(Definition!C145="*","*","")&amp;Definition!D145&amp;" "&amp;IF(Definition!E145="","",Definition!E145)&amp;" "&amp;IF(Definition!J145="","",Definition!J145)&amp;" "&amp;IF(Definition!J145="","","!")&amp;IF(Definition!I145="","",Definition!I145)</f>
        <v>RoAgua = 1000 !kg/m3</v>
      </c>
    </row>
    <row r="37" spans="1:1" x14ac:dyDescent="0.25">
      <c r="A37" t="str">
        <f>IF(Definition!C146="*","*","")&amp;Definition!D146&amp;" "&amp;IF(Definition!E146="","",Definition!E146)&amp;" "&amp;IF(Definition!J146="","",Definition!J146)&amp;" "&amp;IF(Definition!J146="","","!")&amp;IF(Definition!I146="","",Definition!I146)</f>
        <v>MuAgua = 3600*0.0005 !kg/m.h</v>
      </c>
    </row>
    <row r="38" spans="1:1" x14ac:dyDescent="0.25">
      <c r="A38" t="str">
        <f>IF(Definition!C147="*","*","")&amp;Definition!D147&amp;" "&amp;IF(Definition!E147="","",Definition!E147)&amp;" "&amp;IF(Definition!J147="","",Definition!J147)&amp;" "&amp;IF(Definition!J147="","","!")&amp;IF(Definition!I147="","",Definition!I147)</f>
        <v>Kagua = 3.6*0.65 !kJ/h.m.K</v>
      </c>
    </row>
    <row r="39" spans="1:1" x14ac:dyDescent="0.25">
      <c r="A39" t="str">
        <f>IF(Definition!C148="*","*","")&amp;Definition!D148&amp;" "&amp;IF(Definition!E148="","",Definition!E148)&amp;" "&amp;IF(Definition!J148="","",Definition!J148)&amp;" "&amp;IF(Definition!J148="","","!")&amp;IF(Definition!I148="","",Definition!I148)</f>
        <v>IntSurConvCoef = 6 !kJ/h.m2.K</v>
      </c>
    </row>
    <row r="40" spans="1:1" x14ac:dyDescent="0.25">
      <c r="A40" t="str">
        <f>IF(Definition!C149="*","*","")&amp;Definition!D149&amp;" "&amp;IF(Definition!E149="","",Definition!E149)&amp;" "&amp;IF(Definition!J149="","",Definition!J149)&amp;" "&amp;IF(Definition!J149="","","!")&amp;IF(Definition!I149="","",Definition!I149)</f>
        <v>ExtSurConvCoef = 13 !kJ/h.m2.K</v>
      </c>
    </row>
    <row r="41" spans="1:1" x14ac:dyDescent="0.25">
      <c r="A41" t="str">
        <f>IF(Definition!C150="*","*","")&amp;Definition!D150&amp;" "&amp;IF(Definition!E150="","",Definition!E150)&amp;" "&amp;IF(Definition!J150="","",Definition!J150)&amp;" "&amp;IF(Definition!J150="","","!")&amp;IF(Definition!I150="","",Definition!I150)</f>
        <v>SoilCond = 8.72 !kJ/h.m.K</v>
      </c>
    </row>
    <row r="42" spans="1:1" x14ac:dyDescent="0.25">
      <c r="A42" t="str">
        <f>IF(Definition!C151="*","*","")&amp;Definition!D151&amp;" "&amp;IF(Definition!E151="","",Definition!E151)&amp;" "&amp;IF(Definition!J151="","",Definition!J151)&amp;" "&amp;IF(Definition!J151="","","!")&amp;IF(Definition!I151="","",Definition!I151)</f>
        <v>SoilDensity = 3200 !kg/m3</v>
      </c>
    </row>
    <row r="43" spans="1:1" x14ac:dyDescent="0.25">
      <c r="A43" t="str">
        <f>IF(Definition!C152="*","*","")&amp;Definition!D152&amp;" "&amp;IF(Definition!E152="","",Definition!E152)&amp;" "&amp;IF(Definition!J152="","",Definition!J152)&amp;" "&amp;IF(Definition!J152="","","!")&amp;IF(Definition!I152="","",Definition!I152)</f>
        <v xml:space="preserve">SoilCp = 0.84 !kJ/kg.K </v>
      </c>
    </row>
    <row r="44" spans="1:1" x14ac:dyDescent="0.25">
      <c r="A44" t="str">
        <f>IF(Definition!C153="*","*","")&amp;Definition!D153&amp;" "&amp;IF(Definition!E153="","",Definition!E153)&amp;" "&amp;IF(Definition!J153="","",Definition!J153)&amp;" "&amp;IF(Definition!J153="","","!")&amp;IF(Definition!I153="","",Definition!I153)</f>
        <v xml:space="preserve">   </v>
      </c>
    </row>
    <row r="45" spans="1:1" x14ac:dyDescent="0.25">
      <c r="A45" t="str">
        <f>IF(Definition!C154="*","*","")&amp;Definition!D154&amp;" "&amp;IF(Definition!E154="","",Definition!E154)&amp;" "&amp;IF(Definition!J154="","",Definition!J154)&amp;" "&amp;IF(Definition!J154="","","!")&amp;IF(Definition!I154="","",Definition!I154)</f>
        <v xml:space="preserve">*PARAMETRIC TABLE SIMULATION PARAMETERS   </v>
      </c>
    </row>
    <row r="46" spans="1:1" x14ac:dyDescent="0.25">
      <c r="A46" t="str">
        <f>IF(Definition!C155="*","*","")&amp;Definition!D155&amp;" "&amp;IF(Definition!E155="","",Definition!E155)&amp;" "&amp;IF(Definition!J155="","",Definition!J155)&amp;" "&amp;IF(Definition!J155="","","!")&amp;IF(Definition!I155="","",Definition!I155)</f>
        <v xml:space="preserve">EQUATION 3  </v>
      </c>
    </row>
    <row r="47" spans="1:1" x14ac:dyDescent="0.25">
      <c r="A47" t="str">
        <f>IF(Definition!C156="*","*","")&amp;Definition!D156&amp;" "&amp;IF(Definition!E156="","",Definition!E156)&amp;" "&amp;IF(Definition!J156="","",Definition!J156)&amp;" "&amp;IF(Definition!J156="","","!")&amp;IF(Definition!I156="","",Definition!I156)</f>
        <v>PAR_QDE = 1 !-</v>
      </c>
    </row>
    <row r="48" spans="1:1" x14ac:dyDescent="0.25">
      <c r="A48" t="str">
        <f>IF(Definition!C157="*","*","")&amp;Definition!D157&amp;" "&amp;IF(Definition!E157="","",Definition!E157)&amp;" "&amp;IF(Definition!J157="","",Definition!J157)&amp;" "&amp;IF(Definition!J157="","","!")&amp;IF(Definition!I157="","",Definition!I157)</f>
        <v>PAR_TDE = 85 !°C</v>
      </c>
    </row>
    <row r="49" spans="1:1" x14ac:dyDescent="0.25">
      <c r="A49" t="str">
        <f>IF(Definition!C158="*","*","")&amp;Definition!D158&amp;" "&amp;IF(Definition!E158="","",Definition!E158)&amp;" "&amp;IF(Definition!J158="","",Definition!J158)&amp;" "&amp;IF(Definition!J158="","","!")&amp;IF(Definition!I158="","",Definition!I158)</f>
        <v>PAR_REN = 0.5 !%</v>
      </c>
    </row>
    <row r="50" spans="1:1" x14ac:dyDescent="0.25">
      <c r="A50" t="str">
        <f>IF(Definition!C159="*","*","")&amp;Definition!D159&amp;" "&amp;IF(Definition!E159="","",Definition!E159)&amp;" "&amp;IF(Definition!J159="","",Definition!J159)&amp;" "&amp;IF(Definition!J159="","","!")&amp;IF(Definition!I159="","",Definition!I159)</f>
        <v xml:space="preserve">*DEMAND PARAMETERS   </v>
      </c>
    </row>
    <row r="51" spans="1:1" x14ac:dyDescent="0.25">
      <c r="A51" t="str">
        <f>IF(Definition!C160="*","*","")&amp;Definition!D160&amp;" "&amp;IF(Definition!E160="","",Definition!E160)&amp;" "&amp;IF(Definition!J160="","",Definition!J160)&amp;" "&amp;IF(Definition!J160="","","!")&amp;IF(Definition!I160="","",Definition!I160)</f>
        <v xml:space="preserve">EQUATION 4  </v>
      </c>
    </row>
    <row r="52" spans="1:1" x14ac:dyDescent="0.25">
      <c r="A52" t="str">
        <f>IF(Definition!C161="*","*","")&amp;Definition!D161&amp;" "&amp;IF(Definition!E161="","",Definition!E161)&amp;" "&amp;IF(Definition!J161="","",Definition!J161)&amp;" "&amp;IF(Definition!J161="","","!")&amp;IF(Definition!I161="","",Definition!I161)</f>
        <v>QDEMMAND = 40000*10^3 !kWh</v>
      </c>
    </row>
    <row r="53" spans="1:1" x14ac:dyDescent="0.25">
      <c r="A53" t="str">
        <f>IF(Definition!C162="*","*","")&amp;Definition!D162&amp;" "&amp;IF(Definition!E162="","",Definition!E162)&amp;" "&amp;IF(Definition!J162="","",Definition!J162)&amp;" "&amp;IF(Definition!J162="","","!")&amp;IF(Definition!I162="","",Definition!I162)</f>
        <v>QDEM_MAX = 11200 !kW</v>
      </c>
    </row>
    <row r="54" spans="1:1" x14ac:dyDescent="0.25">
      <c r="A54" t="str">
        <f>IF(Definition!C163="*","*","")&amp;Definition!D163&amp;" "&amp;IF(Definition!E163="","",Definition!E163)&amp;" "&amp;IF(Definition!J163="","",Definition!J163)&amp;" "&amp;IF(Definition!J163="","","!")&amp;IF(Definition!I163="","",Definition!I163)</f>
        <v>TDemSetpar = PAR_TDE+10 !°C</v>
      </c>
    </row>
    <row r="55" spans="1:1" x14ac:dyDescent="0.25">
      <c r="A55" t="str">
        <f>IF(Definition!C164="*","*","")&amp;Definition!D164&amp;" "&amp;IF(Definition!E164="","",Definition!E164)&amp;" "&amp;IF(Definition!J164="","",Definition!J164)&amp;" "&amp;IF(Definition!J164="","","!")&amp;IF(Definition!I164="","",Definition!I164)</f>
        <v>TDemRetpar = PAR_TDE !°C</v>
      </c>
    </row>
    <row r="56" spans="1:1" x14ac:dyDescent="0.25">
      <c r="A56" t="str">
        <f>IF(Definition!C165="*","*","")&amp;Definition!D165&amp;" "&amp;IF(Definition!E165="","",Definition!E165)&amp;" "&amp;IF(Definition!J165="","",Definition!J165)&amp;" "&amp;IF(Definition!J165="","","!")&amp;IF(Definition!I165="","",Definition!I165)</f>
        <v xml:space="preserve">*MAIN PREDIM PARAMETERS   </v>
      </c>
    </row>
    <row r="57" spans="1:1" x14ac:dyDescent="0.25">
      <c r="A57" t="str">
        <f>IF(Definition!C166="*","*","")&amp;Definition!D166&amp;" "&amp;IF(Definition!E166="","",Definition!E166)&amp;" "&amp;IF(Definition!J166="","",Definition!J166)&amp;" "&amp;IF(Definition!J166="","","!")&amp;IF(Definition!I166="","",Definition!I166)</f>
        <v xml:space="preserve">EQUATION 3  </v>
      </c>
    </row>
    <row r="58" spans="1:1" x14ac:dyDescent="0.25">
      <c r="A58" t="str">
        <f>IF(Definition!C167="*","*","")&amp;Definition!D167&amp;" "&amp;IF(Definition!E167="","",Definition!E167)&amp;" "&amp;IF(Definition!J167="","",Definition!J167)&amp;" "&amp;IF(Definition!J167="","","!")&amp;IF(Definition!I167="","",Definition!I167)</f>
        <v>EFF_SST = EFF_STO*M1300_EFF_COL !-</v>
      </c>
    </row>
    <row r="59" spans="1:1" x14ac:dyDescent="0.25">
      <c r="A59" t="str">
        <f>IF(Definition!C168="*","*","")&amp;Definition!D168&amp;" "&amp;IF(Definition!E168="","",Definition!E168)&amp;" "&amp;IF(Definition!J168="","",Definition!J168)&amp;" "&amp;IF(Definition!J168="","","!")&amp;IF(Definition!I168="","",Definition!I168)</f>
        <v>EFF_STO = 0.9 !-</v>
      </c>
    </row>
    <row r="60" spans="1:1" x14ac:dyDescent="0.25">
      <c r="A60" t="str">
        <f>IF(Definition!C169="*","*","")&amp;Definition!D169&amp;" "&amp;IF(Definition!E169="","",Definition!E169)&amp;" "&amp;IF(Definition!J169="","",Definition!J169)&amp;" "&amp;IF(Definition!J169="","","!")&amp;IF(Definition!I169="","",Definition!I169)</f>
        <v>VolPA = 150 !</v>
      </c>
    </row>
    <row r="61" spans="1:1" x14ac:dyDescent="0.25">
      <c r="A61" t="str">
        <f>IF(Definition!C170="*","*","")&amp;Definition!D170&amp;" "&amp;IF(Definition!E170="","",Definition!E170)&amp;" "&amp;IF(Definition!J170="","",Definition!J170)&amp;" "&amp;IF(Definition!J170="","","!")&amp;IF(Definition!I170="","",Definition!I170)</f>
        <v xml:space="preserve">*GENERAL PARAMETERS   </v>
      </c>
    </row>
    <row r="62" spans="1:1" x14ac:dyDescent="0.25">
      <c r="A62" t="str">
        <f>IF(Definition!C171="*","*","")&amp;Definition!D171&amp;" "&amp;IF(Definition!E171="","",Definition!E171)&amp;" "&amp;IF(Definition!J171="","",Definition!J171)&amp;" "&amp;IF(Definition!J171="","","!")&amp;IF(Definition!I171="","",Definition!I171)</f>
        <v xml:space="preserve">EQUATION 1  </v>
      </c>
    </row>
    <row r="63" spans="1:1" x14ac:dyDescent="0.25">
      <c r="A63" t="str">
        <f>IF(Definition!C172="*","*","")&amp;Definition!D172&amp;" "&amp;IF(Definition!E172="","",Definition!E172)&amp;" "&amp;IF(Definition!J172="","",Definition!J172)&amp;" "&amp;IF(Definition!J172="","","!")&amp;IF(Definition!I172="","",Definition!I172)</f>
        <v>CpTer = 3.9 !kJ/kg.K</v>
      </c>
    </row>
    <row r="64" spans="1:1" x14ac:dyDescent="0.25">
      <c r="A64" t="str">
        <f>IF(Definition!C173="*","*","")&amp;Definition!D173&amp;" "&amp;IF(Definition!E173="","",Definition!E173)&amp;" "&amp;IF(Definition!J173="","",Definition!J173)&amp;" "&amp;IF(Definition!J173="","","!")&amp;IF(Definition!I173="","",Definition!I173)</f>
        <v xml:space="preserve">*PIPE PARAMETERS   </v>
      </c>
    </row>
    <row r="65" spans="1:1" x14ac:dyDescent="0.25">
      <c r="A65" t="str">
        <f>IF(Definition!C174="*","*","")&amp;Definition!D174&amp;" "&amp;IF(Definition!E174="","",Definition!E174)&amp;" "&amp;IF(Definition!J174="","",Definition!J174)&amp;" "&amp;IF(Definition!J174="","","!")&amp;IF(Definition!I174="","",Definition!I174)</f>
        <v xml:space="preserve">EQUATION 8  </v>
      </c>
    </row>
    <row r="66" spans="1:1" x14ac:dyDescent="0.25">
      <c r="A66" t="str">
        <f>IF(Definition!C175="*","*","")&amp;Definition!D175&amp;" "&amp;IF(Definition!E175="","",Definition!E175)&amp;" "&amp;IF(Definition!J175="","",Definition!J175)&amp;" "&amp;IF(Definition!J175="","","!")&amp;IF(Definition!I175="","",Definition!I175)</f>
        <v>SSY_Pi5Di = MAX(0.015*(SSY_HX2FRmax/M1300_RoSec)^0.5,0.012) !m</v>
      </c>
    </row>
    <row r="67" spans="1:1" x14ac:dyDescent="0.25">
      <c r="A67" t="str">
        <f>IF(Definition!C176="*","*","")&amp;Definition!D176&amp;" "&amp;IF(Definition!E176="","",Definition!E176)&amp;" "&amp;IF(Definition!J176="","",Definition!J176)&amp;" "&amp;IF(Definition!J176="","","!")&amp;IF(Definition!I176="","",Definition!I176)</f>
        <v>ePi5 = ((1000*SSY_Pi5Di)*0.01823616+1.67597866)/1000 !m</v>
      </c>
    </row>
    <row r="68" spans="1:1" x14ac:dyDescent="0.25">
      <c r="A68" t="str">
        <f>IF(Definition!C177="*","*","")&amp;Definition!D177&amp;" "&amp;IF(Definition!E177="","",Definition!E177)&amp;" "&amp;IF(Definition!J177="","",Definition!J177)&amp;" "&amp;IF(Definition!J177="","","!")&amp;IF(Definition!I177="","",Definition!I177)</f>
        <v>SSY_Pi5Do = SSY_Pi5Di+2*ePi5 !m</v>
      </c>
    </row>
    <row r="69" spans="1:1" x14ac:dyDescent="0.25">
      <c r="A69" t="str">
        <f>IF(Definition!C178="*","*","")&amp;Definition!D178&amp;" "&amp;IF(Definition!E178="","",Definition!E178)&amp;" "&amp;IF(Definition!J178="","",Definition!J178)&amp;" "&amp;IF(Definition!J178="","","!")&amp;IF(Definition!I178="","",Definition!I178)</f>
        <v>SSY_Pi5KPi = 328*WTOKJPH !kJ/h.m.K</v>
      </c>
    </row>
    <row r="70" spans="1:1" x14ac:dyDescent="0.25">
      <c r="A70" t="str">
        <f>IF(Definition!C179="*","*","")&amp;Definition!D179&amp;" "&amp;IF(Definition!E179="","",Definition!E179)&amp;" "&amp;IF(Definition!J179="","",Definition!J179)&amp;" "&amp;IF(Definition!J179="","","!")&amp;IF(Definition!I179="","",Definition!I179)</f>
        <v xml:space="preserve">SSY_Pi5Insth = ((SSY_Pi5Do)*0.0253172213+51.1780361)/1000 !m </v>
      </c>
    </row>
    <row r="71" spans="1:1" x14ac:dyDescent="0.25">
      <c r="A71" t="str">
        <f>IF(Definition!C180="*","*","")&amp;Definition!D180&amp;" "&amp;IF(Definition!E180="","",Definition!E180)&amp;" "&amp;IF(Definition!J180="","",Definition!J180)&amp;" "&amp;IF(Definition!J180="","","!")&amp;IF(Definition!I180="","",Definition!I180)</f>
        <v>SSY_Pi5Insk = 0.043*WTOKJPH !kJ/h.m.K</v>
      </c>
    </row>
    <row r="72" spans="1:1" x14ac:dyDescent="0.25">
      <c r="A72" t="str">
        <f>IF(Definition!C181="*","*","")&amp;Definition!D181&amp;" "&amp;IF(Definition!E181="","",Definition!E181)&amp;" "&amp;IF(Definition!J181="","",Definition!J181)&amp;" "&amp;IF(Definition!J181="","","!")&amp;IF(Definition!I181="","",Definition!I181)</f>
        <v>SSY_Pi5L = 0.001 !m</v>
      </c>
    </row>
    <row r="73" spans="1:1" x14ac:dyDescent="0.25">
      <c r="A73" t="str">
        <f>IF(Definition!C182="*","*","")&amp;Definition!D182&amp;" "&amp;IF(Definition!E182="","",Definition!E182)&amp;" "&amp;IF(Definition!J182="","",Definition!J182)&amp;" "&amp;IF(Definition!J182="","","!")&amp;IF(Definition!I182="","",Definition!I182)</f>
        <v>SSY_Pi5L2 = 0.5*SSY_Pi5L !m</v>
      </c>
    </row>
    <row r="74" spans="1:1" x14ac:dyDescent="0.25">
      <c r="A74" t="str">
        <f>IF(Definition!C183="*","*","")&amp;Definition!D183&amp;" "&amp;IF(Definition!E183="","",Definition!E183)&amp;" "&amp;IF(Definition!J183="","",Definition!J183)&amp;" "&amp;IF(Definition!J183="","","!")&amp;IF(Definition!I183="","",Definition!I183)</f>
        <v xml:space="preserve">*HEAT EXCHANGER PARAMETERS   </v>
      </c>
    </row>
    <row r="75" spans="1:1" x14ac:dyDescent="0.25">
      <c r="A75" t="str">
        <f>IF(Definition!C184="*","*","")&amp;Definition!D184&amp;" "&amp;IF(Definition!E184="","",Definition!E184)&amp;" "&amp;IF(Definition!J184="","",Definition!J184)&amp;" "&amp;IF(Definition!J184="","","!")&amp;IF(Definition!I184="","",Definition!I184)</f>
        <v xml:space="preserve">EQUATION 3  </v>
      </c>
    </row>
    <row r="76" spans="1:1" x14ac:dyDescent="0.25">
      <c r="A76" t="str">
        <f>IF(Definition!C185="*","*","")&amp;Definition!D185&amp;" "&amp;IF(Definition!E185="","",Definition!E185)&amp;" "&amp;IF(Definition!J185="","",Definition!J185)&amp;" "&amp;IF(Definition!J185="","","!")&amp;IF(Definition!I185="","",Definition!I185)</f>
        <v>Qmax_demanda = QDEM_MAX*1000*WTOKJPH !kJ/h</v>
      </c>
    </row>
    <row r="77" spans="1:1" x14ac:dyDescent="0.25">
      <c r="A77" t="str">
        <f>IF(Definition!C186="*","*","")&amp;Definition!D186&amp;" "&amp;IF(Definition!E186="","",Definition!E186)&amp;" "&amp;IF(Definition!J186="","",Definition!J186)&amp;" "&amp;IF(Definition!J186="","","!")&amp;IF(Definition!I186="","",Definition!I186)</f>
        <v>SSY_HX02_DTLM = 4 !°C</v>
      </c>
    </row>
    <row r="78" spans="1:1" x14ac:dyDescent="0.25">
      <c r="A78" t="str">
        <f>IF(Definition!C187="*","*","")&amp;Definition!D187&amp;" "&amp;IF(Definition!E187="","",Definition!E187)&amp;" "&amp;IF(Definition!J187="","",Definition!J187)&amp;" "&amp;IF(Definition!J187="","","!")&amp;IF(Definition!I187="","",Definition!I187)</f>
        <v>SSY_HX2UA = Qmax_demanda/SSY_HX02_DTLM !kJ/h.ºC</v>
      </c>
    </row>
    <row r="79" spans="1:1" x14ac:dyDescent="0.25">
      <c r="A79" t="str">
        <f>IF(Definition!C188="*","*","")&amp;Definition!D188&amp;" "&amp;IF(Definition!E188="","",Definition!E188)&amp;" "&amp;IF(Definition!J188="","",Definition!J188)&amp;" "&amp;IF(Definition!J188="","","!")&amp;IF(Definition!I188="","",Definition!I188)</f>
        <v xml:space="preserve">*PUMP PARAMETERS   </v>
      </c>
    </row>
    <row r="80" spans="1:1" x14ac:dyDescent="0.25">
      <c r="A80" t="str">
        <f>IF(Definition!C189="*","*","")&amp;Definition!D189&amp;" "&amp;IF(Definition!E189="","",Definition!E189)&amp;" "&amp;IF(Definition!J189="","",Definition!J189)&amp;" "&amp;IF(Definition!J189="","","!")&amp;IF(Definition!I189="","",Definition!I189)</f>
        <v xml:space="preserve">EQUATION 4  </v>
      </c>
    </row>
    <row r="81" spans="1:1" x14ac:dyDescent="0.25">
      <c r="A81" t="str">
        <f>IF(Definition!C190="*","*","")&amp;Definition!D190&amp;" "&amp;IF(Definition!E190="","",Definition!E190)&amp;" "&amp;IF(Definition!J190="","",Definition!J190)&amp;" "&amp;IF(Definition!J190="","","!")&amp;IF(Definition!I190="","",Definition!I190)</f>
        <v>SSY_HX2FRmax = Qmax_demanda/CpTer/(TDemSetpar-TDemRetpar) !kg/h</v>
      </c>
    </row>
    <row r="82" spans="1:1" x14ac:dyDescent="0.25">
      <c r="A82" t="str">
        <f>IF(Definition!C191="*","*","")&amp;Definition!D191&amp;" "&amp;IF(Definition!E191="","",Definition!E191)&amp;" "&amp;IF(Definition!J191="","",Definition!J191)&amp;" "&amp;IF(Definition!J191="","","!")&amp;IF(Definition!I191="","",Definition!I191)</f>
        <v>SSY_HX2FRmin = SSY_HX2FRmax*0.0 !kg/h</v>
      </c>
    </row>
    <row r="83" spans="1:1" x14ac:dyDescent="0.25">
      <c r="A83" t="str">
        <f>IF(Definition!C192="*","*","")&amp;Definition!D192&amp;" "&amp;IF(Definition!E192="","",Definition!E192)&amp;" "&amp;IF(Definition!J192="","",Definition!J192)&amp;" "&amp;IF(Definition!J192="","","!")&amp;IF(Definition!I192="","",Definition!I192)</f>
        <v>M1300_PU03_AP = 100 !KPa</v>
      </c>
    </row>
    <row r="84" spans="1:1" x14ac:dyDescent="0.25">
      <c r="A84" t="str">
        <f>IF(Definition!C193="*","*","")&amp;Definition!D193&amp;" "&amp;IF(Definition!E193="","",Definition!E193)&amp;" "&amp;IF(Definition!J193="","",Definition!J193)&amp;" "&amp;IF(Definition!J193="","","!")&amp;IF(Definition!I193="","",Definition!I193)</f>
        <v>SSY_Pu3P = SSY_HX2FRmax*M1300_PU03_AP/10*9.81/.85/.7/1000 !kJ/h</v>
      </c>
    </row>
    <row r="85" spans="1:1" x14ac:dyDescent="0.25">
      <c r="A85" t="str">
        <f>IF(Definition!C194="*","*","")&amp;Definition!D194&amp;" "&amp;IF(Definition!E194="","",Definition!E194)&amp;" "&amp;IF(Definition!J194="","",Definition!J194)&amp;" "&amp;IF(Definition!J194="","","!")&amp;IF(Definition!I194="","",Definition!I194)</f>
        <v xml:space="preserve">*STORAGE PARAMETERS    </v>
      </c>
    </row>
    <row r="86" spans="1:1" x14ac:dyDescent="0.25">
      <c r="A86" t="str">
        <f>IF(Definition!C195="*","*","")&amp;Definition!D195&amp;" "&amp;IF(Definition!E195="","",Definition!E195)&amp;" "&amp;IF(Definition!J195="","",Definition!J195)&amp;" "&amp;IF(Definition!J195="","","!")&amp;IF(Definition!I195="","",Definition!I195)</f>
        <v xml:space="preserve">EQUATION 33  </v>
      </c>
    </row>
    <row r="87" spans="1:1" x14ac:dyDescent="0.25">
      <c r="A87" t="str">
        <f>IF(Definition!C196="*","*","")&amp;Definition!D196&amp;" "&amp;IF(Definition!E196="","",Definition!E196)&amp;" "&amp;IF(Definition!J196="","",Definition!J196)&amp;" "&amp;IF(Definition!J196="","","!")&amp;IF(Definition!I196="","",Definition!I196)</f>
        <v>SSY_ST1_Loc = 0 !-</v>
      </c>
    </row>
    <row r="88" spans="1:1" x14ac:dyDescent="0.25">
      <c r="A88" t="str">
        <f>IF(Definition!C197="*","*","")&amp;Definition!D197&amp;" "&amp;IF(Definition!E197="","",Definition!E197)&amp;" "&amp;IF(Definition!J197="","",Definition!J197)&amp;" "&amp;IF(Definition!J197="","","!")&amp;IF(Definition!I197="","",Definition!I197)</f>
        <v>SSY_ST1_Nodes = 10 !-</v>
      </c>
    </row>
    <row r="89" spans="1:1" x14ac:dyDescent="0.25">
      <c r="A89" t="str">
        <f>IF(Definition!C198="*","*","")&amp;Definition!D198&amp;" "&amp;IF(Definition!E198="","",Definition!E198)&amp;" "&amp;IF(Definition!J198="","",Definition!J198)&amp;" "&amp;IF(Definition!J198="","","!")&amp;IF(Definition!I198="","",Definition!I198)</f>
        <v>SSY_ST1_Vol = VolPA*M1300_WSS01_Area/1000 !m3</v>
      </c>
    </row>
    <row r="90" spans="1:1" x14ac:dyDescent="0.25">
      <c r="A90" t="str">
        <f>IF(Definition!C199="*","*","")&amp;Definition!D199&amp;" "&amp;IF(Definition!E199="","",Definition!E199)&amp;" "&amp;IF(Definition!J199="","",Definition!J199)&amp;" "&amp;IF(Definition!J199="","","!")&amp;IF(Definition!I199="","",Definition!I199)</f>
        <v>SSY_ST1_Height = 4 !m</v>
      </c>
    </row>
    <row r="91" spans="1:1" x14ac:dyDescent="0.25">
      <c r="A91" t="str">
        <f>IF(Definition!C200="*","*","")&amp;Definition!D200&amp;" "&amp;IF(Definition!E200="","",Definition!E200)&amp;" "&amp;IF(Definition!J200="","",Definition!J200)&amp;" "&amp;IF(Definition!J200="","","!")&amp;IF(Definition!I200="","",Definition!I200)</f>
        <v>SSY_ST1_Fluidcp = CpAgua !kJ/kg.K</v>
      </c>
    </row>
    <row r="92" spans="1:1" x14ac:dyDescent="0.25">
      <c r="A92" t="str">
        <f>IF(Definition!C201="*","*","")&amp;Definition!D201&amp;" "&amp;IF(Definition!E201="","",Definition!E201)&amp;" "&amp;IF(Definition!J201="","",Definition!J201)&amp;" "&amp;IF(Definition!J201="","","!")&amp;IF(Definition!I201="","",Definition!I201)</f>
        <v>SSY_ST1_Fluidrho = RoAgua !kg/m3</v>
      </c>
    </row>
    <row r="93" spans="1:1" x14ac:dyDescent="0.25">
      <c r="A93" t="str">
        <f>IF(Definition!C202="*","*","")&amp;Definition!D202&amp;" "&amp;IF(Definition!E202="","",Definition!E202)&amp;" "&amp;IF(Definition!J202="","",Definition!J202)&amp;" "&amp;IF(Definition!J202="","","!")&amp;IF(Definition!I202="","",Definition!I202)</f>
        <v>SSY_ST1_Fluidmu = MuAgua !kg/m.hr</v>
      </c>
    </row>
    <row r="94" spans="1:1" x14ac:dyDescent="0.25">
      <c r="A94" t="str">
        <f>IF(Definition!C203="*","*","")&amp;Definition!D203&amp;" "&amp;IF(Definition!E203="","",Definition!E203)&amp;" "&amp;IF(Definition!J203="","",Definition!J203)&amp;" "&amp;IF(Definition!J203="","","!")&amp;IF(Definition!I203="","",Definition!I203)</f>
        <v>SSY_ST1_Fluidk = KAgua !hr.m.K</v>
      </c>
    </row>
    <row r="95" spans="1:1" x14ac:dyDescent="0.25">
      <c r="A95" t="str">
        <f>IF(Definition!C204="*","*","")&amp;Definition!D204&amp;" "&amp;IF(Definition!E204="","",Definition!E204)&amp;" "&amp;IF(Definition!J204="","",Definition!J204)&amp;" "&amp;IF(Definition!J204="","","!")&amp;IF(Definition!I204="","",Definition!I204)</f>
        <v>SSY_ST1_IsoTopTh = 0.043*3.6/5 !m</v>
      </c>
    </row>
    <row r="96" spans="1:1" x14ac:dyDescent="0.25">
      <c r="A96" t="str">
        <f>IF(Definition!C205="*","*","")&amp;Definition!D205&amp;" "&amp;IF(Definition!E205="","",Definition!E205)&amp;" "&amp;IF(Definition!J205="","",Definition!J205)&amp;" "&amp;IF(Definition!J205="","","!")&amp;IF(Definition!I205="","",Definition!I205)</f>
        <v>SSY_ST1_IsoTopK = 0.043 !W.m.K</v>
      </c>
    </row>
    <row r="97" spans="1:1" x14ac:dyDescent="0.25">
      <c r="A97" t="str">
        <f>IF(Definition!C206="*","*","")&amp;Definition!D206&amp;" "&amp;IF(Definition!E206="","",Definition!E206)&amp;" "&amp;IF(Definition!J206="","",Definition!J206)&amp;" "&amp;IF(Definition!J206="","","!")&amp;IF(Definition!I206="","",Definition!I206)</f>
        <v>SSY_ST1_IsoLatTh = 0.043*3.6/5 !m</v>
      </c>
    </row>
    <row r="98" spans="1:1" x14ac:dyDescent="0.25">
      <c r="A98" t="str">
        <f>IF(Definition!C207="*","*","")&amp;Definition!D207&amp;" "&amp;IF(Definition!E207="","",Definition!E207)&amp;" "&amp;IF(Definition!J207="","",Definition!J207)&amp;" "&amp;IF(Definition!J207="","","!")&amp;IF(Definition!I207="","",Definition!I207)</f>
        <v>SSY_ST1_IsoLatK = 0.043 !W.m.K</v>
      </c>
    </row>
    <row r="99" spans="1:1" x14ac:dyDescent="0.25">
      <c r="A99" t="str">
        <f>IF(Definition!C208="*","*","")&amp;Definition!D208&amp;" "&amp;IF(Definition!E208="","",Definition!E208)&amp;" "&amp;IF(Definition!J208="","",Definition!J208)&amp;" "&amp;IF(Definition!J208="","","!")&amp;IF(Definition!I208="","",Definition!I208)</f>
        <v>SSY_ST1_IsoBotTh = 0.043*3.6/5 !m</v>
      </c>
    </row>
    <row r="100" spans="1:1" x14ac:dyDescent="0.25">
      <c r="A100" t="str">
        <f>IF(Definition!C209="*","*","")&amp;Definition!D209&amp;" "&amp;IF(Definition!E209="","",Definition!E209)&amp;" "&amp;IF(Definition!J209="","",Definition!J209)&amp;" "&amp;IF(Definition!J209="","","!")&amp;IF(Definition!I209="","",Definition!I209)</f>
        <v>SSY_ST1_IsoBotK = 0.043 !W.m.K</v>
      </c>
    </row>
    <row r="101" spans="1:1" x14ac:dyDescent="0.25">
      <c r="A101" t="str">
        <f>IF(Definition!C210="*","*","")&amp;Definition!D210&amp;" "&amp;IF(Definition!E210="","",Definition!E210)&amp;" "&amp;IF(Definition!J210="","",Definition!J210)&amp;" "&amp;IF(Definition!J210="","","!")&amp;IF(Definition!I210="","",Definition!I210)</f>
        <v>SSY_ST1_Utop = SSY_ST1_IsoTopK*WTOKJPH/SSY_ST1_IsoTopTh !kJ/hr.m^2.K</v>
      </c>
    </row>
    <row r="102" spans="1:1" x14ac:dyDescent="0.25">
      <c r="A102" t="str">
        <f>IF(Definition!C211="*","*","")&amp;Definition!D211&amp;" "&amp;IF(Definition!E211="","",Definition!E211)&amp;" "&amp;IF(Definition!J211="","",Definition!J211)&amp;" "&amp;IF(Definition!J211="","","!")&amp;IF(Definition!I211="","",Definition!I211)</f>
        <v>SSY_ST1_Ulat = SSY_ST1_IsoLatK*WTOKJPH/SSY_ST1_IsoLatTh !kJ/hr.m^2.K</v>
      </c>
    </row>
    <row r="103" spans="1:1" x14ac:dyDescent="0.25">
      <c r="A103" t="str">
        <f>IF(Definition!C212="*","*","")&amp;Definition!D212&amp;" "&amp;IF(Definition!E212="","",Definition!E212)&amp;" "&amp;IF(Definition!J212="","",Definition!J212)&amp;" "&amp;IF(Definition!J212="","","!")&amp;IF(Definition!I212="","",Definition!I212)</f>
        <v>SSY_ST1_Ubot = SSY_ST1_IsoBotK*WTOKJPH/SSY_ST1_IsoBotTh !kJ/hr.m^2.K</v>
      </c>
    </row>
    <row r="104" spans="1:1" x14ac:dyDescent="0.25">
      <c r="A104" t="str">
        <f>IF(Definition!C213="*","*","")&amp;Definition!D213&amp;" "&amp;IF(Definition!E213="","",Definition!E213)&amp;" "&amp;IF(Definition!J213="","",Definition!J213)&amp;" "&amp;IF(Definition!J213="","","!")&amp;IF(Definition!I213="","",Definition!I213)</f>
        <v>SSY_ST1_P1Mode = 1 !</v>
      </c>
    </row>
    <row r="105" spans="1:1" x14ac:dyDescent="0.25">
      <c r="A105" t="str">
        <f>IF(Definition!C214="*","*","")&amp;Definition!D214&amp;" "&amp;IF(Definition!E214="","",Definition!E214)&amp;" "&amp;IF(Definition!J214="","",Definition!J214)&amp;" "&amp;IF(Definition!J214="","","!")&amp;IF(Definition!I214="","",Definition!I214)</f>
        <v>SSY_ST1_P1In = 1 !</v>
      </c>
    </row>
    <row r="106" spans="1:1" x14ac:dyDescent="0.25">
      <c r="A106" t="str">
        <f>IF(Definition!C215="*","*","")&amp;Definition!D215&amp;" "&amp;IF(Definition!E215="","",Definition!E215)&amp;" "&amp;IF(Definition!J215="","",Definition!J215)&amp;" "&amp;IF(Definition!J215="","","!")&amp;IF(Definition!I215="","",Definition!I215)</f>
        <v>SSY_ST1_P1Ou = 10 !</v>
      </c>
    </row>
    <row r="107" spans="1:1" x14ac:dyDescent="0.25">
      <c r="A107" t="str">
        <f>IF(Definition!C216="*","*","")&amp;Definition!D216&amp;" "&amp;IF(Definition!E216="","",Definition!E216)&amp;" "&amp;IF(Definition!J216="","",Definition!J216)&amp;" "&amp;IF(Definition!J216="","","!")&amp;IF(Definition!I216="","",Definition!I216)</f>
        <v>SSY_ST1_P2Mode = 1 !</v>
      </c>
    </row>
    <row r="108" spans="1:1" x14ac:dyDescent="0.25">
      <c r="A108" t="str">
        <f>IF(Definition!C217="*","*","")&amp;Definition!D217&amp;" "&amp;IF(Definition!E217="","",Definition!E217)&amp;" "&amp;IF(Definition!J217="","",Definition!J217)&amp;" "&amp;IF(Definition!J217="","","!")&amp;IF(Definition!I217="","",Definition!I217)</f>
        <v>SSY_ST1_P2In = 10 !</v>
      </c>
    </row>
    <row r="109" spans="1:1" x14ac:dyDescent="0.25">
      <c r="A109" t="str">
        <f>IF(Definition!C218="*","*","")&amp;Definition!D218&amp;" "&amp;IF(Definition!E218="","",Definition!E218)&amp;" "&amp;IF(Definition!J218="","",Definition!J218)&amp;" "&amp;IF(Definition!J218="","","!")&amp;IF(Definition!I218="","",Definition!I218)</f>
        <v>SSY_ST1_P2Ou = 1 !</v>
      </c>
    </row>
    <row r="110" spans="1:1" x14ac:dyDescent="0.25">
      <c r="A110" t="str">
        <f>IF(Definition!C219="*","*","")&amp;Definition!D219&amp;" "&amp;IF(Definition!E219="","",Definition!E219)&amp;" "&amp;IF(Definition!J219="","",Definition!J219)&amp;" "&amp;IF(Definition!J219="","","!")&amp;IF(Definition!I219="","",Definition!I219)</f>
        <v>SSY_ST1_P3Mode = 1 !</v>
      </c>
    </row>
    <row r="111" spans="1:1" x14ac:dyDescent="0.25">
      <c r="A111" t="str">
        <f>IF(Definition!C220="*","*","")&amp;Definition!D220&amp;" "&amp;IF(Definition!E220="","",Definition!E220)&amp;" "&amp;IF(Definition!J220="","",Definition!J220)&amp;" "&amp;IF(Definition!J220="","","!")&amp;IF(Definition!I220="","",Definition!I220)</f>
        <v>SSY_ST1_P3In = 10 !</v>
      </c>
    </row>
    <row r="112" spans="1:1" x14ac:dyDescent="0.25">
      <c r="A112" t="str">
        <f>IF(Definition!C221="*","*","")&amp;Definition!D221&amp;" "&amp;IF(Definition!E221="","",Definition!E221)&amp;" "&amp;IF(Definition!J221="","",Definition!J221)&amp;" "&amp;IF(Definition!J221="","","!")&amp;IF(Definition!I221="","",Definition!I221)</f>
        <v>SSY_ST1_P3Ou = 1 !</v>
      </c>
    </row>
    <row r="113" spans="1:1" x14ac:dyDescent="0.25">
      <c r="A113" t="str">
        <f>IF(Definition!C222="*","*","")&amp;Definition!D222&amp;" "&amp;IF(Definition!E222="","",Definition!E222)&amp;" "&amp;IF(Definition!J222="","",Definition!J222)&amp;" "&amp;IF(Definition!J222="","","!")&amp;IF(Definition!I222="","",Definition!I222)</f>
        <v>SSY_ST1_P4Mode = 1 !</v>
      </c>
    </row>
    <row r="114" spans="1:1" x14ac:dyDescent="0.25">
      <c r="A114" t="str">
        <f>IF(Definition!C223="*","*","")&amp;Definition!D223&amp;" "&amp;IF(Definition!E223="","",Definition!E223)&amp;" "&amp;IF(Definition!J223="","",Definition!J223)&amp;" "&amp;IF(Definition!J223="","","!")&amp;IF(Definition!I223="","",Definition!I223)</f>
        <v>SSY_ST1_P4In = 10 !</v>
      </c>
    </row>
    <row r="115" spans="1:1" x14ac:dyDescent="0.25">
      <c r="A115" t="str">
        <f>IF(Definition!C224="*","*","")&amp;Definition!D224&amp;" "&amp;IF(Definition!E224="","",Definition!E224)&amp;" "&amp;IF(Definition!J224="","",Definition!J224)&amp;" "&amp;IF(Definition!J224="","","!")&amp;IF(Definition!I224="","",Definition!I224)</f>
        <v>SSY_ST1_P4Ou = 1 !</v>
      </c>
    </row>
    <row r="116" spans="1:1" x14ac:dyDescent="0.25">
      <c r="A116" t="str">
        <f>IF(Definition!C225="*","*","")&amp;Definition!D225&amp;" "&amp;IF(Definition!E225="","",Definition!E225)&amp;" "&amp;IF(Definition!J225="","",Definition!J225)&amp;" "&amp;IF(Definition!J225="","","!")&amp;IF(Definition!I225="","",Definition!I225)</f>
        <v>SSY_ST1_P5Mode = 1 !</v>
      </c>
    </row>
    <row r="117" spans="1:1" x14ac:dyDescent="0.25">
      <c r="A117" t="str">
        <f>IF(Definition!C226="*","*","")&amp;Definition!D226&amp;" "&amp;IF(Definition!E226="","",Definition!E226)&amp;" "&amp;IF(Definition!J226="","",Definition!J226)&amp;" "&amp;IF(Definition!J226="","","!")&amp;IF(Definition!I226="","",Definition!I226)</f>
        <v>SSY_ST1_P5In = 10 !</v>
      </c>
    </row>
    <row r="118" spans="1:1" x14ac:dyDescent="0.25">
      <c r="A118" t="str">
        <f>IF(Definition!C227="*","*","")&amp;Definition!D227&amp;" "&amp;IF(Definition!E227="","",Definition!E227)&amp;" "&amp;IF(Definition!J227="","",Definition!J227)&amp;" "&amp;IF(Definition!J227="","","!")&amp;IF(Definition!I227="","",Definition!I227)</f>
        <v>SSY_ST1_P5Ou = 1 !</v>
      </c>
    </row>
    <row r="119" spans="1:1" x14ac:dyDescent="0.25">
      <c r="A119" t="str">
        <f>IF(Definition!C228="*","*","")&amp;Definition!D228&amp;" "&amp;IF(Definition!E228="","",Definition!E228)&amp;" "&amp;IF(Definition!J228="","",Definition!J228)&amp;" "&amp;IF(Definition!J228="","","!")&amp;IF(Definition!I228="","",Definition!I228)</f>
        <v>SSY_ST1_Tt0 = TDemRetpar !</v>
      </c>
    </row>
    <row r="120" spans="1:1" x14ac:dyDescent="0.25">
      <c r="A120" t="str">
        <f>IF(Definition!C229="*","*","")&amp;Definition!D229&amp;" "&amp;IF(Definition!E229="","",Definition!E229)&amp;" "&amp;IF(Definition!J229="","",Definition!J229)&amp;" "&amp;IF(Definition!J229="","","!")&amp;IF(Definition!I229="","",Definition!I229)</f>
        <v xml:space="preserve">*CONTROL PARAMETERS   </v>
      </c>
    </row>
    <row r="121" spans="1:1" x14ac:dyDescent="0.25">
      <c r="A121" t="str">
        <f>IF(Definition!C230="*","*","")&amp;Definition!D230&amp;" "&amp;IF(Definition!E230="","",Definition!E230)&amp;" "&amp;IF(Definition!J230="","",Definition!J230)&amp;" "&amp;IF(Definition!J230="","","!")&amp;IF(Definition!I230="","",Definition!I230)</f>
        <v xml:space="preserve">EQUATION 2  </v>
      </c>
    </row>
    <row r="122" spans="1:1" x14ac:dyDescent="0.25">
      <c r="A122" t="str">
        <f>IF(Definition!C231="*","*","")&amp;Definition!D231&amp;" "&amp;IF(Definition!E231="","",Definition!E231)&amp;" "&amp;IF(Definition!J231="","",Definition!J231)&amp;" "&amp;IF(Definition!J231="","","!")&amp;IF(Definition!I231="","",Definition!I231)</f>
        <v>Ct2DifDelTL = 2 !°C</v>
      </c>
    </row>
    <row r="123" spans="1:1" x14ac:dyDescent="0.25">
      <c r="A123" t="str">
        <f>IF(Definition!C232="*","*","")&amp;Definition!D232&amp;" "&amp;IF(Definition!E232="","",Definition!E232)&amp;" "&amp;IF(Definition!J232="","",Definition!J232)&amp;" "&amp;IF(Definition!J232="","","!")&amp;IF(Definition!I232="","",Definition!I232)</f>
        <v>Ct2DifDelTH = M1300_CON02_DifDelTL+2 !°C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Definition</vt:lpstr>
      <vt:lpstr>ficheroM1300</vt:lpstr>
      <vt:lpstr>ficheroOTROS</vt:lpstr>
      <vt:lpstr>Definition!_FilterDatabase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Juanjo</dc:creator>
  <cp:lastModifiedBy>Yanara Tranamil</cp:lastModifiedBy>
  <dcterms:created xsi:type="dcterms:W3CDTF">2020-10-13T10:54:08Z</dcterms:created>
  <dcterms:modified xsi:type="dcterms:W3CDTF">2021-06-29T04:22:58Z</dcterms:modified>
</cp:coreProperties>
</file>