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rosjekter\NFR\006 Budget Template NFR Proposals\2023\"/>
    </mc:Choice>
  </mc:AlternateContent>
  <xr:revisionPtr revIDLastSave="0" documentId="13_ncr:1_{C457AD7E-673F-4315-B633-E2A21D2935F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H2020" sheetId="1" r:id="rId1"/>
    <sheet name="NFR - SKD-Nordforsk-Copernicus" sheetId="2" r:id="rId2"/>
    <sheet name="ESA" sheetId="3" r:id="rId3"/>
    <sheet name="Industry" sheetId="5" r:id="rId4"/>
    <sheet name="Div" sheetId="4" r:id="rId5"/>
  </sheets>
  <definedNames>
    <definedName name="Årlig_økning">'NFR - SKD-Nordforsk-Copernicus'!$B$25</definedName>
    <definedName name="EUR_Rate">Div!$C$2</definedName>
    <definedName name="hm">'NFR - SKD-Nordforsk-Copernicus'!$I$8</definedName>
    <definedName name="hmI">'NFR - SKD-Nordforsk-Copernicus'!$O$13</definedName>
    <definedName name="Hours_pr._month">'NFR - SKD-Nordforsk-Copernicus'!$I$7</definedName>
    <definedName name="Hours_pr._month_1">'NFR - SKD-Nordforsk-Copernicus'!$I$7</definedName>
    <definedName name="Hours_pr._month_2">'NFR - SKD-Nordforsk-Copernicus'!$I$8</definedName>
    <definedName name="Hours_pr._month_3">'NFR - SKD-Nordforsk-Copernicus'!$I$9</definedName>
    <definedName name="Hours_pr._month_p">'NFR - SKD-Nordforsk-Copernicus'!$I$10</definedName>
    <definedName name="hpmI">'NFR - SKD-Nordforsk-Copernicus'!$O$13</definedName>
    <definedName name="Prisstigning">Div!$C$1</definedName>
    <definedName name="Prisstigning_NFR">Div!$C$3</definedName>
    <definedName name="tpmI">'NFR - SKD-Nordforsk-Copernicus'!$O$13</definedName>
    <definedName name="tpmII">'NFR - SKD-Nordforsk-Copernicus'!$O$23</definedName>
    <definedName name="tpmIII">'NFR - SKD-Nordforsk-Copernicus'!$O$33</definedName>
    <definedName name="tpmp">'NFR - SKD-Nordforsk-Copernicus'!$O$43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2" l="1"/>
  <c r="L50" i="2"/>
  <c r="L51" i="2" s="1"/>
  <c r="N51" i="2" s="1"/>
  <c r="M50" i="2"/>
  <c r="M51" i="2" s="1"/>
  <c r="K51" i="2"/>
  <c r="N50" i="2" l="1"/>
  <c r="K19" i="1" l="1"/>
  <c r="K20" i="1"/>
  <c r="K21" i="1"/>
  <c r="K22" i="1"/>
  <c r="K23" i="1"/>
  <c r="K18" i="1"/>
  <c r="J18" i="1"/>
  <c r="K10" i="1"/>
  <c r="K11" i="1"/>
  <c r="K12" i="1"/>
  <c r="K13" i="1"/>
  <c r="K14" i="1"/>
  <c r="K9" i="1"/>
  <c r="K17" i="1"/>
  <c r="J17" i="1"/>
  <c r="K8" i="1"/>
  <c r="J9" i="1"/>
  <c r="C23" i="2"/>
  <c r="B12" i="5"/>
  <c r="B13" i="3"/>
  <c r="B14" i="2"/>
  <c r="C9" i="2"/>
  <c r="D9" i="2" s="1"/>
  <c r="C10" i="2"/>
  <c r="D10" i="2" s="1"/>
  <c r="C8" i="2"/>
  <c r="D8" i="2" s="1"/>
  <c r="C7" i="2"/>
  <c r="D7" i="2" s="1"/>
  <c r="B5" i="1"/>
  <c r="B22" i="1"/>
  <c r="B21" i="1"/>
  <c r="C13" i="1"/>
  <c r="C14" i="1"/>
  <c r="D14" i="1"/>
  <c r="E14" i="1"/>
  <c r="F14" i="1" s="1"/>
  <c r="C22" i="1"/>
  <c r="D13" i="1"/>
  <c r="N4" i="2"/>
  <c r="B13" i="5"/>
  <c r="H16" i="5"/>
  <c r="I16" i="5" s="1"/>
  <c r="H15" i="5"/>
  <c r="I15" i="5" s="1"/>
  <c r="H14" i="5"/>
  <c r="I14" i="5" s="1"/>
  <c r="H13" i="5"/>
  <c r="I13" i="5" s="1"/>
  <c r="C12" i="5"/>
  <c r="D12" i="5"/>
  <c r="E12" i="5"/>
  <c r="F12" i="5"/>
  <c r="G12" i="5"/>
  <c r="H7" i="5"/>
  <c r="I7" i="5" s="1"/>
  <c r="H8" i="5"/>
  <c r="I8" i="5" s="1"/>
  <c r="H9" i="5"/>
  <c r="I9" i="5" s="1"/>
  <c r="H6" i="5"/>
  <c r="I6" i="5" s="1"/>
  <c r="I8" i="2"/>
  <c r="N8" i="2" s="1"/>
  <c r="C7" i="5"/>
  <c r="D7" i="5" s="1"/>
  <c r="C8" i="5"/>
  <c r="D8" i="5"/>
  <c r="D15" i="5" s="1"/>
  <c r="C9" i="5"/>
  <c r="D9" i="5"/>
  <c r="D16" i="5" s="1"/>
  <c r="C6" i="5"/>
  <c r="C13" i="5" s="1"/>
  <c r="C5" i="5"/>
  <c r="D5" i="5"/>
  <c r="E5" i="5"/>
  <c r="F5" i="5"/>
  <c r="G5" i="5"/>
  <c r="L36" i="2"/>
  <c r="L46" i="2"/>
  <c r="L47" i="2" s="1"/>
  <c r="L48" i="2" s="1"/>
  <c r="L26" i="2"/>
  <c r="L27" i="2" s="1"/>
  <c r="L28" i="2" s="1"/>
  <c r="L16" i="2"/>
  <c r="L17" i="2" s="1"/>
  <c r="L18" i="2" s="1"/>
  <c r="L19" i="2" s="1"/>
  <c r="L20" i="2" s="1"/>
  <c r="L21" i="2" s="1"/>
  <c r="B23" i="2"/>
  <c r="Q7" i="2"/>
  <c r="B15" i="3"/>
  <c r="B16" i="3"/>
  <c r="B14" i="3"/>
  <c r="C9" i="3"/>
  <c r="D9" i="3" s="1"/>
  <c r="C10" i="3"/>
  <c r="C16" i="3" s="1"/>
  <c r="C8" i="3"/>
  <c r="D8" i="3" s="1"/>
  <c r="C7" i="3"/>
  <c r="C13" i="3" s="1"/>
  <c r="B15" i="2"/>
  <c r="B16" i="2"/>
  <c r="B17" i="2"/>
  <c r="B19" i="1"/>
  <c r="B20" i="1"/>
  <c r="B23" i="1"/>
  <c r="B18" i="1"/>
  <c r="C10" i="1"/>
  <c r="D10" i="1" s="1"/>
  <c r="C11" i="1"/>
  <c r="D11" i="1" s="1"/>
  <c r="C12" i="1"/>
  <c r="C23" i="1"/>
  <c r="C9" i="1"/>
  <c r="B17" i="1"/>
  <c r="C8" i="1"/>
  <c r="D8" i="1" s="1"/>
  <c r="K16" i="2"/>
  <c r="K26" i="2" s="1"/>
  <c r="M16" i="2"/>
  <c r="B13" i="2"/>
  <c r="B21" i="2" s="1"/>
  <c r="C6" i="2"/>
  <c r="D6" i="2" s="1"/>
  <c r="I22" i="2"/>
  <c r="I9" i="3"/>
  <c r="I10" i="3"/>
  <c r="I8" i="3"/>
  <c r="I9" i="2"/>
  <c r="O33" i="2" s="1"/>
  <c r="I10" i="2"/>
  <c r="I7" i="2"/>
  <c r="O7" i="2" s="1"/>
  <c r="Q9" i="2"/>
  <c r="Q8" i="2"/>
  <c r="Q10" i="2"/>
  <c r="O43" i="2"/>
  <c r="O10" i="2"/>
  <c r="N10" i="2"/>
  <c r="M26" i="2"/>
  <c r="M27" i="2" s="1"/>
  <c r="M17" i="2"/>
  <c r="M18" i="2" s="1"/>
  <c r="M20" i="2" s="1"/>
  <c r="C18" i="1"/>
  <c r="C15" i="5"/>
  <c r="B15" i="5"/>
  <c r="D12" i="1"/>
  <c r="D21" i="1"/>
  <c r="C21" i="1"/>
  <c r="B14" i="5"/>
  <c r="M36" i="2"/>
  <c r="M37" i="2" s="1"/>
  <c r="C16" i="5"/>
  <c r="O8" i="2"/>
  <c r="D7" i="3"/>
  <c r="E7" i="3" s="1"/>
  <c r="D9" i="1"/>
  <c r="E9" i="1" s="1"/>
  <c r="B16" i="5"/>
  <c r="O23" i="2"/>
  <c r="E12" i="1"/>
  <c r="E21" i="1"/>
  <c r="F12" i="1"/>
  <c r="G12" i="1" s="1"/>
  <c r="G21" i="1" s="1"/>
  <c r="F21" i="1"/>
  <c r="J12" i="1"/>
  <c r="J21" i="1" s="1"/>
  <c r="L49" i="2" l="1"/>
  <c r="M46" i="2"/>
  <c r="M47" i="2" s="1"/>
  <c r="M48" i="2" s="1"/>
  <c r="O50" i="2" s="1"/>
  <c r="O9" i="2"/>
  <c r="N36" i="2"/>
  <c r="N9" i="2"/>
  <c r="L37" i="2"/>
  <c r="L38" i="2" s="1"/>
  <c r="L39" i="2" s="1"/>
  <c r="C14" i="5"/>
  <c r="E8" i="5"/>
  <c r="F8" i="5" s="1"/>
  <c r="G8" i="5" s="1"/>
  <c r="G15" i="5" s="1"/>
  <c r="C15" i="2"/>
  <c r="K17" i="2"/>
  <c r="K18" i="2" s="1"/>
  <c r="K19" i="2" s="1"/>
  <c r="K20" i="2" s="1"/>
  <c r="K21" i="2" s="1"/>
  <c r="C17" i="2"/>
  <c r="P10" i="2"/>
  <c r="N26" i="2"/>
  <c r="E6" i="2"/>
  <c r="F6" i="2" s="1"/>
  <c r="D13" i="2"/>
  <c r="D21" i="2" s="1"/>
  <c r="C13" i="2"/>
  <c r="C21" i="2" s="1"/>
  <c r="C16" i="2"/>
  <c r="O13" i="2"/>
  <c r="N18" i="2" s="1"/>
  <c r="F9" i="1"/>
  <c r="E18" i="1"/>
  <c r="E11" i="1"/>
  <c r="D20" i="1"/>
  <c r="G14" i="1"/>
  <c r="G23" i="1" s="1"/>
  <c r="F23" i="1"/>
  <c r="D19" i="1"/>
  <c r="E10" i="1"/>
  <c r="J14" i="1"/>
  <c r="J23" i="1" s="1"/>
  <c r="C20" i="1"/>
  <c r="D18" i="1"/>
  <c r="E13" i="1"/>
  <c r="D22" i="1"/>
  <c r="C19" i="1"/>
  <c r="E23" i="1"/>
  <c r="D23" i="1"/>
  <c r="C17" i="1"/>
  <c r="D17" i="1"/>
  <c r="E8" i="1"/>
  <c r="D10" i="3"/>
  <c r="E10" i="2"/>
  <c r="F10" i="2" s="1"/>
  <c r="D17" i="2"/>
  <c r="D14" i="5"/>
  <c r="E7" i="5"/>
  <c r="E9" i="2"/>
  <c r="F9" i="2" s="1"/>
  <c r="F16" i="2" s="1"/>
  <c r="D16" i="2"/>
  <c r="E15" i="5"/>
  <c r="D6" i="5"/>
  <c r="E9" i="5"/>
  <c r="C14" i="2"/>
  <c r="E13" i="3"/>
  <c r="F7" i="3"/>
  <c r="D13" i="3"/>
  <c r="E8" i="3"/>
  <c r="D14" i="3"/>
  <c r="D15" i="3"/>
  <c r="E9" i="3"/>
  <c r="C15" i="3"/>
  <c r="C14" i="3"/>
  <c r="N49" i="2"/>
  <c r="N47" i="2"/>
  <c r="N28" i="2"/>
  <c r="L29" i="2"/>
  <c r="L30" i="2" s="1"/>
  <c r="P8" i="2"/>
  <c r="M19" i="2"/>
  <c r="M49" i="2"/>
  <c r="O48" i="2"/>
  <c r="M38" i="2"/>
  <c r="O37" i="2"/>
  <c r="O27" i="2"/>
  <c r="M28" i="2"/>
  <c r="O36" i="2"/>
  <c r="O46" i="2"/>
  <c r="O47" i="2"/>
  <c r="N48" i="2"/>
  <c r="N46" i="2"/>
  <c r="P46" i="2" s="1"/>
  <c r="N27" i="2"/>
  <c r="O26" i="2"/>
  <c r="E8" i="2"/>
  <c r="D15" i="2"/>
  <c r="N7" i="2"/>
  <c r="P7" i="2" s="1"/>
  <c r="N19" i="2"/>
  <c r="N17" i="2"/>
  <c r="O17" i="2"/>
  <c r="D14" i="2"/>
  <c r="E7" i="2"/>
  <c r="K36" i="2"/>
  <c r="K27" i="2"/>
  <c r="K28" i="2" s="1"/>
  <c r="P50" i="2" l="1"/>
  <c r="N39" i="2"/>
  <c r="L40" i="2"/>
  <c r="M39" i="2"/>
  <c r="M40" i="2" s="1"/>
  <c r="M41" i="2" s="1"/>
  <c r="N21" i="2"/>
  <c r="O18" i="2"/>
  <c r="N38" i="2"/>
  <c r="N30" i="2"/>
  <c r="L31" i="2"/>
  <c r="N31" i="2" s="1"/>
  <c r="P47" i="2"/>
  <c r="K29" i="2"/>
  <c r="K30" i="2" s="1"/>
  <c r="K31" i="2" s="1"/>
  <c r="O20" i="2"/>
  <c r="N37" i="2"/>
  <c r="P37" i="2" s="1"/>
  <c r="R37" i="2" s="1"/>
  <c r="P26" i="2"/>
  <c r="R26" i="2" s="1"/>
  <c r="G9" i="2"/>
  <c r="G16" i="2" s="1"/>
  <c r="N20" i="2"/>
  <c r="P36" i="2"/>
  <c r="R36" i="2" s="1"/>
  <c r="E16" i="2"/>
  <c r="P9" i="2"/>
  <c r="F15" i="5"/>
  <c r="E13" i="2"/>
  <c r="E21" i="2" s="1"/>
  <c r="D23" i="2"/>
  <c r="E17" i="2"/>
  <c r="N29" i="2"/>
  <c r="N16" i="2"/>
  <c r="O16" i="2"/>
  <c r="E20" i="1"/>
  <c r="F11" i="1"/>
  <c r="E22" i="1"/>
  <c r="F13" i="1"/>
  <c r="J11" i="1"/>
  <c r="J20" i="1" s="1"/>
  <c r="E19" i="1"/>
  <c r="F10" i="1"/>
  <c r="F18" i="1"/>
  <c r="G9" i="1"/>
  <c r="G18" i="1" s="1"/>
  <c r="E17" i="1"/>
  <c r="F8" i="1"/>
  <c r="E10" i="3"/>
  <c r="D16" i="3"/>
  <c r="P27" i="2"/>
  <c r="R27" i="2" s="1"/>
  <c r="P48" i="2"/>
  <c r="F9" i="5"/>
  <c r="E16" i="5"/>
  <c r="E6" i="5"/>
  <c r="D13" i="5"/>
  <c r="E14" i="5"/>
  <c r="F7" i="5"/>
  <c r="F13" i="3"/>
  <c r="G7" i="3"/>
  <c r="G13" i="3" s="1"/>
  <c r="E15" i="3"/>
  <c r="F9" i="3"/>
  <c r="F8" i="3"/>
  <c r="E14" i="3"/>
  <c r="O38" i="2"/>
  <c r="P38" i="2" s="1"/>
  <c r="R38" i="2" s="1"/>
  <c r="M21" i="2"/>
  <c r="O21" i="2" s="1"/>
  <c r="O19" i="2"/>
  <c r="P19" i="2" s="1"/>
  <c r="R19" i="2" s="1"/>
  <c r="M29" i="2"/>
  <c r="M30" i="2" s="1"/>
  <c r="M31" i="2" s="1"/>
  <c r="O28" i="2"/>
  <c r="P28" i="2" s="1"/>
  <c r="R28" i="2" s="1"/>
  <c r="P17" i="2"/>
  <c r="R17" i="2" s="1"/>
  <c r="P18" i="2"/>
  <c r="R18" i="2" s="1"/>
  <c r="O49" i="2"/>
  <c r="P49" i="2" s="1"/>
  <c r="O51" i="2"/>
  <c r="P51" i="2" s="1"/>
  <c r="G10" i="2"/>
  <c r="G17" i="2" s="1"/>
  <c r="F17" i="2"/>
  <c r="F8" i="2"/>
  <c r="E15" i="2"/>
  <c r="F7" i="2"/>
  <c r="E14" i="2"/>
  <c r="K37" i="2"/>
  <c r="K38" i="2" s="1"/>
  <c r="K39" i="2" s="1"/>
  <c r="K40" i="2" s="1"/>
  <c r="K41" i="2" s="1"/>
  <c r="K46" i="2"/>
  <c r="K47" i="2" s="1"/>
  <c r="K48" i="2" s="1"/>
  <c r="G6" i="2"/>
  <c r="G13" i="2" s="1"/>
  <c r="G21" i="2" s="1"/>
  <c r="F13" i="2"/>
  <c r="F21" i="2" s="1"/>
  <c r="O40" i="2" l="1"/>
  <c r="L41" i="2"/>
  <c r="N41" i="2" s="1"/>
  <c r="N40" i="2"/>
  <c r="P40" i="2" s="1"/>
  <c r="R40" i="2" s="1"/>
  <c r="P21" i="2"/>
  <c r="R21" i="2" s="1"/>
  <c r="P20" i="2"/>
  <c r="R20" i="2" s="1"/>
  <c r="K49" i="2"/>
  <c r="O30" i="2"/>
  <c r="P30" i="2" s="1"/>
  <c r="R30" i="2" s="1"/>
  <c r="E23" i="2"/>
  <c r="P16" i="2"/>
  <c r="R16" i="2" s="1"/>
  <c r="F19" i="1"/>
  <c r="G10" i="1"/>
  <c r="G19" i="1" s="1"/>
  <c r="J10" i="1"/>
  <c r="J19" i="1" s="1"/>
  <c r="F22" i="1"/>
  <c r="G13" i="1"/>
  <c r="G22" i="1" s="1"/>
  <c r="F20" i="1"/>
  <c r="G11" i="1"/>
  <c r="G20" i="1" s="1"/>
  <c r="J13" i="1"/>
  <c r="J22" i="1" s="1"/>
  <c r="G8" i="1"/>
  <c r="G17" i="1" s="1"/>
  <c r="F17" i="1"/>
  <c r="J8" i="1"/>
  <c r="E16" i="3"/>
  <c r="F10" i="3"/>
  <c r="F14" i="5"/>
  <c r="G7" i="5"/>
  <c r="G14" i="5" s="1"/>
  <c r="G9" i="5"/>
  <c r="G16" i="5" s="1"/>
  <c r="F16" i="5"/>
  <c r="F6" i="5"/>
  <c r="E13" i="5"/>
  <c r="G9" i="3"/>
  <c r="G15" i="3" s="1"/>
  <c r="F15" i="3"/>
  <c r="F14" i="3"/>
  <c r="G8" i="3"/>
  <c r="G14" i="3" s="1"/>
  <c r="O41" i="2"/>
  <c r="O39" i="2"/>
  <c r="P39" i="2" s="1"/>
  <c r="R39" i="2" s="1"/>
  <c r="O31" i="2"/>
  <c r="P31" i="2" s="1"/>
  <c r="R31" i="2" s="1"/>
  <c r="O29" i="2"/>
  <c r="P29" i="2" s="1"/>
  <c r="R29" i="2" s="1"/>
  <c r="G8" i="2"/>
  <c r="G15" i="2" s="1"/>
  <c r="F15" i="2"/>
  <c r="F14" i="2"/>
  <c r="G7" i="2"/>
  <c r="G14" i="2" s="1"/>
  <c r="P41" i="2" l="1"/>
  <c r="R41" i="2" s="1"/>
  <c r="F23" i="2"/>
  <c r="G23" i="2"/>
  <c r="F16" i="3"/>
  <c r="G10" i="3"/>
  <c r="G16" i="3" s="1"/>
  <c r="G6" i="5"/>
  <c r="G13" i="5" s="1"/>
  <c r="F13" i="5"/>
</calcChain>
</file>

<file path=xl/sharedStrings.xml><?xml version="1.0" encoding="utf-8"?>
<sst xmlns="http://schemas.openxmlformats.org/spreadsheetml/2006/main" count="145" uniqueCount="47">
  <si>
    <t>Researcher I</t>
  </si>
  <si>
    <t>Researcher II</t>
  </si>
  <si>
    <t>Researcher III</t>
  </si>
  <si>
    <t>Programmer</t>
  </si>
  <si>
    <t>EUR rate</t>
  </si>
  <si>
    <t>(NOK)</t>
  </si>
  <si>
    <t>Hours per month</t>
  </si>
  <si>
    <t>(EUR)</t>
  </si>
  <si>
    <r>
      <t xml:space="preserve">Hourly rates to use in ESA budgeting - </t>
    </r>
    <r>
      <rPr>
        <b/>
        <sz val="11"/>
        <color rgb="FFFF0000"/>
        <rFont val="Calibri"/>
        <family val="2"/>
        <scheme val="minor"/>
      </rPr>
      <t>Including overhead</t>
    </r>
  </si>
  <si>
    <r>
      <t xml:space="preserve">Hourly rates to use in NFR/SKD/Copernicus budgeting - </t>
    </r>
    <r>
      <rPr>
        <b/>
        <sz val="11"/>
        <color rgb="FFFF0000"/>
        <rFont val="Calibri"/>
        <family val="2"/>
        <scheme val="minor"/>
      </rPr>
      <t>Including overhead</t>
    </r>
  </si>
  <si>
    <t>Hours per year</t>
  </si>
  <si>
    <t>Hours pr. month</t>
  </si>
  <si>
    <t>Personal</t>
  </si>
  <si>
    <t>Cost pr. m</t>
  </si>
  <si>
    <t xml:space="preserve">Overhead </t>
  </si>
  <si>
    <t>pr. m</t>
  </si>
  <si>
    <t>Total</t>
  </si>
  <si>
    <t>cost pr h</t>
  </si>
  <si>
    <t>Overhead</t>
  </si>
  <si>
    <t>per h</t>
  </si>
  <si>
    <t>Postdoc/PhD</t>
  </si>
  <si>
    <t>Postdoc</t>
  </si>
  <si>
    <t>cost pr hour</t>
  </si>
  <si>
    <t>Cost pr. month</t>
  </si>
  <si>
    <t>pr. month</t>
  </si>
  <si>
    <t>pr hour</t>
  </si>
  <si>
    <t>Prisstigning</t>
  </si>
  <si>
    <t>Researcher I / Project manager</t>
  </si>
  <si>
    <t>Researcher II (Scientist)</t>
  </si>
  <si>
    <t>(Hours pr. year)</t>
  </si>
  <si>
    <t>There will be an fixed overhead of 25% on top of all these rates.</t>
  </si>
  <si>
    <r>
      <t xml:space="preserve">Hourly rates to use in EU 2020 budgeting - </t>
    </r>
    <r>
      <rPr>
        <b/>
        <sz val="11"/>
        <color rgb="FFFF0000"/>
        <rFont val="Calibri"/>
        <family val="2"/>
        <scheme val="minor"/>
      </rPr>
      <t xml:space="preserve">Direct personnel cost </t>
    </r>
  </si>
  <si>
    <t>OH prosent</t>
  </si>
  <si>
    <t xml:space="preserve">Hours pr month : </t>
  </si>
  <si>
    <t>Pr. Month</t>
  </si>
  <si>
    <t>Industripriser</t>
  </si>
  <si>
    <t>Revision date</t>
  </si>
  <si>
    <t>(according to ESA Audit 2016)</t>
  </si>
  <si>
    <t>PhD</t>
  </si>
  <si>
    <t>Prisstigning NFR</t>
  </si>
  <si>
    <t>Version</t>
  </si>
  <si>
    <t>Årlig økning stipend</t>
  </si>
  <si>
    <t>Stipendsatser</t>
  </si>
  <si>
    <t>Årlig prisstigning</t>
  </si>
  <si>
    <t>5 Years</t>
  </si>
  <si>
    <t>4 Years</t>
  </si>
  <si>
    <t>2022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</si>
</sst>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 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0" fontId="0" fillId="0" borderId="4" xfId="0" applyBorder="1"/>
    <xf numFmtId="3" fontId="0" fillId="0" borderId="0" xfId="0" applyNumberFormat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2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4" fontId="0" fillId="0" borderId="0" xfId="0" applyNumberFormat="1"/>
    <xf numFmtId="4" fontId="0" fillId="0" borderId="5" xfId="0" applyNumberFormat="1" applyBorder="1"/>
    <xf numFmtId="0" fontId="1" fillId="0" borderId="0" xfId="0" applyFont="1"/>
    <xf numFmtId="0" fontId="0" fillId="0" borderId="1" xfId="0" applyBorder="1"/>
    <xf numFmtId="4" fontId="0" fillId="0" borderId="2" xfId="0" applyNumberFormat="1" applyBorder="1"/>
    <xf numFmtId="4" fontId="0" fillId="0" borderId="3" xfId="0" applyNumberFormat="1" applyBorder="1"/>
    <xf numFmtId="2" fontId="0" fillId="0" borderId="6" xfId="0" applyNumberFormat="1" applyBorder="1"/>
    <xf numFmtId="0" fontId="4" fillId="0" borderId="1" xfId="0" applyFont="1" applyBorder="1"/>
    <xf numFmtId="3" fontId="0" fillId="0" borderId="3" xfId="0" applyNumberFormat="1" applyBorder="1"/>
    <xf numFmtId="0" fontId="4" fillId="0" borderId="4" xfId="0" applyFont="1" applyBorder="1"/>
    <xf numFmtId="0" fontId="4" fillId="0" borderId="6" xfId="0" applyFont="1" applyBorder="1"/>
    <xf numFmtId="0" fontId="2" fillId="0" borderId="13" xfId="0" applyFont="1" applyBorder="1" applyAlignment="1">
      <alignment horizontal="right"/>
    </xf>
    <xf numFmtId="3" fontId="0" fillId="0" borderId="14" xfId="0" applyNumberFormat="1" applyBorder="1"/>
    <xf numFmtId="3" fontId="0" fillId="0" borderId="15" xfId="0" applyNumberFormat="1" applyBorder="1"/>
    <xf numFmtId="3" fontId="2" fillId="0" borderId="12" xfId="0" applyNumberFormat="1" applyFont="1" applyBorder="1" applyAlignment="1">
      <alignment horizontal="right"/>
    </xf>
    <xf numFmtId="0" fontId="2" fillId="0" borderId="12" xfId="0" applyFont="1" applyBorder="1"/>
    <xf numFmtId="3" fontId="2" fillId="0" borderId="14" xfId="0" applyNumberFormat="1" applyFont="1" applyBorder="1"/>
    <xf numFmtId="3" fontId="2" fillId="0" borderId="15" xfId="0" applyNumberFormat="1" applyFont="1" applyBorder="1"/>
    <xf numFmtId="4" fontId="0" fillId="0" borderId="7" xfId="0" applyNumberFormat="1" applyBorder="1"/>
    <xf numFmtId="4" fontId="0" fillId="0" borderId="8" xfId="0" applyNumberFormat="1" applyBorder="1"/>
    <xf numFmtId="0" fontId="2" fillId="0" borderId="1" xfId="0" applyFont="1" applyBorder="1"/>
    <xf numFmtId="0" fontId="2" fillId="0" borderId="2" xfId="0" applyFont="1" applyBorder="1"/>
    <xf numFmtId="4" fontId="2" fillId="0" borderId="2" xfId="0" applyNumberFormat="1" applyFont="1" applyBorder="1"/>
    <xf numFmtId="4" fontId="2" fillId="0" borderId="3" xfId="0" applyNumberFormat="1" applyFont="1" applyBorder="1"/>
    <xf numFmtId="0" fontId="2" fillId="0" borderId="6" xfId="0" applyFont="1" applyBorder="1"/>
    <xf numFmtId="0" fontId="2" fillId="0" borderId="7" xfId="0" applyFont="1" applyBorder="1"/>
    <xf numFmtId="4" fontId="2" fillId="0" borderId="7" xfId="0" applyNumberFormat="1" applyFont="1" applyBorder="1"/>
    <xf numFmtId="4" fontId="2" fillId="0" borderId="8" xfId="0" applyNumberFormat="1" applyFont="1" applyBorder="1"/>
    <xf numFmtId="4" fontId="2" fillId="0" borderId="2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2" fillId="0" borderId="4" xfId="0" applyNumberFormat="1" applyFon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5" xfId="0" applyNumberFormat="1" applyBorder="1"/>
    <xf numFmtId="3" fontId="0" fillId="0" borderId="13" xfId="0" applyNumberFormat="1" applyBorder="1"/>
    <xf numFmtId="0" fontId="0" fillId="0" borderId="5" xfId="0" applyBorder="1"/>
    <xf numFmtId="10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3" fillId="0" borderId="0" xfId="0" applyFont="1"/>
    <xf numFmtId="164" fontId="2" fillId="0" borderId="0" xfId="0" applyNumberFormat="1" applyFont="1"/>
    <xf numFmtId="0" fontId="5" fillId="0" borderId="0" xfId="1" applyFont="1" applyFill="1"/>
    <xf numFmtId="4" fontId="2" fillId="0" borderId="0" xfId="0" applyNumberFormat="1" applyFont="1"/>
    <xf numFmtId="165" fontId="0" fillId="0" borderId="0" xfId="0" applyNumberFormat="1"/>
    <xf numFmtId="0" fontId="8" fillId="3" borderId="10" xfId="2" applyFont="1" applyBorder="1"/>
    <xf numFmtId="0" fontId="7" fillId="3" borderId="9" xfId="2" applyBorder="1"/>
    <xf numFmtId="4" fontId="7" fillId="3" borderId="11" xfId="2" applyNumberFormat="1" applyBorder="1"/>
    <xf numFmtId="4" fontId="0" fillId="0" borderId="4" xfId="0" applyNumberFormat="1" applyBorder="1"/>
    <xf numFmtId="4" fontId="0" fillId="0" borderId="6" xfId="0" applyNumberFormat="1" applyBorder="1"/>
    <xf numFmtId="164" fontId="8" fillId="3" borderId="10" xfId="2" applyNumberFormat="1" applyFont="1" applyBorder="1"/>
    <xf numFmtId="4" fontId="2" fillId="0" borderId="3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13" xfId="0" applyNumberFormat="1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4" fontId="2" fillId="0" borderId="14" xfId="0" applyNumberFormat="1" applyFont="1" applyBorder="1" applyAlignment="1">
      <alignment horizontal="right"/>
    </xf>
    <xf numFmtId="14" fontId="2" fillId="0" borderId="0" xfId="0" applyNumberFormat="1" applyFont="1"/>
    <xf numFmtId="164" fontId="5" fillId="0" borderId="0" xfId="1" applyNumberFormat="1" applyFont="1" applyFill="1"/>
    <xf numFmtId="3" fontId="5" fillId="0" borderId="13" xfId="0" applyNumberFormat="1" applyFont="1" applyBorder="1"/>
    <xf numFmtId="3" fontId="5" fillId="0" borderId="14" xfId="0" applyNumberFormat="1" applyFont="1" applyBorder="1"/>
    <xf numFmtId="3" fontId="5" fillId="0" borderId="15" xfId="0" applyNumberFormat="1" applyFont="1" applyBorder="1"/>
    <xf numFmtId="166" fontId="2" fillId="0" borderId="0" xfId="0" applyNumberFormat="1" applyFont="1"/>
    <xf numFmtId="1" fontId="2" fillId="0" borderId="6" xfId="0" applyNumberFormat="1" applyFont="1" applyBorder="1"/>
    <xf numFmtId="1" fontId="2" fillId="0" borderId="9" xfId="0" applyNumberFormat="1" applyFont="1" applyBorder="1"/>
    <xf numFmtId="0" fontId="0" fillId="0" borderId="9" xfId="0" applyBorder="1"/>
    <xf numFmtId="3" fontId="0" fillId="0" borderId="10" xfId="0" applyNumberFormat="1" applyBorder="1"/>
    <xf numFmtId="3" fontId="0" fillId="0" borderId="11" xfId="0" applyNumberFormat="1" applyBorder="1"/>
    <xf numFmtId="3" fontId="2" fillId="0" borderId="11" xfId="0" applyNumberFormat="1" applyFont="1" applyBorder="1" applyAlignment="1">
      <alignment horizontal="right"/>
    </xf>
    <xf numFmtId="9" fontId="0" fillId="0" borderId="0" xfId="0" applyNumberFormat="1"/>
    <xf numFmtId="3" fontId="2" fillId="0" borderId="0" xfId="0" applyNumberFormat="1" applyFont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13" xfId="0" applyNumberFormat="1" applyFont="1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M20" sqref="M20"/>
    </sheetView>
  </sheetViews>
  <sheetFormatPr defaultColWidth="9.140625" defaultRowHeight="15" x14ac:dyDescent="0.25"/>
  <cols>
    <col min="1" max="1" width="20.28515625" customWidth="1"/>
    <col min="2" max="7" width="10.140625" customWidth="1"/>
    <col min="10" max="10" width="31.5703125" style="5" customWidth="1"/>
    <col min="11" max="11" width="33.140625" customWidth="1"/>
  </cols>
  <sheetData>
    <row r="1" spans="1:11" x14ac:dyDescent="0.25">
      <c r="A1" s="1" t="s">
        <v>31</v>
      </c>
    </row>
    <row r="2" spans="1:11" x14ac:dyDescent="0.25">
      <c r="A2" s="1"/>
    </row>
    <row r="3" spans="1:11" x14ac:dyDescent="0.25">
      <c r="A3" s="1" t="s">
        <v>36</v>
      </c>
      <c r="B3" s="71">
        <v>44197</v>
      </c>
      <c r="D3" s="3"/>
    </row>
    <row r="4" spans="1:11" x14ac:dyDescent="0.25">
      <c r="A4" s="1" t="s">
        <v>4</v>
      </c>
      <c r="B4" s="76">
        <v>9.5</v>
      </c>
      <c r="C4" s="1"/>
      <c r="D4" s="2"/>
      <c r="F4" s="15"/>
    </row>
    <row r="5" spans="1:11" x14ac:dyDescent="0.25">
      <c r="A5" s="1" t="s">
        <v>6</v>
      </c>
      <c r="B5" s="56">
        <f>D5/12</f>
        <v>130</v>
      </c>
      <c r="C5" s="1"/>
      <c r="D5" s="72">
        <v>1560</v>
      </c>
      <c r="E5" s="57" t="s">
        <v>29</v>
      </c>
      <c r="F5" s="57"/>
    </row>
    <row r="7" spans="1:11" x14ac:dyDescent="0.25">
      <c r="J7" s="84" t="s">
        <v>44</v>
      </c>
      <c r="K7" s="84" t="s">
        <v>45</v>
      </c>
    </row>
    <row r="8" spans="1:11" x14ac:dyDescent="0.25">
      <c r="A8" s="10" t="s">
        <v>5</v>
      </c>
      <c r="B8" s="11">
        <v>2022</v>
      </c>
      <c r="C8" s="11">
        <f>B8+1</f>
        <v>2023</v>
      </c>
      <c r="D8" s="11">
        <f t="shared" ref="D8:G8" si="0">C8+1</f>
        <v>2024</v>
      </c>
      <c r="E8" s="11">
        <f t="shared" si="0"/>
        <v>2025</v>
      </c>
      <c r="F8" s="11">
        <f t="shared" si="0"/>
        <v>2026</v>
      </c>
      <c r="G8" s="12">
        <f t="shared" si="0"/>
        <v>2027</v>
      </c>
      <c r="J8" s="85" t="str">
        <f>CONCATENATE("Avg. ",$B$8,"/",$C$8,"/",$D$8,"/",$E$8,"/",$F$8)</f>
        <v>Avg. 2022/2023/2024/2025/2026</v>
      </c>
      <c r="K8" s="85" t="str">
        <f>CONCATENATE("Avg. ",$B$8,"/",$C$8,"/",$D$8,"/",$E$8)</f>
        <v>Avg. 2022/2023/2024/2025</v>
      </c>
    </row>
    <row r="9" spans="1:11" x14ac:dyDescent="0.25">
      <c r="A9" s="4" t="s">
        <v>0</v>
      </c>
      <c r="B9" s="5">
        <v>796.35683379937529</v>
      </c>
      <c r="C9" s="5">
        <f t="shared" ref="C9:G14" si="1">B9*(1+Prisstigning)</f>
        <v>818.25664672885819</v>
      </c>
      <c r="D9" s="5">
        <f t="shared" si="1"/>
        <v>840.75870451390188</v>
      </c>
      <c r="E9" s="5">
        <f t="shared" si="1"/>
        <v>863.87956888803421</v>
      </c>
      <c r="F9" s="5">
        <f t="shared" si="1"/>
        <v>887.63625703245521</v>
      </c>
      <c r="G9" s="6">
        <f t="shared" si="1"/>
        <v>912.04625410084782</v>
      </c>
      <c r="J9" s="49">
        <f>(B9+C9+D9+E9+F9)/5*$B$5</f>
        <v>109379.08828502822</v>
      </c>
      <c r="K9" s="49">
        <f>(B9+C9+D9+E9)/4*$B$5</f>
        <v>107875.68200273051</v>
      </c>
    </row>
    <row r="10" spans="1:11" x14ac:dyDescent="0.25">
      <c r="A10" s="4" t="s">
        <v>1</v>
      </c>
      <c r="B10" s="5">
        <v>556.6657473956252</v>
      </c>
      <c r="C10" s="5">
        <f t="shared" si="1"/>
        <v>571.97405544900494</v>
      </c>
      <c r="D10" s="5">
        <f t="shared" si="1"/>
        <v>587.70334197385262</v>
      </c>
      <c r="E10" s="5">
        <f t="shared" si="1"/>
        <v>603.86518387813362</v>
      </c>
      <c r="F10" s="5">
        <f t="shared" si="1"/>
        <v>620.47147643478229</v>
      </c>
      <c r="G10" s="6">
        <f t="shared" si="1"/>
        <v>637.53444203673882</v>
      </c>
      <c r="J10" s="25">
        <f t="shared" ref="J10:J14" si="2">(B10+C10+D10+E10+F10)/5*$B$5</f>
        <v>76457.674933416361</v>
      </c>
      <c r="K10" s="25">
        <f t="shared" ref="K10:K14" si="3">(B10+C10+D10+E10)/4*$B$5</f>
        <v>75406.770682640024</v>
      </c>
    </row>
    <row r="11" spans="1:11" x14ac:dyDescent="0.25">
      <c r="A11" s="4" t="s">
        <v>2</v>
      </c>
      <c r="B11" s="5">
        <v>386.4178729406251</v>
      </c>
      <c r="C11" s="5">
        <f t="shared" si="1"/>
        <v>397.0443644464923</v>
      </c>
      <c r="D11" s="5">
        <f t="shared" si="1"/>
        <v>407.96308446877089</v>
      </c>
      <c r="E11" s="5">
        <f t="shared" si="1"/>
        <v>419.18206929166212</v>
      </c>
      <c r="F11" s="5">
        <f t="shared" si="1"/>
        <v>430.70957619718286</v>
      </c>
      <c r="G11" s="6">
        <f t="shared" si="1"/>
        <v>442.55408954260542</v>
      </c>
      <c r="J11" s="25">
        <f t="shared" si="2"/>
        <v>53074.241150963069</v>
      </c>
      <c r="K11" s="25">
        <f t="shared" si="3"/>
        <v>52344.740212295394</v>
      </c>
    </row>
    <row r="12" spans="1:11" x14ac:dyDescent="0.25">
      <c r="A12" s="4" t="s">
        <v>21</v>
      </c>
      <c r="B12" s="5">
        <v>483.86238003000011</v>
      </c>
      <c r="C12" s="5">
        <f t="shared" si="1"/>
        <v>497.16859548082516</v>
      </c>
      <c r="D12" s="5">
        <f t="shared" si="1"/>
        <v>510.8407318565479</v>
      </c>
      <c r="E12" s="5">
        <f t="shared" si="1"/>
        <v>524.888851982603</v>
      </c>
      <c r="F12" s="5">
        <f t="shared" si="1"/>
        <v>539.32329541212459</v>
      </c>
      <c r="G12" s="6">
        <f t="shared" si="1"/>
        <v>554.15468603595809</v>
      </c>
      <c r="J12" s="25">
        <f t="shared" si="2"/>
        <v>66458.180223814634</v>
      </c>
      <c r="K12" s="25">
        <f t="shared" si="3"/>
        <v>65544.718178874231</v>
      </c>
    </row>
    <row r="13" spans="1:11" x14ac:dyDescent="0.25">
      <c r="A13" s="4" t="s">
        <v>38</v>
      </c>
      <c r="B13" s="5">
        <v>439.06030780500004</v>
      </c>
      <c r="C13" s="5">
        <f t="shared" ref="C13" si="4">B13*(1+Prisstigning)</f>
        <v>451.13446626963758</v>
      </c>
      <c r="D13" s="5">
        <f t="shared" ref="D13" si="5">C13*(1+Prisstigning)</f>
        <v>463.54066409205268</v>
      </c>
      <c r="E13" s="5">
        <f t="shared" ref="E13" si="6">D13*(1+Prisstigning)</f>
        <v>476.28803235458417</v>
      </c>
      <c r="F13" s="5">
        <f t="shared" ref="F13" si="7">E13*(1+Prisstigning)</f>
        <v>489.38595324433527</v>
      </c>
      <c r="G13" s="6">
        <f t="shared" ref="G13" si="8">F13*(1+Prisstigning)</f>
        <v>502.84406695855455</v>
      </c>
      <c r="J13" s="25">
        <f t="shared" si="2"/>
        <v>60304.645017905859</v>
      </c>
      <c r="K13" s="25">
        <f t="shared" si="3"/>
        <v>59475.762791941423</v>
      </c>
    </row>
    <row r="14" spans="1:11" x14ac:dyDescent="0.25">
      <c r="A14" s="7" t="s">
        <v>3</v>
      </c>
      <c r="B14" s="8">
        <v>598.10766420375001</v>
      </c>
      <c r="C14" s="8">
        <f t="shared" si="1"/>
        <v>614.55562496935318</v>
      </c>
      <c r="D14" s="8">
        <f t="shared" si="1"/>
        <v>631.45590465601049</v>
      </c>
      <c r="E14" s="8">
        <f t="shared" si="1"/>
        <v>648.82094203405086</v>
      </c>
      <c r="F14" s="8">
        <f t="shared" si="1"/>
        <v>666.66351793998729</v>
      </c>
      <c r="G14" s="9">
        <f t="shared" si="1"/>
        <v>684.99676468333701</v>
      </c>
      <c r="J14" s="26">
        <f t="shared" si="2"/>
        <v>82149.694998881969</v>
      </c>
      <c r="K14" s="26">
        <f t="shared" si="3"/>
        <v>81020.554415552862</v>
      </c>
    </row>
    <row r="16" spans="1:11" x14ac:dyDescent="0.25">
      <c r="J16" s="84" t="s">
        <v>44</v>
      </c>
      <c r="K16" s="84" t="s">
        <v>45</v>
      </c>
    </row>
    <row r="17" spans="1:11" x14ac:dyDescent="0.25">
      <c r="A17" s="10" t="s">
        <v>7</v>
      </c>
      <c r="B17" s="11">
        <f>B8</f>
        <v>2022</v>
      </c>
      <c r="C17" s="11">
        <f t="shared" ref="C17:G17" si="9">C8</f>
        <v>2023</v>
      </c>
      <c r="D17" s="11">
        <f t="shared" si="9"/>
        <v>2024</v>
      </c>
      <c r="E17" s="11">
        <f t="shared" si="9"/>
        <v>2025</v>
      </c>
      <c r="F17" s="11">
        <f t="shared" si="9"/>
        <v>2026</v>
      </c>
      <c r="G17" s="12">
        <f t="shared" si="9"/>
        <v>2027</v>
      </c>
      <c r="J17" s="85" t="str">
        <f>CONCATENATE("Avg. ",$B$8,"/",$C$8,"/",$D$8,"/",$E$8,"/",$F$8)</f>
        <v>Avg. 2022/2023/2024/2025/2026</v>
      </c>
      <c r="K17" s="85" t="str">
        <f>CONCATENATE("Avg. ",$B$8,"/",$C$8,"/",$D$8,"/",$E$8)</f>
        <v>Avg. 2022/2023/2024/2025</v>
      </c>
    </row>
    <row r="18" spans="1:11" x14ac:dyDescent="0.25">
      <c r="A18" s="4" t="s">
        <v>0</v>
      </c>
      <c r="B18" s="13">
        <f t="shared" ref="B18:G22" si="10">B9/EUR_Rate</f>
        <v>79.635683379937532</v>
      </c>
      <c r="C18" s="13">
        <f t="shared" si="10"/>
        <v>81.825664672885821</v>
      </c>
      <c r="D18" s="13">
        <f t="shared" si="10"/>
        <v>84.075870451390188</v>
      </c>
      <c r="E18" s="13">
        <f t="shared" si="10"/>
        <v>86.387956888803416</v>
      </c>
      <c r="F18" s="13">
        <f t="shared" si="10"/>
        <v>88.763625703245523</v>
      </c>
      <c r="G18" s="14">
        <f t="shared" si="10"/>
        <v>91.204625410084788</v>
      </c>
      <c r="J18" s="29">
        <f>J9/$B$4</f>
        <v>11513.588240529287</v>
      </c>
      <c r="K18" s="86">
        <f>K9/$B$4</f>
        <v>11355.334947655843</v>
      </c>
    </row>
    <row r="19" spans="1:11" x14ac:dyDescent="0.25">
      <c r="A19" s="4" t="s">
        <v>1</v>
      </c>
      <c r="B19" s="13">
        <f t="shared" si="10"/>
        <v>55.66657473956252</v>
      </c>
      <c r="C19" s="13">
        <f t="shared" si="10"/>
        <v>57.197405544900491</v>
      </c>
      <c r="D19" s="13">
        <f t="shared" si="10"/>
        <v>58.77033419738526</v>
      </c>
      <c r="E19" s="13">
        <f t="shared" si="10"/>
        <v>60.386518387813361</v>
      </c>
      <c r="F19" s="13">
        <f t="shared" si="10"/>
        <v>62.047147643478226</v>
      </c>
      <c r="G19" s="14">
        <f t="shared" si="10"/>
        <v>63.75344420367388</v>
      </c>
      <c r="J19" s="29">
        <f t="shared" ref="J19:K23" si="11">J10/$B$4</f>
        <v>8048.1763087806694</v>
      </c>
      <c r="K19" s="29">
        <f t="shared" si="11"/>
        <v>7937.5548086989502</v>
      </c>
    </row>
    <row r="20" spans="1:11" x14ac:dyDescent="0.25">
      <c r="A20" s="4" t="s">
        <v>2</v>
      </c>
      <c r="B20" s="13">
        <f t="shared" si="10"/>
        <v>38.64178729406251</v>
      </c>
      <c r="C20" s="13">
        <f t="shared" si="10"/>
        <v>39.704436444649232</v>
      </c>
      <c r="D20" s="13">
        <f t="shared" si="10"/>
        <v>40.796308446877092</v>
      </c>
      <c r="E20" s="13">
        <f t="shared" si="10"/>
        <v>41.91820692916621</v>
      </c>
      <c r="F20" s="13">
        <f t="shared" si="10"/>
        <v>43.070957619718286</v>
      </c>
      <c r="G20" s="14">
        <f t="shared" si="10"/>
        <v>44.255408954260545</v>
      </c>
      <c r="J20" s="29">
        <f t="shared" si="11"/>
        <v>5586.762226417165</v>
      </c>
      <c r="K20" s="29">
        <f t="shared" si="11"/>
        <v>5509.9726539258309</v>
      </c>
    </row>
    <row r="21" spans="1:11" x14ac:dyDescent="0.25">
      <c r="A21" s="4" t="s">
        <v>21</v>
      </c>
      <c r="B21" s="13">
        <f t="shared" si="10"/>
        <v>48.38623800300001</v>
      </c>
      <c r="C21" s="13">
        <f t="shared" si="10"/>
        <v>49.716859548082518</v>
      </c>
      <c r="D21" s="13">
        <f t="shared" si="10"/>
        <v>51.084073185654788</v>
      </c>
      <c r="E21" s="13">
        <f t="shared" si="10"/>
        <v>52.488885198260299</v>
      </c>
      <c r="F21" s="13">
        <f t="shared" si="10"/>
        <v>53.932329541212461</v>
      </c>
      <c r="G21" s="14">
        <f t="shared" si="10"/>
        <v>55.415468603595812</v>
      </c>
      <c r="J21" s="29">
        <f t="shared" si="11"/>
        <v>6995.5979182962774</v>
      </c>
      <c r="K21" s="29">
        <f t="shared" si="11"/>
        <v>6899.4440188288663</v>
      </c>
    </row>
    <row r="22" spans="1:11" x14ac:dyDescent="0.25">
      <c r="A22" s="4" t="s">
        <v>38</v>
      </c>
      <c r="B22" s="13">
        <f t="shared" si="10"/>
        <v>43.906030780500004</v>
      </c>
      <c r="C22" s="13">
        <f t="shared" si="10"/>
        <v>45.113446626963757</v>
      </c>
      <c r="D22" s="13">
        <f t="shared" si="10"/>
        <v>46.354066409205267</v>
      </c>
      <c r="E22" s="13">
        <f t="shared" si="10"/>
        <v>47.62880323545842</v>
      </c>
      <c r="F22" s="13">
        <f t="shared" si="10"/>
        <v>48.938595324433528</v>
      </c>
      <c r="G22" s="14">
        <f t="shared" si="10"/>
        <v>50.284406695855452</v>
      </c>
      <c r="J22" s="29">
        <f t="shared" si="11"/>
        <v>6347.8573703058801</v>
      </c>
      <c r="K22" s="29">
        <f t="shared" si="11"/>
        <v>6260.6066096780442</v>
      </c>
    </row>
    <row r="23" spans="1:11" x14ac:dyDescent="0.25">
      <c r="A23" s="19" t="s">
        <v>3</v>
      </c>
      <c r="B23" s="31">
        <f t="shared" ref="B23:G23" si="12">B14/EUR_Rate</f>
        <v>59.810766420375003</v>
      </c>
      <c r="C23" s="31">
        <f t="shared" si="12"/>
        <v>61.455562496935315</v>
      </c>
      <c r="D23" s="31">
        <f t="shared" si="12"/>
        <v>63.145590465601046</v>
      </c>
      <c r="E23" s="31">
        <f t="shared" si="12"/>
        <v>64.882094203405089</v>
      </c>
      <c r="F23" s="31">
        <f t="shared" si="12"/>
        <v>66.666351793998729</v>
      </c>
      <c r="G23" s="32">
        <f t="shared" si="12"/>
        <v>68.499676468333703</v>
      </c>
      <c r="J23" s="30">
        <f t="shared" si="11"/>
        <v>8647.336315671786</v>
      </c>
      <c r="K23" s="30">
        <f t="shared" si="11"/>
        <v>8528.4794121634586</v>
      </c>
    </row>
    <row r="26" spans="1:11" x14ac:dyDescent="0.25">
      <c r="A26" s="55" t="s">
        <v>30</v>
      </c>
      <c r="B26" s="1"/>
      <c r="C26" s="1"/>
      <c r="D26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1"/>
  <sheetViews>
    <sheetView tabSelected="1" workbookViewId="0">
      <selection activeCell="V47" sqref="V47"/>
    </sheetView>
  </sheetViews>
  <sheetFormatPr defaultColWidth="9.140625" defaultRowHeight="15" x14ac:dyDescent="0.25"/>
  <cols>
    <col min="1" max="1" width="21.140625" customWidth="1"/>
    <col min="2" max="2" width="13" customWidth="1"/>
    <col min="3" max="7" width="10.140625" customWidth="1"/>
    <col min="8" max="8" width="16" bestFit="1" customWidth="1"/>
    <col min="9" max="10" width="14.7109375" customWidth="1"/>
    <col min="11" max="11" width="19.7109375" customWidth="1"/>
    <col min="12" max="12" width="12.85546875" customWidth="1"/>
    <col min="14" max="14" width="20" style="13" customWidth="1"/>
    <col min="15" max="15" width="10.28515625" style="13" customWidth="1"/>
    <col min="16" max="16" width="11.42578125" style="13" bestFit="1" customWidth="1"/>
    <col min="17" max="17" width="13.140625" bestFit="1" customWidth="1"/>
    <col min="19" max="19" width="10" bestFit="1" customWidth="1"/>
  </cols>
  <sheetData>
    <row r="1" spans="1:19" x14ac:dyDescent="0.25">
      <c r="A1" s="1" t="s">
        <v>9</v>
      </c>
    </row>
    <row r="2" spans="1:19" x14ac:dyDescent="0.25">
      <c r="A2" s="1" t="s">
        <v>40</v>
      </c>
      <c r="B2" s="2" t="s">
        <v>46</v>
      </c>
      <c r="D2" s="3"/>
    </row>
    <row r="3" spans="1:19" x14ac:dyDescent="0.25">
      <c r="A3" s="1" t="s">
        <v>36</v>
      </c>
      <c r="B3" s="71">
        <v>44586</v>
      </c>
      <c r="C3" s="1"/>
      <c r="D3" s="2"/>
      <c r="K3" s="13"/>
      <c r="L3" s="13"/>
      <c r="N3"/>
      <c r="O3"/>
      <c r="P3"/>
    </row>
    <row r="4" spans="1:19" x14ac:dyDescent="0.25">
      <c r="A4" s="1" t="s">
        <v>4</v>
      </c>
      <c r="B4" s="76">
        <v>9.5</v>
      </c>
      <c r="L4" s="33"/>
      <c r="M4" s="34"/>
      <c r="N4" s="41" t="str">
        <f>CONCATENATE(B6," rates")</f>
        <v>2023 rates</v>
      </c>
      <c r="O4" s="35"/>
      <c r="P4" s="36"/>
    </row>
    <row r="5" spans="1:19" x14ac:dyDescent="0.25">
      <c r="L5" s="33" t="s">
        <v>12</v>
      </c>
      <c r="M5" s="34" t="s">
        <v>18</v>
      </c>
      <c r="N5" s="35" t="s">
        <v>12</v>
      </c>
      <c r="O5" s="35" t="s">
        <v>14</v>
      </c>
      <c r="P5" s="36" t="s">
        <v>16</v>
      </c>
    </row>
    <row r="6" spans="1:19" x14ac:dyDescent="0.25">
      <c r="A6" s="10" t="s">
        <v>5</v>
      </c>
      <c r="B6" s="11">
        <v>2023</v>
      </c>
      <c r="C6" s="11">
        <f>B6+1</f>
        <v>2024</v>
      </c>
      <c r="D6" s="11">
        <f t="shared" ref="D6:G6" si="0">C6+1</f>
        <v>2025</v>
      </c>
      <c r="E6" s="11">
        <f t="shared" si="0"/>
        <v>2026</v>
      </c>
      <c r="F6" s="11">
        <f t="shared" si="0"/>
        <v>2027</v>
      </c>
      <c r="G6" s="11">
        <f t="shared" si="0"/>
        <v>2028</v>
      </c>
      <c r="H6" s="27" t="s">
        <v>10</v>
      </c>
      <c r="I6" s="28" t="s">
        <v>11</v>
      </c>
      <c r="J6" s="1"/>
      <c r="L6" s="37" t="s">
        <v>17</v>
      </c>
      <c r="M6" s="38" t="s">
        <v>19</v>
      </c>
      <c r="N6" s="39" t="s">
        <v>13</v>
      </c>
      <c r="O6" s="39" t="s">
        <v>15</v>
      </c>
      <c r="P6" s="40" t="s">
        <v>15</v>
      </c>
      <c r="Q6" s="58" t="s">
        <v>32</v>
      </c>
    </row>
    <row r="7" spans="1:19" x14ac:dyDescent="0.25">
      <c r="A7" s="4" t="s">
        <v>0</v>
      </c>
      <c r="B7" s="5">
        <v>1704</v>
      </c>
      <c r="C7" s="5">
        <f t="shared" ref="C7:G10" si="1">B7*(1+Prisstigning_NFR)</f>
        <v>1763.6399999999999</v>
      </c>
      <c r="D7" s="5">
        <f t="shared" si="1"/>
        <v>1825.3673999999996</v>
      </c>
      <c r="E7" s="5">
        <f t="shared" si="1"/>
        <v>1889.2552589999996</v>
      </c>
      <c r="F7" s="5">
        <f t="shared" si="1"/>
        <v>1955.3791930649993</v>
      </c>
      <c r="G7" s="5">
        <f t="shared" si="1"/>
        <v>2023.8174648222741</v>
      </c>
      <c r="H7" s="25">
        <v>1150</v>
      </c>
      <c r="I7" s="52">
        <f>H7/12</f>
        <v>95.833333333333329</v>
      </c>
      <c r="J7" s="5"/>
      <c r="K7" s="42" t="s">
        <v>0</v>
      </c>
      <c r="L7" s="63">
        <v>1704</v>
      </c>
      <c r="M7" s="13"/>
      <c r="N7" s="13">
        <f>L7*I7</f>
        <v>163300</v>
      </c>
      <c r="O7" s="13">
        <f>M7*I7</f>
        <v>0</v>
      </c>
      <c r="P7" s="6">
        <f>SUM(N7:O7)</f>
        <v>163300</v>
      </c>
      <c r="Q7" s="59">
        <f>M7/(L7+M7)</f>
        <v>0</v>
      </c>
      <c r="S7" s="13"/>
    </row>
    <row r="8" spans="1:19" x14ac:dyDescent="0.25">
      <c r="A8" s="4" t="s">
        <v>1</v>
      </c>
      <c r="B8" s="5">
        <v>1219</v>
      </c>
      <c r="C8" s="5">
        <f t="shared" si="1"/>
        <v>1261.665</v>
      </c>
      <c r="D8" s="5">
        <f t="shared" si="1"/>
        <v>1305.823275</v>
      </c>
      <c r="E8" s="5">
        <f t="shared" si="1"/>
        <v>1351.5270896249999</v>
      </c>
      <c r="F8" s="5">
        <f t="shared" si="1"/>
        <v>1398.8305377618749</v>
      </c>
      <c r="G8" s="5">
        <f t="shared" si="1"/>
        <v>1447.7896065835405</v>
      </c>
      <c r="H8" s="25">
        <v>1322</v>
      </c>
      <c r="I8" s="53">
        <f>H8/12</f>
        <v>110.16666666666667</v>
      </c>
      <c r="J8" s="5"/>
      <c r="K8" s="43" t="s">
        <v>1</v>
      </c>
      <c r="L8" s="63">
        <v>1219</v>
      </c>
      <c r="M8" s="13"/>
      <c r="N8" s="13">
        <f t="shared" ref="N8:N9" si="2">L8*I8</f>
        <v>134293.16666666669</v>
      </c>
      <c r="O8" s="13">
        <f t="shared" ref="O8:O9" si="3">M8*I8</f>
        <v>0</v>
      </c>
      <c r="P8" s="6">
        <f>SUM(N8:O8)</f>
        <v>134293.16666666669</v>
      </c>
      <c r="Q8" s="59">
        <f t="shared" ref="Q8:Q10" si="4">M8/(L8+M8)</f>
        <v>0</v>
      </c>
      <c r="S8" s="13"/>
    </row>
    <row r="9" spans="1:19" x14ac:dyDescent="0.25">
      <c r="A9" s="4" t="s">
        <v>2</v>
      </c>
      <c r="B9" s="5">
        <v>826</v>
      </c>
      <c r="C9" s="5">
        <f>B9*(1+Prisstigning_NFR)</f>
        <v>854.91</v>
      </c>
      <c r="D9" s="5">
        <f t="shared" si="1"/>
        <v>884.83184999999992</v>
      </c>
      <c r="E9" s="5">
        <f t="shared" si="1"/>
        <v>915.80096474999982</v>
      </c>
      <c r="F9" s="5">
        <f t="shared" si="1"/>
        <v>947.8539985162497</v>
      </c>
      <c r="G9" s="5">
        <f t="shared" si="1"/>
        <v>981.02888846431836</v>
      </c>
      <c r="H9" s="25">
        <v>1530</v>
      </c>
      <c r="I9" s="53">
        <f t="shared" ref="I9:I10" si="5">H9/12</f>
        <v>127.5</v>
      </c>
      <c r="J9" s="5"/>
      <c r="K9" s="43" t="s">
        <v>2</v>
      </c>
      <c r="L9" s="63">
        <v>826</v>
      </c>
      <c r="M9" s="13"/>
      <c r="N9" s="13">
        <f t="shared" si="2"/>
        <v>105315</v>
      </c>
      <c r="O9" s="13">
        <f t="shared" si="3"/>
        <v>0</v>
      </c>
      <c r="P9" s="6">
        <f t="shared" ref="P9:P10" si="6">SUM(N9:O9)</f>
        <v>105315</v>
      </c>
      <c r="Q9" s="59">
        <f t="shared" si="4"/>
        <v>0</v>
      </c>
      <c r="S9" s="13"/>
    </row>
    <row r="10" spans="1:19" x14ac:dyDescent="0.25">
      <c r="A10" s="7" t="s">
        <v>3</v>
      </c>
      <c r="B10" s="8">
        <v>1368</v>
      </c>
      <c r="C10" s="8">
        <f t="shared" si="1"/>
        <v>1415.8799999999999</v>
      </c>
      <c r="D10" s="8">
        <f t="shared" si="1"/>
        <v>1465.4357999999997</v>
      </c>
      <c r="E10" s="8">
        <f t="shared" si="1"/>
        <v>1516.7260529999996</v>
      </c>
      <c r="F10" s="8">
        <f t="shared" si="1"/>
        <v>1569.8114648549995</v>
      </c>
      <c r="G10" s="9">
        <f t="shared" si="1"/>
        <v>1624.7548661249243</v>
      </c>
      <c r="H10" s="26">
        <v>1370</v>
      </c>
      <c r="I10" s="54">
        <f t="shared" si="5"/>
        <v>114.16666666666667</v>
      </c>
      <c r="J10" s="5"/>
      <c r="K10" s="44" t="s">
        <v>3</v>
      </c>
      <c r="L10" s="64">
        <v>1368</v>
      </c>
      <c r="M10" s="31"/>
      <c r="N10" s="31">
        <f>L10*I10</f>
        <v>156180</v>
      </c>
      <c r="O10" s="31">
        <f>M10*I10</f>
        <v>0</v>
      </c>
      <c r="P10" s="9">
        <f t="shared" si="6"/>
        <v>156180</v>
      </c>
      <c r="Q10" s="59">
        <f t="shared" si="4"/>
        <v>0</v>
      </c>
      <c r="S10" s="13"/>
    </row>
    <row r="13" spans="1:19" x14ac:dyDescent="0.25">
      <c r="A13" s="10" t="s">
        <v>7</v>
      </c>
      <c r="B13" s="11">
        <f>B6</f>
        <v>2023</v>
      </c>
      <c r="C13" s="11">
        <f t="shared" ref="C13:G13" si="7">C6</f>
        <v>2024</v>
      </c>
      <c r="D13" s="11">
        <f t="shared" si="7"/>
        <v>2025</v>
      </c>
      <c r="E13" s="11">
        <f t="shared" si="7"/>
        <v>2026</v>
      </c>
      <c r="F13" s="11">
        <f t="shared" si="7"/>
        <v>2027</v>
      </c>
      <c r="G13" s="12">
        <f t="shared" si="7"/>
        <v>2028</v>
      </c>
      <c r="K13" s="61"/>
      <c r="L13" s="60" t="s">
        <v>0</v>
      </c>
      <c r="M13" s="60"/>
      <c r="N13" s="60" t="s">
        <v>33</v>
      </c>
      <c r="O13" s="65">
        <f>Hours_pr._month</f>
        <v>95.833333333333329</v>
      </c>
      <c r="P13" s="62"/>
    </row>
    <row r="14" spans="1:19" x14ac:dyDescent="0.25">
      <c r="A14" s="16" t="s">
        <v>0</v>
      </c>
      <c r="B14" s="17">
        <f>B7/EUR_Rate</f>
        <v>170.4</v>
      </c>
      <c r="C14" s="17">
        <f t="shared" ref="B14:G17" si="8">C7/EUR_Rate</f>
        <v>176.36399999999998</v>
      </c>
      <c r="D14" s="17">
        <f t="shared" si="8"/>
        <v>182.53673999999995</v>
      </c>
      <c r="E14" s="17">
        <f t="shared" si="8"/>
        <v>188.92552589999997</v>
      </c>
      <c r="F14" s="17">
        <f t="shared" si="8"/>
        <v>195.53791930649993</v>
      </c>
      <c r="G14" s="18">
        <f t="shared" si="8"/>
        <v>202.38174648222741</v>
      </c>
      <c r="K14" s="16"/>
      <c r="L14" s="24" t="s">
        <v>12</v>
      </c>
      <c r="M14" s="24" t="s">
        <v>18</v>
      </c>
      <c r="N14" s="68" t="s">
        <v>12</v>
      </c>
      <c r="O14" s="68" t="s">
        <v>14</v>
      </c>
      <c r="P14" s="66" t="s">
        <v>16</v>
      </c>
    </row>
    <row r="15" spans="1:19" x14ac:dyDescent="0.25">
      <c r="A15" s="4" t="s">
        <v>1</v>
      </c>
      <c r="B15" s="13">
        <f t="shared" si="8"/>
        <v>121.9</v>
      </c>
      <c r="C15" s="13">
        <f t="shared" si="8"/>
        <v>126.1665</v>
      </c>
      <c r="D15" s="13">
        <f t="shared" si="8"/>
        <v>130.58232749999999</v>
      </c>
      <c r="E15" s="13">
        <f t="shared" si="8"/>
        <v>135.15270896249999</v>
      </c>
      <c r="F15" s="13">
        <f t="shared" si="8"/>
        <v>139.8830537761875</v>
      </c>
      <c r="G15" s="14">
        <f t="shared" si="8"/>
        <v>144.77896065835404</v>
      </c>
      <c r="K15" s="4"/>
      <c r="L15" s="69" t="s">
        <v>22</v>
      </c>
      <c r="M15" s="69" t="s">
        <v>25</v>
      </c>
      <c r="N15" s="70" t="s">
        <v>23</v>
      </c>
      <c r="O15" s="70" t="s">
        <v>24</v>
      </c>
      <c r="P15" s="67" t="s">
        <v>24</v>
      </c>
    </row>
    <row r="16" spans="1:19" x14ac:dyDescent="0.25">
      <c r="A16" s="4" t="s">
        <v>2</v>
      </c>
      <c r="B16" s="13">
        <f t="shared" si="8"/>
        <v>82.6</v>
      </c>
      <c r="C16" s="13">
        <f t="shared" si="8"/>
        <v>85.491</v>
      </c>
      <c r="D16" s="13">
        <f t="shared" si="8"/>
        <v>88.483184999999992</v>
      </c>
      <c r="E16" s="13">
        <f t="shared" si="8"/>
        <v>91.580096474999976</v>
      </c>
      <c r="F16" s="13">
        <f t="shared" si="8"/>
        <v>94.785399851624973</v>
      </c>
      <c r="G16" s="14">
        <f t="shared" si="8"/>
        <v>98.102888846431838</v>
      </c>
      <c r="K16" s="45">
        <f>B6</f>
        <v>2023</v>
      </c>
      <c r="L16" s="46">
        <f>L7</f>
        <v>1704</v>
      </c>
      <c r="M16" s="46">
        <f>M7</f>
        <v>0</v>
      </c>
      <c r="N16" s="49">
        <f t="shared" ref="N16:O21" si="9">L16*hmI</f>
        <v>163300</v>
      </c>
      <c r="O16" s="49">
        <f t="shared" si="9"/>
        <v>0</v>
      </c>
      <c r="P16" s="21">
        <f>N16+O16</f>
        <v>163300</v>
      </c>
      <c r="R16" s="5">
        <f>P16/$B$4</f>
        <v>17189.473684210527</v>
      </c>
    </row>
    <row r="17" spans="1:18" x14ac:dyDescent="0.25">
      <c r="A17" s="19" t="s">
        <v>3</v>
      </c>
      <c r="B17" s="31">
        <f t="shared" si="8"/>
        <v>136.80000000000001</v>
      </c>
      <c r="C17" s="31">
        <f t="shared" si="8"/>
        <v>141.58799999999999</v>
      </c>
      <c r="D17" s="31">
        <f t="shared" si="8"/>
        <v>146.54357999999996</v>
      </c>
      <c r="E17" s="31">
        <f t="shared" si="8"/>
        <v>151.67260529999996</v>
      </c>
      <c r="F17" s="31">
        <f t="shared" si="8"/>
        <v>156.98114648549995</v>
      </c>
      <c r="G17" s="32">
        <f t="shared" si="8"/>
        <v>162.47548661249243</v>
      </c>
      <c r="K17" s="45">
        <f>K16+1</f>
        <v>2024</v>
      </c>
      <c r="L17" s="47">
        <f t="shared" ref="L17:M19" si="10">L16*(1+Prisstigning_NFR)</f>
        <v>1763.6399999999999</v>
      </c>
      <c r="M17" s="47">
        <f t="shared" si="10"/>
        <v>0</v>
      </c>
      <c r="N17" s="25">
        <f t="shared" si="9"/>
        <v>169015.49999999997</v>
      </c>
      <c r="O17" s="25">
        <f t="shared" si="9"/>
        <v>0</v>
      </c>
      <c r="P17" s="6">
        <f t="shared" ref="P17:P21" si="11">N17+O17</f>
        <v>169015.49999999997</v>
      </c>
      <c r="R17" s="5">
        <f t="shared" ref="R17:R21" si="12">P17/$B$4</f>
        <v>17791.105263157893</v>
      </c>
    </row>
    <row r="18" spans="1:18" x14ac:dyDescent="0.25">
      <c r="K18" s="45">
        <f t="shared" ref="K18:K21" si="13">K17+1</f>
        <v>2025</v>
      </c>
      <c r="L18" s="47">
        <f t="shared" si="10"/>
        <v>1825.3673999999996</v>
      </c>
      <c r="M18" s="47">
        <f t="shared" si="10"/>
        <v>0</v>
      </c>
      <c r="N18" s="25">
        <f t="shared" si="9"/>
        <v>174931.04249999995</v>
      </c>
      <c r="O18" s="25">
        <f t="shared" si="9"/>
        <v>0</v>
      </c>
      <c r="P18" s="6">
        <f t="shared" si="11"/>
        <v>174931.04249999995</v>
      </c>
      <c r="R18" s="5">
        <f t="shared" si="12"/>
        <v>18413.793947368416</v>
      </c>
    </row>
    <row r="19" spans="1:18" x14ac:dyDescent="0.25">
      <c r="J19" s="50"/>
      <c r="K19" s="45">
        <f t="shared" si="13"/>
        <v>2026</v>
      </c>
      <c r="L19" s="47">
        <f t="shared" ref="L19" si="14">L18*(1+Prisstigning_NFR)</f>
        <v>1889.2552589999996</v>
      </c>
      <c r="M19" s="47">
        <f t="shared" si="10"/>
        <v>0</v>
      </c>
      <c r="N19" s="25">
        <f t="shared" si="9"/>
        <v>181053.62898749995</v>
      </c>
      <c r="O19" s="25">
        <f t="shared" si="9"/>
        <v>0</v>
      </c>
      <c r="P19" s="6">
        <f t="shared" si="11"/>
        <v>181053.62898749995</v>
      </c>
      <c r="R19" s="5">
        <f t="shared" si="12"/>
        <v>19058.276735526309</v>
      </c>
    </row>
    <row r="20" spans="1:18" x14ac:dyDescent="0.25">
      <c r="K20" s="45">
        <f t="shared" si="13"/>
        <v>2027</v>
      </c>
      <c r="L20" s="47">
        <f t="shared" ref="L20" si="15">L19*(1+Prisstigning_NFR)</f>
        <v>1955.3791930649993</v>
      </c>
      <c r="M20" s="47">
        <f>M18*(1+Prisstigning_NFR)</f>
        <v>0</v>
      </c>
      <c r="N20" s="6">
        <f t="shared" ref="N20" si="16">L20*hmI</f>
        <v>187390.50600206244</v>
      </c>
      <c r="O20" s="25">
        <f t="shared" ref="O20" si="17">M20*hmI</f>
        <v>0</v>
      </c>
      <c r="P20" s="6">
        <f t="shared" ref="P20" si="18">N20+O20</f>
        <v>187390.50600206244</v>
      </c>
      <c r="R20" s="5">
        <f t="shared" ref="R20" si="19">P20/$B$4</f>
        <v>19725.31642126973</v>
      </c>
    </row>
    <row r="21" spans="1:18" x14ac:dyDescent="0.25">
      <c r="A21" s="28" t="s">
        <v>42</v>
      </c>
      <c r="B21" s="78">
        <f>B13</f>
        <v>2023</v>
      </c>
      <c r="C21" s="11">
        <f t="shared" ref="C21:G21" si="20">C13</f>
        <v>2024</v>
      </c>
      <c r="D21" s="11">
        <f t="shared" si="20"/>
        <v>2025</v>
      </c>
      <c r="E21" s="11">
        <f t="shared" si="20"/>
        <v>2026</v>
      </c>
      <c r="F21" s="11">
        <f t="shared" si="20"/>
        <v>2027</v>
      </c>
      <c r="G21" s="12">
        <f t="shared" si="20"/>
        <v>2028</v>
      </c>
      <c r="H21" s="82" t="s">
        <v>10</v>
      </c>
      <c r="I21" s="28" t="s">
        <v>11</v>
      </c>
      <c r="J21" s="1"/>
      <c r="K21" s="77">
        <f t="shared" si="13"/>
        <v>2028</v>
      </c>
      <c r="L21" s="48">
        <f t="shared" ref="L21" si="21">L20*(1+Prisstigning_NFR)</f>
        <v>2023.8174648222741</v>
      </c>
      <c r="M21" s="48">
        <f>M19*(1+Prisstigning_NFR)</f>
        <v>0</v>
      </c>
      <c r="N21" s="9">
        <f t="shared" si="9"/>
        <v>193949.17371213459</v>
      </c>
      <c r="O21" s="26">
        <f t="shared" si="9"/>
        <v>0</v>
      </c>
      <c r="P21" s="9">
        <f t="shared" si="11"/>
        <v>193949.17371213459</v>
      </c>
      <c r="R21" s="5">
        <f t="shared" si="12"/>
        <v>20415.702496014168</v>
      </c>
    </row>
    <row r="22" spans="1:18" x14ac:dyDescent="0.25">
      <c r="A22" s="7" t="s">
        <v>20</v>
      </c>
      <c r="B22" s="8">
        <v>1244000</v>
      </c>
      <c r="C22" s="8">
        <v>1293760</v>
      </c>
      <c r="D22" s="8">
        <v>1332572.8</v>
      </c>
      <c r="E22" s="8">
        <v>1372549.9839999999</v>
      </c>
      <c r="F22" s="8">
        <v>1413726.48352</v>
      </c>
      <c r="G22" s="8">
        <v>1456138.2780255999</v>
      </c>
      <c r="H22" s="8">
        <v>1530</v>
      </c>
      <c r="I22" s="9">
        <f t="shared" ref="I22" si="22">H22/12</f>
        <v>127.5</v>
      </c>
      <c r="J22" s="5"/>
    </row>
    <row r="23" spans="1:18" x14ac:dyDescent="0.25">
      <c r="A23" s="79" t="s">
        <v>34</v>
      </c>
      <c r="B23" s="80">
        <f>B22/12</f>
        <v>103666.66666666667</v>
      </c>
      <c r="C23" s="80">
        <f t="shared" ref="C23:G23" si="23">C22/12</f>
        <v>107813.33333333333</v>
      </c>
      <c r="D23" s="80">
        <f t="shared" si="23"/>
        <v>111047.73333333334</v>
      </c>
      <c r="E23" s="80">
        <f t="shared" si="23"/>
        <v>114379.16533333332</v>
      </c>
      <c r="F23" s="80">
        <f t="shared" si="23"/>
        <v>117810.54029333334</v>
      </c>
      <c r="G23" s="81">
        <f t="shared" si="23"/>
        <v>121344.85650213332</v>
      </c>
      <c r="K23" s="61"/>
      <c r="L23" s="60" t="s">
        <v>1</v>
      </c>
      <c r="M23" s="60"/>
      <c r="N23" s="60" t="s">
        <v>33</v>
      </c>
      <c r="O23" s="65">
        <f>hm</f>
        <v>110.16666666666667</v>
      </c>
      <c r="P23" s="62"/>
    </row>
    <row r="24" spans="1:18" x14ac:dyDescent="0.25">
      <c r="C24" s="51"/>
      <c r="D24" s="51"/>
      <c r="E24" s="51"/>
      <c r="F24" s="51"/>
      <c r="K24" s="16"/>
      <c r="L24" s="24" t="s">
        <v>12</v>
      </c>
      <c r="M24" s="24" t="s">
        <v>18</v>
      </c>
      <c r="N24" s="68" t="s">
        <v>12</v>
      </c>
      <c r="O24" s="68" t="s">
        <v>14</v>
      </c>
      <c r="P24" s="66" t="s">
        <v>16</v>
      </c>
    </row>
    <row r="25" spans="1:18" x14ac:dyDescent="0.25">
      <c r="A25" t="s">
        <v>41</v>
      </c>
      <c r="B25" s="83">
        <v>0.03</v>
      </c>
      <c r="C25" s="51"/>
      <c r="D25" s="51"/>
      <c r="E25" s="51"/>
      <c r="F25" s="51"/>
      <c r="K25" s="4"/>
      <c r="L25" s="69" t="s">
        <v>22</v>
      </c>
      <c r="M25" s="69" t="s">
        <v>25</v>
      </c>
      <c r="N25" s="70" t="s">
        <v>23</v>
      </c>
      <c r="O25" s="70" t="s">
        <v>24</v>
      </c>
      <c r="P25" s="67" t="s">
        <v>24</v>
      </c>
    </row>
    <row r="26" spans="1:18" x14ac:dyDescent="0.25">
      <c r="K26" s="45">
        <f>K16</f>
        <v>2023</v>
      </c>
      <c r="L26" s="46">
        <f>L8</f>
        <v>1219</v>
      </c>
      <c r="M26" s="46">
        <f>M16</f>
        <v>0</v>
      </c>
      <c r="N26" s="49">
        <f t="shared" ref="N26:O31" si="24">L26*tpmII</f>
        <v>134293.16666666669</v>
      </c>
      <c r="O26" s="49">
        <f t="shared" si="24"/>
        <v>0</v>
      </c>
      <c r="P26" s="21">
        <f>N26+O26</f>
        <v>134293.16666666669</v>
      </c>
      <c r="R26" s="5">
        <f t="shared" ref="R26:R31" si="25">P26/$B$4</f>
        <v>14136.122807017546</v>
      </c>
    </row>
    <row r="27" spans="1:18" x14ac:dyDescent="0.25">
      <c r="K27" s="45">
        <f>K26+1</f>
        <v>2024</v>
      </c>
      <c r="L27" s="47">
        <f t="shared" ref="L27:M29" si="26">L26*(1+Prisstigning_NFR)</f>
        <v>1261.665</v>
      </c>
      <c r="M27" s="47">
        <f t="shared" si="26"/>
        <v>0</v>
      </c>
      <c r="N27" s="25">
        <f t="shared" si="24"/>
        <v>138993.42749999999</v>
      </c>
      <c r="O27" s="25">
        <f>M27*tpmII</f>
        <v>0</v>
      </c>
      <c r="P27" s="6">
        <f t="shared" ref="P27:P31" si="27">N27+O27</f>
        <v>138993.42749999999</v>
      </c>
      <c r="R27" s="5">
        <f t="shared" si="25"/>
        <v>14630.887105263157</v>
      </c>
    </row>
    <row r="28" spans="1:18" x14ac:dyDescent="0.25">
      <c r="K28" s="45">
        <f t="shared" ref="K28:K31" si="28">K27+1</f>
        <v>2025</v>
      </c>
      <c r="L28" s="47">
        <f t="shared" si="26"/>
        <v>1305.823275</v>
      </c>
      <c r="M28" s="47">
        <f t="shared" si="26"/>
        <v>0</v>
      </c>
      <c r="N28" s="25">
        <f t="shared" si="24"/>
        <v>143858.19746250001</v>
      </c>
      <c r="O28" s="25">
        <f t="shared" si="24"/>
        <v>0</v>
      </c>
      <c r="P28" s="6">
        <f t="shared" si="27"/>
        <v>143858.19746250001</v>
      </c>
      <c r="R28" s="5">
        <f t="shared" si="25"/>
        <v>15142.96815394737</v>
      </c>
    </row>
    <row r="29" spans="1:18" x14ac:dyDescent="0.25">
      <c r="K29" s="45">
        <f t="shared" si="28"/>
        <v>2026</v>
      </c>
      <c r="L29" s="47">
        <f t="shared" si="26"/>
        <v>1351.5270896249999</v>
      </c>
      <c r="M29" s="47">
        <f t="shared" si="26"/>
        <v>0</v>
      </c>
      <c r="N29" s="25">
        <f t="shared" si="24"/>
        <v>148893.2343736875</v>
      </c>
      <c r="O29" s="25">
        <f t="shared" si="24"/>
        <v>0</v>
      </c>
      <c r="P29" s="6">
        <f t="shared" si="27"/>
        <v>148893.2343736875</v>
      </c>
      <c r="R29" s="5">
        <f t="shared" si="25"/>
        <v>15672.972039335527</v>
      </c>
    </row>
    <row r="30" spans="1:18" x14ac:dyDescent="0.25">
      <c r="K30" s="45">
        <f t="shared" si="28"/>
        <v>2027</v>
      </c>
      <c r="L30" s="47">
        <f t="shared" ref="L30:M30" si="29">L29*(1+Prisstigning_NFR)</f>
        <v>1398.8305377618749</v>
      </c>
      <c r="M30" s="47">
        <f t="shared" si="29"/>
        <v>0</v>
      </c>
      <c r="N30" s="25">
        <f t="shared" ref="N30:N31" si="30">L30*tpmII</f>
        <v>154104.49757676656</v>
      </c>
      <c r="O30" s="25">
        <f t="shared" ref="O30" si="31">M30*tpmII</f>
        <v>0</v>
      </c>
      <c r="P30" s="6">
        <f t="shared" ref="P30" si="32">N30+O30</f>
        <v>154104.49757676656</v>
      </c>
      <c r="R30" s="5">
        <f t="shared" ref="R30" si="33">P30/$B$4</f>
        <v>16221.526060712269</v>
      </c>
    </row>
    <row r="31" spans="1:18" x14ac:dyDescent="0.25">
      <c r="K31" s="77">
        <f t="shared" si="28"/>
        <v>2028</v>
      </c>
      <c r="L31" s="48">
        <f t="shared" ref="L31:M31" si="34">L30*(1+Prisstigning_NFR)</f>
        <v>1447.7896065835405</v>
      </c>
      <c r="M31" s="48">
        <f t="shared" si="34"/>
        <v>0</v>
      </c>
      <c r="N31" s="26">
        <f t="shared" si="30"/>
        <v>159498.15499195337</v>
      </c>
      <c r="O31" s="26">
        <f t="shared" si="24"/>
        <v>0</v>
      </c>
      <c r="P31" s="9">
        <f t="shared" si="27"/>
        <v>159498.15499195337</v>
      </c>
      <c r="R31" s="5">
        <f t="shared" si="25"/>
        <v>16789.279472837195</v>
      </c>
    </row>
    <row r="33" spans="11:18" x14ac:dyDescent="0.25">
      <c r="K33" s="61"/>
      <c r="L33" s="60" t="s">
        <v>2</v>
      </c>
      <c r="M33" s="60"/>
      <c r="N33" s="60" t="s">
        <v>33</v>
      </c>
      <c r="O33" s="65">
        <f>Hours_pr._month_3</f>
        <v>127.5</v>
      </c>
      <c r="P33" s="62"/>
    </row>
    <row r="34" spans="11:18" x14ac:dyDescent="0.25">
      <c r="K34" s="16"/>
      <c r="L34" s="24" t="s">
        <v>12</v>
      </c>
      <c r="M34" s="24" t="s">
        <v>18</v>
      </c>
      <c r="N34" s="68" t="s">
        <v>12</v>
      </c>
      <c r="O34" s="68" t="s">
        <v>14</v>
      </c>
      <c r="P34" s="66" t="s">
        <v>16</v>
      </c>
    </row>
    <row r="35" spans="11:18" x14ac:dyDescent="0.25">
      <c r="K35" s="4"/>
      <c r="L35" s="69" t="s">
        <v>22</v>
      </c>
      <c r="M35" s="69" t="s">
        <v>25</v>
      </c>
      <c r="N35" s="70" t="s">
        <v>23</v>
      </c>
      <c r="O35" s="70" t="s">
        <v>24</v>
      </c>
      <c r="P35" s="67" t="s">
        <v>24</v>
      </c>
    </row>
    <row r="36" spans="11:18" x14ac:dyDescent="0.25">
      <c r="K36" s="45">
        <f>K26</f>
        <v>2023</v>
      </c>
      <c r="L36" s="46">
        <f>L9</f>
        <v>826</v>
      </c>
      <c r="M36" s="46">
        <f>M26</f>
        <v>0</v>
      </c>
      <c r="N36" s="49">
        <f t="shared" ref="N36:O41" si="35">L36*tpmIII</f>
        <v>105315</v>
      </c>
      <c r="O36" s="49">
        <f t="shared" si="35"/>
        <v>0</v>
      </c>
      <c r="P36" s="21">
        <f>N36+O36</f>
        <v>105315</v>
      </c>
      <c r="R36" s="5">
        <f t="shared" ref="R36:R41" si="36">P36/$B$4</f>
        <v>11085.78947368421</v>
      </c>
    </row>
    <row r="37" spans="11:18" x14ac:dyDescent="0.25">
      <c r="K37" s="45">
        <f>K36+1</f>
        <v>2024</v>
      </c>
      <c r="L37" s="47">
        <f t="shared" ref="L37:M38" si="37">L36*(1+Prisstigning_NFR)</f>
        <v>854.91</v>
      </c>
      <c r="M37" s="47">
        <f t="shared" si="37"/>
        <v>0</v>
      </c>
      <c r="N37" s="25">
        <f t="shared" si="35"/>
        <v>109001.02499999999</v>
      </c>
      <c r="O37" s="25">
        <f t="shared" si="35"/>
        <v>0</v>
      </c>
      <c r="P37" s="6">
        <f t="shared" ref="P37:P41" si="38">N37+O37</f>
        <v>109001.02499999999</v>
      </c>
      <c r="R37" s="5">
        <f t="shared" si="36"/>
        <v>11473.792105263157</v>
      </c>
    </row>
    <row r="38" spans="11:18" x14ac:dyDescent="0.25">
      <c r="K38" s="45">
        <f t="shared" ref="K38:K41" si="39">K37+1</f>
        <v>2025</v>
      </c>
      <c r="L38" s="47">
        <f t="shared" si="37"/>
        <v>884.83184999999992</v>
      </c>
      <c r="M38" s="47">
        <f t="shared" si="37"/>
        <v>0</v>
      </c>
      <c r="N38" s="25">
        <f t="shared" si="35"/>
        <v>112816.060875</v>
      </c>
      <c r="O38" s="25">
        <f t="shared" si="35"/>
        <v>0</v>
      </c>
      <c r="P38" s="6">
        <f t="shared" si="38"/>
        <v>112816.060875</v>
      </c>
      <c r="R38" s="5">
        <f t="shared" si="36"/>
        <v>11875.374828947368</v>
      </c>
    </row>
    <row r="39" spans="11:18" x14ac:dyDescent="0.25">
      <c r="K39" s="45">
        <f t="shared" si="39"/>
        <v>2026</v>
      </c>
      <c r="L39" s="47">
        <f t="shared" ref="L39:M39" si="40">L38*(1+Prisstigning_NFR)</f>
        <v>915.80096474999982</v>
      </c>
      <c r="M39" s="47">
        <f t="shared" si="40"/>
        <v>0</v>
      </c>
      <c r="N39" s="25">
        <f t="shared" ref="N39:N41" si="41">L39*tpmIII</f>
        <v>116764.62300562498</v>
      </c>
      <c r="O39" s="25">
        <f t="shared" si="35"/>
        <v>0</v>
      </c>
      <c r="P39" s="6">
        <f t="shared" si="38"/>
        <v>116764.62300562498</v>
      </c>
      <c r="R39" s="5">
        <f t="shared" si="36"/>
        <v>12291.012947960524</v>
      </c>
    </row>
    <row r="40" spans="11:18" x14ac:dyDescent="0.25">
      <c r="K40" s="45">
        <f t="shared" si="39"/>
        <v>2027</v>
      </c>
      <c r="L40" s="47">
        <f t="shared" ref="L40:M40" si="42">L39*(1+Prisstigning_NFR)</f>
        <v>947.8539985162497</v>
      </c>
      <c r="M40" s="47">
        <f t="shared" si="42"/>
        <v>0</v>
      </c>
      <c r="N40" s="25">
        <f t="shared" si="41"/>
        <v>120851.38481082184</v>
      </c>
      <c r="O40" s="25">
        <f t="shared" ref="O40" si="43">M40*tpmIII</f>
        <v>0</v>
      </c>
      <c r="P40" s="6">
        <f t="shared" ref="P40" si="44">N40+O40</f>
        <v>120851.38481082184</v>
      </c>
      <c r="R40" s="5">
        <f t="shared" ref="R40" si="45">P40/$B$4</f>
        <v>12721.198401139141</v>
      </c>
    </row>
    <row r="41" spans="11:18" x14ac:dyDescent="0.25">
      <c r="K41" s="77">
        <f t="shared" si="39"/>
        <v>2028</v>
      </c>
      <c r="L41" s="48">
        <f t="shared" ref="L41:M41" si="46">L40*(1+Prisstigning_NFR)</f>
        <v>981.02888846431836</v>
      </c>
      <c r="M41" s="48">
        <f t="shared" si="46"/>
        <v>0</v>
      </c>
      <c r="N41" s="26">
        <f t="shared" si="41"/>
        <v>125081.18327920059</v>
      </c>
      <c r="O41" s="26">
        <f t="shared" si="35"/>
        <v>0</v>
      </c>
      <c r="P41" s="9">
        <f t="shared" si="38"/>
        <v>125081.18327920059</v>
      </c>
      <c r="R41" s="5">
        <f t="shared" si="36"/>
        <v>13166.440345179009</v>
      </c>
    </row>
    <row r="43" spans="11:18" x14ac:dyDescent="0.25">
      <c r="K43" s="61"/>
      <c r="L43" s="60" t="s">
        <v>3</v>
      </c>
      <c r="M43" s="60"/>
      <c r="N43" s="60" t="s">
        <v>33</v>
      </c>
      <c r="O43" s="65">
        <f>Hours_pr._month_p</f>
        <v>114.16666666666667</v>
      </c>
      <c r="P43" s="62"/>
    </row>
    <row r="44" spans="11:18" x14ac:dyDescent="0.25">
      <c r="K44" s="16"/>
      <c r="L44" s="24" t="s">
        <v>12</v>
      </c>
      <c r="M44" s="24" t="s">
        <v>18</v>
      </c>
      <c r="N44" s="68" t="s">
        <v>12</v>
      </c>
      <c r="O44" s="68" t="s">
        <v>14</v>
      </c>
      <c r="P44" s="66" t="s">
        <v>16</v>
      </c>
    </row>
    <row r="45" spans="11:18" x14ac:dyDescent="0.25">
      <c r="K45" s="4"/>
      <c r="L45" s="69" t="s">
        <v>22</v>
      </c>
      <c r="M45" s="69" t="s">
        <v>25</v>
      </c>
      <c r="N45" s="70" t="s">
        <v>23</v>
      </c>
      <c r="O45" s="70" t="s">
        <v>24</v>
      </c>
      <c r="P45" s="67" t="s">
        <v>24</v>
      </c>
    </row>
    <row r="46" spans="11:18" x14ac:dyDescent="0.25">
      <c r="K46" s="45">
        <f>K36</f>
        <v>2023</v>
      </c>
      <c r="L46" s="46">
        <f>L10</f>
        <v>1368</v>
      </c>
      <c r="M46" s="46">
        <f>M36</f>
        <v>0</v>
      </c>
      <c r="N46" s="49">
        <f t="shared" ref="N46:O51" si="47">L46*tpmp</f>
        <v>156180</v>
      </c>
      <c r="O46" s="49">
        <f t="shared" si="47"/>
        <v>0</v>
      </c>
      <c r="P46" s="21">
        <f>N46+O46</f>
        <v>156180</v>
      </c>
    </row>
    <row r="47" spans="11:18" x14ac:dyDescent="0.25">
      <c r="K47" s="45">
        <f>K46+1</f>
        <v>2024</v>
      </c>
      <c r="L47" s="47">
        <f t="shared" ref="L47:M49" si="48">L46*(1+Prisstigning_NFR)</f>
        <v>1415.8799999999999</v>
      </c>
      <c r="M47" s="47">
        <f t="shared" si="48"/>
        <v>0</v>
      </c>
      <c r="N47" s="25">
        <f t="shared" si="47"/>
        <v>161646.29999999999</v>
      </c>
      <c r="O47" s="25">
        <f t="shared" si="47"/>
        <v>0</v>
      </c>
      <c r="P47" s="6">
        <f t="shared" ref="P47:P51" si="49">N47+O47</f>
        <v>161646.29999999999</v>
      </c>
    </row>
    <row r="48" spans="11:18" x14ac:dyDescent="0.25">
      <c r="K48" s="45">
        <f t="shared" ref="K48:K51" si="50">K47+1</f>
        <v>2025</v>
      </c>
      <c r="L48" s="47">
        <f t="shared" si="48"/>
        <v>1465.4357999999997</v>
      </c>
      <c r="M48" s="47">
        <f t="shared" si="48"/>
        <v>0</v>
      </c>
      <c r="N48" s="25">
        <f t="shared" si="47"/>
        <v>167303.92049999998</v>
      </c>
      <c r="O48" s="25">
        <f t="shared" si="47"/>
        <v>0</v>
      </c>
      <c r="P48" s="6">
        <f t="shared" si="49"/>
        <v>167303.92049999998</v>
      </c>
    </row>
    <row r="49" spans="11:16" x14ac:dyDescent="0.25">
      <c r="K49" s="45">
        <f t="shared" si="50"/>
        <v>2026</v>
      </c>
      <c r="L49" s="47">
        <f t="shared" si="48"/>
        <v>1516.7260529999996</v>
      </c>
      <c r="M49" s="47">
        <f t="shared" si="48"/>
        <v>0</v>
      </c>
      <c r="N49" s="25">
        <f t="shared" si="47"/>
        <v>173159.55771749996</v>
      </c>
      <c r="O49" s="25">
        <f t="shared" si="47"/>
        <v>0</v>
      </c>
      <c r="P49" s="6">
        <f t="shared" si="49"/>
        <v>173159.55771749996</v>
      </c>
    </row>
    <row r="50" spans="11:16" x14ac:dyDescent="0.25">
      <c r="K50" s="45">
        <f t="shared" si="50"/>
        <v>2027</v>
      </c>
      <c r="L50" s="47">
        <f t="shared" ref="L50:M50" si="51">L49*(1+Prisstigning_NFR)</f>
        <v>1569.8114648549995</v>
      </c>
      <c r="M50" s="47">
        <f t="shared" si="51"/>
        <v>0</v>
      </c>
      <c r="N50" s="25">
        <f t="shared" ref="N50:N51" si="52">L50*tpmp</f>
        <v>179220.14223761245</v>
      </c>
      <c r="O50" s="25">
        <f t="shared" ref="O50" si="53">M50*tpmp</f>
        <v>0</v>
      </c>
      <c r="P50" s="6">
        <f t="shared" ref="P50" si="54">N50+O50</f>
        <v>179220.14223761245</v>
      </c>
    </row>
    <row r="51" spans="11:16" x14ac:dyDescent="0.25">
      <c r="K51" s="77">
        <f t="shared" si="50"/>
        <v>2028</v>
      </c>
      <c r="L51" s="48">
        <f t="shared" ref="L51:M51" si="55">L50*(1+Prisstigning_NFR)</f>
        <v>1624.7548661249243</v>
      </c>
      <c r="M51" s="48">
        <f t="shared" si="55"/>
        <v>0</v>
      </c>
      <c r="N51" s="26">
        <f t="shared" si="52"/>
        <v>185492.84721592886</v>
      </c>
      <c r="O51" s="26">
        <f t="shared" si="47"/>
        <v>0</v>
      </c>
      <c r="P51" s="9">
        <f t="shared" si="49"/>
        <v>185492.84721592886</v>
      </c>
    </row>
  </sheetData>
  <pageMargins left="0.70866141732283472" right="0.70866141732283472" top="0.74803149606299213" bottom="0.74803149606299213" header="0.31496062992125984" footer="0.31496062992125984"/>
  <pageSetup paperSize="9" scale="58" orientation="landscape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6"/>
  <sheetViews>
    <sheetView workbookViewId="0">
      <selection activeCell="B8" sqref="B8:B10"/>
    </sheetView>
  </sheetViews>
  <sheetFormatPr defaultColWidth="9.140625" defaultRowHeight="15" x14ac:dyDescent="0.25"/>
  <cols>
    <col min="1" max="1" width="50.5703125" customWidth="1"/>
    <col min="2" max="7" width="10.140625" customWidth="1"/>
    <col min="8" max="8" width="15" customWidth="1"/>
    <col min="9" max="9" width="17" customWidth="1"/>
  </cols>
  <sheetData>
    <row r="1" spans="1:9" x14ac:dyDescent="0.25">
      <c r="A1" s="1" t="s">
        <v>8</v>
      </c>
    </row>
    <row r="2" spans="1:9" x14ac:dyDescent="0.25">
      <c r="A2" s="1"/>
      <c r="D2" s="3"/>
    </row>
    <row r="3" spans="1:9" x14ac:dyDescent="0.25">
      <c r="A3" s="1" t="s">
        <v>36</v>
      </c>
      <c r="B3" s="71">
        <v>44222</v>
      </c>
      <c r="C3" s="1"/>
      <c r="D3" s="2" t="s">
        <v>37</v>
      </c>
      <c r="F3" s="15"/>
    </row>
    <row r="4" spans="1:9" x14ac:dyDescent="0.25">
      <c r="A4" s="1" t="s">
        <v>4</v>
      </c>
      <c r="B4" s="56">
        <v>10</v>
      </c>
    </row>
    <row r="5" spans="1:9" x14ac:dyDescent="0.25">
      <c r="A5" s="1" t="s">
        <v>43</v>
      </c>
      <c r="B5" s="51">
        <v>2.7E-2</v>
      </c>
    </row>
    <row r="7" spans="1:9" x14ac:dyDescent="0.25">
      <c r="A7" s="10" t="s">
        <v>5</v>
      </c>
      <c r="B7" s="11">
        <v>2021</v>
      </c>
      <c r="C7" s="11">
        <f>B7+1</f>
        <v>2022</v>
      </c>
      <c r="D7" s="11">
        <f t="shared" ref="D7:G7" si="0">C7+1</f>
        <v>2023</v>
      </c>
      <c r="E7" s="11">
        <f t="shared" si="0"/>
        <v>2024</v>
      </c>
      <c r="F7" s="11">
        <f t="shared" si="0"/>
        <v>2025</v>
      </c>
      <c r="G7" s="11">
        <f t="shared" si="0"/>
        <v>2026</v>
      </c>
      <c r="H7" s="24" t="s">
        <v>10</v>
      </c>
      <c r="I7" s="24" t="s">
        <v>6</v>
      </c>
    </row>
    <row r="8" spans="1:9" x14ac:dyDescent="0.25">
      <c r="A8" s="20" t="s">
        <v>27</v>
      </c>
      <c r="B8" s="17">
        <v>1293.2491678154308</v>
      </c>
      <c r="C8" s="17">
        <f>B8*1.027</f>
        <v>1328.1668953464473</v>
      </c>
      <c r="D8" s="17">
        <f t="shared" ref="D8:G8" si="1">C8*1.027</f>
        <v>1364.0274015208013</v>
      </c>
      <c r="E8" s="17">
        <f t="shared" si="1"/>
        <v>1400.8561413618627</v>
      </c>
      <c r="F8" s="17">
        <f t="shared" si="1"/>
        <v>1438.679257178633</v>
      </c>
      <c r="G8" s="18">
        <f t="shared" si="1"/>
        <v>1477.5235971224558</v>
      </c>
      <c r="H8" s="73">
        <v>1180</v>
      </c>
      <c r="I8" s="73">
        <f>H8/12</f>
        <v>98.333333333333329</v>
      </c>
    </row>
    <row r="9" spans="1:9" x14ac:dyDescent="0.25">
      <c r="A9" s="22" t="s">
        <v>28</v>
      </c>
      <c r="B9" s="13">
        <v>1113.2876033885802</v>
      </c>
      <c r="C9" s="13">
        <f t="shared" ref="C9:G9" si="2">B9*1.027</f>
        <v>1143.3463686800719</v>
      </c>
      <c r="D9" s="13">
        <f t="shared" si="2"/>
        <v>1174.2167206344338</v>
      </c>
      <c r="E9" s="13">
        <f t="shared" si="2"/>
        <v>1205.9205720915634</v>
      </c>
      <c r="F9" s="13">
        <f t="shared" si="2"/>
        <v>1238.4804275380354</v>
      </c>
      <c r="G9" s="14">
        <f t="shared" si="2"/>
        <v>1271.9193990815622</v>
      </c>
      <c r="H9" s="74">
        <v>1310</v>
      </c>
      <c r="I9" s="74">
        <f t="shared" ref="I9:I10" si="3">H9/12</f>
        <v>109.16666666666667</v>
      </c>
    </row>
    <row r="10" spans="1:9" x14ac:dyDescent="0.25">
      <c r="A10" s="23" t="s">
        <v>2</v>
      </c>
      <c r="B10" s="31">
        <v>966.83313125657298</v>
      </c>
      <c r="C10" s="31">
        <f t="shared" ref="C10:G10" si="4">B10*1.027</f>
        <v>992.93762580050031</v>
      </c>
      <c r="D10" s="31">
        <f t="shared" si="4"/>
        <v>1019.7469416971137</v>
      </c>
      <c r="E10" s="31">
        <f t="shared" si="4"/>
        <v>1047.2801091229358</v>
      </c>
      <c r="F10" s="31">
        <f t="shared" si="4"/>
        <v>1075.556672069255</v>
      </c>
      <c r="G10" s="32">
        <f t="shared" si="4"/>
        <v>1104.5967022151249</v>
      </c>
      <c r="H10" s="75">
        <v>1310</v>
      </c>
      <c r="I10" s="75">
        <f t="shared" si="3"/>
        <v>109.16666666666667</v>
      </c>
    </row>
    <row r="13" spans="1:9" x14ac:dyDescent="0.25">
      <c r="A13" s="10" t="s">
        <v>7</v>
      </c>
      <c r="B13" s="11">
        <f>B7</f>
        <v>2021</v>
      </c>
      <c r="C13" s="11">
        <f t="shared" ref="C13:G13" si="5">C7</f>
        <v>2022</v>
      </c>
      <c r="D13" s="11">
        <f t="shared" si="5"/>
        <v>2023</v>
      </c>
      <c r="E13" s="11">
        <f t="shared" si="5"/>
        <v>2024</v>
      </c>
      <c r="F13" s="11">
        <f t="shared" si="5"/>
        <v>2025</v>
      </c>
      <c r="G13" s="12">
        <f t="shared" si="5"/>
        <v>2026</v>
      </c>
    </row>
    <row r="14" spans="1:9" x14ac:dyDescent="0.25">
      <c r="A14" s="20" t="s">
        <v>27</v>
      </c>
      <c r="B14" s="17">
        <f t="shared" ref="B14:G16" si="6">B8/EUR_Rate</f>
        <v>129.3249167815431</v>
      </c>
      <c r="C14" s="17">
        <f t="shared" si="6"/>
        <v>132.81668953464472</v>
      </c>
      <c r="D14" s="17">
        <f t="shared" si="6"/>
        <v>136.40274015208013</v>
      </c>
      <c r="E14" s="17">
        <f t="shared" si="6"/>
        <v>140.08561413618628</v>
      </c>
      <c r="F14" s="17">
        <f t="shared" si="6"/>
        <v>143.8679257178633</v>
      </c>
      <c r="G14" s="18">
        <f t="shared" si="6"/>
        <v>147.75235971224558</v>
      </c>
    </row>
    <row r="15" spans="1:9" x14ac:dyDescent="0.25">
      <c r="A15" s="22" t="s">
        <v>28</v>
      </c>
      <c r="B15" s="13">
        <f t="shared" si="6"/>
        <v>111.32876033885802</v>
      </c>
      <c r="C15" s="13">
        <f t="shared" si="6"/>
        <v>114.33463686800719</v>
      </c>
      <c r="D15" s="13">
        <f t="shared" si="6"/>
        <v>117.42167206344338</v>
      </c>
      <c r="E15" s="13">
        <f t="shared" si="6"/>
        <v>120.59205720915634</v>
      </c>
      <c r="F15" s="13">
        <f t="shared" si="6"/>
        <v>123.84804275380354</v>
      </c>
      <c r="G15" s="14">
        <f t="shared" si="6"/>
        <v>127.19193990815623</v>
      </c>
    </row>
    <row r="16" spans="1:9" x14ac:dyDescent="0.25">
      <c r="A16" s="23" t="s">
        <v>2</v>
      </c>
      <c r="B16" s="31">
        <f t="shared" si="6"/>
        <v>96.683313125657293</v>
      </c>
      <c r="C16" s="31">
        <f t="shared" si="6"/>
        <v>99.293762580050029</v>
      </c>
      <c r="D16" s="31">
        <f t="shared" si="6"/>
        <v>101.97469416971137</v>
      </c>
      <c r="E16" s="31">
        <f t="shared" si="6"/>
        <v>104.72801091229357</v>
      </c>
      <c r="F16" s="31">
        <f t="shared" si="6"/>
        <v>107.55566720692551</v>
      </c>
      <c r="G16" s="32">
        <f t="shared" si="6"/>
        <v>110.45967022151248</v>
      </c>
    </row>
  </sheetData>
  <pageMargins left="0.7" right="0.7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B6" sqref="B6"/>
    </sheetView>
  </sheetViews>
  <sheetFormatPr defaultColWidth="9.140625" defaultRowHeight="15" x14ac:dyDescent="0.25"/>
  <cols>
    <col min="1" max="1" width="18.5703125" customWidth="1"/>
    <col min="2" max="2" width="10.140625" bestFit="1" customWidth="1"/>
    <col min="8" max="8" width="14" bestFit="1" customWidth="1"/>
    <col min="9" max="9" width="15.42578125" bestFit="1" customWidth="1"/>
  </cols>
  <sheetData>
    <row r="1" spans="1:9" x14ac:dyDescent="0.25">
      <c r="A1" t="s">
        <v>36</v>
      </c>
      <c r="B1" s="2">
        <v>43552</v>
      </c>
    </row>
    <row r="2" spans="1:9" x14ac:dyDescent="0.25">
      <c r="A2" s="1" t="s">
        <v>35</v>
      </c>
    </row>
    <row r="3" spans="1:9" x14ac:dyDescent="0.25">
      <c r="A3" s="1" t="s">
        <v>4</v>
      </c>
      <c r="B3">
        <v>9.5</v>
      </c>
    </row>
    <row r="5" spans="1:9" x14ac:dyDescent="0.25">
      <c r="A5" s="10" t="s">
        <v>5</v>
      </c>
      <c r="B5" s="11">
        <v>2020</v>
      </c>
      <c r="C5" s="11">
        <f>B5+1</f>
        <v>2021</v>
      </c>
      <c r="D5" s="11">
        <f t="shared" ref="D5:G5" si="0">C5+1</f>
        <v>2022</v>
      </c>
      <c r="E5" s="11">
        <f t="shared" si="0"/>
        <v>2023</v>
      </c>
      <c r="F5" s="11">
        <f t="shared" si="0"/>
        <v>2024</v>
      </c>
      <c r="G5" s="11">
        <f t="shared" si="0"/>
        <v>2025</v>
      </c>
      <c r="H5" s="27" t="s">
        <v>10</v>
      </c>
      <c r="I5" s="28" t="s">
        <v>11</v>
      </c>
    </row>
    <row r="6" spans="1:9" x14ac:dyDescent="0.25">
      <c r="A6" s="4" t="s">
        <v>0</v>
      </c>
      <c r="B6" s="5">
        <v>1961.4706615763994</v>
      </c>
      <c r="C6" s="5">
        <f t="shared" ref="C6:G9" si="1">B6*(1+Prisstigning_NFR)</f>
        <v>2030.1221347315732</v>
      </c>
      <c r="D6" s="5">
        <f t="shared" si="1"/>
        <v>2101.1764094471782</v>
      </c>
      <c r="E6" s="5">
        <f t="shared" si="1"/>
        <v>2174.7175837778291</v>
      </c>
      <c r="F6" s="5">
        <f t="shared" si="1"/>
        <v>2250.8326992100529</v>
      </c>
      <c r="G6" s="5">
        <f t="shared" si="1"/>
        <v>2329.6118436824045</v>
      </c>
      <c r="H6" s="25">
        <f>'NFR - SKD-Nordforsk-Copernicus'!H7</f>
        <v>1150</v>
      </c>
      <c r="I6" s="52">
        <f>H6/12</f>
        <v>95.833333333333329</v>
      </c>
    </row>
    <row r="7" spans="1:9" x14ac:dyDescent="0.25">
      <c r="A7" s="4" t="s">
        <v>1</v>
      </c>
      <c r="B7" s="5">
        <v>1475.3275022459995</v>
      </c>
      <c r="C7" s="5">
        <f t="shared" si="1"/>
        <v>1526.9639648246093</v>
      </c>
      <c r="D7" s="5">
        <f t="shared" si="1"/>
        <v>1580.4077035934706</v>
      </c>
      <c r="E7" s="5">
        <f t="shared" si="1"/>
        <v>1635.721973219242</v>
      </c>
      <c r="F7" s="5">
        <f t="shared" si="1"/>
        <v>1692.9722422819154</v>
      </c>
      <c r="G7" s="5">
        <f t="shared" si="1"/>
        <v>1752.2262707617824</v>
      </c>
      <c r="H7" s="25">
        <f>'NFR - SKD-Nordforsk-Copernicus'!H8</f>
        <v>1322</v>
      </c>
      <c r="I7" s="53">
        <f t="shared" ref="I7:I9" si="2">H7/12</f>
        <v>110.16666666666667</v>
      </c>
    </row>
    <row r="8" spans="1:9" x14ac:dyDescent="0.25">
      <c r="A8" s="4" t="s">
        <v>2</v>
      </c>
      <c r="B8" s="5">
        <v>1175.0626097183995</v>
      </c>
      <c r="C8" s="5">
        <f t="shared" si="1"/>
        <v>1216.1898010585433</v>
      </c>
      <c r="D8" s="5">
        <f t="shared" si="1"/>
        <v>1258.7564440955921</v>
      </c>
      <c r="E8" s="5">
        <f t="shared" si="1"/>
        <v>1302.8129196389377</v>
      </c>
      <c r="F8" s="5">
        <f t="shared" si="1"/>
        <v>1348.4113718263004</v>
      </c>
      <c r="G8" s="5">
        <f t="shared" si="1"/>
        <v>1395.6057698402208</v>
      </c>
      <c r="H8" s="25">
        <f>'NFR - SKD-Nordforsk-Copernicus'!H9</f>
        <v>1530</v>
      </c>
      <c r="I8" s="53">
        <f t="shared" si="2"/>
        <v>127.5</v>
      </c>
    </row>
    <row r="9" spans="1:9" x14ac:dyDescent="0.25">
      <c r="A9" s="7" t="s">
        <v>3</v>
      </c>
      <c r="B9" s="8">
        <v>1435.0322136383998</v>
      </c>
      <c r="C9" s="8">
        <f t="shared" si="1"/>
        <v>1485.2583411157436</v>
      </c>
      <c r="D9" s="8">
        <f t="shared" si="1"/>
        <v>1537.2423830547946</v>
      </c>
      <c r="E9" s="8">
        <f t="shared" si="1"/>
        <v>1591.0458664617122</v>
      </c>
      <c r="F9" s="8">
        <f t="shared" si="1"/>
        <v>1646.7324717878721</v>
      </c>
      <c r="G9" s="8">
        <f t="shared" si="1"/>
        <v>1704.3681083004476</v>
      </c>
      <c r="H9" s="26">
        <f>'NFR - SKD-Nordforsk-Copernicus'!H10</f>
        <v>1370</v>
      </c>
      <c r="I9" s="54">
        <f t="shared" si="2"/>
        <v>114.16666666666667</v>
      </c>
    </row>
    <row r="12" spans="1:9" x14ac:dyDescent="0.25">
      <c r="A12" s="10" t="s">
        <v>7</v>
      </c>
      <c r="B12" s="11">
        <f>B5</f>
        <v>2020</v>
      </c>
      <c r="C12" s="11">
        <f>B12+1</f>
        <v>2021</v>
      </c>
      <c r="D12" s="11">
        <f t="shared" ref="D12" si="3">C12+1</f>
        <v>2022</v>
      </c>
      <c r="E12" s="11">
        <f t="shared" ref="E12" si="4">D12+1</f>
        <v>2023</v>
      </c>
      <c r="F12" s="11">
        <f t="shared" ref="F12" si="5">E12+1</f>
        <v>2024</v>
      </c>
      <c r="G12" s="11">
        <f t="shared" ref="G12" si="6">F12+1</f>
        <v>2025</v>
      </c>
      <c r="H12" s="27" t="s">
        <v>10</v>
      </c>
      <c r="I12" s="28" t="s">
        <v>11</v>
      </c>
    </row>
    <row r="13" spans="1:9" x14ac:dyDescent="0.25">
      <c r="A13" s="4" t="s">
        <v>0</v>
      </c>
      <c r="B13" s="13">
        <f>B6/$B$3</f>
        <v>206.47059595541046</v>
      </c>
      <c r="C13" s="13">
        <f t="shared" ref="C13:G13" si="7">C6/$B$3</f>
        <v>213.6970668138498</v>
      </c>
      <c r="D13" s="13">
        <f t="shared" si="7"/>
        <v>221.17646415233455</v>
      </c>
      <c r="E13" s="13">
        <f t="shared" si="7"/>
        <v>228.91764039766622</v>
      </c>
      <c r="F13" s="13">
        <f t="shared" si="7"/>
        <v>236.92975781158452</v>
      </c>
      <c r="G13" s="13">
        <f t="shared" si="7"/>
        <v>245.22229933498994</v>
      </c>
      <c r="H13" s="25">
        <f>'NFR - SKD-Nordforsk-Copernicus'!H14</f>
        <v>0</v>
      </c>
      <c r="I13" s="52">
        <f>H13/12</f>
        <v>0</v>
      </c>
    </row>
    <row r="14" spans="1:9" x14ac:dyDescent="0.25">
      <c r="A14" s="4" t="s">
        <v>1</v>
      </c>
      <c r="B14" s="13">
        <f t="shared" ref="B14:G14" si="8">B7/$B$3</f>
        <v>155.29763181536836</v>
      </c>
      <c r="C14" s="13">
        <f t="shared" si="8"/>
        <v>160.73304892890624</v>
      </c>
      <c r="D14" s="13">
        <f t="shared" si="8"/>
        <v>166.35870564141797</v>
      </c>
      <c r="E14" s="13">
        <f t="shared" si="8"/>
        <v>172.18126033886759</v>
      </c>
      <c r="F14" s="13">
        <f t="shared" si="8"/>
        <v>178.20760445072793</v>
      </c>
      <c r="G14" s="13">
        <f t="shared" si="8"/>
        <v>184.4448706065034</v>
      </c>
      <c r="H14" s="25">
        <f>'NFR - SKD-Nordforsk-Copernicus'!H15</f>
        <v>0</v>
      </c>
      <c r="I14" s="53">
        <f t="shared" ref="I14:I16" si="9">H14/12</f>
        <v>0</v>
      </c>
    </row>
    <row r="15" spans="1:9" x14ac:dyDescent="0.25">
      <c r="A15" s="4" t="s">
        <v>2</v>
      </c>
      <c r="B15" s="13">
        <f t="shared" ref="B15:G15" si="10">B8/$B$3</f>
        <v>123.69080102298942</v>
      </c>
      <c r="C15" s="13">
        <f t="shared" si="10"/>
        <v>128.01997905879404</v>
      </c>
      <c r="D15" s="13">
        <f t="shared" si="10"/>
        <v>132.50067832585179</v>
      </c>
      <c r="E15" s="13">
        <f t="shared" si="10"/>
        <v>137.1382020672566</v>
      </c>
      <c r="F15" s="13">
        <f t="shared" si="10"/>
        <v>141.93803913961057</v>
      </c>
      <c r="G15" s="14">
        <f t="shared" si="10"/>
        <v>146.90587050949694</v>
      </c>
      <c r="H15" s="25">
        <f>'NFR - SKD-Nordforsk-Copernicus'!H16</f>
        <v>0</v>
      </c>
      <c r="I15" s="53">
        <f t="shared" si="9"/>
        <v>0</v>
      </c>
    </row>
    <row r="16" spans="1:9" x14ac:dyDescent="0.25">
      <c r="A16" s="7" t="s">
        <v>3</v>
      </c>
      <c r="B16" s="31">
        <f t="shared" ref="B16:G16" si="11">B9/$B$3</f>
        <v>151.05602248825261</v>
      </c>
      <c r="C16" s="31">
        <f t="shared" si="11"/>
        <v>156.34298327534142</v>
      </c>
      <c r="D16" s="31">
        <f t="shared" si="11"/>
        <v>161.81498768997838</v>
      </c>
      <c r="E16" s="31">
        <f t="shared" si="11"/>
        <v>167.4785122591276</v>
      </c>
      <c r="F16" s="31">
        <f t="shared" si="11"/>
        <v>173.34026018819705</v>
      </c>
      <c r="G16" s="32">
        <f t="shared" si="11"/>
        <v>179.40716929478396</v>
      </c>
      <c r="H16" s="26">
        <f>'NFR - SKD-Nordforsk-Copernicus'!H17</f>
        <v>0</v>
      </c>
      <c r="I16" s="54">
        <f t="shared" si="9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4" sqref="C4"/>
    </sheetView>
  </sheetViews>
  <sheetFormatPr defaultColWidth="9.140625" defaultRowHeight="15" x14ac:dyDescent="0.25"/>
  <cols>
    <col min="1" max="1" width="17" customWidth="1"/>
  </cols>
  <sheetData>
    <row r="1" spans="1:3" x14ac:dyDescent="0.25">
      <c r="A1" t="s">
        <v>26</v>
      </c>
      <c r="C1" s="51">
        <v>2.75E-2</v>
      </c>
    </row>
    <row r="2" spans="1:3" x14ac:dyDescent="0.25">
      <c r="A2" t="s">
        <v>4</v>
      </c>
      <c r="C2" s="13">
        <v>10</v>
      </c>
    </row>
    <row r="3" spans="1:3" x14ac:dyDescent="0.25">
      <c r="A3" t="s">
        <v>39</v>
      </c>
      <c r="C3" s="51">
        <v>3.5000000000000003E-2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H2020</vt:lpstr>
      <vt:lpstr>NFR - SKD-Nordforsk-Copernicus</vt:lpstr>
      <vt:lpstr>ESA</vt:lpstr>
      <vt:lpstr>Industry</vt:lpstr>
      <vt:lpstr>Div</vt:lpstr>
      <vt:lpstr>Årlig_økning</vt:lpstr>
      <vt:lpstr>EUR_Rate</vt:lpstr>
      <vt:lpstr>hm</vt:lpstr>
      <vt:lpstr>hmI</vt:lpstr>
      <vt:lpstr>Hours_pr._month</vt:lpstr>
      <vt:lpstr>Hours_pr._month_1</vt:lpstr>
      <vt:lpstr>Hours_pr._month_2</vt:lpstr>
      <vt:lpstr>Hours_pr._month_3</vt:lpstr>
      <vt:lpstr>Hours_pr._month_p</vt:lpstr>
      <vt:lpstr>hpmI</vt:lpstr>
      <vt:lpstr>Prisstigning</vt:lpstr>
      <vt:lpstr>Prisstigning_NFR</vt:lpstr>
      <vt:lpstr>tpmI</vt:lpstr>
      <vt:lpstr>tpmII</vt:lpstr>
      <vt:lpstr>tpmIII</vt:lpstr>
      <vt:lpstr>tpmp</vt:lpstr>
    </vt:vector>
  </TitlesOfParts>
  <Company>Nansen Environmental and Remote Sensing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knuhol</dc:creator>
  <cp:lastModifiedBy>Knut Holba</cp:lastModifiedBy>
  <cp:lastPrinted>2020-04-20T12:40:13Z</cp:lastPrinted>
  <dcterms:created xsi:type="dcterms:W3CDTF">2015-05-11T08:14:25Z</dcterms:created>
  <dcterms:modified xsi:type="dcterms:W3CDTF">2023-01-31T09:52:51Z</dcterms:modified>
</cp:coreProperties>
</file>