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Daniel/Library/Mobile Documents/com~apple~CloudDocs/DASHBOARD/Valuation/Semiconductors/TSMC/"/>
    </mc:Choice>
  </mc:AlternateContent>
  <xr:revisionPtr revIDLastSave="0" documentId="13_ncr:1_{3C848D70-E5FE-6740-B105-F0E62C5F80F0}" xr6:coauthVersionLast="47" xr6:coauthVersionMax="47" xr10:uidLastSave="{00000000-0000-0000-0000-000000000000}"/>
  <bookViews>
    <workbookView xWindow="0" yWindow="500" windowWidth="28500" windowHeight="19460" tabRatio="783" xr2:uid="{00000000-000D-0000-FFFF-FFFF00000000}"/>
  </bookViews>
  <sheets>
    <sheet name="Inputs" sheetId="36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MONTH" hidden="1">15000</definedName>
    <definedName name="IQ_NAMES_REVISION_DATE_" hidden="1">40218.8268634259</definedName>
    <definedName name="IQ_NTM" hidden="1">6000</definedName>
    <definedName name="IQ_TODAY" hidden="1">0</definedName>
    <definedName name="IQ_WEEK" hidden="1">50000</definedName>
    <definedName name="IQ_YTD" hidden="1">3000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6" l="1"/>
  <c r="C11" i="36"/>
  <c r="C21" i="36"/>
  <c r="D21" i="36"/>
  <c r="E21" i="36"/>
  <c r="F21" i="36"/>
  <c r="J41" i="36"/>
  <c r="J44" i="36" s="1"/>
  <c r="J38" i="36"/>
  <c r="H4" i="36"/>
  <c r="I4" i="36" s="1"/>
  <c r="J4" i="36" s="1"/>
  <c r="K4" i="36" s="1"/>
  <c r="L4" i="36" s="1"/>
  <c r="C35" i="36"/>
  <c r="F40" i="36"/>
  <c r="J40" i="36" s="1"/>
  <c r="E40" i="36"/>
  <c r="D40" i="36"/>
  <c r="C40" i="36"/>
  <c r="F37" i="36"/>
  <c r="F20" i="36" s="1"/>
  <c r="E37" i="36"/>
  <c r="D37" i="36"/>
  <c r="C37" i="36"/>
  <c r="C20" i="36" s="1"/>
  <c r="F35" i="36"/>
  <c r="E35" i="36"/>
  <c r="D35" i="36"/>
  <c r="F24" i="36"/>
  <c r="E24" i="36"/>
  <c r="D24" i="36"/>
  <c r="C24" i="36"/>
  <c r="F11" i="36"/>
  <c r="E11" i="36"/>
  <c r="D11" i="36"/>
  <c r="F8" i="36"/>
  <c r="F25" i="36" s="1"/>
  <c r="E8" i="36"/>
  <c r="D8" i="36"/>
  <c r="D25" i="36" s="1"/>
  <c r="E4" i="36"/>
  <c r="D4" i="36" s="1"/>
  <c r="C4" i="36" s="1"/>
  <c r="C12" i="36" l="1"/>
  <c r="C28" i="36" s="1"/>
  <c r="J45" i="36"/>
  <c r="K7" i="36" s="1"/>
  <c r="K11" i="36" s="1"/>
  <c r="D42" i="36"/>
  <c r="C42" i="36"/>
  <c r="C44" i="36" s="1"/>
  <c r="D12" i="36"/>
  <c r="D28" i="36" s="1"/>
  <c r="E42" i="36"/>
  <c r="E44" i="36" s="1"/>
  <c r="E20" i="36"/>
  <c r="C25" i="36"/>
  <c r="F42" i="36"/>
  <c r="F44" i="36" s="1"/>
  <c r="D20" i="36"/>
  <c r="E12" i="36"/>
  <c r="E28" i="36" s="1"/>
  <c r="D44" i="36"/>
  <c r="E25" i="36"/>
  <c r="F12" i="36"/>
  <c r="F28" i="36" s="1"/>
  <c r="C26" i="36" l="1"/>
  <c r="C14" i="36"/>
  <c r="C16" i="36" s="1"/>
  <c r="C22" i="36" s="1"/>
  <c r="E14" i="36"/>
  <c r="E16" i="36" s="1"/>
  <c r="E22" i="36" s="1"/>
  <c r="E26" i="36"/>
  <c r="D14" i="36"/>
  <c r="D16" i="36" s="1"/>
  <c r="D22" i="36" s="1"/>
  <c r="D26" i="36"/>
  <c r="F14" i="36"/>
  <c r="F16" i="36" s="1"/>
  <c r="F26" i="36"/>
  <c r="C27" i="36" l="1"/>
  <c r="C49" i="36"/>
  <c r="F22" i="36"/>
  <c r="F49" i="36"/>
  <c r="K9" i="36" s="1"/>
  <c r="F27" i="36"/>
  <c r="D27" i="36"/>
  <c r="D49" i="36"/>
  <c r="E49" i="36"/>
  <c r="E27" i="36"/>
  <c r="K10" i="36" l="1"/>
  <c r="H16" i="36" s="1"/>
  <c r="I16" i="36" l="1"/>
  <c r="H17" i="36"/>
  <c r="H22" i="36" s="1"/>
  <c r="H23" i="36" s="1"/>
  <c r="J16" i="36" l="1"/>
  <c r="I17" i="36"/>
  <c r="I22" i="36" s="1"/>
  <c r="I23" i="36" s="1"/>
  <c r="K16" i="36" l="1"/>
  <c r="J17" i="36"/>
  <c r="J22" i="36" s="1"/>
  <c r="J23" i="36" s="1"/>
  <c r="L16" i="36" l="1"/>
  <c r="L21" i="36" s="1"/>
  <c r="K17" i="36"/>
  <c r="K22" i="36"/>
  <c r="K23" i="36" s="1"/>
  <c r="L17" i="36" l="1"/>
  <c r="L22" i="36" s="1"/>
  <c r="L23" i="36" s="1"/>
  <c r="L25" i="36" s="1"/>
  <c r="H26" i="36" l="1"/>
  <c r="H29" i="36" s="1"/>
  <c r="L28" i="36" s="1"/>
  <c r="L31" i="36"/>
</calcChain>
</file>

<file path=xl/sharedStrings.xml><?xml version="1.0" encoding="utf-8"?>
<sst xmlns="http://schemas.openxmlformats.org/spreadsheetml/2006/main" count="74" uniqueCount="68">
  <si>
    <t>Gross Profit</t>
  </si>
  <si>
    <t>Pretax Income</t>
  </si>
  <si>
    <t>Net Income</t>
  </si>
  <si>
    <t>Revenue</t>
  </si>
  <si>
    <t>Debt</t>
  </si>
  <si>
    <t>WACC</t>
  </si>
  <si>
    <t>Actuals</t>
  </si>
  <si>
    <t>Estimates</t>
  </si>
  <si>
    <t>March YE ($mm)</t>
  </si>
  <si>
    <t xml:space="preserve">Cost of Goods Sold </t>
  </si>
  <si>
    <t>Research and Development</t>
  </si>
  <si>
    <t>SG &amp; A</t>
  </si>
  <si>
    <t>Operating Expenses</t>
  </si>
  <si>
    <t>Operating Income</t>
  </si>
  <si>
    <t xml:space="preserve">Revenue y/y </t>
  </si>
  <si>
    <t>Gross Margin</t>
  </si>
  <si>
    <t xml:space="preserve">Cash </t>
  </si>
  <si>
    <t>Inventories</t>
  </si>
  <si>
    <t>Other</t>
  </si>
  <si>
    <t>Assets</t>
  </si>
  <si>
    <t>Taxes (benefit)</t>
  </si>
  <si>
    <t>Interest Income (expense)</t>
  </si>
  <si>
    <t>SE</t>
  </si>
  <si>
    <t>L+SE</t>
  </si>
  <si>
    <t>Other Long Term Liabilities</t>
  </si>
  <si>
    <t>Balance check</t>
  </si>
  <si>
    <t>Depreciation &amp; Amortization</t>
  </si>
  <si>
    <t>Non-current</t>
  </si>
  <si>
    <t>Payables</t>
  </si>
  <si>
    <t>Current Debt</t>
  </si>
  <si>
    <t>Non-cash Working Capital</t>
  </si>
  <si>
    <t>Capital Expenditure</t>
  </si>
  <si>
    <t>Principal Repaid - New Debt</t>
  </si>
  <si>
    <t>Operating Margin</t>
  </si>
  <si>
    <t>FCFE (Potential Dividend)</t>
  </si>
  <si>
    <t>Receivables</t>
  </si>
  <si>
    <t xml:space="preserve">Equity </t>
  </si>
  <si>
    <t>Implied ERP</t>
  </si>
  <si>
    <t>Rf rate</t>
  </si>
  <si>
    <t>COE</t>
  </si>
  <si>
    <t>Bond rating</t>
  </si>
  <si>
    <t>Tax rate</t>
  </si>
  <si>
    <t>COD</t>
  </si>
  <si>
    <t>Industry Beta</t>
  </si>
  <si>
    <t>Inputs</t>
  </si>
  <si>
    <t xml:space="preserve">Discount Rate </t>
  </si>
  <si>
    <t>Terminal Growth Rate</t>
  </si>
  <si>
    <t>Return on Equity</t>
  </si>
  <si>
    <t>Return on Capital</t>
  </si>
  <si>
    <t xml:space="preserve">Cash Dividend Paid </t>
  </si>
  <si>
    <t>Retention ratio</t>
  </si>
  <si>
    <t>Retention Ratio</t>
  </si>
  <si>
    <t>Earnings Growth</t>
  </si>
  <si>
    <t>Reinvestment</t>
  </si>
  <si>
    <t>Reinvestment rate in stable growth</t>
  </si>
  <si>
    <t>Output</t>
  </si>
  <si>
    <t>Value of Equity in TWD (b)</t>
  </si>
  <si>
    <t>Value of Equity in USD (b)</t>
  </si>
  <si>
    <t>Exit Multiple P/E</t>
  </si>
  <si>
    <t xml:space="preserve">Implied ERP 5% </t>
  </si>
  <si>
    <t>10 YR Bond Yield</t>
  </si>
  <si>
    <t>Semiconductor Industry B</t>
  </si>
  <si>
    <t>AAA rating</t>
  </si>
  <si>
    <t>Historical tax rate</t>
  </si>
  <si>
    <t>Pepetuity</t>
  </si>
  <si>
    <t>Inc - dividend</t>
  </si>
  <si>
    <t>ROE x RetR</t>
  </si>
  <si>
    <t>disR / termR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</si>
</sst>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0.0%"/>
    <numFmt numFmtId="165" formatCode="yyyy&quot;A&quot;"/>
    <numFmt numFmtId="167" formatCode="#,##0.0_);\(#,##0.0\)"/>
    <numFmt numFmtId="168" formatCode="0.0%_);\(0.0%\);0.0%_);@_)"/>
    <numFmt numFmtId="169" formatCode="0.0%;\(0.0%\)"/>
    <numFmt numFmtId="173" formatCode="yyyy\ &quot;A&quot;"/>
    <numFmt numFmtId="174" formatCode="&quot;Year&quot;\ 0"/>
    <numFmt numFmtId="175" formatCode="[$TWD]\ #,##0"/>
    <numFmt numFmtId="176" formatCode="[$USD]\ #,##0"/>
  </numFmts>
  <fonts count="24" x14ac:knownFonts="1">
    <font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008000"/>
      <name val="Arial"/>
      <family val="2"/>
    </font>
    <font>
      <sz val="10"/>
      <color theme="1"/>
      <name val="Arial"/>
      <family val="2"/>
    </font>
    <font>
      <i/>
      <sz val="10"/>
      <color rgb="FF008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name val="Times New Roman"/>
      <family val="1"/>
    </font>
    <font>
      <sz val="10"/>
      <name val="Times New Roman"/>
      <family val="1"/>
    </font>
    <font>
      <sz val="10"/>
      <name val="Calibri"/>
      <family val="2"/>
    </font>
    <font>
      <b/>
      <sz val="10"/>
      <color rgb="FF298307"/>
      <name val="Arial"/>
      <family val="2"/>
    </font>
    <font>
      <sz val="10"/>
      <color rgb="FF298307"/>
      <name val="Arial"/>
      <family val="2"/>
    </font>
    <font>
      <i/>
      <sz val="10"/>
      <color theme="8"/>
      <name val="Arial"/>
      <family val="2"/>
    </font>
    <font>
      <i/>
      <sz val="10"/>
      <color theme="0" tint="-0.499984740745262"/>
      <name val="Arial"/>
      <family val="2"/>
    </font>
    <font>
      <i/>
      <sz val="9"/>
      <color theme="1" tint="0.499984740745262"/>
      <name val="Arial"/>
      <family val="2"/>
    </font>
    <font>
      <i/>
      <sz val="9"/>
      <color theme="1" tint="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3B1CC"/>
        <bgColor rgb="FF000000"/>
      </patternFill>
    </fill>
    <fill>
      <patternFill patternType="solid">
        <fgColor rgb="FF93C196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8" tint="-0.249977111117893"/>
        <bgColor rgb="FF000000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969696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3">
    <xf numFmtId="0" fontId="0" fillId="0" borderId="0" xfId="0"/>
    <xf numFmtId="167" fontId="6" fillId="0" borderId="0" xfId="0" applyNumberFormat="1" applyFont="1"/>
    <xf numFmtId="168" fontId="5" fillId="0" borderId="0" xfId="0" applyNumberFormat="1" applyFont="1"/>
    <xf numFmtId="169" fontId="5" fillId="0" borderId="0" xfId="0" applyNumberFormat="1" applyFont="1"/>
    <xf numFmtId="167" fontId="4" fillId="0" borderId="0" xfId="0" applyNumberFormat="1" applyFont="1"/>
    <xf numFmtId="0" fontId="4" fillId="0" borderId="0" xfId="0" applyFont="1"/>
    <xf numFmtId="0" fontId="7" fillId="0" borderId="0" xfId="0" applyFont="1"/>
    <xf numFmtId="0" fontId="3" fillId="2" borderId="0" xfId="0" applyFont="1" applyFill="1"/>
    <xf numFmtId="0" fontId="3" fillId="3" borderId="0" xfId="0" applyFont="1" applyFill="1"/>
    <xf numFmtId="0" fontId="4" fillId="4" borderId="3" xfId="0" applyFont="1" applyFill="1" applyBorder="1"/>
    <xf numFmtId="165" fontId="4" fillId="4" borderId="3" xfId="0" applyNumberFormat="1" applyFont="1" applyFill="1" applyBorder="1" applyAlignment="1">
      <alignment horizontal="right"/>
    </xf>
    <xf numFmtId="0" fontId="9" fillId="0" borderId="0" xfId="0" applyFont="1"/>
    <xf numFmtId="169" fontId="9" fillId="0" borderId="0" xfId="0" applyNumberFormat="1" applyFont="1"/>
    <xf numFmtId="167" fontId="7" fillId="0" borderId="0" xfId="0" applyNumberFormat="1" applyFont="1"/>
    <xf numFmtId="168" fontId="7" fillId="0" borderId="0" xfId="0" applyNumberFormat="1" applyFont="1"/>
    <xf numFmtId="0" fontId="7" fillId="0" borderId="2" xfId="0" applyFont="1" applyBorder="1"/>
    <xf numFmtId="0" fontId="4" fillId="5" borderId="4" xfId="0" applyFont="1" applyFill="1" applyBorder="1"/>
    <xf numFmtId="167" fontId="11" fillId="0" borderId="0" xfId="0" applyNumberFormat="1" applyFont="1"/>
    <xf numFmtId="173" fontId="4" fillId="4" borderId="2" xfId="0" applyNumberFormat="1" applyFont="1" applyFill="1" applyBorder="1" applyAlignment="1">
      <alignment horizontal="right"/>
    </xf>
    <xf numFmtId="39" fontId="12" fillId="0" borderId="0" xfId="0" applyNumberFormat="1" applyFont="1"/>
    <xf numFmtId="39" fontId="13" fillId="0" borderId="0" xfId="0" applyNumberFormat="1" applyFont="1"/>
    <xf numFmtId="0" fontId="10" fillId="0" borderId="0" xfId="0" applyFont="1"/>
    <xf numFmtId="0" fontId="1" fillId="0" borderId="1" xfId="0" applyFont="1" applyBorder="1"/>
    <xf numFmtId="0" fontId="10" fillId="0" borderId="5" xfId="0" applyFont="1" applyBorder="1"/>
    <xf numFmtId="39" fontId="12" fillId="0" borderId="5" xfId="0" applyNumberFormat="1" applyFont="1" applyBorder="1"/>
    <xf numFmtId="0" fontId="1" fillId="0" borderId="6" xfId="0" applyFont="1" applyBorder="1"/>
    <xf numFmtId="39" fontId="12" fillId="0" borderId="6" xfId="0" applyNumberFormat="1" applyFont="1" applyBorder="1"/>
    <xf numFmtId="0" fontId="5" fillId="0" borderId="0" xfId="0" applyFont="1" applyAlignment="1">
      <alignment horizontal="center"/>
    </xf>
    <xf numFmtId="0" fontId="4" fillId="0" borderId="1" xfId="0" applyFont="1" applyBorder="1"/>
    <xf numFmtId="39" fontId="13" fillId="0" borderId="1" xfId="0" applyNumberFormat="1" applyFont="1" applyBorder="1"/>
    <xf numFmtId="0" fontId="10" fillId="0" borderId="6" xfId="0" applyFont="1" applyBorder="1"/>
    <xf numFmtId="0" fontId="3" fillId="6" borderId="0" xfId="0" applyFont="1" applyFill="1"/>
    <xf numFmtId="0" fontId="3" fillId="7" borderId="0" xfId="0" applyFont="1" applyFill="1"/>
    <xf numFmtId="2" fontId="13" fillId="0" borderId="0" xfId="0" applyNumberFormat="1" applyFont="1"/>
    <xf numFmtId="164" fontId="8" fillId="0" borderId="0" xfId="1" applyNumberFormat="1" applyFont="1" applyFill="1" applyBorder="1"/>
    <xf numFmtId="0" fontId="1" fillId="0" borderId="0" xfId="0" applyFont="1"/>
    <xf numFmtId="39" fontId="7" fillId="0" borderId="0" xfId="0" applyNumberFormat="1" applyFont="1"/>
    <xf numFmtId="0" fontId="1" fillId="0" borderId="5" xfId="0" applyFont="1" applyBorder="1"/>
    <xf numFmtId="39" fontId="1" fillId="0" borderId="5" xfId="0" applyNumberFormat="1" applyFont="1" applyBorder="1"/>
    <xf numFmtId="9" fontId="14" fillId="0" borderId="0" xfId="1" applyFont="1" applyBorder="1" applyAlignment="1">
      <alignment horizontal="right"/>
    </xf>
    <xf numFmtId="10" fontId="13" fillId="0" borderId="0" xfId="1" applyNumberFormat="1" applyFont="1" applyBorder="1" applyAlignment="1">
      <alignment horizontal="right"/>
    </xf>
    <xf numFmtId="0" fontId="15" fillId="0" borderId="0" xfId="0" applyFont="1"/>
    <xf numFmtId="0" fontId="16" fillId="0" borderId="0" xfId="0" applyFont="1"/>
    <xf numFmtId="10" fontId="17" fillId="0" borderId="0" xfId="0" applyNumberFormat="1" applyFont="1"/>
    <xf numFmtId="10" fontId="7" fillId="0" borderId="0" xfId="0" applyNumberFormat="1" applyFont="1"/>
    <xf numFmtId="9" fontId="7" fillId="0" borderId="0" xfId="0" applyNumberFormat="1" applyFont="1"/>
    <xf numFmtId="174" fontId="4" fillId="4" borderId="2" xfId="0" applyNumberFormat="1" applyFont="1" applyFill="1" applyBorder="1" applyAlignment="1">
      <alignment horizontal="right"/>
    </xf>
    <xf numFmtId="44" fontId="7" fillId="0" borderId="0" xfId="2" applyFont="1"/>
    <xf numFmtId="0" fontId="3" fillId="8" borderId="0" xfId="0" applyFont="1" applyFill="1"/>
    <xf numFmtId="44" fontId="3" fillId="8" borderId="0" xfId="2" applyFont="1" applyFill="1"/>
    <xf numFmtId="39" fontId="18" fillId="0" borderId="1" xfId="0" applyNumberFormat="1" applyFont="1" applyBorder="1"/>
    <xf numFmtId="39" fontId="19" fillId="0" borderId="0" xfId="0" applyNumberFormat="1" applyFont="1"/>
    <xf numFmtId="9" fontId="20" fillId="0" borderId="0" xfId="1" applyFont="1" applyBorder="1" applyAlignment="1">
      <alignment horizontal="right"/>
    </xf>
    <xf numFmtId="2" fontId="3" fillId="8" borderId="0" xfId="2" applyNumberFormat="1" applyFont="1" applyFill="1"/>
    <xf numFmtId="39" fontId="21" fillId="0" borderId="0" xfId="0" applyNumberFormat="1" applyFont="1"/>
    <xf numFmtId="39" fontId="22" fillId="0" borderId="0" xfId="0" applyNumberFormat="1" applyFont="1"/>
    <xf numFmtId="39" fontId="12" fillId="0" borderId="2" xfId="0" applyNumberFormat="1" applyFont="1" applyBorder="1"/>
    <xf numFmtId="10" fontId="13" fillId="0" borderId="2" xfId="1" applyNumberFormat="1" applyFont="1" applyBorder="1" applyAlignment="1">
      <alignment horizontal="right"/>
    </xf>
    <xf numFmtId="39" fontId="13" fillId="0" borderId="2" xfId="0" applyNumberFormat="1" applyFont="1" applyBorder="1"/>
    <xf numFmtId="10" fontId="12" fillId="0" borderId="2" xfId="1" applyNumberFormat="1" applyFont="1" applyBorder="1" applyAlignment="1">
      <alignment horizontal="right"/>
    </xf>
    <xf numFmtId="39" fontId="23" fillId="0" borderId="0" xfId="0" applyNumberFormat="1" applyFont="1"/>
    <xf numFmtId="176" fontId="7" fillId="0" borderId="0" xfId="0" applyNumberFormat="1" applyFont="1" applyAlignment="1">
      <alignment horizontal="center"/>
    </xf>
    <xf numFmtId="175" fontId="7" fillId="0" borderId="0" xfId="0" applyNumberFormat="1" applyFont="1" applyAlignment="1">
      <alignment horizontal="center"/>
    </xf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9" defaultPivotStyle="PivotStyleLight16"/>
  <colors>
    <mruColors>
      <color rgb="FF298307"/>
      <color rgb="FF008001"/>
      <color rgb="FF3333CC"/>
      <color rgb="FFFFFFFF"/>
      <color rgb="FF00339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ynch Model Build">
      <a:dk1>
        <a:sysClr val="windowText" lastClr="000000"/>
      </a:dk1>
      <a:lt1>
        <a:sysClr val="window" lastClr="FFFFFF"/>
      </a:lt1>
      <a:dk2>
        <a:srgbClr val="000099"/>
      </a:dk2>
      <a:lt2>
        <a:srgbClr val="FFFFCC"/>
      </a:lt2>
      <a:accent1>
        <a:srgbClr val="0000CC"/>
      </a:accent1>
      <a:accent2>
        <a:srgbClr val="33CC33"/>
      </a:accent2>
      <a:accent3>
        <a:srgbClr val="FF0000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6D1B-0E50-644D-A532-9E3B436B1C15}">
  <dimension ref="A2:R74"/>
  <sheetViews>
    <sheetView tabSelected="1" zoomScale="174" zoomScaleNormal="174" workbookViewId="0">
      <pane xSplit="1" topLeftCell="B1" activePane="topRight" state="frozen"/>
      <selection activeCell="E18" sqref="B2:E18"/>
      <selection pane="topRight" activeCell="A41" sqref="A41"/>
    </sheetView>
  </sheetViews>
  <sheetFormatPr baseColWidth="10" defaultRowHeight="13" x14ac:dyDescent="0.15"/>
  <cols>
    <col min="1" max="1" width="34.5" style="6" customWidth="1"/>
    <col min="2" max="2" width="1.75" style="6" customWidth="1"/>
    <col min="3" max="6" width="15.75" style="6" customWidth="1"/>
    <col min="7" max="7" width="1.75" style="6" customWidth="1"/>
    <col min="8" max="20" width="15.75" style="6" customWidth="1"/>
    <col min="21" max="16384" width="10.75" style="6"/>
  </cols>
  <sheetData>
    <row r="2" spans="1:18" x14ac:dyDescent="0.15">
      <c r="A2" s="16"/>
      <c r="B2" s="16"/>
      <c r="C2" s="7" t="s">
        <v>6</v>
      </c>
      <c r="D2" s="7"/>
      <c r="E2" s="7"/>
      <c r="F2" s="7"/>
      <c r="H2" s="8" t="s">
        <v>7</v>
      </c>
      <c r="I2" s="8"/>
      <c r="J2" s="8"/>
      <c r="K2" s="8"/>
      <c r="L2" s="8"/>
      <c r="N2"/>
      <c r="O2"/>
      <c r="P2"/>
      <c r="Q2"/>
      <c r="R2"/>
    </row>
    <row r="3" spans="1:18" x14ac:dyDescent="0.15">
      <c r="B3" s="41"/>
      <c r="C3" s="41"/>
    </row>
    <row r="4" spans="1:18" x14ac:dyDescent="0.15">
      <c r="A4" s="9" t="s">
        <v>8</v>
      </c>
      <c r="B4" s="9"/>
      <c r="C4" s="10">
        <f>D4-365</f>
        <v>43830</v>
      </c>
      <c r="D4" s="10">
        <f>E4-365</f>
        <v>44195</v>
      </c>
      <c r="E4" s="10">
        <f>F4-365</f>
        <v>44560</v>
      </c>
      <c r="F4" s="18">
        <v>44925</v>
      </c>
      <c r="H4" s="18">
        <f>F4+365</f>
        <v>45290</v>
      </c>
      <c r="I4" s="18">
        <f>H4+365</f>
        <v>45655</v>
      </c>
      <c r="J4" s="18">
        <f>I4+365</f>
        <v>46020</v>
      </c>
      <c r="K4" s="18">
        <f t="shared" ref="K4:L4" si="0">J4+365</f>
        <v>46385</v>
      </c>
      <c r="L4" s="18">
        <f t="shared" si="0"/>
        <v>46750</v>
      </c>
    </row>
    <row r="5" spans="1:18" ht="14" x14ac:dyDescent="0.2">
      <c r="B5" s="42"/>
      <c r="C5" s="43"/>
      <c r="D5" s="20"/>
      <c r="E5" s="20"/>
      <c r="F5" s="20"/>
      <c r="H5" s="33"/>
    </row>
    <row r="6" spans="1:18" x14ac:dyDescent="0.15">
      <c r="A6" s="22" t="s">
        <v>3</v>
      </c>
      <c r="B6" s="22"/>
      <c r="C6" s="50">
        <v>1069</v>
      </c>
      <c r="D6" s="50">
        <v>1339</v>
      </c>
      <c r="E6" s="50">
        <v>1587</v>
      </c>
      <c r="F6" s="50">
        <v>2263</v>
      </c>
      <c r="G6" s="1"/>
      <c r="H6" s="31" t="s">
        <v>44</v>
      </c>
      <c r="I6" s="31"/>
      <c r="J6" s="31"/>
      <c r="K6" s="31"/>
      <c r="L6" s="31"/>
      <c r="M6" s="20"/>
    </row>
    <row r="7" spans="1:18" x14ac:dyDescent="0.15">
      <c r="A7" s="5" t="s">
        <v>9</v>
      </c>
      <c r="B7" s="42"/>
      <c r="C7" s="51">
        <v>577</v>
      </c>
      <c r="D7" s="51">
        <v>628</v>
      </c>
      <c r="E7" s="51">
        <v>767</v>
      </c>
      <c r="F7" s="51">
        <v>915</v>
      </c>
      <c r="G7" s="2"/>
      <c r="H7" s="6" t="s">
        <v>45</v>
      </c>
      <c r="K7" s="44">
        <f>J45</f>
        <v>0.11104279382889203</v>
      </c>
      <c r="L7" s="60" t="s">
        <v>5</v>
      </c>
      <c r="M7" s="20"/>
    </row>
    <row r="8" spans="1:18" x14ac:dyDescent="0.15">
      <c r="A8" s="21" t="s">
        <v>0</v>
      </c>
      <c r="B8" s="42"/>
      <c r="C8" s="19">
        <f t="shared" ref="C8" si="1">C6-C7</f>
        <v>492</v>
      </c>
      <c r="D8" s="19">
        <f t="shared" ref="D8:E8" si="2">D6-D7</f>
        <v>711</v>
      </c>
      <c r="E8" s="19">
        <f t="shared" si="2"/>
        <v>820</v>
      </c>
      <c r="F8" s="19">
        <f>F6-F7</f>
        <v>1348</v>
      </c>
      <c r="H8" s="20" t="s">
        <v>46</v>
      </c>
      <c r="I8" s="20"/>
      <c r="K8" s="44">
        <v>0.03</v>
      </c>
      <c r="L8" s="60" t="s">
        <v>64</v>
      </c>
      <c r="M8" s="20"/>
    </row>
    <row r="9" spans="1:18" x14ac:dyDescent="0.15">
      <c r="A9" s="5" t="s">
        <v>10</v>
      </c>
      <c r="B9" s="42"/>
      <c r="C9" s="51">
        <v>91</v>
      </c>
      <c r="D9" s="51">
        <v>109</v>
      </c>
      <c r="E9" s="51">
        <v>124</v>
      </c>
      <c r="F9" s="51">
        <v>163</v>
      </c>
      <c r="G9" s="1"/>
      <c r="H9" s="20" t="s">
        <v>51</v>
      </c>
      <c r="I9" s="20"/>
      <c r="K9" s="45">
        <f>F49</f>
        <v>0.71726190476190477</v>
      </c>
      <c r="L9" s="60" t="s">
        <v>65</v>
      </c>
      <c r="M9" s="20"/>
    </row>
    <row r="10" spans="1:18" x14ac:dyDescent="0.15">
      <c r="A10" s="5" t="s">
        <v>11</v>
      </c>
      <c r="B10" s="42"/>
      <c r="C10" s="51">
        <v>28</v>
      </c>
      <c r="D10" s="51">
        <v>35</v>
      </c>
      <c r="E10" s="51">
        <v>44</v>
      </c>
      <c r="F10" s="51">
        <v>63</v>
      </c>
      <c r="G10" s="1"/>
      <c r="H10" s="6" t="s">
        <v>52</v>
      </c>
      <c r="K10" s="45">
        <f>K9*F27</f>
        <v>0.24433930381885771</v>
      </c>
      <c r="L10" s="60" t="s">
        <v>66</v>
      </c>
      <c r="M10" s="20"/>
    </row>
    <row r="11" spans="1:18" x14ac:dyDescent="0.15">
      <c r="A11" s="28" t="s">
        <v>12</v>
      </c>
      <c r="B11" s="28"/>
      <c r="C11" s="29">
        <f>C9+C10</f>
        <v>119</v>
      </c>
      <c r="D11" s="29">
        <f>D9+D10</f>
        <v>144</v>
      </c>
      <c r="E11" s="29">
        <f>E9+E10</f>
        <v>168</v>
      </c>
      <c r="F11" s="29">
        <f>F9+F10</f>
        <v>226</v>
      </c>
      <c r="G11" s="12"/>
      <c r="H11" s="20" t="s">
        <v>54</v>
      </c>
      <c r="I11" s="20"/>
      <c r="K11" s="45">
        <f>K8/K7</f>
        <v>0.27016611313137145</v>
      </c>
      <c r="L11" s="60" t="s">
        <v>67</v>
      </c>
      <c r="M11" s="20"/>
    </row>
    <row r="12" spans="1:18" ht="14" thickBot="1" x14ac:dyDescent="0.2">
      <c r="A12" s="30" t="s">
        <v>13</v>
      </c>
      <c r="B12" s="30"/>
      <c r="C12" s="26">
        <f>C8-C11</f>
        <v>373</v>
      </c>
      <c r="D12" s="26">
        <f>D8-D11</f>
        <v>567</v>
      </c>
      <c r="E12" s="26">
        <f>E8-E11</f>
        <v>652</v>
      </c>
      <c r="F12" s="26">
        <f>F8-F11</f>
        <v>1122</v>
      </c>
      <c r="G12" s="3"/>
      <c r="H12" s="20"/>
      <c r="I12" s="20"/>
      <c r="J12" s="20"/>
      <c r="K12" s="20"/>
      <c r="L12" s="20"/>
      <c r="M12" s="20"/>
    </row>
    <row r="13" spans="1:18" ht="14" thickTop="1" x14ac:dyDescent="0.15">
      <c r="A13" s="5" t="s">
        <v>21</v>
      </c>
      <c r="B13" s="42"/>
      <c r="C13" s="51">
        <v>13</v>
      </c>
      <c r="D13" s="51">
        <v>11</v>
      </c>
      <c r="E13" s="51">
        <v>13</v>
      </c>
      <c r="F13" s="51">
        <v>13</v>
      </c>
      <c r="M13" s="20"/>
    </row>
    <row r="14" spans="1:18" x14ac:dyDescent="0.15">
      <c r="A14" s="5" t="s">
        <v>1</v>
      </c>
      <c r="B14" s="42"/>
      <c r="C14" s="19">
        <f t="shared" ref="C14" si="3">C12+C13</f>
        <v>386</v>
      </c>
      <c r="D14" s="19">
        <f t="shared" ref="D14:E14" si="4">D12+D13</f>
        <v>578</v>
      </c>
      <c r="E14" s="19">
        <f t="shared" si="4"/>
        <v>665</v>
      </c>
      <c r="F14" s="19">
        <f>F12+F13</f>
        <v>1135</v>
      </c>
      <c r="G14" s="1"/>
      <c r="H14" s="48" t="s">
        <v>55</v>
      </c>
      <c r="I14" s="48"/>
      <c r="J14" s="48"/>
      <c r="K14" s="48"/>
      <c r="L14" s="48"/>
      <c r="M14" s="20"/>
    </row>
    <row r="15" spans="1:18" x14ac:dyDescent="0.15">
      <c r="A15" s="5" t="s">
        <v>20</v>
      </c>
      <c r="B15" s="42"/>
      <c r="C15" s="51">
        <v>35</v>
      </c>
      <c r="D15" s="51">
        <v>73</v>
      </c>
      <c r="E15" s="51">
        <v>70</v>
      </c>
      <c r="F15" s="51">
        <v>127</v>
      </c>
      <c r="G15" s="12"/>
      <c r="H15" s="46">
        <v>1</v>
      </c>
      <c r="I15" s="46">
        <v>2</v>
      </c>
      <c r="J15" s="46">
        <v>3</v>
      </c>
      <c r="K15" s="46">
        <v>4</v>
      </c>
      <c r="L15" s="46">
        <v>5</v>
      </c>
      <c r="M15" s="20"/>
    </row>
    <row r="16" spans="1:18" ht="14" thickBot="1" x14ac:dyDescent="0.2">
      <c r="A16" s="23" t="s">
        <v>2</v>
      </c>
      <c r="B16" s="23"/>
      <c r="C16" s="24">
        <f t="shared" ref="C16" si="5">C14-C15</f>
        <v>351</v>
      </c>
      <c r="D16" s="24">
        <f t="shared" ref="D16:E16" si="6">D14-D15</f>
        <v>505</v>
      </c>
      <c r="E16" s="24">
        <f t="shared" si="6"/>
        <v>595</v>
      </c>
      <c r="F16" s="24">
        <f>F14-F15</f>
        <v>1008</v>
      </c>
      <c r="G16" s="12"/>
      <c r="H16" s="24">
        <f>F16*(1+$K$10)</f>
        <v>1254.2940182494085</v>
      </c>
      <c r="I16" s="24">
        <f>H16*(1+$K$10)</f>
        <v>1560.7673454526266</v>
      </c>
      <c r="J16" s="24">
        <f>I16*(1+$K$10)</f>
        <v>1942.1241520637279</v>
      </c>
      <c r="K16" s="24">
        <f>J16*(1+$K$10)</f>
        <v>2416.6614153087685</v>
      </c>
      <c r="L16" s="24">
        <f>K16*(1+$K$10)</f>
        <v>3007.1467830912084</v>
      </c>
      <c r="M16" s="20"/>
    </row>
    <row r="17" spans="1:15" ht="14" thickTop="1" x14ac:dyDescent="0.15">
      <c r="A17" s="21" t="s">
        <v>53</v>
      </c>
      <c r="B17" s="21"/>
      <c r="C17" s="19"/>
      <c r="D17" s="19"/>
      <c r="E17" s="19"/>
      <c r="F17" s="19"/>
      <c r="H17" s="20">
        <f>H16*$K$9</f>
        <v>899.65731666103409</v>
      </c>
      <c r="I17" s="20">
        <f>I16*$K$9</f>
        <v>1119.4789590895327</v>
      </c>
      <c r="J17" s="20">
        <f>J16*$K$9</f>
        <v>1393.0116685933287</v>
      </c>
      <c r="K17" s="20">
        <f>K16*$K$9</f>
        <v>1733.3791699089679</v>
      </c>
      <c r="L17" s="20">
        <f>L16*$K$9</f>
        <v>2156.9118295386347</v>
      </c>
      <c r="M17" s="20"/>
    </row>
    <row r="18" spans="1:15" x14ac:dyDescent="0.15">
      <c r="A18" s="6" t="s">
        <v>26</v>
      </c>
      <c r="B18" s="42"/>
      <c r="C18" s="51">
        <v>286</v>
      </c>
      <c r="D18" s="51">
        <v>331</v>
      </c>
      <c r="E18" s="51">
        <v>422</v>
      </c>
      <c r="F18" s="51">
        <v>437</v>
      </c>
      <c r="H18" s="20"/>
      <c r="I18" s="20"/>
      <c r="J18" s="20"/>
      <c r="K18" s="20"/>
      <c r="L18" s="20"/>
      <c r="M18" s="20"/>
    </row>
    <row r="19" spans="1:15" x14ac:dyDescent="0.15">
      <c r="A19" s="6" t="s">
        <v>31</v>
      </c>
      <c r="C19" s="51">
        <v>469</v>
      </c>
      <c r="D19" s="51">
        <v>521</v>
      </c>
      <c r="E19" s="51">
        <v>849</v>
      </c>
      <c r="F19" s="51">
        <v>1089</v>
      </c>
      <c r="G19" s="4"/>
      <c r="H19" s="20"/>
      <c r="I19" s="20"/>
      <c r="J19" s="20"/>
      <c r="K19" s="20"/>
      <c r="L19" s="20"/>
      <c r="M19" s="20"/>
    </row>
    <row r="20" spans="1:15" x14ac:dyDescent="0.15">
      <c r="A20" s="6" t="s">
        <v>30</v>
      </c>
      <c r="C20" s="20">
        <f>C31+C32-C37</f>
        <v>-265</v>
      </c>
      <c r="D20" s="20">
        <f>D31+D32-D37</f>
        <v>-257</v>
      </c>
      <c r="E20" s="20">
        <f>E31+E32-E37</f>
        <v>-246</v>
      </c>
      <c r="F20" s="20">
        <f>F31+F32-F37</f>
        <v>-472</v>
      </c>
      <c r="G20" s="12"/>
      <c r="M20" s="20"/>
    </row>
    <row r="21" spans="1:15" x14ac:dyDescent="0.15">
      <c r="A21" s="6" t="s">
        <v>32</v>
      </c>
      <c r="C21" s="51">
        <f>37-31</f>
        <v>6</v>
      </c>
      <c r="D21" s="51">
        <f>73-246</f>
        <v>-173</v>
      </c>
      <c r="E21" s="51">
        <f>4-401</f>
        <v>-397</v>
      </c>
      <c r="F21" s="51">
        <f>118-200</f>
        <v>-82</v>
      </c>
      <c r="G21" s="3"/>
      <c r="H21" s="20"/>
      <c r="I21" s="20"/>
      <c r="J21" s="20"/>
      <c r="K21" s="20"/>
      <c r="L21" s="19">
        <f>(L16*(1+K8)*(1-K11))/(K7-K8)</f>
        <v>27893.401091445226</v>
      </c>
      <c r="M21" s="20"/>
    </row>
    <row r="22" spans="1:15" ht="14" thickBot="1" x14ac:dyDescent="0.2">
      <c r="A22" s="37" t="s">
        <v>34</v>
      </c>
      <c r="B22" s="37"/>
      <c r="C22" s="38">
        <f t="shared" ref="C22:F22" si="7">C16+C18-C19-C20-C21</f>
        <v>427</v>
      </c>
      <c r="D22" s="38">
        <f t="shared" si="7"/>
        <v>745</v>
      </c>
      <c r="E22" s="38">
        <f t="shared" si="7"/>
        <v>811</v>
      </c>
      <c r="F22" s="38">
        <f t="shared" si="7"/>
        <v>910</v>
      </c>
      <c r="H22" s="38">
        <f>H16-H17</f>
        <v>354.63670158837442</v>
      </c>
      <c r="I22" s="38">
        <f>I16-I17</f>
        <v>441.28838636309388</v>
      </c>
      <c r="J22" s="38">
        <f>J16-J17</f>
        <v>549.11248347039918</v>
      </c>
      <c r="K22" s="38">
        <f>K16-K17</f>
        <v>683.28224539980056</v>
      </c>
      <c r="L22" s="38">
        <f>L16-L17</f>
        <v>850.23495355257364</v>
      </c>
      <c r="M22" s="35"/>
    </row>
    <row r="23" spans="1:15" ht="14" thickTop="1" x14ac:dyDescent="0.15">
      <c r="A23" s="35"/>
      <c r="B23" s="35"/>
      <c r="C23" s="36"/>
      <c r="D23" s="36"/>
      <c r="E23" s="36"/>
      <c r="F23" s="36"/>
      <c r="G23" s="13"/>
      <c r="H23" s="20">
        <f>H22/((1+K7)^H15)</f>
        <v>319.19265716689472</v>
      </c>
      <c r="I23" s="20">
        <f>I22/((1+P34)^I15)</f>
        <v>441.28838636309388</v>
      </c>
      <c r="J23" s="20">
        <f>J22/((1+Q34)^J15)</f>
        <v>549.11248347039918</v>
      </c>
      <c r="K23" s="20">
        <f>K22/((1+R34)^K15)</f>
        <v>683.28224539980056</v>
      </c>
      <c r="L23" s="20">
        <f>(L21+L22)/((1+S34)^L15)</f>
        <v>28743.636044997802</v>
      </c>
    </row>
    <row r="24" spans="1:15" x14ac:dyDescent="0.15">
      <c r="A24" s="6" t="s">
        <v>14</v>
      </c>
      <c r="C24" s="52" t="str">
        <f>IF(ISERROR(C6/#REF!-1),"n.a.",(C6/#REF!-1))</f>
        <v>n.a.</v>
      </c>
      <c r="D24" s="52">
        <f>IF(ISERROR(D6/C6-1),"n.a.",(D6/C6-1))</f>
        <v>0.25257249766136569</v>
      </c>
      <c r="E24" s="52">
        <f>IF(ISERROR(E6/D6-1),"n.a.",(E6/D6-1))</f>
        <v>0.1852128454070201</v>
      </c>
      <c r="F24" s="52">
        <f>IF(ISERROR(F6/E6-1),"n.a.",(F6/E6-1))</f>
        <v>0.42596093257718959</v>
      </c>
      <c r="G24" s="13"/>
      <c r="K24" s="20"/>
      <c r="L24" s="20"/>
      <c r="M24" s="20"/>
    </row>
    <row r="25" spans="1:15" x14ac:dyDescent="0.15">
      <c r="A25" s="5" t="s">
        <v>15</v>
      </c>
      <c r="B25" s="5"/>
      <c r="C25" s="52">
        <f>IF(ISERROR(C8/C6),"n.a.",(C8/C6))</f>
        <v>0.46024321796071094</v>
      </c>
      <c r="D25" s="52">
        <f>IF(ISERROR(D8/D6),"n.a.",(D8/D6))</f>
        <v>0.53099327856609413</v>
      </c>
      <c r="E25" s="52">
        <f>IF(ISERROR(E8/E6),"n.a.",(E8/E6))</f>
        <v>0.51669817265280404</v>
      </c>
      <c r="F25" s="52">
        <f>IF(ISERROR(F8/F6),"n.a.",(F8/F6))</f>
        <v>0.59566946531153331</v>
      </c>
      <c r="G25" s="34"/>
      <c r="H25" s="48" t="s">
        <v>56</v>
      </c>
      <c r="I25" s="48"/>
      <c r="J25" s="48"/>
      <c r="K25" s="48"/>
      <c r="L25" s="49">
        <f>SUM(H23:L23)</f>
        <v>30736.51181739799</v>
      </c>
      <c r="M25" s="20"/>
    </row>
    <row r="26" spans="1:15" x14ac:dyDescent="0.15">
      <c r="A26" s="5" t="s">
        <v>33</v>
      </c>
      <c r="B26" s="5"/>
      <c r="C26" s="52">
        <f>IF(ISERROR(C12/C6),"n.a.",(C12/C6))</f>
        <v>0.34892422825070157</v>
      </c>
      <c r="D26" s="52">
        <f>IF(ISERROR(D12/D6),"n.a.",(D12/D6))</f>
        <v>0.4234503360716953</v>
      </c>
      <c r="E26" s="52">
        <f>IF(ISERROR(E12/E6),"n.a.",(E12/E6))</f>
        <v>0.41083805923125394</v>
      </c>
      <c r="F26" s="52">
        <f>IF(ISERROR(F12/F6),"n.a.",(F12/F6))</f>
        <v>0.49580203269995582</v>
      </c>
      <c r="G26" s="20"/>
      <c r="H26" s="62">
        <f>L25*1000000000</f>
        <v>30736511817397.988</v>
      </c>
      <c r="I26" s="62"/>
      <c r="J26" s="62"/>
      <c r="K26" s="62"/>
      <c r="L26" s="62"/>
      <c r="M26" s="20"/>
    </row>
    <row r="27" spans="1:15" x14ac:dyDescent="0.15">
      <c r="A27" s="5" t="s">
        <v>47</v>
      </c>
      <c r="B27" s="5"/>
      <c r="C27" s="52">
        <f>C16/C41</f>
        <v>0.22285714285714286</v>
      </c>
      <c r="D27" s="52">
        <f t="shared" ref="D27:F27" si="8">D16/D41</f>
        <v>0.27505446623093682</v>
      </c>
      <c r="E27" s="52">
        <f t="shared" si="8"/>
        <v>0.27648698884758366</v>
      </c>
      <c r="F27" s="52">
        <f t="shared" si="8"/>
        <v>0.34065562690098006</v>
      </c>
      <c r="G27" s="20"/>
      <c r="K27" s="47"/>
      <c r="M27" s="20"/>
      <c r="O27" s="12"/>
    </row>
    <row r="28" spans="1:15" x14ac:dyDescent="0.15">
      <c r="A28" s="5" t="s">
        <v>48</v>
      </c>
      <c r="B28" s="5"/>
      <c r="C28" s="52">
        <f t="shared" ref="C28:E28" si="9">C12/C41</f>
        <v>0.23682539682539683</v>
      </c>
      <c r="D28" s="52">
        <f t="shared" si="9"/>
        <v>0.30882352941176472</v>
      </c>
      <c r="E28" s="52">
        <f t="shared" si="9"/>
        <v>0.30297397769516726</v>
      </c>
      <c r="F28" s="52">
        <f>F12/F41</f>
        <v>0.379182156133829</v>
      </c>
      <c r="G28" s="20"/>
      <c r="H28" s="48" t="s">
        <v>57</v>
      </c>
      <c r="I28" s="48"/>
      <c r="J28" s="48"/>
      <c r="K28" s="48"/>
      <c r="L28" s="49">
        <f>H29/1000000000</f>
        <v>1001.1893100129639</v>
      </c>
      <c r="O28" s="12"/>
    </row>
    <row r="29" spans="1:15" x14ac:dyDescent="0.15">
      <c r="G29" s="20"/>
      <c r="H29" s="61">
        <f>H26/30.7</f>
        <v>1001189310012.9639</v>
      </c>
      <c r="I29" s="61"/>
      <c r="J29" s="61"/>
      <c r="K29" s="61"/>
      <c r="L29" s="61"/>
      <c r="O29" s="12"/>
    </row>
    <row r="30" spans="1:15" x14ac:dyDescent="0.15">
      <c r="A30" s="6" t="s">
        <v>16</v>
      </c>
      <c r="C30" s="51">
        <v>594</v>
      </c>
      <c r="D30" s="51">
        <v>802</v>
      </c>
      <c r="E30" s="51">
        <v>1204</v>
      </c>
      <c r="F30" s="51">
        <v>1586</v>
      </c>
      <c r="G30" s="20"/>
      <c r="O30" s="12"/>
    </row>
    <row r="31" spans="1:15" x14ac:dyDescent="0.15">
      <c r="A31" s="6" t="s">
        <v>35</v>
      </c>
      <c r="C31" s="51">
        <v>139</v>
      </c>
      <c r="D31" s="51">
        <v>146</v>
      </c>
      <c r="E31" s="51">
        <v>198</v>
      </c>
      <c r="F31" s="51">
        <v>231</v>
      </c>
      <c r="H31" s="48" t="s">
        <v>58</v>
      </c>
      <c r="I31" s="48"/>
      <c r="J31" s="48"/>
      <c r="K31" s="48"/>
      <c r="L31" s="53">
        <f>L25/L16</f>
        <v>10.221154481126549</v>
      </c>
    </row>
    <row r="32" spans="1:15" x14ac:dyDescent="0.15">
      <c r="A32" s="6" t="s">
        <v>17</v>
      </c>
      <c r="C32" s="51">
        <v>82</v>
      </c>
      <c r="D32" s="51">
        <v>137</v>
      </c>
      <c r="E32" s="51">
        <v>193</v>
      </c>
      <c r="F32" s="51">
        <v>221</v>
      </c>
      <c r="G32" s="13"/>
      <c r="O32" s="13"/>
    </row>
    <row r="33" spans="1:17" x14ac:dyDescent="0.15">
      <c r="A33" s="6" t="s">
        <v>18</v>
      </c>
      <c r="C33" s="51">
        <v>5</v>
      </c>
      <c r="D33" s="51">
        <v>6</v>
      </c>
      <c r="E33" s="51">
        <v>10</v>
      </c>
      <c r="F33" s="51">
        <v>13</v>
      </c>
      <c r="G33" s="14"/>
      <c r="H33" s="32" t="s">
        <v>5</v>
      </c>
      <c r="I33" s="32"/>
      <c r="J33" s="32"/>
      <c r="K33" s="32"/>
      <c r="L33" s="32"/>
    </row>
    <row r="34" spans="1:17" x14ac:dyDescent="0.15">
      <c r="A34" s="6" t="s">
        <v>27</v>
      </c>
      <c r="C34" s="51">
        <v>1442</v>
      </c>
      <c r="D34" s="51">
        <v>1668</v>
      </c>
      <c r="E34" s="51">
        <v>2118</v>
      </c>
      <c r="F34" s="51">
        <v>2911</v>
      </c>
      <c r="G34" s="1"/>
      <c r="H34" s="56" t="s">
        <v>36</v>
      </c>
      <c r="I34" s="15"/>
      <c r="J34" s="56">
        <v>13200</v>
      </c>
      <c r="K34" s="54"/>
      <c r="L34" s="54"/>
    </row>
    <row r="35" spans="1:17" ht="14" thickBot="1" x14ac:dyDescent="0.2">
      <c r="A35" s="25" t="s">
        <v>19</v>
      </c>
      <c r="B35" s="25"/>
      <c r="C35" s="26">
        <f>SUM(C30:C34)</f>
        <v>2262</v>
      </c>
      <c r="D35" s="26">
        <f t="shared" ref="D35:F35" si="10">SUM(D30:D34)</f>
        <v>2759</v>
      </c>
      <c r="E35" s="26">
        <f t="shared" si="10"/>
        <v>3723</v>
      </c>
      <c r="F35" s="26">
        <f t="shared" si="10"/>
        <v>4962</v>
      </c>
      <c r="G35" s="13"/>
      <c r="H35" s="6" t="s">
        <v>38</v>
      </c>
      <c r="J35" s="40">
        <v>3.6400000000000002E-2</v>
      </c>
      <c r="K35" s="60" t="s">
        <v>60</v>
      </c>
      <c r="L35" s="55"/>
    </row>
    <row r="36" spans="1:17" ht="14" thickTop="1" x14ac:dyDescent="0.15">
      <c r="C36" s="20"/>
      <c r="D36" s="20"/>
      <c r="E36" s="20"/>
      <c r="F36" s="20"/>
      <c r="G36" s="12"/>
      <c r="H36" s="20" t="s">
        <v>37</v>
      </c>
      <c r="J36" s="40">
        <v>0.05</v>
      </c>
      <c r="K36" s="60" t="s">
        <v>59</v>
      </c>
      <c r="L36" s="55"/>
    </row>
    <row r="37" spans="1:17" x14ac:dyDescent="0.15">
      <c r="A37" s="6" t="s">
        <v>28</v>
      </c>
      <c r="C37" s="51">
        <f>463+23</f>
        <v>486</v>
      </c>
      <c r="D37" s="51">
        <f>504+36</f>
        <v>540</v>
      </c>
      <c r="E37" s="51">
        <f>601+36</f>
        <v>637</v>
      </c>
      <c r="F37" s="51">
        <f>863+61</f>
        <v>924</v>
      </c>
      <c r="G37" s="12"/>
      <c r="H37" s="20" t="s">
        <v>43</v>
      </c>
      <c r="J37" s="20">
        <v>1.61</v>
      </c>
      <c r="K37" s="60" t="s">
        <v>61</v>
      </c>
      <c r="L37" s="55"/>
    </row>
    <row r="38" spans="1:17" x14ac:dyDescent="0.15">
      <c r="A38" s="6" t="s">
        <v>29</v>
      </c>
      <c r="C38" s="51">
        <v>150</v>
      </c>
      <c r="D38" s="51">
        <v>91</v>
      </c>
      <c r="E38" s="51">
        <v>119</v>
      </c>
      <c r="F38" s="51">
        <v>19</v>
      </c>
      <c r="G38" s="1"/>
      <c r="H38" s="56" t="s">
        <v>39</v>
      </c>
      <c r="I38" s="15"/>
      <c r="J38" s="57">
        <f>J35+J36*J37</f>
        <v>0.11690000000000002</v>
      </c>
      <c r="K38" s="60"/>
      <c r="L38" s="55"/>
    </row>
    <row r="39" spans="1:17" x14ac:dyDescent="0.15">
      <c r="A39" s="6" t="s">
        <v>4</v>
      </c>
      <c r="C39" s="51">
        <v>40</v>
      </c>
      <c r="D39" s="51">
        <v>276</v>
      </c>
      <c r="E39" s="51">
        <v>634</v>
      </c>
      <c r="F39" s="51">
        <v>868</v>
      </c>
      <c r="G39" s="12"/>
      <c r="H39" s="19"/>
      <c r="J39" s="19"/>
      <c r="K39" s="60"/>
      <c r="L39" s="55"/>
      <c r="M39" s="20"/>
      <c r="O39" s="12"/>
    </row>
    <row r="40" spans="1:17" x14ac:dyDescent="0.15">
      <c r="A40" s="6" t="s">
        <v>24</v>
      </c>
      <c r="C40" s="51">
        <f>51-C39</f>
        <v>11</v>
      </c>
      <c r="D40" s="51">
        <f>292-D39</f>
        <v>16</v>
      </c>
      <c r="E40" s="51">
        <f>815-E39</f>
        <v>181</v>
      </c>
      <c r="F40" s="51">
        <f>1060-F39</f>
        <v>192</v>
      </c>
      <c r="G40" s="12"/>
      <c r="H40" s="56" t="s">
        <v>4</v>
      </c>
      <c r="I40" s="15"/>
      <c r="J40" s="56">
        <f>F40+F39</f>
        <v>1060</v>
      </c>
      <c r="K40" s="60"/>
      <c r="L40" s="55"/>
      <c r="M40" s="20"/>
      <c r="O40" s="12"/>
    </row>
    <row r="41" spans="1:17" x14ac:dyDescent="0.15">
      <c r="A41" s="6" t="s">
        <v>22</v>
      </c>
      <c r="C41" s="51">
        <v>1575</v>
      </c>
      <c r="D41" s="51">
        <v>1836</v>
      </c>
      <c r="E41" s="51">
        <v>2152</v>
      </c>
      <c r="F41" s="51">
        <v>2959</v>
      </c>
      <c r="G41" s="1"/>
      <c r="H41" s="6" t="s">
        <v>38</v>
      </c>
      <c r="I41" s="20"/>
      <c r="J41" s="40">
        <f>J35</f>
        <v>3.6400000000000002E-2</v>
      </c>
      <c r="K41" s="60" t="s">
        <v>60</v>
      </c>
      <c r="L41" s="55"/>
      <c r="M41" s="20"/>
      <c r="O41" s="12"/>
    </row>
    <row r="42" spans="1:17" ht="14" thickBot="1" x14ac:dyDescent="0.2">
      <c r="A42" s="25" t="s">
        <v>23</v>
      </c>
      <c r="B42" s="25"/>
      <c r="C42" s="26">
        <f>SUM(C37:C41)</f>
        <v>2262</v>
      </c>
      <c r="D42" s="26">
        <f t="shared" ref="D42:F42" si="11">SUM(D37:D41)</f>
        <v>2759</v>
      </c>
      <c r="E42" s="26">
        <f t="shared" si="11"/>
        <v>3723</v>
      </c>
      <c r="F42" s="26">
        <f t="shared" si="11"/>
        <v>4962</v>
      </c>
      <c r="G42" s="12"/>
      <c r="H42" s="20" t="s">
        <v>40</v>
      </c>
      <c r="I42" s="20"/>
      <c r="J42" s="40">
        <v>6.8999999999999999E-3</v>
      </c>
      <c r="K42" s="60" t="s">
        <v>62</v>
      </c>
      <c r="L42" s="55"/>
      <c r="M42" s="20"/>
      <c r="O42" s="12"/>
    </row>
    <row r="43" spans="1:17" ht="14" thickTop="1" x14ac:dyDescent="0.15">
      <c r="G43" s="20"/>
      <c r="H43" s="20" t="s">
        <v>41</v>
      </c>
      <c r="I43" s="20"/>
      <c r="J43" s="40">
        <v>0.12</v>
      </c>
      <c r="K43" s="60" t="s">
        <v>63</v>
      </c>
      <c r="L43" s="55"/>
      <c r="M43" s="20"/>
      <c r="O43" s="12"/>
    </row>
    <row r="44" spans="1:17" x14ac:dyDescent="0.15">
      <c r="A44" s="6" t="s">
        <v>25</v>
      </c>
      <c r="C44" s="27" t="str">
        <f t="shared" ref="C44:F44" si="12">IF(C35=C42,"Balanced","Unbalanced")</f>
        <v>Balanced</v>
      </c>
      <c r="D44" s="27" t="str">
        <f t="shared" si="12"/>
        <v>Balanced</v>
      </c>
      <c r="E44" s="27" t="str">
        <f t="shared" si="12"/>
        <v>Balanced</v>
      </c>
      <c r="F44" s="27" t="str">
        <f t="shared" si="12"/>
        <v>Balanced</v>
      </c>
      <c r="G44" s="1"/>
      <c r="H44" s="56" t="s">
        <v>42</v>
      </c>
      <c r="I44" s="58"/>
      <c r="J44" s="57">
        <f>(J41+J42)*(1-J43)</f>
        <v>3.8104000000000006E-2</v>
      </c>
      <c r="K44" s="55"/>
      <c r="L44" s="55"/>
      <c r="M44" s="20"/>
      <c r="O44" s="12"/>
    </row>
    <row r="45" spans="1:17" ht="13" customHeight="1" x14ac:dyDescent="0.15">
      <c r="B45" s="11"/>
      <c r="C45" s="12"/>
      <c r="D45" s="12"/>
      <c r="E45" s="12"/>
      <c r="F45" s="12"/>
      <c r="G45" s="12"/>
      <c r="H45" s="56" t="s">
        <v>5</v>
      </c>
      <c r="I45" s="58"/>
      <c r="J45" s="59">
        <f>(J38*(J34/(J34+J40)))+(J44*(J40/(J34+J40)))</f>
        <v>0.11104279382889203</v>
      </c>
      <c r="K45" s="55"/>
      <c r="L45" s="55"/>
      <c r="M45" s="20"/>
      <c r="O45" s="12"/>
    </row>
    <row r="46" spans="1:17" x14ac:dyDescent="0.15">
      <c r="B46" s="11"/>
      <c r="C46" s="12"/>
      <c r="D46" s="12"/>
      <c r="E46" s="12"/>
      <c r="F46" s="12"/>
      <c r="G46" s="12"/>
      <c r="Q46" s="12"/>
    </row>
    <row r="47" spans="1:17" ht="13" customHeight="1" x14ac:dyDescent="0.15">
      <c r="A47" s="32" t="s">
        <v>51</v>
      </c>
      <c r="B47" s="32"/>
      <c r="C47" s="32"/>
      <c r="D47" s="32"/>
      <c r="E47" s="32"/>
      <c r="F47" s="32"/>
      <c r="G47" s="12"/>
      <c r="Q47" s="12"/>
    </row>
    <row r="48" spans="1:17" x14ac:dyDescent="0.15">
      <c r="A48" s="6" t="s">
        <v>49</v>
      </c>
      <c r="B48" s="11"/>
      <c r="C48" s="51">
        <v>259</v>
      </c>
      <c r="D48" s="51">
        <v>259</v>
      </c>
      <c r="E48" s="51">
        <v>265</v>
      </c>
      <c r="F48" s="51">
        <v>285</v>
      </c>
      <c r="G48" s="12"/>
      <c r="Q48" s="12"/>
    </row>
    <row r="49" spans="1:17" x14ac:dyDescent="0.15">
      <c r="A49" s="6" t="s">
        <v>50</v>
      </c>
      <c r="B49" s="11"/>
      <c r="C49" s="39">
        <f>(C16-C48)/C16</f>
        <v>0.2621082621082621</v>
      </c>
      <c r="D49" s="39">
        <f t="shared" ref="D49:F49" si="13">(D16-D48)/D16</f>
        <v>0.48712871287128712</v>
      </c>
      <c r="E49" s="39">
        <f t="shared" si="13"/>
        <v>0.55462184873949583</v>
      </c>
      <c r="F49" s="39">
        <f t="shared" si="13"/>
        <v>0.71726190476190477</v>
      </c>
      <c r="G49" s="12"/>
      <c r="Q49" s="12"/>
    </row>
    <row r="50" spans="1:17" x14ac:dyDescent="0.15">
      <c r="G50" s="12"/>
      <c r="Q50" s="12"/>
    </row>
    <row r="51" spans="1:17" x14ac:dyDescent="0.15">
      <c r="B51" s="11"/>
      <c r="C51" s="12"/>
      <c r="D51" s="12"/>
      <c r="E51" s="12"/>
      <c r="F51" s="12"/>
      <c r="G51" s="12"/>
      <c r="Q51" s="12"/>
    </row>
    <row r="52" spans="1:17" x14ac:dyDescent="0.15">
      <c r="B52" s="11"/>
      <c r="C52" s="12"/>
      <c r="D52" s="12"/>
      <c r="E52" s="12"/>
      <c r="F52" s="12"/>
      <c r="G52" s="12"/>
      <c r="Q52" s="12"/>
    </row>
    <row r="53" spans="1:17" x14ac:dyDescent="0.15">
      <c r="B53" s="11"/>
      <c r="C53" s="12"/>
      <c r="D53" s="12"/>
      <c r="E53" s="12"/>
      <c r="F53" s="12"/>
      <c r="G53" s="12"/>
      <c r="Q53" s="12"/>
    </row>
    <row r="54" spans="1:17" x14ac:dyDescent="0.15">
      <c r="B54" s="11"/>
      <c r="C54" s="12"/>
      <c r="D54" s="12"/>
      <c r="E54" s="12"/>
      <c r="F54" s="12"/>
      <c r="G54" s="12"/>
      <c r="O54" s="13"/>
      <c r="P54" s="13"/>
      <c r="Q54" s="13"/>
    </row>
    <row r="55" spans="1:17" x14ac:dyDescent="0.15">
      <c r="B55" s="11"/>
      <c r="C55" s="12"/>
      <c r="D55" s="12"/>
      <c r="E55" s="12"/>
      <c r="F55" s="12"/>
      <c r="G55" s="12"/>
    </row>
    <row r="56" spans="1:17" x14ac:dyDescent="0.15">
      <c r="B56" s="11"/>
      <c r="C56" s="12"/>
      <c r="D56" s="12"/>
      <c r="E56" s="12"/>
      <c r="F56" s="12"/>
      <c r="G56" s="12"/>
    </row>
    <row r="57" spans="1:17" x14ac:dyDescent="0.15">
      <c r="B57" s="11"/>
      <c r="C57" s="12"/>
      <c r="D57" s="12"/>
      <c r="E57" s="12"/>
      <c r="F57" s="12"/>
      <c r="G57" s="12"/>
      <c r="N57" s="13"/>
      <c r="O57" s="13"/>
      <c r="P57" s="13"/>
      <c r="Q57" s="13"/>
    </row>
    <row r="58" spans="1:17" x14ac:dyDescent="0.15">
      <c r="B58" s="11"/>
      <c r="C58" s="12"/>
      <c r="D58" s="12"/>
      <c r="E58" s="12"/>
      <c r="F58" s="12"/>
      <c r="G58" s="12"/>
    </row>
    <row r="59" spans="1:17" x14ac:dyDescent="0.15">
      <c r="B59" s="11"/>
      <c r="C59" s="12"/>
      <c r="D59" s="12"/>
      <c r="E59" s="12"/>
      <c r="F59" s="12"/>
      <c r="G59" s="12"/>
    </row>
    <row r="60" spans="1:17" x14ac:dyDescent="0.15">
      <c r="B60" s="11"/>
      <c r="C60" s="12"/>
      <c r="D60" s="12"/>
      <c r="E60" s="12"/>
      <c r="F60" s="12"/>
      <c r="G60" s="12"/>
    </row>
    <row r="61" spans="1:17" x14ac:dyDescent="0.15">
      <c r="B61" s="11"/>
      <c r="C61" s="12"/>
      <c r="D61" s="12"/>
      <c r="E61" s="12"/>
      <c r="F61" s="12"/>
      <c r="G61" s="12"/>
    </row>
    <row r="62" spans="1:17" x14ac:dyDescent="0.15">
      <c r="B62" s="11"/>
      <c r="C62" s="12"/>
      <c r="D62" s="12"/>
      <c r="E62" s="12"/>
      <c r="F62" s="12"/>
      <c r="G62" s="12"/>
      <c r="H62" s="12"/>
      <c r="I62" s="12"/>
      <c r="J62" s="12"/>
    </row>
    <row r="63" spans="1:17" x14ac:dyDescent="0.15">
      <c r="B63" s="11"/>
      <c r="C63" s="12"/>
      <c r="D63" s="12"/>
      <c r="E63" s="12"/>
      <c r="F63" s="12"/>
      <c r="G63" s="12"/>
      <c r="H63" s="12"/>
      <c r="I63" s="12"/>
      <c r="J63" s="12"/>
    </row>
    <row r="64" spans="1:17" x14ac:dyDescent="0.15">
      <c r="B64" s="11"/>
      <c r="C64" s="12"/>
      <c r="D64" s="12"/>
      <c r="E64" s="12"/>
      <c r="F64" s="12"/>
      <c r="G64" s="12"/>
      <c r="H64" s="12"/>
      <c r="I64" s="12"/>
      <c r="J64" s="12"/>
    </row>
    <row r="65" spans="1:10" x14ac:dyDescent="0.15">
      <c r="B65" s="11"/>
      <c r="C65" s="12"/>
      <c r="D65" s="12"/>
      <c r="E65" s="12"/>
      <c r="F65" s="12"/>
      <c r="G65" s="12"/>
      <c r="H65" s="12"/>
      <c r="I65" s="12"/>
      <c r="J65" s="12"/>
    </row>
    <row r="66" spans="1:10" x14ac:dyDescent="0.15">
      <c r="B66" s="11"/>
      <c r="C66" s="12"/>
      <c r="D66" s="12"/>
      <c r="E66" s="12"/>
      <c r="F66" s="12"/>
      <c r="G66" s="12"/>
      <c r="H66" s="12"/>
      <c r="I66" s="12"/>
      <c r="J66" s="12"/>
    </row>
    <row r="67" spans="1:10" x14ac:dyDescent="0.15">
      <c r="B67" s="11"/>
      <c r="C67" s="12"/>
      <c r="D67" s="12"/>
      <c r="E67" s="12"/>
      <c r="F67" s="12"/>
      <c r="G67" s="12"/>
      <c r="H67" s="12"/>
      <c r="I67" s="12"/>
      <c r="J67" s="12"/>
    </row>
    <row r="68" spans="1:10" x14ac:dyDescent="0.15">
      <c r="B68" s="11"/>
      <c r="C68" s="12"/>
      <c r="D68" s="12"/>
      <c r="E68" s="12"/>
      <c r="F68" s="12"/>
      <c r="G68" s="12"/>
      <c r="H68" s="12"/>
      <c r="I68" s="12"/>
      <c r="J68" s="12"/>
    </row>
    <row r="69" spans="1:10" x14ac:dyDescent="0.15">
      <c r="B69" s="11"/>
      <c r="C69" s="12"/>
      <c r="D69" s="12"/>
      <c r="E69" s="12"/>
      <c r="F69" s="12"/>
      <c r="G69" s="12"/>
      <c r="H69" s="12"/>
      <c r="I69" s="12"/>
      <c r="J69" s="12"/>
    </row>
    <row r="70" spans="1:10" x14ac:dyDescent="0.15">
      <c r="A70" s="17"/>
      <c r="B70" s="17"/>
      <c r="I70" s="12"/>
      <c r="J70" s="12"/>
    </row>
    <row r="71" spans="1:10" x14ac:dyDescent="0.15">
      <c r="A71" s="17"/>
      <c r="I71" s="12"/>
      <c r="J71" s="12"/>
    </row>
    <row r="72" spans="1:10" x14ac:dyDescent="0.15">
      <c r="I72" s="12"/>
      <c r="J72" s="12"/>
    </row>
    <row r="73" spans="1:10" x14ac:dyDescent="0.15">
      <c r="I73" s="12"/>
      <c r="J73" s="12"/>
    </row>
    <row r="74" spans="1:10" x14ac:dyDescent="0.15">
      <c r="I74" s="12"/>
      <c r="J74" s="12"/>
    </row>
  </sheetData>
  <mergeCells count="2">
    <mergeCell ref="H29:L29"/>
    <mergeCell ref="H26:L2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Lynch</dc:creator>
  <cp:lastModifiedBy>Daniel </cp:lastModifiedBy>
  <cp:lastPrinted>2011-12-16T01:50:20Z</cp:lastPrinted>
  <dcterms:created xsi:type="dcterms:W3CDTF">2011-09-01T22:41:33Z</dcterms:created>
  <dcterms:modified xsi:type="dcterms:W3CDTF">2023-03-15T04:04:03Z</dcterms:modified>
</cp:coreProperties>
</file>