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Daniel/Library/Mobile Documents/com~apple~CloudDocs/DASHBOARD/Valuation/Semiconductors/Intel/"/>
    </mc:Choice>
  </mc:AlternateContent>
  <xr:revisionPtr revIDLastSave="0" documentId="13_ncr:1_{C8BDC6C4-73E7-2C46-9804-1BD3EA9794D5}" xr6:coauthVersionLast="47" xr6:coauthVersionMax="47" xr10:uidLastSave="{00000000-0000-0000-0000-000000000000}"/>
  <bookViews>
    <workbookView xWindow="29400" yWindow="500" windowWidth="25700" windowHeight="21100" tabRatio="783" xr2:uid="{00000000-000D-0000-FFFF-FFFF00000000}"/>
  </bookViews>
  <sheets>
    <sheet name="Inputs" sheetId="36" r:id="rId1"/>
  </sheets>
  <definedNames>
    <definedName name="IQ_ADDIN" hidden="1">"AUTO"</definedName>
    <definedName name="IQ_CH" hidden="1">110000</definedName>
    <definedName name="IQ_CQ" hidden="1">5000</definedName>
    <definedName name="IQ_CY" hidden="1">10000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MONTH" hidden="1">15000</definedName>
    <definedName name="IQ_NAMES_REVISION_DATE_" hidden="1">40218.8268634259</definedName>
    <definedName name="IQ_NTM" hidden="1">6000</definedName>
    <definedName name="IQ_TODAY" hidden="1">0</definedName>
    <definedName name="IQ_WEEK" hidden="1">50000</definedName>
    <definedName name="IQ_YTD" hidden="1">3000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36" l="1"/>
  <c r="J40" i="36"/>
  <c r="F20" i="36"/>
  <c r="F50" i="36"/>
  <c r="E50" i="36"/>
  <c r="D50" i="36"/>
  <c r="C50" i="36"/>
  <c r="F40" i="36"/>
  <c r="F42" i="36"/>
  <c r="C42" i="36"/>
  <c r="D42" i="36"/>
  <c r="E42" i="36"/>
  <c r="F35" i="36"/>
  <c r="F36" i="36" s="1"/>
  <c r="F43" i="36" s="1"/>
  <c r="C35" i="36"/>
  <c r="D35" i="36"/>
  <c r="E35" i="36"/>
  <c r="C30" i="36"/>
  <c r="D30" i="36"/>
  <c r="C13" i="36"/>
  <c r="E36" i="36" l="1"/>
  <c r="E43" i="36" s="1"/>
  <c r="D11" i="36"/>
  <c r="E11" i="36"/>
  <c r="F11" i="36"/>
  <c r="C8" i="36"/>
  <c r="C11" i="36"/>
  <c r="J41" i="36"/>
  <c r="J44" i="36" s="1"/>
  <c r="J38" i="36"/>
  <c r="H4" i="36"/>
  <c r="I4" i="36" s="1"/>
  <c r="J4" i="36" s="1"/>
  <c r="K4" i="36" s="1"/>
  <c r="L4" i="36" s="1"/>
  <c r="C36" i="36"/>
  <c r="C43" i="36" s="1"/>
  <c r="C20" i="36"/>
  <c r="D36" i="36"/>
  <c r="D43" i="36" s="1"/>
  <c r="F24" i="36"/>
  <c r="E24" i="36"/>
  <c r="D24" i="36"/>
  <c r="C24" i="36"/>
  <c r="F8" i="36"/>
  <c r="F25" i="36" s="1"/>
  <c r="E8" i="36"/>
  <c r="D8" i="36"/>
  <c r="D25" i="36" s="1"/>
  <c r="E4" i="36"/>
  <c r="D4" i="36" s="1"/>
  <c r="C4" i="36" s="1"/>
  <c r="C12" i="36" l="1"/>
  <c r="J45" i="36"/>
  <c r="K7" i="36" s="1"/>
  <c r="K12" i="36" s="1"/>
  <c r="D44" i="36"/>
  <c r="C44" i="36"/>
  <c r="C46" i="36" s="1"/>
  <c r="D12" i="36"/>
  <c r="E44" i="36"/>
  <c r="E20" i="36"/>
  <c r="C25" i="36"/>
  <c r="F44" i="36"/>
  <c r="D20" i="36"/>
  <c r="E12" i="36"/>
  <c r="E25" i="36"/>
  <c r="F12" i="36"/>
  <c r="E46" i="36" l="1"/>
  <c r="E28" i="36"/>
  <c r="D46" i="36"/>
  <c r="D28" i="36"/>
  <c r="F46" i="36"/>
  <c r="F28" i="36"/>
  <c r="C28" i="36"/>
  <c r="C26" i="36"/>
  <c r="C14" i="36"/>
  <c r="C16" i="36" s="1"/>
  <c r="E14" i="36"/>
  <c r="E16" i="36" s="1"/>
  <c r="E26" i="36"/>
  <c r="D14" i="36"/>
  <c r="D16" i="36" s="1"/>
  <c r="D26" i="36"/>
  <c r="F14" i="36"/>
  <c r="F16" i="36" s="1"/>
  <c r="F26" i="36"/>
  <c r="F27" i="36" l="1"/>
  <c r="F51" i="36"/>
  <c r="K9" i="36" s="1"/>
  <c r="D22" i="36"/>
  <c r="D27" i="36"/>
  <c r="D51" i="36"/>
  <c r="E22" i="36"/>
  <c r="E51" i="36"/>
  <c r="E27" i="36"/>
  <c r="C22" i="36"/>
  <c r="C27" i="36"/>
  <c r="C51" i="36"/>
  <c r="F22" i="36"/>
  <c r="H16" i="36" l="1"/>
  <c r="H17" i="36" s="1"/>
  <c r="I16" i="36" l="1"/>
  <c r="H22" i="36"/>
  <c r="H23" i="36" s="1"/>
  <c r="J16" i="36" l="1"/>
  <c r="I17" i="36"/>
  <c r="I22" i="36" s="1"/>
  <c r="I23" i="36" s="1"/>
  <c r="K16" i="36" l="1"/>
  <c r="J17" i="36"/>
  <c r="J22" i="36" s="1"/>
  <c r="J23" i="36" s="1"/>
  <c r="L16" i="36" l="1"/>
  <c r="L21" i="36" s="1"/>
  <c r="K17" i="36"/>
  <c r="K22" i="36" s="1"/>
  <c r="K23" i="36" s="1"/>
  <c r="L17" i="36" l="1"/>
  <c r="L22" i="36" s="1"/>
  <c r="L23" i="36" s="1"/>
  <c r="L25" i="36" s="1"/>
  <c r="H26" i="36" l="1"/>
  <c r="L28" i="36"/>
</calcChain>
</file>

<file path=xl/sharedStrings.xml><?xml version="1.0" encoding="utf-8"?>
<sst xmlns="http://schemas.openxmlformats.org/spreadsheetml/2006/main" count="77" uniqueCount="71">
  <si>
    <t>Gross Profit</t>
  </si>
  <si>
    <t>Pretax Income</t>
  </si>
  <si>
    <t>Net Income</t>
  </si>
  <si>
    <t>Revenue</t>
  </si>
  <si>
    <t>Debt</t>
  </si>
  <si>
    <t>WACC</t>
  </si>
  <si>
    <t>Actuals</t>
  </si>
  <si>
    <t>Estimates</t>
  </si>
  <si>
    <t>March YE ($mm)</t>
  </si>
  <si>
    <t xml:space="preserve">Cost of Goods Sold </t>
  </si>
  <si>
    <t>Research and Development</t>
  </si>
  <si>
    <t>SG &amp; A</t>
  </si>
  <si>
    <t>Operating Expenses</t>
  </si>
  <si>
    <t>Operating Income</t>
  </si>
  <si>
    <t xml:space="preserve">Revenue y/y </t>
  </si>
  <si>
    <t>Gross Margin</t>
  </si>
  <si>
    <t xml:space="preserve">Cash </t>
  </si>
  <si>
    <t>Inventories</t>
  </si>
  <si>
    <t>Assets</t>
  </si>
  <si>
    <t>Taxes (benefit)</t>
  </si>
  <si>
    <t>Interest Income (expense)</t>
  </si>
  <si>
    <t>SE</t>
  </si>
  <si>
    <t>L+SE</t>
  </si>
  <si>
    <t>Other Long Term Liabilities</t>
  </si>
  <si>
    <t>Balance check</t>
  </si>
  <si>
    <t>Depreciation &amp; Amortization</t>
  </si>
  <si>
    <t>Payables</t>
  </si>
  <si>
    <t>Current Debt</t>
  </si>
  <si>
    <t>Non-cash Working Capital</t>
  </si>
  <si>
    <t>Capital Expenditure</t>
  </si>
  <si>
    <t>Principal Repaid - New Debt</t>
  </si>
  <si>
    <t>Operating Margin</t>
  </si>
  <si>
    <t>FCFE (Potential Dividend)</t>
  </si>
  <si>
    <t>Receivables</t>
  </si>
  <si>
    <t xml:space="preserve">Equity </t>
  </si>
  <si>
    <t>Implied ERP</t>
  </si>
  <si>
    <t>Rf rate</t>
  </si>
  <si>
    <t>COE</t>
  </si>
  <si>
    <t>Bond rating</t>
  </si>
  <si>
    <t>Tax rate</t>
  </si>
  <si>
    <t>COD</t>
  </si>
  <si>
    <t>Industry Beta</t>
  </si>
  <si>
    <t>Inputs</t>
  </si>
  <si>
    <t xml:space="preserve">Discount Rate </t>
  </si>
  <si>
    <t>Terminal Growth Rate</t>
  </si>
  <si>
    <t>Return on Equity</t>
  </si>
  <si>
    <t>Return on Capital</t>
  </si>
  <si>
    <t>Retention ratio</t>
  </si>
  <si>
    <t>Retention Ratio</t>
  </si>
  <si>
    <t>Earnings Growth</t>
  </si>
  <si>
    <t>Reinvestment</t>
  </si>
  <si>
    <t>Reinvestment rate in stable growth</t>
  </si>
  <si>
    <t>Output</t>
  </si>
  <si>
    <t>Value of Equity in USD (b)</t>
  </si>
  <si>
    <t>Exit Multiple P/E</t>
  </si>
  <si>
    <t xml:space="preserve">Implied ERP 5% </t>
  </si>
  <si>
    <t>10 YR Bond Yield</t>
  </si>
  <si>
    <t>Semiconductor Industry B</t>
  </si>
  <si>
    <t>Historical tax rate</t>
  </si>
  <si>
    <t>Pepetuity</t>
  </si>
  <si>
    <t>Inc - dividend</t>
  </si>
  <si>
    <t>ROE x RetR</t>
  </si>
  <si>
    <t>disR / termR</t>
  </si>
  <si>
    <t>Other Non-current</t>
  </si>
  <si>
    <t>PPE</t>
  </si>
  <si>
    <t>Other Current</t>
  </si>
  <si>
    <t>Long Term Debt</t>
  </si>
  <si>
    <t>Dividend Paid + repurchase</t>
  </si>
  <si>
    <t>A- rating</t>
  </si>
  <si>
    <t>ROE</t>
  </si>
  <si>
    <t xml:space="preserve">ROE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</si>
</sst>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164" formatCode="0.0%"/>
    <numFmt numFmtId="165" formatCode="yyyy&quot;A&quot;"/>
    <numFmt numFmtId="166" formatCode="#,##0.0_);\(#,##0.0\)"/>
    <numFmt numFmtId="167" formatCode="0.0%_);\(0.0%\);0.0%_);@_)"/>
    <numFmt numFmtId="168" formatCode="0.0%;\(0.0%\)"/>
    <numFmt numFmtId="169" formatCode="yyyy\ &quot;A&quot;"/>
    <numFmt numFmtId="170" formatCode="&quot;Year&quot;\ 0"/>
    <numFmt numFmtId="172" formatCode="[$USD]\ #,##0"/>
  </numFmts>
  <fonts count="24" x14ac:knownFonts="1">
    <font>
      <sz val="8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i/>
      <sz val="10"/>
      <color theme="1"/>
      <name val="Arial"/>
      <family val="2"/>
    </font>
    <font>
      <sz val="10"/>
      <color rgb="FF008000"/>
      <name val="Arial"/>
      <family val="2"/>
    </font>
    <font>
      <sz val="10"/>
      <color theme="1"/>
      <name val="Arial"/>
      <family val="2"/>
    </font>
    <font>
      <i/>
      <sz val="10"/>
      <color rgb="FF008000"/>
      <name val="Arial"/>
      <family val="2"/>
    </font>
    <font>
      <i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i/>
      <sz val="10"/>
      <name val="Times New Roman"/>
      <family val="1"/>
    </font>
    <font>
      <sz val="10"/>
      <name val="Times New Roman"/>
      <family val="1"/>
    </font>
    <font>
      <sz val="10"/>
      <name val="Calibri"/>
      <family val="2"/>
    </font>
    <font>
      <b/>
      <sz val="10"/>
      <color rgb="FF298307"/>
      <name val="Arial"/>
      <family val="2"/>
    </font>
    <font>
      <sz val="10"/>
      <color rgb="FF298307"/>
      <name val="Arial"/>
      <family val="2"/>
    </font>
    <font>
      <i/>
      <sz val="10"/>
      <color theme="8"/>
      <name val="Arial"/>
      <family val="2"/>
    </font>
    <font>
      <i/>
      <sz val="10"/>
      <color theme="0" tint="-0.499984740745262"/>
      <name val="Arial"/>
      <family val="2"/>
    </font>
    <font>
      <i/>
      <sz val="9"/>
      <color theme="1" tint="0.499984740745262"/>
      <name val="Arial"/>
      <family val="2"/>
    </font>
    <font>
      <i/>
      <sz val="9"/>
      <color theme="1" tint="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3B1CC"/>
        <bgColor rgb="FF000000"/>
      </patternFill>
    </fill>
    <fill>
      <patternFill patternType="solid">
        <fgColor rgb="FF93C196"/>
        <bgColor rgb="FF000000"/>
      </patternFill>
    </fill>
    <fill>
      <patternFill patternType="solid">
        <fgColor rgb="FFEAEAEA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8" tint="-0.249977111117893"/>
        <bgColor rgb="FF000000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969696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63">
    <xf numFmtId="0" fontId="0" fillId="0" borderId="0" xfId="0"/>
    <xf numFmtId="166" fontId="6" fillId="0" borderId="0" xfId="0" applyNumberFormat="1" applyFont="1"/>
    <xf numFmtId="167" fontId="5" fillId="0" borderId="0" xfId="0" applyNumberFormat="1" applyFont="1"/>
    <xf numFmtId="168" fontId="5" fillId="0" borderId="0" xfId="0" applyNumberFormat="1" applyFont="1"/>
    <xf numFmtId="166" fontId="4" fillId="0" borderId="0" xfId="0" applyNumberFormat="1" applyFont="1"/>
    <xf numFmtId="0" fontId="4" fillId="0" borderId="0" xfId="0" applyFont="1"/>
    <xf numFmtId="0" fontId="7" fillId="0" borderId="0" xfId="0" applyFont="1"/>
    <xf numFmtId="0" fontId="3" fillId="2" borderId="0" xfId="0" applyFont="1" applyFill="1"/>
    <xf numFmtId="0" fontId="3" fillId="3" borderId="0" xfId="0" applyFont="1" applyFill="1"/>
    <xf numFmtId="0" fontId="4" fillId="4" borderId="3" xfId="0" applyFont="1" applyFill="1" applyBorder="1"/>
    <xf numFmtId="165" fontId="4" fillId="4" borderId="3" xfId="0" applyNumberFormat="1" applyFont="1" applyFill="1" applyBorder="1" applyAlignment="1">
      <alignment horizontal="right"/>
    </xf>
    <xf numFmtId="0" fontId="9" fillId="0" borderId="0" xfId="0" applyFont="1"/>
    <xf numFmtId="168" fontId="9" fillId="0" borderId="0" xfId="0" applyNumberFormat="1" applyFont="1"/>
    <xf numFmtId="166" fontId="7" fillId="0" borderId="0" xfId="0" applyNumberFormat="1" applyFont="1"/>
    <xf numFmtId="167" fontId="7" fillId="0" borderId="0" xfId="0" applyNumberFormat="1" applyFont="1"/>
    <xf numFmtId="0" fontId="7" fillId="0" borderId="2" xfId="0" applyFont="1" applyBorder="1"/>
    <xf numFmtId="0" fontId="4" fillId="5" borderId="4" xfId="0" applyFont="1" applyFill="1" applyBorder="1"/>
    <xf numFmtId="166" fontId="11" fillId="0" borderId="0" xfId="0" applyNumberFormat="1" applyFont="1"/>
    <xf numFmtId="169" fontId="4" fillId="4" borderId="2" xfId="0" applyNumberFormat="1" applyFont="1" applyFill="1" applyBorder="1" applyAlignment="1">
      <alignment horizontal="right"/>
    </xf>
    <xf numFmtId="39" fontId="12" fillId="0" borderId="0" xfId="0" applyNumberFormat="1" applyFont="1"/>
    <xf numFmtId="39" fontId="13" fillId="0" borderId="0" xfId="0" applyNumberFormat="1" applyFont="1"/>
    <xf numFmtId="0" fontId="10" fillId="0" borderId="0" xfId="0" applyFont="1"/>
    <xf numFmtId="0" fontId="1" fillId="0" borderId="1" xfId="0" applyFont="1" applyBorder="1"/>
    <xf numFmtId="0" fontId="10" fillId="0" borderId="5" xfId="0" applyFont="1" applyBorder="1"/>
    <xf numFmtId="39" fontId="12" fillId="0" borderId="5" xfId="0" applyNumberFormat="1" applyFont="1" applyBorder="1"/>
    <xf numFmtId="0" fontId="1" fillId="0" borderId="6" xfId="0" applyFont="1" applyBorder="1"/>
    <xf numFmtId="39" fontId="12" fillId="0" borderId="6" xfId="0" applyNumberFormat="1" applyFont="1" applyBorder="1"/>
    <xf numFmtId="0" fontId="5" fillId="0" borderId="0" xfId="0" applyFont="1" applyAlignment="1">
      <alignment horizontal="center"/>
    </xf>
    <xf numFmtId="0" fontId="4" fillId="0" borderId="1" xfId="0" applyFont="1" applyBorder="1"/>
    <xf numFmtId="39" fontId="13" fillId="0" borderId="1" xfId="0" applyNumberFormat="1" applyFont="1" applyBorder="1"/>
    <xf numFmtId="0" fontId="10" fillId="0" borderId="6" xfId="0" applyFont="1" applyBorder="1"/>
    <xf numFmtId="0" fontId="3" fillId="6" borderId="0" xfId="0" applyFont="1" applyFill="1"/>
    <xf numFmtId="0" fontId="3" fillId="7" borderId="0" xfId="0" applyFont="1" applyFill="1"/>
    <xf numFmtId="2" fontId="13" fillId="0" borderId="0" xfId="0" applyNumberFormat="1" applyFont="1"/>
    <xf numFmtId="164" fontId="8" fillId="0" borderId="0" xfId="1" applyNumberFormat="1" applyFont="1" applyFill="1" applyBorder="1"/>
    <xf numFmtId="0" fontId="1" fillId="0" borderId="0" xfId="0" applyFont="1"/>
    <xf numFmtId="39" fontId="7" fillId="0" borderId="0" xfId="0" applyNumberFormat="1" applyFont="1"/>
    <xf numFmtId="0" fontId="1" fillId="0" borderId="5" xfId="0" applyFont="1" applyBorder="1"/>
    <xf numFmtId="39" fontId="1" fillId="0" borderId="5" xfId="0" applyNumberFormat="1" applyFont="1" applyBorder="1"/>
    <xf numFmtId="9" fontId="14" fillId="0" borderId="0" xfId="1" applyFont="1" applyBorder="1" applyAlignment="1">
      <alignment horizontal="right"/>
    </xf>
    <xf numFmtId="10" fontId="13" fillId="0" borderId="0" xfId="1" applyNumberFormat="1" applyFont="1" applyBorder="1" applyAlignment="1">
      <alignment horizontal="right"/>
    </xf>
    <xf numFmtId="0" fontId="15" fillId="0" borderId="0" xfId="0" applyFont="1"/>
    <xf numFmtId="0" fontId="16" fillId="0" borderId="0" xfId="0" applyFont="1"/>
    <xf numFmtId="10" fontId="17" fillId="0" borderId="0" xfId="0" applyNumberFormat="1" applyFont="1"/>
    <xf numFmtId="10" fontId="7" fillId="0" borderId="0" xfId="0" applyNumberFormat="1" applyFont="1"/>
    <xf numFmtId="9" fontId="7" fillId="0" borderId="0" xfId="0" applyNumberFormat="1" applyFont="1"/>
    <xf numFmtId="170" fontId="4" fillId="4" borderId="2" xfId="0" applyNumberFormat="1" applyFont="1" applyFill="1" applyBorder="1" applyAlignment="1">
      <alignment horizontal="right"/>
    </xf>
    <xf numFmtId="44" fontId="7" fillId="0" borderId="0" xfId="2" applyFont="1"/>
    <xf numFmtId="0" fontId="3" fillId="8" borderId="0" xfId="0" applyFont="1" applyFill="1"/>
    <xf numFmtId="44" fontId="3" fillId="8" borderId="0" xfId="2" applyFont="1" applyFill="1"/>
    <xf numFmtId="39" fontId="18" fillId="0" borderId="1" xfId="0" applyNumberFormat="1" applyFont="1" applyBorder="1"/>
    <xf numFmtId="39" fontId="19" fillId="0" borderId="0" xfId="0" applyNumberFormat="1" applyFont="1"/>
    <xf numFmtId="9" fontId="20" fillId="0" borderId="0" xfId="1" applyFont="1" applyBorder="1" applyAlignment="1">
      <alignment horizontal="right"/>
    </xf>
    <xf numFmtId="2" fontId="3" fillId="8" borderId="0" xfId="2" applyNumberFormat="1" applyFont="1" applyFill="1"/>
    <xf numFmtId="39" fontId="21" fillId="0" borderId="0" xfId="0" applyNumberFormat="1" applyFont="1"/>
    <xf numFmtId="39" fontId="22" fillId="0" borderId="0" xfId="0" applyNumberFormat="1" applyFont="1"/>
    <xf numFmtId="39" fontId="12" fillId="0" borderId="2" xfId="0" applyNumberFormat="1" applyFont="1" applyBorder="1"/>
    <xf numFmtId="10" fontId="13" fillId="0" borderId="2" xfId="1" applyNumberFormat="1" applyFont="1" applyBorder="1" applyAlignment="1">
      <alignment horizontal="right"/>
    </xf>
    <xf numFmtId="39" fontId="13" fillId="0" borderId="2" xfId="0" applyNumberFormat="1" applyFont="1" applyBorder="1"/>
    <xf numFmtId="10" fontId="12" fillId="0" borderId="2" xfId="1" applyNumberFormat="1" applyFont="1" applyBorder="1" applyAlignment="1">
      <alignment horizontal="right"/>
    </xf>
    <xf numFmtId="39" fontId="23" fillId="0" borderId="0" xfId="0" applyNumberFormat="1" applyFont="1"/>
    <xf numFmtId="172" fontId="7" fillId="0" borderId="0" xfId="0" applyNumberFormat="1" applyFont="1" applyAlignment="1">
      <alignment horizontal="center"/>
    </xf>
    <xf numFmtId="172" fontId="7" fillId="0" borderId="0" xfId="0" applyNumberFormat="1" applyFont="1" applyAlignment="1"/>
  </cellXfs>
  <cellStyles count="3">
    <cellStyle name="Currency" xfId="2" builtinId="4"/>
    <cellStyle name="Normal" xfId="0" builtinId="0"/>
    <cellStyle name="Per cent" xfId="1" builtinId="5"/>
  </cellStyles>
  <dxfs count="0"/>
  <tableStyles count="0" defaultTableStyle="TableStyleMedium9" defaultPivotStyle="PivotStyleLight16"/>
  <colors>
    <mruColors>
      <color rgb="FF298307"/>
      <color rgb="FF008001"/>
      <color rgb="FF3333CC"/>
      <color rgb="FFFFFFFF"/>
      <color rgb="FF003399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ynch Model Build">
      <a:dk1>
        <a:sysClr val="windowText" lastClr="000000"/>
      </a:dk1>
      <a:lt1>
        <a:sysClr val="window" lastClr="FFFFFF"/>
      </a:lt1>
      <a:dk2>
        <a:srgbClr val="000099"/>
      </a:dk2>
      <a:lt2>
        <a:srgbClr val="FFFFCC"/>
      </a:lt2>
      <a:accent1>
        <a:srgbClr val="0000CC"/>
      </a:accent1>
      <a:accent2>
        <a:srgbClr val="33CC33"/>
      </a:accent2>
      <a:accent3>
        <a:srgbClr val="FF0000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B6D1B-0E50-644D-A532-9E3B436B1C15}">
  <dimension ref="A2:R74"/>
  <sheetViews>
    <sheetView tabSelected="1" zoomScale="174" zoomScaleNormal="174" workbookViewId="0">
      <pane xSplit="1" topLeftCell="D1" activePane="topRight" state="frozen"/>
      <selection activeCell="E18" sqref="B2:E18"/>
      <selection pane="topRight" activeCell="M19" sqref="M19"/>
    </sheetView>
  </sheetViews>
  <sheetFormatPr baseColWidth="10" defaultRowHeight="13" x14ac:dyDescent="0.15"/>
  <cols>
    <col min="1" max="1" width="34.5" style="6" customWidth="1"/>
    <col min="2" max="2" width="1.75" style="6" customWidth="1"/>
    <col min="3" max="6" width="15.75" style="6" customWidth="1"/>
    <col min="7" max="7" width="1.75" style="6" customWidth="1"/>
    <col min="8" max="20" width="15.75" style="6" customWidth="1"/>
    <col min="21" max="16384" width="10.75" style="6"/>
  </cols>
  <sheetData>
    <row r="2" spans="1:18" x14ac:dyDescent="0.15">
      <c r="A2" s="16"/>
      <c r="B2" s="16"/>
      <c r="C2" s="7" t="s">
        <v>6</v>
      </c>
      <c r="D2" s="7"/>
      <c r="E2" s="7"/>
      <c r="F2" s="7"/>
      <c r="H2" s="8" t="s">
        <v>7</v>
      </c>
      <c r="I2" s="8"/>
      <c r="J2" s="8"/>
      <c r="K2" s="8"/>
      <c r="L2" s="8"/>
      <c r="N2"/>
      <c r="O2"/>
      <c r="P2"/>
      <c r="Q2"/>
      <c r="R2"/>
    </row>
    <row r="3" spans="1:18" x14ac:dyDescent="0.15">
      <c r="B3" s="41"/>
      <c r="C3" s="41"/>
    </row>
    <row r="4" spans="1:18" x14ac:dyDescent="0.15">
      <c r="A4" s="9" t="s">
        <v>8</v>
      </c>
      <c r="B4" s="9"/>
      <c r="C4" s="10">
        <f>D4-365</f>
        <v>43830</v>
      </c>
      <c r="D4" s="10">
        <f>E4-365</f>
        <v>44195</v>
      </c>
      <c r="E4" s="10">
        <f>F4-365</f>
        <v>44560</v>
      </c>
      <c r="F4" s="18">
        <v>44925</v>
      </c>
      <c r="H4" s="18">
        <f>F4+365</f>
        <v>45290</v>
      </c>
      <c r="I4" s="18">
        <f>H4+365</f>
        <v>45655</v>
      </c>
      <c r="J4" s="18">
        <f>I4+365</f>
        <v>46020</v>
      </c>
      <c r="K4" s="18">
        <f t="shared" ref="K4:L4" si="0">J4+365</f>
        <v>46385</v>
      </c>
      <c r="L4" s="18">
        <f t="shared" si="0"/>
        <v>46750</v>
      </c>
    </row>
    <row r="5" spans="1:18" ht="14" x14ac:dyDescent="0.2">
      <c r="B5" s="42"/>
      <c r="C5" s="43"/>
      <c r="D5" s="20"/>
      <c r="E5" s="20"/>
      <c r="F5" s="20"/>
      <c r="H5" s="33"/>
    </row>
    <row r="6" spans="1:18" x14ac:dyDescent="0.15">
      <c r="A6" s="22" t="s">
        <v>3</v>
      </c>
      <c r="B6" s="22"/>
      <c r="C6" s="50">
        <v>71965</v>
      </c>
      <c r="D6" s="50">
        <v>77867</v>
      </c>
      <c r="E6" s="50">
        <v>79024</v>
      </c>
      <c r="F6" s="50">
        <v>63052</v>
      </c>
      <c r="G6" s="1"/>
      <c r="H6" s="31" t="s">
        <v>42</v>
      </c>
      <c r="I6" s="31"/>
      <c r="J6" s="31"/>
      <c r="K6" s="31"/>
      <c r="L6" s="31"/>
      <c r="M6" s="20"/>
    </row>
    <row r="7" spans="1:18" x14ac:dyDescent="0.15">
      <c r="A7" s="5" t="s">
        <v>9</v>
      </c>
      <c r="B7" s="42"/>
      <c r="C7" s="51">
        <v>29825</v>
      </c>
      <c r="D7" s="51">
        <v>34255</v>
      </c>
      <c r="E7" s="51">
        <v>35209</v>
      </c>
      <c r="F7" s="51">
        <v>36188</v>
      </c>
      <c r="G7" s="2"/>
      <c r="H7" s="6" t="s">
        <v>43</v>
      </c>
      <c r="K7" s="44">
        <f>J45</f>
        <v>9.800785962409321E-2</v>
      </c>
      <c r="L7" s="60" t="s">
        <v>5</v>
      </c>
      <c r="M7" s="20"/>
    </row>
    <row r="8" spans="1:18" x14ac:dyDescent="0.15">
      <c r="A8" s="21" t="s">
        <v>0</v>
      </c>
      <c r="B8" s="42"/>
      <c r="C8" s="19">
        <f t="shared" ref="C8" si="1">C6-C7</f>
        <v>42140</v>
      </c>
      <c r="D8" s="19">
        <f t="shared" ref="D8:E8" si="2">D6-D7</f>
        <v>43612</v>
      </c>
      <c r="E8" s="19">
        <f t="shared" si="2"/>
        <v>43815</v>
      </c>
      <c r="F8" s="19">
        <f>F6-F7</f>
        <v>26864</v>
      </c>
      <c r="H8" s="20" t="s">
        <v>44</v>
      </c>
      <c r="I8" s="20"/>
      <c r="K8" s="44">
        <v>0.03</v>
      </c>
      <c r="L8" s="60" t="s">
        <v>59</v>
      </c>
      <c r="M8" s="20"/>
    </row>
    <row r="9" spans="1:18" x14ac:dyDescent="0.15">
      <c r="A9" s="5" t="s">
        <v>10</v>
      </c>
      <c r="B9" s="42"/>
      <c r="C9" s="51">
        <v>13362</v>
      </c>
      <c r="D9" s="51">
        <v>13556</v>
      </c>
      <c r="E9" s="51">
        <v>15190</v>
      </c>
      <c r="F9" s="51">
        <v>17528</v>
      </c>
      <c r="G9" s="1"/>
      <c r="H9" s="20" t="s">
        <v>48</v>
      </c>
      <c r="I9" s="20"/>
      <c r="K9" s="45">
        <f>F51</f>
        <v>0.25177791640673736</v>
      </c>
      <c r="L9" s="60" t="s">
        <v>60</v>
      </c>
      <c r="M9" s="20"/>
    </row>
    <row r="10" spans="1:18" x14ac:dyDescent="0.15">
      <c r="A10" s="5" t="s">
        <v>11</v>
      </c>
      <c r="B10" s="42"/>
      <c r="C10" s="51">
        <v>6150</v>
      </c>
      <c r="D10" s="51">
        <v>6378</v>
      </c>
      <c r="E10" s="51">
        <v>9166</v>
      </c>
      <c r="F10" s="51">
        <v>7004</v>
      </c>
      <c r="G10" s="1"/>
      <c r="H10" s="6" t="s">
        <v>69</v>
      </c>
      <c r="K10" s="45">
        <v>0.15</v>
      </c>
      <c r="L10" s="60" t="s">
        <v>70</v>
      </c>
      <c r="M10" s="20"/>
    </row>
    <row r="11" spans="1:18" x14ac:dyDescent="0.15">
      <c r="A11" s="28" t="s">
        <v>12</v>
      </c>
      <c r="B11" s="28"/>
      <c r="C11" s="29">
        <f>C9+C10</f>
        <v>19512</v>
      </c>
      <c r="D11" s="29">
        <f>D9+D10</f>
        <v>19934</v>
      </c>
      <c r="E11" s="29">
        <f>E9+E10</f>
        <v>24356</v>
      </c>
      <c r="F11" s="29">
        <f>F9+F10</f>
        <v>24532</v>
      </c>
      <c r="G11" s="12"/>
      <c r="H11" s="6" t="s">
        <v>49</v>
      </c>
      <c r="K11" s="45">
        <f>K9*K10</f>
        <v>3.7766687461010605E-2</v>
      </c>
      <c r="L11" s="60" t="s">
        <v>61</v>
      </c>
      <c r="M11" s="20"/>
    </row>
    <row r="12" spans="1:18" ht="14" thickBot="1" x14ac:dyDescent="0.2">
      <c r="A12" s="30" t="s">
        <v>13</v>
      </c>
      <c r="B12" s="30"/>
      <c r="C12" s="26">
        <f>C8-C11</f>
        <v>22628</v>
      </c>
      <c r="D12" s="26">
        <f>D8-D11</f>
        <v>23678</v>
      </c>
      <c r="E12" s="26">
        <f>E8-E11</f>
        <v>19459</v>
      </c>
      <c r="F12" s="26">
        <f>F8-F11</f>
        <v>2332</v>
      </c>
      <c r="G12" s="3"/>
      <c r="H12" s="20" t="s">
        <v>51</v>
      </c>
      <c r="I12" s="20"/>
      <c r="K12" s="45">
        <f>K8/K7</f>
        <v>0.30609789985276975</v>
      </c>
      <c r="L12" s="60" t="s">
        <v>62</v>
      </c>
      <c r="M12" s="20"/>
    </row>
    <row r="13" spans="1:18" ht="14" thickTop="1" x14ac:dyDescent="0.15">
      <c r="A13" s="5" t="s">
        <v>20</v>
      </c>
      <c r="B13" s="42"/>
      <c r="C13" s="51">
        <f>1146-489</f>
        <v>657</v>
      </c>
      <c r="D13" s="51">
        <v>1400</v>
      </c>
      <c r="E13" s="51">
        <v>2247</v>
      </c>
      <c r="F13" s="51">
        <v>5434</v>
      </c>
      <c r="M13" s="20"/>
    </row>
    <row r="14" spans="1:18" x14ac:dyDescent="0.15">
      <c r="A14" s="5" t="s">
        <v>1</v>
      </c>
      <c r="B14" s="42"/>
      <c r="C14" s="19">
        <f t="shared" ref="C14" si="3">C12+C13</f>
        <v>23285</v>
      </c>
      <c r="D14" s="19">
        <f t="shared" ref="D14:E14" si="4">D12+D13</f>
        <v>25078</v>
      </c>
      <c r="E14" s="19">
        <f t="shared" si="4"/>
        <v>21706</v>
      </c>
      <c r="F14" s="19">
        <f>F12+F13</f>
        <v>7766</v>
      </c>
      <c r="G14" s="1"/>
      <c r="H14" s="48" t="s">
        <v>52</v>
      </c>
      <c r="I14" s="48"/>
      <c r="J14" s="48"/>
      <c r="K14" s="48"/>
      <c r="L14" s="48"/>
      <c r="M14" s="20"/>
    </row>
    <row r="15" spans="1:18" x14ac:dyDescent="0.15">
      <c r="A15" s="5" t="s">
        <v>19</v>
      </c>
      <c r="B15" s="42"/>
      <c r="C15" s="51">
        <v>3010</v>
      </c>
      <c r="D15" s="51">
        <v>4179</v>
      </c>
      <c r="E15" s="51">
        <v>1835</v>
      </c>
      <c r="F15" s="51">
        <v>-249</v>
      </c>
      <c r="G15" s="12"/>
      <c r="H15" s="46">
        <v>1</v>
      </c>
      <c r="I15" s="46">
        <v>2</v>
      </c>
      <c r="J15" s="46">
        <v>3</v>
      </c>
      <c r="K15" s="46">
        <v>4</v>
      </c>
      <c r="L15" s="46">
        <v>5</v>
      </c>
      <c r="M15" s="20"/>
    </row>
    <row r="16" spans="1:18" ht="14" thickBot="1" x14ac:dyDescent="0.2">
      <c r="A16" s="23" t="s">
        <v>2</v>
      </c>
      <c r="B16" s="23"/>
      <c r="C16" s="24">
        <f t="shared" ref="C16" si="5">C14-C15</f>
        <v>20275</v>
      </c>
      <c r="D16" s="24">
        <f t="shared" ref="D16:E16" si="6">D14-D15</f>
        <v>20899</v>
      </c>
      <c r="E16" s="24">
        <f t="shared" si="6"/>
        <v>19871</v>
      </c>
      <c r="F16" s="24">
        <f>F14-F15</f>
        <v>8015</v>
      </c>
      <c r="G16" s="12"/>
      <c r="H16" s="24">
        <f>F16*(1+$K$11)</f>
        <v>8317.6999999999989</v>
      </c>
      <c r="I16" s="24">
        <f>H16*(1+$K$11)</f>
        <v>8631.8319762944466</v>
      </c>
      <c r="J16" s="24">
        <f>I16*(1+$K$11)</f>
        <v>8957.827676759116</v>
      </c>
      <c r="K16" s="24">
        <f>J16*(1+$K$11)</f>
        <v>9296.1351549568681</v>
      </c>
      <c r="L16" s="24">
        <f>K16*(1+$K$11)</f>
        <v>9647.2193859494364</v>
      </c>
      <c r="M16" s="20"/>
    </row>
    <row r="17" spans="1:15" ht="14" thickTop="1" x14ac:dyDescent="0.15">
      <c r="A17" s="21" t="s">
        <v>50</v>
      </c>
      <c r="B17" s="21"/>
      <c r="C17" s="19"/>
      <c r="D17" s="19"/>
      <c r="E17" s="19"/>
      <c r="F17" s="19"/>
      <c r="H17" s="20">
        <f>H16*$K$9</f>
        <v>2094.2131752963192</v>
      </c>
      <c r="I17" s="20">
        <f>I16*$K$9</f>
        <v>2173.3046697644659</v>
      </c>
      <c r="J17" s="20">
        <f>J16*$K$9</f>
        <v>2255.383187985015</v>
      </c>
      <c r="K17" s="20">
        <f>K16*$K$9</f>
        <v>2340.5615399504627</v>
      </c>
      <c r="L17" s="20">
        <f>L16*$K$9</f>
        <v>2428.9567961130333</v>
      </c>
      <c r="M17" s="20"/>
    </row>
    <row r="18" spans="1:15" x14ac:dyDescent="0.15">
      <c r="A18" s="6" t="s">
        <v>25</v>
      </c>
      <c r="B18" s="42"/>
      <c r="C18" s="51">
        <v>10826</v>
      </c>
      <c r="D18" s="51">
        <v>12239</v>
      </c>
      <c r="E18" s="51">
        <v>11792</v>
      </c>
      <c r="F18" s="51">
        <v>13035</v>
      </c>
      <c r="H18" s="20"/>
      <c r="I18" s="20"/>
      <c r="J18" s="20"/>
      <c r="K18" s="20"/>
      <c r="L18" s="20"/>
      <c r="M18" s="20"/>
    </row>
    <row r="19" spans="1:15" x14ac:dyDescent="0.15">
      <c r="A19" s="6" t="s">
        <v>29</v>
      </c>
      <c r="C19" s="51">
        <v>16213</v>
      </c>
      <c r="D19" s="51">
        <v>14453</v>
      </c>
      <c r="E19" s="51">
        <v>20329</v>
      </c>
      <c r="F19" s="51">
        <v>25050</v>
      </c>
      <c r="G19" s="4"/>
      <c r="H19" s="20"/>
      <c r="I19" s="20"/>
      <c r="J19" s="20"/>
      <c r="K19" s="20"/>
      <c r="L19" s="20"/>
      <c r="M19" s="20"/>
    </row>
    <row r="20" spans="1:15" x14ac:dyDescent="0.15">
      <c r="A20" s="6" t="s">
        <v>28</v>
      </c>
      <c r="C20" s="20">
        <f>C31+C32-C38</f>
        <v>12275</v>
      </c>
      <c r="D20" s="20">
        <f>D31+D32-D38</f>
        <v>9628</v>
      </c>
      <c r="E20" s="20">
        <f>E31+E32-E38</f>
        <v>14486</v>
      </c>
      <c r="F20" s="20">
        <f>F31+F32-F38</f>
        <v>7762</v>
      </c>
      <c r="G20" s="12"/>
      <c r="M20" s="20"/>
    </row>
    <row r="21" spans="1:15" x14ac:dyDescent="0.15">
      <c r="A21" s="6" t="s">
        <v>30</v>
      </c>
      <c r="C21" s="51">
        <v>-2627</v>
      </c>
      <c r="D21" s="51">
        <v>-4525</v>
      </c>
      <c r="E21" s="51">
        <v>-2500</v>
      </c>
      <c r="F21" s="51">
        <v>-5329</v>
      </c>
      <c r="G21" s="3"/>
      <c r="H21" s="20"/>
      <c r="I21" s="20"/>
      <c r="J21" s="20"/>
      <c r="K21" s="20"/>
      <c r="L21" s="19">
        <f>(L16*(1+K8)*(1-K12))/(K7-K8)</f>
        <v>101386.11337539305</v>
      </c>
      <c r="M21" s="20"/>
    </row>
    <row r="22" spans="1:15" ht="14" thickBot="1" x14ac:dyDescent="0.2">
      <c r="A22" s="37" t="s">
        <v>32</v>
      </c>
      <c r="B22" s="37"/>
      <c r="C22" s="38">
        <f t="shared" ref="C22:F22" si="7">C16+C18-C19-C20-C21</f>
        <v>5240</v>
      </c>
      <c r="D22" s="38">
        <f t="shared" si="7"/>
        <v>13582</v>
      </c>
      <c r="E22" s="38">
        <f t="shared" si="7"/>
        <v>-652</v>
      </c>
      <c r="F22" s="38">
        <f t="shared" si="7"/>
        <v>-6433</v>
      </c>
      <c r="H22" s="38">
        <f>H16-H17</f>
        <v>6223.4868247036793</v>
      </c>
      <c r="I22" s="38">
        <f>I16-I17</f>
        <v>6458.5273065299807</v>
      </c>
      <c r="J22" s="38">
        <f>J16-J17</f>
        <v>6702.444488774101</v>
      </c>
      <c r="K22" s="38">
        <f>K16-K17</f>
        <v>6955.5736150064058</v>
      </c>
      <c r="L22" s="38">
        <f>L16-L17</f>
        <v>7218.2625898364031</v>
      </c>
      <c r="M22" s="35"/>
    </row>
    <row r="23" spans="1:15" ht="14" thickTop="1" x14ac:dyDescent="0.15">
      <c r="A23" s="35"/>
      <c r="B23" s="35"/>
      <c r="C23" s="36"/>
      <c r="D23" s="36"/>
      <c r="E23" s="36"/>
      <c r="F23" s="36"/>
      <c r="G23" s="13"/>
      <c r="H23" s="20">
        <f>H22/((1+K7)^H15)</f>
        <v>5667.9802154005638</v>
      </c>
      <c r="I23" s="20">
        <f>I22/((1+P34)^I15)</f>
        <v>6458.5273065299807</v>
      </c>
      <c r="J23" s="20">
        <f>J22/((1+Q34)^J15)</f>
        <v>6702.444488774101</v>
      </c>
      <c r="K23" s="20">
        <f>K22/((1+R34)^K15)</f>
        <v>6955.5736150064058</v>
      </c>
      <c r="L23" s="20">
        <f>(L21+L22)/((1+S34)^L15)</f>
        <v>108604.37596522945</v>
      </c>
    </row>
    <row r="24" spans="1:15" x14ac:dyDescent="0.15">
      <c r="A24" s="6" t="s">
        <v>14</v>
      </c>
      <c r="C24" s="52" t="str">
        <f>IF(ISERROR(C6/#REF!-1),"n.a.",(C6/#REF!-1))</f>
        <v>n.a.</v>
      </c>
      <c r="D24" s="52">
        <f>IF(ISERROR(D6/C6-1),"n.a.",(D6/C6-1))</f>
        <v>8.2012089210032668E-2</v>
      </c>
      <c r="E24" s="52">
        <f>IF(ISERROR(E6/D6-1),"n.a.",(E6/D6-1))</f>
        <v>1.4858669269395275E-2</v>
      </c>
      <c r="F24" s="52">
        <f>IF(ISERROR(F6/E6-1),"n.a.",(F6/E6-1))</f>
        <v>-0.20211581291759462</v>
      </c>
      <c r="G24" s="13"/>
      <c r="K24" s="20"/>
      <c r="L24" s="20"/>
      <c r="M24" s="20"/>
    </row>
    <row r="25" spans="1:15" x14ac:dyDescent="0.15">
      <c r="A25" s="5" t="s">
        <v>15</v>
      </c>
      <c r="B25" s="5"/>
      <c r="C25" s="52">
        <f>IF(ISERROR(C8/C6),"n.a.",(C8/C6))</f>
        <v>0.5855624261793928</v>
      </c>
      <c r="D25" s="52">
        <f>IF(ISERROR(D8/D6),"n.a.",(D8/D6))</f>
        <v>0.5600832188218372</v>
      </c>
      <c r="E25" s="52">
        <f>IF(ISERROR(E8/E6),"n.a.",(E8/E6))</f>
        <v>0.5544518121077141</v>
      </c>
      <c r="F25" s="52">
        <f>IF(ISERROR(F8/F6),"n.a.",(F8/F6))</f>
        <v>0.42606102899194315</v>
      </c>
      <c r="G25" s="34"/>
      <c r="H25" s="48" t="s">
        <v>53</v>
      </c>
      <c r="I25" s="48"/>
      <c r="J25" s="48"/>
      <c r="K25" s="48"/>
      <c r="L25" s="49">
        <f>SUM(H23:L23)</f>
        <v>134388.90159094051</v>
      </c>
      <c r="M25" s="20"/>
    </row>
    <row r="26" spans="1:15" x14ac:dyDescent="0.15">
      <c r="A26" s="5" t="s">
        <v>31</v>
      </c>
      <c r="B26" s="5"/>
      <c r="C26" s="52">
        <f>IF(ISERROR(C12/C6),"n.a.",(C12/C6))</f>
        <v>0.31443062599874938</v>
      </c>
      <c r="D26" s="52">
        <f>IF(ISERROR(D12/D6),"n.a.",(D12/D6))</f>
        <v>0.30408260238611995</v>
      </c>
      <c r="E26" s="52">
        <f>IF(ISERROR(E12/E6),"n.a.",(E12/E6))</f>
        <v>0.24624164810690424</v>
      </c>
      <c r="F26" s="52">
        <f>IF(ISERROR(F12/F6),"n.a.",(F12/F6))</f>
        <v>3.6985345429169578E-2</v>
      </c>
      <c r="G26" s="20"/>
      <c r="H26" s="61">
        <f>L25*1000000000</f>
        <v>134388901590940.52</v>
      </c>
      <c r="I26" s="61"/>
      <c r="J26" s="61"/>
      <c r="K26" s="61"/>
      <c r="L26" s="61"/>
      <c r="M26" s="20"/>
    </row>
    <row r="27" spans="1:15" x14ac:dyDescent="0.15">
      <c r="A27" s="5" t="s">
        <v>45</v>
      </c>
      <c r="B27" s="5"/>
      <c r="C27" s="52">
        <f>IF(ISERROR(C16/C43),"n.a.",(C16/C43))</f>
        <v>0.23458018535016373</v>
      </c>
      <c r="D27" s="52">
        <f>IF(ISERROR(D16/D43),"n.a.",(D16/D43))</f>
        <v>0.24816244137030219</v>
      </c>
      <c r="E27" s="52">
        <f>IF(ISERROR(E16/E43),"n.a.",(E16/E43))</f>
        <v>0.20249875164324513</v>
      </c>
      <c r="F27" s="52">
        <f>IF(ISERROR(F16/F43),"n.a.",(F16/F43))</f>
        <v>7.0603676852740896E-2</v>
      </c>
      <c r="G27" s="20"/>
      <c r="K27" s="47"/>
      <c r="M27" s="20"/>
      <c r="O27" s="12"/>
    </row>
    <row r="28" spans="1:15" x14ac:dyDescent="0.15">
      <c r="A28" s="5" t="s">
        <v>46</v>
      </c>
      <c r="B28" s="5"/>
      <c r="C28" s="52">
        <f>IF(ISERROR(C12/C44),"n.a.",(C12/C44))</f>
        <v>0.16574375201429786</v>
      </c>
      <c r="D28" s="52">
        <f>IF(ISERROR(D12/D44),"n.a.",(D12/D44))</f>
        <v>0.16032121117739062</v>
      </c>
      <c r="E28" s="52">
        <f>IF(ISERROR(E12/E44),"n.a.",(E12/E44))</f>
        <v>0.11989230086750789</v>
      </c>
      <c r="F28" s="52">
        <f>IF(ISERROR(F12/F44),"n.a.",(F12/F44))</f>
        <v>1.280910479078096E-2</v>
      </c>
      <c r="G28" s="20"/>
      <c r="H28" s="48" t="s">
        <v>54</v>
      </c>
      <c r="I28" s="48"/>
      <c r="J28" s="48"/>
      <c r="K28" s="48"/>
      <c r="L28" s="53">
        <f>L25/L16</f>
        <v>13.930325020561824</v>
      </c>
      <c r="O28" s="12"/>
    </row>
    <row r="29" spans="1:15" x14ac:dyDescent="0.15">
      <c r="G29" s="20"/>
      <c r="H29" s="62"/>
      <c r="I29" s="62"/>
      <c r="J29" s="62"/>
      <c r="K29" s="62"/>
      <c r="L29" s="62"/>
      <c r="O29" s="12"/>
    </row>
    <row r="30" spans="1:15" x14ac:dyDescent="0.15">
      <c r="A30" s="6" t="s">
        <v>16</v>
      </c>
      <c r="C30" s="51">
        <f>4194+8929</f>
        <v>13123</v>
      </c>
      <c r="D30" s="51">
        <f>5865+18030</f>
        <v>23895</v>
      </c>
      <c r="E30" s="51">
        <v>29253</v>
      </c>
      <c r="F30" s="51">
        <v>28338</v>
      </c>
      <c r="G30" s="20"/>
      <c r="O30" s="12"/>
    </row>
    <row r="31" spans="1:15" x14ac:dyDescent="0.15">
      <c r="A31" s="6" t="s">
        <v>33</v>
      </c>
      <c r="C31" s="51">
        <v>7659</v>
      </c>
      <c r="D31" s="51">
        <v>6782</v>
      </c>
      <c r="E31" s="51">
        <v>9457</v>
      </c>
      <c r="F31" s="51">
        <v>4133</v>
      </c>
    </row>
    <row r="32" spans="1:15" x14ac:dyDescent="0.15">
      <c r="A32" s="6" t="s">
        <v>17</v>
      </c>
      <c r="C32" s="51">
        <v>8744</v>
      </c>
      <c r="D32" s="51">
        <v>8427</v>
      </c>
      <c r="E32" s="51">
        <v>10776</v>
      </c>
      <c r="F32" s="51">
        <v>13224</v>
      </c>
      <c r="G32" s="13"/>
      <c r="O32" s="13"/>
    </row>
    <row r="33" spans="1:17" x14ac:dyDescent="0.15">
      <c r="A33" s="6" t="s">
        <v>65</v>
      </c>
      <c r="C33" s="51">
        <v>1713</v>
      </c>
      <c r="D33" s="51">
        <v>2745</v>
      </c>
      <c r="E33" s="51">
        <v>2130</v>
      </c>
      <c r="F33" s="51">
        <v>4667</v>
      </c>
      <c r="G33" s="14"/>
      <c r="H33" s="32" t="s">
        <v>5</v>
      </c>
      <c r="I33" s="32"/>
      <c r="J33" s="32"/>
      <c r="K33" s="32"/>
      <c r="L33" s="32"/>
    </row>
    <row r="34" spans="1:17" x14ac:dyDescent="0.15">
      <c r="A34" s="6" t="s">
        <v>64</v>
      </c>
      <c r="C34" s="51">
        <v>55386</v>
      </c>
      <c r="D34" s="51">
        <v>56584</v>
      </c>
      <c r="E34" s="51">
        <v>63245</v>
      </c>
      <c r="F34" s="51">
        <v>80860</v>
      </c>
      <c r="G34" s="1"/>
      <c r="H34" s="56" t="s">
        <v>34</v>
      </c>
      <c r="I34" s="15"/>
      <c r="J34" s="56">
        <v>115000</v>
      </c>
      <c r="K34" s="54"/>
      <c r="L34" s="54"/>
    </row>
    <row r="35" spans="1:17" x14ac:dyDescent="0.15">
      <c r="A35" s="6" t="s">
        <v>63</v>
      </c>
      <c r="C35" s="51">
        <f>105285-C34</f>
        <v>49899</v>
      </c>
      <c r="D35" s="51">
        <f>105842-D34</f>
        <v>49258</v>
      </c>
      <c r="E35" s="51">
        <f>110688-E34</f>
        <v>47443</v>
      </c>
      <c r="F35" s="51">
        <f>131696-F34</f>
        <v>50836</v>
      </c>
      <c r="G35" s="13"/>
      <c r="H35" s="6" t="s">
        <v>36</v>
      </c>
      <c r="J35" s="40">
        <v>3.6400000000000002E-2</v>
      </c>
      <c r="K35" s="60" t="s">
        <v>56</v>
      </c>
      <c r="L35" s="55"/>
    </row>
    <row r="36" spans="1:17" ht="14" thickBot="1" x14ac:dyDescent="0.2">
      <c r="A36" s="25" t="s">
        <v>18</v>
      </c>
      <c r="B36" s="25"/>
      <c r="C36" s="26">
        <f>SUM(C30:C35)</f>
        <v>136524</v>
      </c>
      <c r="D36" s="26">
        <f>SUM(D30:D35)</f>
        <v>147691</v>
      </c>
      <c r="E36" s="26">
        <f>SUM(E30:E35)</f>
        <v>162304</v>
      </c>
      <c r="F36" s="26">
        <f>SUM(F30:F35)</f>
        <v>182058</v>
      </c>
      <c r="G36" s="12"/>
      <c r="H36" s="20" t="s">
        <v>35</v>
      </c>
      <c r="J36" s="40">
        <v>0.05</v>
      </c>
      <c r="K36" s="60" t="s">
        <v>55</v>
      </c>
      <c r="L36" s="55"/>
    </row>
    <row r="37" spans="1:17" ht="14" thickTop="1" x14ac:dyDescent="0.15">
      <c r="C37" s="20"/>
      <c r="D37" s="20"/>
      <c r="E37" s="20"/>
      <c r="F37" s="20"/>
      <c r="G37" s="12"/>
      <c r="H37" s="20" t="s">
        <v>41</v>
      </c>
      <c r="J37" s="20">
        <v>1.61</v>
      </c>
      <c r="K37" s="60" t="s">
        <v>57</v>
      </c>
      <c r="L37" s="55"/>
    </row>
    <row r="38" spans="1:17" x14ac:dyDescent="0.15">
      <c r="A38" s="6" t="s">
        <v>26</v>
      </c>
      <c r="C38" s="51">
        <v>4128</v>
      </c>
      <c r="D38" s="51">
        <v>5581</v>
      </c>
      <c r="E38" s="51">
        <v>5747</v>
      </c>
      <c r="F38" s="51">
        <v>9595</v>
      </c>
      <c r="G38" s="1"/>
      <c r="H38" s="56" t="s">
        <v>37</v>
      </c>
      <c r="I38" s="15"/>
      <c r="J38" s="57">
        <f>J35+J36*J37</f>
        <v>0.11690000000000002</v>
      </c>
      <c r="K38" s="60"/>
      <c r="L38" s="55"/>
    </row>
    <row r="39" spans="1:17" x14ac:dyDescent="0.15">
      <c r="A39" s="6" t="s">
        <v>27</v>
      </c>
      <c r="C39" s="51">
        <v>3693</v>
      </c>
      <c r="D39" s="51">
        <v>2504</v>
      </c>
      <c r="E39" s="51">
        <v>4591</v>
      </c>
      <c r="F39" s="51">
        <v>4323</v>
      </c>
      <c r="G39" s="12"/>
      <c r="H39" s="19"/>
      <c r="J39" s="19"/>
      <c r="K39" s="60"/>
      <c r="L39" s="55"/>
      <c r="M39" s="20"/>
      <c r="O39" s="12"/>
    </row>
    <row r="40" spans="1:17" x14ac:dyDescent="0.15">
      <c r="A40" s="6" t="s">
        <v>65</v>
      </c>
      <c r="C40" s="51">
        <v>10636</v>
      </c>
      <c r="D40" s="51">
        <v>12670</v>
      </c>
      <c r="E40" s="51">
        <v>12589</v>
      </c>
      <c r="F40" s="51">
        <f>2251+8758+744</f>
        <v>11753</v>
      </c>
      <c r="G40" s="12"/>
      <c r="H40" s="56" t="s">
        <v>4</v>
      </c>
      <c r="I40" s="15"/>
      <c r="J40" s="56">
        <f>F39+F41</f>
        <v>42007</v>
      </c>
      <c r="K40" s="60"/>
      <c r="L40" s="55"/>
      <c r="M40" s="20"/>
      <c r="O40" s="12"/>
    </row>
    <row r="41" spans="1:17" x14ac:dyDescent="0.15">
      <c r="A41" s="6" t="s">
        <v>66</v>
      </c>
      <c r="C41" s="51">
        <v>25308</v>
      </c>
      <c r="D41" s="51">
        <v>33897</v>
      </c>
      <c r="E41" s="51">
        <v>33510</v>
      </c>
      <c r="F41" s="51">
        <v>37684</v>
      </c>
      <c r="G41" s="1"/>
      <c r="H41" s="6" t="s">
        <v>36</v>
      </c>
      <c r="I41" s="20"/>
      <c r="J41" s="40">
        <f>J35</f>
        <v>3.6400000000000002E-2</v>
      </c>
      <c r="K41" s="60" t="s">
        <v>56</v>
      </c>
      <c r="L41" s="55"/>
      <c r="M41" s="20"/>
      <c r="O41" s="12"/>
    </row>
    <row r="42" spans="1:17" x14ac:dyDescent="0.15">
      <c r="A42" s="6" t="s">
        <v>23</v>
      </c>
      <c r="C42" s="51">
        <f>2044+1368+2916</f>
        <v>6328</v>
      </c>
      <c r="D42" s="51">
        <f>3843+1367+3614</f>
        <v>8824</v>
      </c>
      <c r="E42" s="51">
        <f>2667+185+4886</f>
        <v>7738</v>
      </c>
      <c r="F42" s="51">
        <f>202+4980</f>
        <v>5182</v>
      </c>
      <c r="G42" s="12"/>
      <c r="H42" s="20" t="s">
        <v>38</v>
      </c>
      <c r="I42" s="20"/>
      <c r="J42" s="40">
        <v>1.6199999999999999E-2</v>
      </c>
      <c r="K42" s="60" t="s">
        <v>68</v>
      </c>
      <c r="L42" s="55"/>
      <c r="M42" s="20"/>
      <c r="O42" s="12"/>
    </row>
    <row r="43" spans="1:17" x14ac:dyDescent="0.15">
      <c r="A43" s="6" t="s">
        <v>21</v>
      </c>
      <c r="C43" s="51">
        <f t="shared" ref="C43:E43" si="8">C36-SUM(C38:C42)</f>
        <v>86431</v>
      </c>
      <c r="D43" s="51">
        <f t="shared" si="8"/>
        <v>84215</v>
      </c>
      <c r="E43" s="51">
        <f t="shared" si="8"/>
        <v>98129</v>
      </c>
      <c r="F43" s="51">
        <f>F36-SUM(F38:F42)</f>
        <v>113521</v>
      </c>
      <c r="G43" s="20"/>
      <c r="H43" s="20" t="s">
        <v>39</v>
      </c>
      <c r="I43" s="20"/>
      <c r="J43" s="40">
        <v>0.12</v>
      </c>
      <c r="K43" s="60" t="s">
        <v>58</v>
      </c>
      <c r="L43" s="55"/>
      <c r="M43" s="20"/>
      <c r="O43" s="12"/>
    </row>
    <row r="44" spans="1:17" ht="14" thickBot="1" x14ac:dyDescent="0.2">
      <c r="A44" s="25" t="s">
        <v>22</v>
      </c>
      <c r="B44" s="25"/>
      <c r="C44" s="26">
        <f>SUM(C38:C43)</f>
        <v>136524</v>
      </c>
      <c r="D44" s="26">
        <f>SUM(D38:D43)</f>
        <v>147691</v>
      </c>
      <c r="E44" s="26">
        <f>SUM(E38:E43)</f>
        <v>162304</v>
      </c>
      <c r="F44" s="26">
        <f>SUM(F38:F43)</f>
        <v>182058</v>
      </c>
      <c r="G44" s="1"/>
      <c r="H44" s="56" t="s">
        <v>40</v>
      </c>
      <c r="I44" s="58"/>
      <c r="J44" s="57">
        <f>(J41+J42)*(1-J43)</f>
        <v>4.6288000000000003E-2</v>
      </c>
      <c r="K44" s="55"/>
      <c r="L44" s="55"/>
      <c r="M44" s="20"/>
      <c r="O44" s="12"/>
    </row>
    <row r="45" spans="1:17" ht="13" customHeight="1" thickTop="1" x14ac:dyDescent="0.15">
      <c r="F45" s="36"/>
      <c r="G45" s="12"/>
      <c r="H45" s="56" t="s">
        <v>5</v>
      </c>
      <c r="I45" s="58"/>
      <c r="J45" s="59">
        <f>(J38*(J34/(J34+J40)))+(J44*(J40/(J34+J40)))</f>
        <v>9.800785962409321E-2</v>
      </c>
      <c r="K45" s="55"/>
      <c r="L45" s="55"/>
      <c r="M45" s="20"/>
      <c r="O45" s="12"/>
    </row>
    <row r="46" spans="1:17" x14ac:dyDescent="0.15">
      <c r="A46" s="6" t="s">
        <v>24</v>
      </c>
      <c r="C46" s="27" t="str">
        <f>IF(C36=C44,"Balanced","Unbalanced")</f>
        <v>Balanced</v>
      </c>
      <c r="D46" s="27" t="str">
        <f>IF(D36=D44,"Balanced","Unbalanced")</f>
        <v>Balanced</v>
      </c>
      <c r="E46" s="27" t="str">
        <f>IF(E36=E44,"Balanced","Unbalanced")</f>
        <v>Balanced</v>
      </c>
      <c r="F46" s="27" t="str">
        <f>IF(F36=F44,"Balanced","Unbalanced")</f>
        <v>Balanced</v>
      </c>
      <c r="G46" s="12"/>
      <c r="Q46" s="12"/>
    </row>
    <row r="47" spans="1:17" ht="13" customHeight="1" x14ac:dyDescent="0.15">
      <c r="B47" s="11"/>
      <c r="C47" s="12"/>
      <c r="D47" s="12"/>
      <c r="E47" s="12"/>
      <c r="F47" s="12"/>
      <c r="G47" s="12"/>
      <c r="Q47" s="12"/>
    </row>
    <row r="48" spans="1:17" x14ac:dyDescent="0.15">
      <c r="B48" s="11"/>
      <c r="C48" s="12"/>
      <c r="D48" s="12"/>
      <c r="E48" s="12"/>
      <c r="F48" s="12"/>
      <c r="G48" s="12"/>
      <c r="Q48" s="12"/>
    </row>
    <row r="49" spans="1:17" x14ac:dyDescent="0.15">
      <c r="A49" s="32" t="s">
        <v>48</v>
      </c>
      <c r="B49" s="32"/>
      <c r="C49" s="32"/>
      <c r="D49" s="32"/>
      <c r="E49" s="32"/>
      <c r="F49" s="32"/>
      <c r="G49" s="12"/>
      <c r="Q49" s="12"/>
    </row>
    <row r="50" spans="1:17" x14ac:dyDescent="0.15">
      <c r="A50" s="6" t="s">
        <v>67</v>
      </c>
      <c r="B50" s="11"/>
      <c r="C50" s="51">
        <f>5576+13576</f>
        <v>19152</v>
      </c>
      <c r="D50" s="51">
        <f>5568+14229</f>
        <v>19797</v>
      </c>
      <c r="E50" s="51">
        <f>5644+2415</f>
        <v>8059</v>
      </c>
      <c r="F50" s="51">
        <f>5997</f>
        <v>5997</v>
      </c>
      <c r="G50" s="12"/>
      <c r="Q50" s="12"/>
    </row>
    <row r="51" spans="1:17" x14ac:dyDescent="0.15">
      <c r="A51" s="6" t="s">
        <v>47</v>
      </c>
      <c r="B51" s="11"/>
      <c r="C51" s="39">
        <f>IF(ISERROR((C16-C50)/C16),"n.a.",((C16-C50)/C16))</f>
        <v>5.5388409371146731E-2</v>
      </c>
      <c r="D51" s="39">
        <f>IF(ISERROR((D16-D50)/D16),"na",((D16-D50)/D16))</f>
        <v>5.2729795684004016E-2</v>
      </c>
      <c r="E51" s="39">
        <f>IF(ISERROR((E16-E50)/E16),"na",((E16-E50)/E16))</f>
        <v>0.59443409994464291</v>
      </c>
      <c r="F51" s="39">
        <f>IF(ISERROR((F16-F50)/F16),"na",((F16-F50)/F16))</f>
        <v>0.25177791640673736</v>
      </c>
      <c r="G51" s="12"/>
      <c r="Q51" s="12"/>
    </row>
    <row r="52" spans="1:17" x14ac:dyDescent="0.15">
      <c r="B52" s="11"/>
      <c r="C52" s="12"/>
      <c r="D52" s="12"/>
      <c r="E52" s="12"/>
      <c r="F52" s="12"/>
      <c r="G52" s="12"/>
      <c r="Q52" s="12"/>
    </row>
    <row r="53" spans="1:17" x14ac:dyDescent="0.15">
      <c r="B53" s="11"/>
      <c r="C53" s="12"/>
      <c r="D53" s="12"/>
      <c r="E53" s="12"/>
      <c r="F53" s="12"/>
      <c r="G53" s="12"/>
      <c r="Q53" s="12"/>
    </row>
    <row r="54" spans="1:17" x14ac:dyDescent="0.15">
      <c r="B54" s="11"/>
      <c r="C54" s="12"/>
      <c r="D54" s="12"/>
      <c r="E54" s="12"/>
      <c r="F54" s="12"/>
      <c r="G54" s="12"/>
      <c r="O54" s="13"/>
      <c r="P54" s="13"/>
      <c r="Q54" s="13"/>
    </row>
    <row r="55" spans="1:17" x14ac:dyDescent="0.15">
      <c r="B55" s="11"/>
      <c r="C55" s="12"/>
      <c r="D55" s="12"/>
      <c r="E55" s="12"/>
      <c r="F55" s="12"/>
      <c r="G55" s="12"/>
    </row>
    <row r="56" spans="1:17" x14ac:dyDescent="0.15">
      <c r="B56" s="11"/>
      <c r="C56" s="12"/>
      <c r="D56" s="12"/>
      <c r="E56" s="12"/>
      <c r="F56" s="12"/>
      <c r="G56" s="12"/>
    </row>
    <row r="57" spans="1:17" x14ac:dyDescent="0.15">
      <c r="B57" s="11"/>
      <c r="C57" s="12"/>
      <c r="D57" s="12"/>
      <c r="E57" s="12"/>
      <c r="F57" s="12"/>
      <c r="G57" s="12"/>
      <c r="N57" s="13"/>
      <c r="O57" s="13"/>
      <c r="P57" s="13"/>
      <c r="Q57" s="13"/>
    </row>
    <row r="58" spans="1:17" x14ac:dyDescent="0.15">
      <c r="B58" s="11"/>
      <c r="C58" s="12"/>
      <c r="D58" s="12"/>
      <c r="E58" s="12"/>
      <c r="F58" s="12"/>
      <c r="G58" s="12"/>
    </row>
    <row r="59" spans="1:17" x14ac:dyDescent="0.15">
      <c r="B59" s="11"/>
      <c r="C59" s="12"/>
      <c r="D59" s="12"/>
      <c r="E59" s="12"/>
      <c r="F59" s="12"/>
      <c r="G59" s="12"/>
    </row>
    <row r="60" spans="1:17" x14ac:dyDescent="0.15">
      <c r="B60" s="11"/>
      <c r="C60" s="12"/>
      <c r="D60" s="12"/>
      <c r="E60" s="12"/>
      <c r="F60" s="12"/>
      <c r="G60" s="12"/>
    </row>
    <row r="61" spans="1:17" x14ac:dyDescent="0.15">
      <c r="B61" s="11"/>
      <c r="C61" s="12"/>
      <c r="D61" s="12"/>
      <c r="E61" s="12"/>
      <c r="F61" s="12"/>
      <c r="G61" s="12"/>
    </row>
    <row r="62" spans="1:17" x14ac:dyDescent="0.15">
      <c r="B62" s="11"/>
      <c r="C62" s="12"/>
      <c r="D62" s="12"/>
      <c r="E62" s="12"/>
      <c r="F62" s="12"/>
      <c r="G62" s="12"/>
      <c r="H62" s="12"/>
      <c r="I62" s="12"/>
      <c r="J62" s="12"/>
    </row>
    <row r="63" spans="1:17" x14ac:dyDescent="0.15">
      <c r="B63" s="11"/>
      <c r="C63" s="12"/>
      <c r="D63" s="12"/>
      <c r="E63" s="12"/>
      <c r="F63" s="12"/>
      <c r="G63" s="12"/>
      <c r="H63" s="12"/>
      <c r="I63" s="12"/>
      <c r="J63" s="12"/>
    </row>
    <row r="64" spans="1:17" x14ac:dyDescent="0.15">
      <c r="B64" s="11"/>
      <c r="C64" s="12"/>
      <c r="D64" s="12"/>
      <c r="E64" s="12"/>
      <c r="F64" s="12"/>
      <c r="G64" s="12"/>
      <c r="H64" s="12"/>
      <c r="I64" s="12"/>
      <c r="J64" s="12"/>
    </row>
    <row r="65" spans="1:10" x14ac:dyDescent="0.15">
      <c r="B65" s="11"/>
      <c r="C65" s="12"/>
      <c r="D65" s="12"/>
      <c r="E65" s="12"/>
      <c r="F65" s="12"/>
      <c r="G65" s="12"/>
      <c r="H65" s="12"/>
      <c r="I65" s="12"/>
      <c r="J65" s="12"/>
    </row>
    <row r="66" spans="1:10" x14ac:dyDescent="0.15">
      <c r="B66" s="11"/>
      <c r="C66" s="12"/>
      <c r="D66" s="12"/>
      <c r="E66" s="12"/>
      <c r="F66" s="12"/>
      <c r="G66" s="12"/>
      <c r="H66" s="12"/>
      <c r="I66" s="12"/>
      <c r="J66" s="12"/>
    </row>
    <row r="67" spans="1:10" x14ac:dyDescent="0.15">
      <c r="B67" s="11"/>
      <c r="C67" s="12"/>
      <c r="D67" s="12"/>
      <c r="E67" s="12"/>
      <c r="F67" s="12"/>
      <c r="G67" s="12"/>
      <c r="H67" s="12"/>
      <c r="I67" s="12"/>
      <c r="J67" s="12"/>
    </row>
    <row r="68" spans="1:10" x14ac:dyDescent="0.15">
      <c r="B68" s="11"/>
      <c r="C68" s="12"/>
      <c r="D68" s="12"/>
      <c r="E68" s="12"/>
      <c r="F68" s="12"/>
      <c r="G68" s="12"/>
      <c r="H68" s="12"/>
      <c r="I68" s="12"/>
      <c r="J68" s="12"/>
    </row>
    <row r="69" spans="1:10" x14ac:dyDescent="0.15">
      <c r="B69" s="11"/>
      <c r="C69" s="12"/>
      <c r="D69" s="12"/>
      <c r="E69" s="12"/>
      <c r="F69" s="12"/>
      <c r="G69" s="12"/>
      <c r="H69" s="12"/>
      <c r="I69" s="12"/>
      <c r="J69" s="12"/>
    </row>
    <row r="70" spans="1:10" x14ac:dyDescent="0.15">
      <c r="A70" s="17"/>
      <c r="B70" s="17"/>
      <c r="I70" s="12"/>
      <c r="J70" s="12"/>
    </row>
    <row r="71" spans="1:10" x14ac:dyDescent="0.15">
      <c r="A71" s="17"/>
      <c r="I71" s="12"/>
      <c r="J71" s="12"/>
    </row>
    <row r="72" spans="1:10" x14ac:dyDescent="0.15">
      <c r="I72" s="12"/>
      <c r="J72" s="12"/>
    </row>
    <row r="73" spans="1:10" x14ac:dyDescent="0.15">
      <c r="I73" s="12"/>
      <c r="J73" s="12"/>
    </row>
    <row r="74" spans="1:10" x14ac:dyDescent="0.15">
      <c r="I74" s="12"/>
      <c r="J74" s="12"/>
    </row>
  </sheetData>
  <mergeCells count="1">
    <mergeCell ref="H26:L26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Lynch</dc:creator>
  <cp:lastModifiedBy>Daniel </cp:lastModifiedBy>
  <cp:lastPrinted>2011-12-16T01:50:20Z</cp:lastPrinted>
  <dcterms:created xsi:type="dcterms:W3CDTF">2011-09-01T22:41:33Z</dcterms:created>
  <dcterms:modified xsi:type="dcterms:W3CDTF">2023-03-15T05:47:51Z</dcterms:modified>
</cp:coreProperties>
</file>