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niel/Downloads/"/>
    </mc:Choice>
  </mc:AlternateContent>
  <xr:revisionPtr revIDLastSave="0" documentId="13_ncr:1_{21095C21-43BC-A644-BD5A-5E919BF5E148}" xr6:coauthVersionLast="47" xr6:coauthVersionMax="47" xr10:uidLastSave="{00000000-0000-0000-0000-000000000000}"/>
  <bookViews>
    <workbookView xWindow="0" yWindow="720" windowWidth="29400" windowHeight="18400" xr2:uid="{A58330D8-51E0-42B5-92DD-309E3DF4B4D6}"/>
  </bookViews>
  <sheets>
    <sheet name="Shopify Model" sheetId="3" r:id="rId1"/>
    <sheet name="Main" sheetId="1" r:id="rId2"/>
    <sheet name="Mode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1" l="1" a="1"/>
  <c r="J2" i="1" s="1"/>
  <c r="J4" i="1" s="1"/>
  <c r="J7" i="1" s="1"/>
  <c r="J15" i="1" s="1"/>
  <c r="L15" i="1" s="1"/>
  <c r="AA32" i="3"/>
  <c r="V32" i="3" s="1"/>
  <c r="V33" i="3" s="1"/>
  <c r="V25" i="3"/>
  <c r="W25" i="3" s="1"/>
  <c r="X25" i="3" s="1"/>
  <c r="Y25" i="3" s="1"/>
  <c r="Z25" i="3" s="1"/>
  <c r="AA25" i="3" s="1"/>
  <c r="V9" i="3"/>
  <c r="W9" i="3" s="1"/>
  <c r="X9" i="3" s="1"/>
  <c r="N38" i="3"/>
  <c r="M36" i="3"/>
  <c r="M37" i="3"/>
  <c r="M38" i="3"/>
  <c r="L38" i="3"/>
  <c r="L37" i="3"/>
  <c r="L36" i="3"/>
  <c r="L39" i="3"/>
  <c r="K39" i="3"/>
  <c r="J39" i="3"/>
  <c r="I39" i="3"/>
  <c r="H39" i="3"/>
  <c r="I20" i="3"/>
  <c r="J20" i="3"/>
  <c r="K20" i="3"/>
  <c r="L20" i="3"/>
  <c r="M20" i="3"/>
  <c r="N20" i="3"/>
  <c r="O20" i="3"/>
  <c r="P20" i="3"/>
  <c r="Q20" i="3"/>
  <c r="R20" i="3"/>
  <c r="S20" i="3"/>
  <c r="H20" i="3"/>
  <c r="V4" i="3"/>
  <c r="V14" i="3" s="1"/>
  <c r="L33" i="3"/>
  <c r="I33" i="3"/>
  <c r="J33" i="3"/>
  <c r="K33" i="3"/>
  <c r="H33" i="3"/>
  <c r="O3" i="3"/>
  <c r="P3" i="3"/>
  <c r="Q3" i="3"/>
  <c r="R3" i="3"/>
  <c r="S3" i="3"/>
  <c r="K3" i="3"/>
  <c r="L3" i="3"/>
  <c r="M3" i="3"/>
  <c r="N3" i="3"/>
  <c r="I3" i="3"/>
  <c r="J3" i="3"/>
  <c r="H3" i="3"/>
  <c r="S25" i="3"/>
  <c r="L27" i="3"/>
  <c r="E27" i="3"/>
  <c r="F27" i="3"/>
  <c r="G27" i="3"/>
  <c r="H27" i="3"/>
  <c r="L25" i="3"/>
  <c r="M25" i="3"/>
  <c r="N25" i="3"/>
  <c r="O25" i="3"/>
  <c r="P25" i="3"/>
  <c r="Q25" i="3"/>
  <c r="R25" i="3"/>
  <c r="K25" i="3"/>
  <c r="O17" i="3"/>
  <c r="O18" i="3" s="1"/>
  <c r="L14" i="3"/>
  <c r="L15" i="3" s="1"/>
  <c r="M14" i="3"/>
  <c r="M15" i="3" s="1"/>
  <c r="N14" i="3"/>
  <c r="N15" i="3" s="1"/>
  <c r="O14" i="3"/>
  <c r="O15" i="3" s="1"/>
  <c r="P14" i="3"/>
  <c r="P15" i="3" s="1"/>
  <c r="Q14" i="3"/>
  <c r="Q15" i="3" s="1"/>
  <c r="R14" i="3"/>
  <c r="R15" i="3" s="1"/>
  <c r="S14" i="3"/>
  <c r="S15" i="3" s="1"/>
  <c r="K14" i="3"/>
  <c r="K15" i="3" s="1"/>
  <c r="S11" i="3"/>
  <c r="S12" i="3" s="1"/>
  <c r="R11" i="3"/>
  <c r="R12" i="3" s="1"/>
  <c r="Q11" i="3"/>
  <c r="Q12" i="3" s="1"/>
  <c r="P11" i="3"/>
  <c r="P12" i="3" s="1"/>
  <c r="O11" i="3"/>
  <c r="O12" i="3" s="1"/>
  <c r="N11" i="3"/>
  <c r="N12" i="3" s="1"/>
  <c r="M11" i="3"/>
  <c r="M12" i="3" s="1"/>
  <c r="L11" i="3"/>
  <c r="L12" i="3" s="1"/>
  <c r="K11" i="3"/>
  <c r="K12" i="3" s="1"/>
  <c r="L6" i="3"/>
  <c r="L17" i="3" s="1"/>
  <c r="M6" i="3"/>
  <c r="M7" i="3" s="1"/>
  <c r="N6" i="3"/>
  <c r="N7" i="3" s="1"/>
  <c r="O6" i="3"/>
  <c r="O7" i="3" s="1"/>
  <c r="P6" i="3"/>
  <c r="P7" i="3" s="1"/>
  <c r="Q6" i="3"/>
  <c r="R6" i="3"/>
  <c r="S6" i="3"/>
  <c r="K6" i="3"/>
  <c r="K17" i="3" s="1"/>
  <c r="K27" i="3" s="1"/>
  <c r="J25" i="3"/>
  <c r="J27" i="3" s="1"/>
  <c r="I25" i="3"/>
  <c r="I27" i="3" s="1"/>
  <c r="H25" i="3"/>
  <c r="G25" i="3"/>
  <c r="F25" i="3"/>
  <c r="E25" i="3"/>
  <c r="D25" i="3"/>
  <c r="D27" i="3" s="1"/>
  <c r="L11" i="2"/>
  <c r="M11" i="2"/>
  <c r="N11" i="2"/>
  <c r="O11" i="2"/>
  <c r="P11" i="2"/>
  <c r="Q11" i="2"/>
  <c r="R11" i="2"/>
  <c r="S11" i="2"/>
  <c r="L13" i="2"/>
  <c r="M13" i="2"/>
  <c r="N13" i="2"/>
  <c r="O13" i="2"/>
  <c r="P13" i="2"/>
  <c r="Q13" i="2"/>
  <c r="R13" i="2"/>
  <c r="S13" i="2"/>
  <c r="K13" i="2"/>
  <c r="K11" i="2"/>
  <c r="K16" i="2"/>
  <c r="L7" i="2"/>
  <c r="M7" i="2"/>
  <c r="N7" i="2"/>
  <c r="O7" i="2"/>
  <c r="P7" i="2"/>
  <c r="P8" i="2" s="1"/>
  <c r="Q7" i="2"/>
  <c r="Q8" i="2" s="1"/>
  <c r="R7" i="2"/>
  <c r="S7" i="2"/>
  <c r="J22" i="2"/>
  <c r="J7" i="2"/>
  <c r="J17" i="2" s="1"/>
  <c r="I22" i="2"/>
  <c r="I7" i="2"/>
  <c r="I17" i="2" s="1"/>
  <c r="H22" i="2"/>
  <c r="H7" i="2"/>
  <c r="H17" i="2" s="1"/>
  <c r="F22" i="2"/>
  <c r="F7" i="2"/>
  <c r="F17" i="2" s="1"/>
  <c r="E22" i="2"/>
  <c r="E7" i="2"/>
  <c r="E17" i="2" s="1"/>
  <c r="D22" i="2"/>
  <c r="D7" i="2"/>
  <c r="D17" i="2" s="1"/>
  <c r="K32" i="2"/>
  <c r="G24" i="2"/>
  <c r="K24" i="2"/>
  <c r="G22" i="2"/>
  <c r="K22" i="2"/>
  <c r="G16" i="2"/>
  <c r="G7" i="2"/>
  <c r="K7" i="2"/>
  <c r="N15" i="1" l="1"/>
  <c r="K15" i="1"/>
  <c r="O15" i="1"/>
  <c r="M15" i="1"/>
  <c r="P15" i="1"/>
  <c r="AA33" i="3"/>
  <c r="X32" i="3"/>
  <c r="X33" i="3" s="1"/>
  <c r="Y32" i="3"/>
  <c r="Y33" i="3" s="1"/>
  <c r="W32" i="3"/>
  <c r="W33" i="3" s="1"/>
  <c r="Z32" i="3"/>
  <c r="Z33" i="3" s="1"/>
  <c r="Y9" i="3"/>
  <c r="X11" i="3"/>
  <c r="V6" i="3"/>
  <c r="V11" i="3"/>
  <c r="W11" i="3"/>
  <c r="W4" i="3"/>
  <c r="W14" i="3" s="1"/>
  <c r="P17" i="3"/>
  <c r="N17" i="3"/>
  <c r="Q17" i="3"/>
  <c r="O27" i="3"/>
  <c r="L18" i="3"/>
  <c r="L7" i="3"/>
  <c r="K18" i="3"/>
  <c r="K7" i="3"/>
  <c r="S7" i="3"/>
  <c r="M17" i="3"/>
  <c r="R7" i="3"/>
  <c r="Q7" i="3"/>
  <c r="S17" i="3"/>
  <c r="S18" i="3" s="1"/>
  <c r="R17" i="3"/>
  <c r="O8" i="2"/>
  <c r="N8" i="2"/>
  <c r="R8" i="2"/>
  <c r="E23" i="2"/>
  <c r="O4" i="2"/>
  <c r="K8" i="2"/>
  <c r="G8" i="2"/>
  <c r="S8" i="2"/>
  <c r="G4" i="2"/>
  <c r="F8" i="2"/>
  <c r="L8" i="2"/>
  <c r="J8" i="2"/>
  <c r="I8" i="2"/>
  <c r="K4" i="2"/>
  <c r="S4" i="2"/>
  <c r="T4" i="2" s="1"/>
  <c r="F23" i="2"/>
  <c r="H8" i="2"/>
  <c r="M8" i="2"/>
  <c r="E8" i="2"/>
  <c r="D23" i="2"/>
  <c r="J31" i="2"/>
  <c r="G17" i="2"/>
  <c r="G33" i="2" s="1"/>
  <c r="I31" i="2"/>
  <c r="H31" i="2"/>
  <c r="J23" i="2"/>
  <c r="I23" i="2"/>
  <c r="H23" i="2"/>
  <c r="K31" i="2"/>
  <c r="K17" i="2"/>
  <c r="K23" i="2" s="1"/>
  <c r="K25" i="2" s="1"/>
  <c r="K27" i="2" s="1"/>
  <c r="K28" i="2" s="1"/>
  <c r="V17" i="3" l="1"/>
  <c r="V27" i="3" s="1"/>
  <c r="Z9" i="3"/>
  <c r="Y11" i="3"/>
  <c r="X4" i="3"/>
  <c r="X14" i="3" s="1"/>
  <c r="W6" i="3"/>
  <c r="W17" i="3" s="1"/>
  <c r="W27" i="3" s="1"/>
  <c r="R18" i="3"/>
  <c r="R27" i="3"/>
  <c r="S27" i="3"/>
  <c r="N18" i="3"/>
  <c r="N27" i="3"/>
  <c r="Q18" i="3"/>
  <c r="Q27" i="3"/>
  <c r="M18" i="3"/>
  <c r="M27" i="3"/>
  <c r="P18" i="3"/>
  <c r="P27" i="3"/>
  <c r="G23" i="2"/>
  <c r="G25" i="2" s="1"/>
  <c r="G27" i="2" s="1"/>
  <c r="G28" i="2" s="1"/>
  <c r="L4" i="2"/>
  <c r="P4" i="2"/>
  <c r="K33" i="2"/>
  <c r="AA9" i="3" l="1"/>
  <c r="AA11" i="3" s="1"/>
  <c r="Z11" i="3"/>
  <c r="Y4" i="3"/>
  <c r="Y14" i="3" s="1"/>
  <c r="X6" i="3"/>
  <c r="X17" i="3" s="1"/>
  <c r="X27" i="3" s="1"/>
  <c r="Z4" i="3" l="1"/>
  <c r="Z14" i="3" s="1"/>
  <c r="Y6" i="3"/>
  <c r="Y17" i="3" s="1"/>
  <c r="Y27" i="3" s="1"/>
  <c r="AA4" i="3" l="1"/>
  <c r="Z6" i="3"/>
  <c r="Z17" i="3" s="1"/>
  <c r="Z27" i="3" s="1"/>
  <c r="AA6" i="3" l="1"/>
  <c r="AA17" i="3" s="1"/>
  <c r="AA27" i="3" s="1"/>
  <c r="AA1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<sst xmlns="http://schemas.openxmlformats.org/spreadsheetml/2006/main" count="93" uniqueCount="62">
  <si>
    <t>Price</t>
  </si>
  <si>
    <t>Shares</t>
  </si>
  <si>
    <t>MC</t>
  </si>
  <si>
    <t>Cash</t>
  </si>
  <si>
    <t>Debt</t>
  </si>
  <si>
    <t>EV</t>
  </si>
  <si>
    <t>Revenue</t>
  </si>
  <si>
    <t>Q120</t>
  </si>
  <si>
    <t>Q220</t>
  </si>
  <si>
    <t>Q320</t>
  </si>
  <si>
    <t>Q420</t>
  </si>
  <si>
    <t>Q121</t>
  </si>
  <si>
    <t>Q221</t>
  </si>
  <si>
    <t>Q321</t>
  </si>
  <si>
    <t>Q421</t>
  </si>
  <si>
    <t>Q122</t>
  </si>
  <si>
    <t>Q222</t>
  </si>
  <si>
    <t>Q322</t>
  </si>
  <si>
    <t>Q422</t>
  </si>
  <si>
    <t>Subscription</t>
  </si>
  <si>
    <t>Merchant</t>
  </si>
  <si>
    <t>Gross Margin</t>
  </si>
  <si>
    <t>COGS</t>
  </si>
  <si>
    <t>Operating Income</t>
  </si>
  <si>
    <t>Operating Expenses</t>
  </si>
  <si>
    <t>Transaction/Loan Losses</t>
  </si>
  <si>
    <t>G&amp;A</t>
  </si>
  <si>
    <t>R&amp;D</t>
  </si>
  <si>
    <t>S&amp;M</t>
  </si>
  <si>
    <t>Main</t>
  </si>
  <si>
    <t>Interest</t>
  </si>
  <si>
    <t>Net Income</t>
  </si>
  <si>
    <t>Taxes</t>
  </si>
  <si>
    <t>Pretax</t>
  </si>
  <si>
    <t>EPS</t>
  </si>
  <si>
    <t>Revenue Growth</t>
  </si>
  <si>
    <t>GMV</t>
  </si>
  <si>
    <t>GMV Growth</t>
  </si>
  <si>
    <t>Q123</t>
  </si>
  <si>
    <t>Q223</t>
  </si>
  <si>
    <t>Q323</t>
  </si>
  <si>
    <t>Q423</t>
  </si>
  <si>
    <t>Q124</t>
  </si>
  <si>
    <t>Q224</t>
  </si>
  <si>
    <t>Q324</t>
  </si>
  <si>
    <t>Q424</t>
  </si>
  <si>
    <t>Subscription Margins are expanding</t>
  </si>
  <si>
    <t>Merchant Margins are shrinking</t>
  </si>
  <si>
    <t>Subscription Revenues</t>
  </si>
  <si>
    <t>Subscription COGS</t>
  </si>
  <si>
    <t>Subscription Gross Profit</t>
  </si>
  <si>
    <t>Merchant Revenues</t>
  </si>
  <si>
    <t>Merchant COGS</t>
  </si>
  <si>
    <t>Merchant Gross Profit</t>
  </si>
  <si>
    <t>Total Revenues</t>
  </si>
  <si>
    <t xml:space="preserve">Total Gross Profit </t>
  </si>
  <si>
    <t>* Margins</t>
  </si>
  <si>
    <r>
      <t>*</t>
    </r>
    <r>
      <rPr>
        <i/>
        <sz val="10"/>
        <color theme="1"/>
        <rFont val="Arial"/>
        <family val="2"/>
      </rPr>
      <t xml:space="preserve"> Subscription % revenues</t>
    </r>
  </si>
  <si>
    <r>
      <t>*</t>
    </r>
    <r>
      <rPr>
        <i/>
        <sz val="10"/>
        <color theme="1"/>
        <rFont val="Arial"/>
        <family val="2"/>
      </rPr>
      <t xml:space="preserve"> Subscription % gross profit</t>
    </r>
  </si>
  <si>
    <t>Exit P/E</t>
  </si>
  <si>
    <t>Share Price</t>
  </si>
  <si>
    <t>Market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</si>
</sst>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u/>
      <sz val="10"/>
      <color theme="10"/>
      <name val="Arial"/>
      <family val="2"/>
    </font>
    <font>
      <sz val="10"/>
      <color theme="1"/>
      <name val="Arial"/>
      <family val="2"/>
    </font>
    <font>
      <sz val="8"/>
      <name val="Arial"/>
      <family val="2"/>
    </font>
    <font>
      <i/>
      <sz val="10"/>
      <color theme="1"/>
      <name val="Arial"/>
      <family val="2"/>
    </font>
    <font>
      <sz val="10"/>
      <color theme="4"/>
      <name val="Arial"/>
      <family val="2"/>
    </font>
    <font>
      <i/>
      <sz val="10"/>
      <color theme="4"/>
      <name val="Arial"/>
      <family val="2"/>
    </font>
    <font>
      <b/>
      <sz val="10"/>
      <color theme="4"/>
      <name val="Arial"/>
      <family val="2"/>
    </font>
    <font>
      <sz val="10"/>
      <name val="Arial"/>
      <family val="2"/>
    </font>
    <font>
      <i/>
      <sz val="10"/>
      <name val="Arial"/>
      <family val="2"/>
    </font>
    <font>
      <b/>
      <sz val="10"/>
      <name val="Arial"/>
      <family val="2"/>
    </font>
    <font>
      <sz val="10"/>
      <color rgb="FFFF0000"/>
      <name val="Arial"/>
      <family val="2"/>
    </font>
    <font>
      <b/>
      <sz val="10"/>
      <color rgb="FFFF0000"/>
      <name val="Arial"/>
      <family val="2"/>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43">
    <xf numFmtId="0" fontId="0" fillId="0" borderId="0" xfId="0"/>
    <xf numFmtId="4" fontId="0" fillId="0" borderId="0" xfId="0" applyNumberFormat="1"/>
    <xf numFmtId="0" fontId="0" fillId="0" borderId="0" xfId="0" applyAlignment="1">
      <alignment horizontal="right"/>
    </xf>
    <xf numFmtId="9" fontId="0" fillId="0" borderId="0" xfId="0" applyNumberFormat="1" applyAlignment="1">
      <alignment horizontal="right"/>
    </xf>
    <xf numFmtId="3" fontId="0" fillId="0" borderId="0" xfId="0" applyNumberFormat="1"/>
    <xf numFmtId="3" fontId="0" fillId="0" borderId="0" xfId="0" applyNumberFormat="1" applyAlignment="1">
      <alignment horizontal="right"/>
    </xf>
    <xf numFmtId="0" fontId="2" fillId="0" borderId="0" xfId="1"/>
    <xf numFmtId="1" fontId="0" fillId="0" borderId="0" xfId="0" applyNumberFormat="1"/>
    <xf numFmtId="1" fontId="0" fillId="0" borderId="0" xfId="0" applyNumberFormat="1" applyAlignment="1">
      <alignment horizontal="right"/>
    </xf>
    <xf numFmtId="4" fontId="0" fillId="0" borderId="0" xfId="0" applyNumberFormat="1" applyAlignment="1">
      <alignment horizontal="right"/>
    </xf>
    <xf numFmtId="3" fontId="1" fillId="0" borderId="0" xfId="0" applyNumberFormat="1" applyFont="1"/>
    <xf numFmtId="3" fontId="1" fillId="0" borderId="0" xfId="0" applyNumberFormat="1" applyFont="1" applyAlignment="1">
      <alignment horizontal="right"/>
    </xf>
    <xf numFmtId="0" fontId="1" fillId="0" borderId="0" xfId="0" applyFont="1" applyAlignment="1">
      <alignment horizontal="right"/>
    </xf>
    <xf numFmtId="9" fontId="1" fillId="0" borderId="0" xfId="0" applyNumberFormat="1" applyFont="1" applyAlignment="1">
      <alignment horizontal="right"/>
    </xf>
    <xf numFmtId="0" fontId="1" fillId="0" borderId="0" xfId="0" applyFont="1"/>
    <xf numFmtId="9" fontId="0" fillId="0" borderId="0" xfId="2" applyFont="1" applyAlignment="1">
      <alignment horizontal="right"/>
    </xf>
    <xf numFmtId="9" fontId="5" fillId="0" borderId="0" xfId="2" applyFont="1" applyAlignment="1">
      <alignment horizontal="right"/>
    </xf>
    <xf numFmtId="0" fontId="0" fillId="0" borderId="0" xfId="0" applyFont="1" applyAlignment="1">
      <alignment horizontal="right"/>
    </xf>
    <xf numFmtId="3" fontId="5" fillId="0" borderId="0" xfId="0" quotePrefix="1" applyNumberFormat="1" applyFont="1"/>
    <xf numFmtId="9" fontId="0" fillId="0" borderId="0" xfId="2" applyFont="1"/>
    <xf numFmtId="9" fontId="5" fillId="0" borderId="0" xfId="2" applyFont="1"/>
    <xf numFmtId="1" fontId="1" fillId="0" borderId="0" xfId="0" applyNumberFormat="1" applyFont="1"/>
    <xf numFmtId="9" fontId="1" fillId="0" borderId="0" xfId="2" applyFont="1" applyAlignment="1">
      <alignment horizontal="right"/>
    </xf>
    <xf numFmtId="3" fontId="6" fillId="0" borderId="0" xfId="0" applyNumberFormat="1" applyFont="1"/>
    <xf numFmtId="0" fontId="6" fillId="0" borderId="0" xfId="0" applyFont="1"/>
    <xf numFmtId="3" fontId="8" fillId="0" borderId="0" xfId="0" applyNumberFormat="1" applyFont="1"/>
    <xf numFmtId="9" fontId="9" fillId="0" borderId="0" xfId="2" applyFont="1"/>
    <xf numFmtId="3" fontId="9" fillId="0" borderId="0" xfId="0" applyNumberFormat="1" applyFont="1"/>
    <xf numFmtId="9" fontId="10" fillId="0" borderId="0" xfId="2" applyFont="1" applyAlignment="1">
      <alignment horizontal="right"/>
    </xf>
    <xf numFmtId="0" fontId="9" fillId="0" borderId="0" xfId="0" applyFont="1"/>
    <xf numFmtId="3" fontId="11" fillId="0" borderId="0" xfId="0" applyNumberFormat="1" applyFont="1"/>
    <xf numFmtId="1" fontId="11" fillId="0" borderId="0" xfId="0" applyNumberFormat="1" applyFont="1"/>
    <xf numFmtId="0" fontId="11" fillId="0" borderId="0" xfId="0" applyFont="1"/>
    <xf numFmtId="9" fontId="7" fillId="0" borderId="0" xfId="2" applyFont="1"/>
    <xf numFmtId="3" fontId="12" fillId="0" borderId="0" xfId="0" applyNumberFormat="1" applyFont="1"/>
    <xf numFmtId="1" fontId="12" fillId="0" borderId="0" xfId="0" applyNumberFormat="1" applyFont="1"/>
    <xf numFmtId="3" fontId="13" fillId="0" borderId="0" xfId="0" applyNumberFormat="1" applyFont="1"/>
    <xf numFmtId="1" fontId="13" fillId="0" borderId="0" xfId="0" applyNumberFormat="1" applyFont="1"/>
    <xf numFmtId="0" fontId="12" fillId="0" borderId="0" xfId="0" applyFont="1"/>
    <xf numFmtId="0" fontId="8" fillId="0" borderId="1" xfId="0" applyFont="1" applyBorder="1"/>
    <xf numFmtId="0" fontId="8" fillId="0" borderId="2" xfId="0" applyFont="1" applyBorder="1"/>
    <xf numFmtId="3" fontId="0" fillId="0" borderId="0" xfId="0" applyNumberFormat="1" applyFont="1"/>
    <xf numFmtId="0" fontId="0" fillId="0" borderId="0" xfId="0" applyFont="1"/>
  </cellXfs>
  <cellStyles count="3">
    <cellStyle name="Hyperlink" xfId="1" builtinId="8"/>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https://www.bing.com/financeapi/forcetrigger?t=a22wz2&amp;q=XNYS%3aSHOP&amp;form=skydnc</v>
    <v>Learn more on Bing</v>
  </rv>
  <rv s="1">
    <v>0</v>
    <v>SHOPIFY INC. (XNYS:SHOP)</v>
    <v>2</v>
    <v>3</v>
    <v>Finance</v>
    <v>4</v>
    <v>en-GB</v>
    <v>a22wz2</v>
    <v>268435456</v>
    <v>1</v>
    <v>Powered by Refinitiv</v>
    <v>91.57</v>
    <v>45.5</v>
    <v>2.3047</v>
    <v>-0.28000000000000003</v>
    <v>-4.4640000000000001E-3</v>
    <v>0.15</v>
    <v>2.4020000000000001E-3</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63.8</v>
    <v>Software &amp; IT Services</v>
    <v>Stock</v>
    <v>45421.999965289062</v>
    <v>0</v>
    <v>61.61</v>
    <v>80745270000</v>
    <v>SHOPIFY INC.</v>
    <v>SHOPIFY INC.</v>
    <v>63.57</v>
    <v>62.73</v>
    <v>62.45</v>
    <v>62.6</v>
    <v>1287187000</v>
    <v>SHOP</v>
    <v>SHOPIFY INC. (XNYS:SHOP)</v>
    <v>19819724</v>
    <v>10170939</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3D86D-5766-4342-B4B5-742C17BE2B99}">
  <dimension ref="A1:AD39"/>
  <sheetViews>
    <sheetView tabSelected="1" zoomScale="125" workbookViewId="0">
      <pane xSplit="2" ySplit="2" topLeftCell="P3" activePane="bottomRight" state="frozen"/>
      <selection pane="topRight" activeCell="C1" sqref="C1"/>
      <selection pane="bottomLeft" activeCell="A3" sqref="A3"/>
      <selection pane="bottomRight" activeCell="Z38" sqref="Z38"/>
    </sheetView>
  </sheetViews>
  <sheetFormatPr baseColWidth="10" defaultColWidth="8.83203125" defaultRowHeight="13" x14ac:dyDescent="0.15"/>
  <cols>
    <col min="1" max="1" width="5" bestFit="1" customWidth="1"/>
    <col min="2" max="2" width="22.1640625" bestFit="1" customWidth="1"/>
    <col min="3" max="14" width="8.83203125" style="2"/>
    <col min="21" max="21" width="11.1640625" customWidth="1"/>
  </cols>
  <sheetData>
    <row r="1" spans="1:30" x14ac:dyDescent="0.15">
      <c r="A1" s="6" t="s">
        <v>29</v>
      </c>
    </row>
    <row r="2" spans="1:30" x14ac:dyDescent="0.15">
      <c r="C2" s="2" t="s">
        <v>7</v>
      </c>
      <c r="D2" s="2" t="s">
        <v>8</v>
      </c>
      <c r="E2" s="2" t="s">
        <v>9</v>
      </c>
      <c r="F2" s="2" t="s">
        <v>10</v>
      </c>
      <c r="G2" s="2" t="s">
        <v>11</v>
      </c>
      <c r="H2" s="2" t="s">
        <v>12</v>
      </c>
      <c r="I2" s="2" t="s">
        <v>13</v>
      </c>
      <c r="J2" s="2" t="s">
        <v>14</v>
      </c>
      <c r="K2" s="2" t="s">
        <v>15</v>
      </c>
      <c r="L2" s="2" t="s">
        <v>16</v>
      </c>
      <c r="M2" s="2" t="s">
        <v>17</v>
      </c>
      <c r="N2" s="2" t="s">
        <v>18</v>
      </c>
      <c r="O2" s="2" t="s">
        <v>38</v>
      </c>
      <c r="P2" s="2" t="s">
        <v>39</v>
      </c>
      <c r="Q2" s="2" t="s">
        <v>40</v>
      </c>
      <c r="R2" s="2" t="s">
        <v>41</v>
      </c>
      <c r="S2" s="2" t="s">
        <v>42</v>
      </c>
      <c r="T2" s="2" t="s">
        <v>43</v>
      </c>
      <c r="U2" s="2"/>
      <c r="V2">
        <v>2025</v>
      </c>
      <c r="W2">
        <v>2026</v>
      </c>
      <c r="X2">
        <v>2027</v>
      </c>
      <c r="Y2">
        <v>2028</v>
      </c>
      <c r="Z2">
        <v>2029</v>
      </c>
      <c r="AA2">
        <v>2030</v>
      </c>
    </row>
    <row r="3" spans="1:30" s="4" customFormat="1" x14ac:dyDescent="0.15">
      <c r="C3" s="5"/>
      <c r="D3" s="5"/>
      <c r="E3" s="5"/>
      <c r="F3" s="5"/>
      <c r="G3" s="5"/>
      <c r="H3" s="15">
        <f>H4/D4-1</f>
        <v>0.70152315790545439</v>
      </c>
      <c r="I3" s="15">
        <f t="shared" ref="I3:J3" si="0">I4/E4-1</f>
        <v>0.37074455506902493</v>
      </c>
      <c r="J3" s="15">
        <f t="shared" si="0"/>
        <v>0.25682794159748079</v>
      </c>
      <c r="K3" s="15">
        <f t="shared" ref="K3" si="1">K4/G4-1</f>
        <v>7.5090198670953567E-2</v>
      </c>
      <c r="L3" s="15">
        <f t="shared" ref="L3" si="2">L4/H4-1</f>
        <v>9.5031369956048994E-2</v>
      </c>
      <c r="M3" s="15">
        <f t="shared" ref="M3" si="3">M4/I4-1</f>
        <v>0.12132965307190768</v>
      </c>
      <c r="N3" s="15">
        <f t="shared" ref="N3" si="4">N4/J4-1</f>
        <v>0.13892622035944502</v>
      </c>
      <c r="O3" s="15">
        <f t="shared" ref="O3" si="5">O4/K4-1</f>
        <v>0.10801395749519216</v>
      </c>
      <c r="P3" s="15">
        <f t="shared" ref="P3" si="6">P4/L4-1</f>
        <v>0.21311475409836067</v>
      </c>
      <c r="Q3" s="15">
        <f t="shared" ref="Q3" si="7">Q4/M4-1</f>
        <v>0.28912466843501328</v>
      </c>
      <c r="R3" s="15">
        <f t="shared" ref="R3" si="8">R4/N4-1</f>
        <v>0.3125</v>
      </c>
      <c r="S3" s="15">
        <f t="shared" ref="S3" si="9">S4/O4-1</f>
        <v>0.33769633507853403</v>
      </c>
      <c r="T3" s="26"/>
      <c r="U3" s="27"/>
      <c r="V3" s="33">
        <v>0.25</v>
      </c>
      <c r="W3" s="33">
        <v>0.25</v>
      </c>
      <c r="X3" s="33">
        <v>0.25</v>
      </c>
      <c r="Y3" s="33">
        <v>0.25</v>
      </c>
      <c r="Z3" s="33">
        <v>0.25</v>
      </c>
      <c r="AA3" s="33">
        <v>0.25</v>
      </c>
    </row>
    <row r="4" spans="1:30" x14ac:dyDescent="0.15">
      <c r="B4" s="4" t="s">
        <v>48</v>
      </c>
      <c r="C4" s="5"/>
      <c r="D4" s="5">
        <v>196.434</v>
      </c>
      <c r="E4" s="5">
        <v>245.274</v>
      </c>
      <c r="F4" s="5">
        <v>279.44</v>
      </c>
      <c r="G4" s="5">
        <v>320.68099999999998</v>
      </c>
      <c r="H4" s="5">
        <v>334.23700000000002</v>
      </c>
      <c r="I4" s="5">
        <v>336.20800000000003</v>
      </c>
      <c r="J4" s="5">
        <v>351.20800000000003</v>
      </c>
      <c r="K4" s="5">
        <v>344.76100000000002</v>
      </c>
      <c r="L4" s="5">
        <v>366</v>
      </c>
      <c r="M4" s="5">
        <v>377</v>
      </c>
      <c r="N4" s="5">
        <v>400</v>
      </c>
      <c r="O4" s="4">
        <v>382</v>
      </c>
      <c r="P4" s="4">
        <v>444</v>
      </c>
      <c r="Q4" s="4">
        <v>486</v>
      </c>
      <c r="R4" s="4">
        <v>525</v>
      </c>
      <c r="S4" s="4">
        <v>511</v>
      </c>
      <c r="T4" s="28"/>
      <c r="U4" s="29"/>
      <c r="V4" s="35">
        <f>SUM(P4:S4)*(1+$V$3)</f>
        <v>2457.5</v>
      </c>
      <c r="W4" s="35">
        <f>V4*(1+$W$3)</f>
        <v>3071.875</v>
      </c>
      <c r="X4" s="35">
        <f>W4*(1+$W$3)</f>
        <v>3839.84375</v>
      </c>
      <c r="Y4" s="35">
        <f>X4*(1+$W$3)</f>
        <v>4799.8046875</v>
      </c>
      <c r="Z4" s="35">
        <f>Y4*(1+$W$3)</f>
        <v>5999.755859375</v>
      </c>
      <c r="AA4" s="35">
        <f>Z4*(1+$W$3)</f>
        <v>7499.69482421875</v>
      </c>
    </row>
    <row r="5" spans="1:30" s="4" customFormat="1" x14ac:dyDescent="0.15">
      <c r="B5" s="4" t="s">
        <v>49</v>
      </c>
      <c r="K5" s="2">
        <v>78</v>
      </c>
      <c r="L5" s="2">
        <v>85</v>
      </c>
      <c r="M5" s="5">
        <v>82</v>
      </c>
      <c r="N5" s="5">
        <v>86</v>
      </c>
      <c r="O5" s="5">
        <v>84</v>
      </c>
      <c r="P5" s="5">
        <v>85</v>
      </c>
      <c r="Q5" s="5">
        <v>88</v>
      </c>
      <c r="R5" s="5">
        <v>97</v>
      </c>
      <c r="S5" s="5">
        <v>97</v>
      </c>
      <c r="T5" s="27"/>
      <c r="U5" s="27"/>
      <c r="V5" s="33">
        <v>0.82</v>
      </c>
      <c r="W5" s="33">
        <v>0.82</v>
      </c>
      <c r="X5" s="33">
        <v>0.82</v>
      </c>
      <c r="Y5" s="33">
        <v>0.82</v>
      </c>
      <c r="Z5" s="33">
        <v>0.82</v>
      </c>
      <c r="AA5" s="33">
        <v>0.82</v>
      </c>
    </row>
    <row r="6" spans="1:30" s="4" customFormat="1" x14ac:dyDescent="0.15">
      <c r="B6" s="10" t="s">
        <v>50</v>
      </c>
      <c r="C6" s="10"/>
      <c r="D6" s="10"/>
      <c r="E6" s="10"/>
      <c r="F6" s="10"/>
      <c r="G6" s="10"/>
      <c r="H6" s="10"/>
      <c r="I6" s="10"/>
      <c r="J6" s="10"/>
      <c r="K6" s="10">
        <f>K4-K5</f>
        <v>266.76100000000002</v>
      </c>
      <c r="L6" s="10">
        <f t="shared" ref="L6:S6" si="10">L4-L5</f>
        <v>281</v>
      </c>
      <c r="M6" s="10">
        <f t="shared" si="10"/>
        <v>295</v>
      </c>
      <c r="N6" s="10">
        <f t="shared" si="10"/>
        <v>314</v>
      </c>
      <c r="O6" s="10">
        <f t="shared" si="10"/>
        <v>298</v>
      </c>
      <c r="P6" s="10">
        <f t="shared" si="10"/>
        <v>359</v>
      </c>
      <c r="Q6" s="10">
        <f t="shared" si="10"/>
        <v>398</v>
      </c>
      <c r="R6" s="10">
        <f t="shared" si="10"/>
        <v>428</v>
      </c>
      <c r="S6" s="10">
        <f t="shared" si="10"/>
        <v>414</v>
      </c>
      <c r="T6" s="27"/>
      <c r="U6" s="27"/>
      <c r="V6" s="36">
        <f>V4*V5</f>
        <v>2015.1499999999999</v>
      </c>
      <c r="W6" s="36">
        <f t="shared" ref="W6:AA6" si="11">W4*W5</f>
        <v>2518.9375</v>
      </c>
      <c r="X6" s="36">
        <f t="shared" si="11"/>
        <v>3148.671875</v>
      </c>
      <c r="Y6" s="36">
        <f t="shared" si="11"/>
        <v>3935.8398437499995</v>
      </c>
      <c r="Z6" s="36">
        <f t="shared" si="11"/>
        <v>4919.7998046875</v>
      </c>
      <c r="AA6" s="36">
        <f t="shared" si="11"/>
        <v>6149.749755859375</v>
      </c>
    </row>
    <row r="7" spans="1:30" s="10" customFormat="1" x14ac:dyDescent="0.15">
      <c r="B7" s="18" t="s">
        <v>56</v>
      </c>
      <c r="K7" s="16">
        <f>K6/K4</f>
        <v>0.77375631234391362</v>
      </c>
      <c r="L7" s="16">
        <f t="shared" ref="L7:S7" si="12">L6/L4</f>
        <v>0.76775956284153002</v>
      </c>
      <c r="M7" s="16">
        <f t="shared" si="12"/>
        <v>0.7824933687002652</v>
      </c>
      <c r="N7" s="16">
        <f t="shared" si="12"/>
        <v>0.78500000000000003</v>
      </c>
      <c r="O7" s="16">
        <f t="shared" si="12"/>
        <v>0.78010471204188481</v>
      </c>
      <c r="P7" s="16">
        <f t="shared" si="12"/>
        <v>0.80855855855855852</v>
      </c>
      <c r="Q7" s="16">
        <f t="shared" si="12"/>
        <v>0.81893004115226342</v>
      </c>
      <c r="R7" s="16">
        <f t="shared" si="12"/>
        <v>0.81523809523809521</v>
      </c>
      <c r="S7" s="16">
        <f t="shared" si="12"/>
        <v>0.81017612524461835</v>
      </c>
      <c r="T7" s="29"/>
      <c r="U7" s="30"/>
      <c r="V7" s="25"/>
      <c r="W7" s="25"/>
      <c r="X7" s="25"/>
      <c r="Y7" s="25"/>
      <c r="Z7" s="25"/>
      <c r="AA7" s="25"/>
    </row>
    <row r="8" spans="1:30" s="10" customFormat="1" x14ac:dyDescent="0.15">
      <c r="T8" s="27"/>
      <c r="U8" s="27"/>
      <c r="V8" s="25"/>
      <c r="W8" s="25"/>
      <c r="X8" s="25"/>
      <c r="Y8" s="25"/>
      <c r="Z8" s="25"/>
      <c r="AA8" s="25"/>
    </row>
    <row r="9" spans="1:30" s="10" customFormat="1" x14ac:dyDescent="0.15">
      <c r="B9" s="4" t="s">
        <v>51</v>
      </c>
      <c r="C9" s="5"/>
      <c r="D9" s="5">
        <v>517.90700000000004</v>
      </c>
      <c r="E9" s="5">
        <v>522.13099999999997</v>
      </c>
      <c r="F9" s="5">
        <v>698.30399999999997</v>
      </c>
      <c r="G9" s="5">
        <v>667.96600000000001</v>
      </c>
      <c r="H9" s="5">
        <v>785.20799999999997</v>
      </c>
      <c r="I9" s="5">
        <v>787.53200000000004</v>
      </c>
      <c r="J9" s="5">
        <v>1028.816</v>
      </c>
      <c r="K9" s="5">
        <v>858.86199999999997</v>
      </c>
      <c r="L9" s="5">
        <v>929</v>
      </c>
      <c r="M9" s="5">
        <v>989</v>
      </c>
      <c r="N9" s="5">
        <v>1335</v>
      </c>
      <c r="O9" s="4">
        <v>1126</v>
      </c>
      <c r="P9" s="4">
        <v>1250</v>
      </c>
      <c r="Q9" s="4">
        <v>1228</v>
      </c>
      <c r="R9" s="4">
        <v>1619</v>
      </c>
      <c r="S9" s="4">
        <v>1350</v>
      </c>
      <c r="T9" s="30"/>
      <c r="U9" s="30"/>
      <c r="V9" s="35">
        <f>SUM(P9:S9)*(1+$V$3)</f>
        <v>6808.75</v>
      </c>
      <c r="W9" s="35">
        <f>V9*(1+$W$3)</f>
        <v>8510.9375</v>
      </c>
      <c r="X9" s="35">
        <f>W9*(1+$W$3)</f>
        <v>10638.671875</v>
      </c>
      <c r="Y9" s="35">
        <f>X9*(1+$W$3)</f>
        <v>13298.33984375</v>
      </c>
      <c r="Z9" s="35">
        <f>Y9*(1+$W$3)</f>
        <v>16622.9248046875</v>
      </c>
      <c r="AA9" s="35">
        <f>Z9*(1+$W$3)</f>
        <v>20778.656005859375</v>
      </c>
    </row>
    <row r="10" spans="1:30" s="10" customFormat="1" x14ac:dyDescent="0.15">
      <c r="B10" s="4" t="s">
        <v>52</v>
      </c>
      <c r="C10" s="11"/>
      <c r="D10" s="11"/>
      <c r="E10" s="11"/>
      <c r="F10" s="11"/>
      <c r="G10" s="11"/>
      <c r="H10" s="11"/>
      <c r="I10" s="11"/>
      <c r="J10" s="11"/>
      <c r="K10" s="17">
        <v>488</v>
      </c>
      <c r="L10" s="8">
        <v>554</v>
      </c>
      <c r="M10" s="5">
        <v>622</v>
      </c>
      <c r="N10" s="5">
        <v>851</v>
      </c>
      <c r="O10" s="5">
        <v>707</v>
      </c>
      <c r="P10" s="5">
        <v>774</v>
      </c>
      <c r="Q10" s="5">
        <v>725</v>
      </c>
      <c r="R10" s="5">
        <v>985</v>
      </c>
      <c r="S10" s="5">
        <v>985</v>
      </c>
      <c r="T10" s="30"/>
      <c r="U10" s="30"/>
      <c r="V10" s="33">
        <v>0.27</v>
      </c>
      <c r="W10" s="33">
        <v>0.26</v>
      </c>
      <c r="X10" s="33">
        <v>0.25</v>
      </c>
      <c r="Y10" s="33">
        <v>0.24</v>
      </c>
      <c r="Z10" s="33">
        <v>0.23</v>
      </c>
      <c r="AA10" s="33">
        <v>0.22</v>
      </c>
      <c r="AD10" s="41">
        <v>10</v>
      </c>
    </row>
    <row r="11" spans="1:30" x14ac:dyDescent="0.15">
      <c r="B11" s="10" t="s">
        <v>53</v>
      </c>
      <c r="C11" s="11"/>
      <c r="D11" s="11"/>
      <c r="E11" s="16"/>
      <c r="F11" s="16"/>
      <c r="G11" s="16"/>
      <c r="H11" s="16"/>
      <c r="I11" s="16"/>
      <c r="J11" s="16"/>
      <c r="K11" s="10">
        <f>K9-K10</f>
        <v>370.86199999999997</v>
      </c>
      <c r="L11" s="10">
        <f t="shared" ref="L11" si="13">L9-L10</f>
        <v>375</v>
      </c>
      <c r="M11" s="10">
        <f t="shared" ref="M11" si="14">M9-M10</f>
        <v>367</v>
      </c>
      <c r="N11" s="10">
        <f t="shared" ref="N11" si="15">N9-N10</f>
        <v>484</v>
      </c>
      <c r="O11" s="10">
        <f t="shared" ref="O11" si="16">O9-O10</f>
        <v>419</v>
      </c>
      <c r="P11" s="10">
        <f t="shared" ref="P11" si="17">P9-P10</f>
        <v>476</v>
      </c>
      <c r="Q11" s="10">
        <f t="shared" ref="Q11" si="18">Q9-Q10</f>
        <v>503</v>
      </c>
      <c r="R11" s="10">
        <f t="shared" ref="R11" si="19">R9-R10</f>
        <v>634</v>
      </c>
      <c r="S11" s="10">
        <f t="shared" ref="S11" si="20">S9-S10</f>
        <v>365</v>
      </c>
      <c r="T11" s="30"/>
      <c r="U11" s="30"/>
      <c r="V11" s="36">
        <f>V9*V10</f>
        <v>1838.3625000000002</v>
      </c>
      <c r="W11" s="36">
        <f t="shared" ref="W11:AA11" si="21">W9*W10</f>
        <v>2212.84375</v>
      </c>
      <c r="X11" s="36">
        <f t="shared" si="21"/>
        <v>2659.66796875</v>
      </c>
      <c r="Y11" s="36">
        <f t="shared" si="21"/>
        <v>3191.6015625</v>
      </c>
      <c r="Z11" s="36">
        <f t="shared" si="21"/>
        <v>3823.272705078125</v>
      </c>
      <c r="AA11" s="36">
        <f t="shared" si="21"/>
        <v>4571.3043212890625</v>
      </c>
      <c r="AD11" s="42">
        <v>12</v>
      </c>
    </row>
    <row r="12" spans="1:30" s="4" customFormat="1" x14ac:dyDescent="0.15">
      <c r="B12" s="18" t="s">
        <v>56</v>
      </c>
      <c r="C12" s="11"/>
      <c r="D12" s="11"/>
      <c r="E12" s="16"/>
      <c r="F12" s="16"/>
      <c r="G12" s="16"/>
      <c r="H12" s="16"/>
      <c r="I12" s="16"/>
      <c r="J12" s="16"/>
      <c r="K12" s="16">
        <f>K11/K9</f>
        <v>0.43180627388334797</v>
      </c>
      <c r="L12" s="16">
        <f t="shared" ref="L12" si="22">L11/L9</f>
        <v>0.40365984930032295</v>
      </c>
      <c r="M12" s="16">
        <f t="shared" ref="M12" si="23">M11/M9</f>
        <v>0.37108190091001009</v>
      </c>
      <c r="N12" s="16">
        <f t="shared" ref="N12" si="24">N11/N9</f>
        <v>0.36254681647940074</v>
      </c>
      <c r="O12" s="16">
        <f t="shared" ref="O12" si="25">O11/O9</f>
        <v>0.37211367673179396</v>
      </c>
      <c r="P12" s="16">
        <f t="shared" ref="P12" si="26">P11/P9</f>
        <v>0.38080000000000003</v>
      </c>
      <c r="Q12" s="16">
        <f t="shared" ref="Q12" si="27">Q11/Q9</f>
        <v>0.40960912052117265</v>
      </c>
      <c r="R12" s="16">
        <f t="shared" ref="R12" si="28">R11/R9</f>
        <v>0.39159975293390981</v>
      </c>
      <c r="S12" s="16">
        <f t="shared" ref="S12" si="29">S11/S9</f>
        <v>0.27037037037037037</v>
      </c>
      <c r="T12" s="29"/>
      <c r="U12" s="30"/>
      <c r="V12" s="23"/>
      <c r="W12" s="23"/>
      <c r="X12" s="23"/>
      <c r="Y12" s="23"/>
      <c r="Z12" s="23"/>
      <c r="AA12" s="23"/>
      <c r="AD12" s="41">
        <v>14</v>
      </c>
    </row>
    <row r="13" spans="1:30" s="4" customFormat="1" x14ac:dyDescent="0.15">
      <c r="B13"/>
      <c r="C13" s="2"/>
      <c r="D13" s="2"/>
      <c r="E13" s="2"/>
      <c r="F13" s="2"/>
      <c r="G13" s="2"/>
      <c r="H13" s="2"/>
      <c r="I13" s="2"/>
      <c r="J13" s="2"/>
      <c r="T13" s="27"/>
      <c r="U13" s="29"/>
      <c r="V13" s="23"/>
      <c r="W13" s="23"/>
      <c r="X13" s="23"/>
      <c r="Y13" s="23"/>
      <c r="Z13" s="23"/>
      <c r="AA13" s="23"/>
      <c r="AD13" s="42">
        <v>16</v>
      </c>
    </row>
    <row r="14" spans="1:30" s="4" customFormat="1" x14ac:dyDescent="0.15">
      <c r="B14" s="10" t="s">
        <v>54</v>
      </c>
      <c r="K14" s="10">
        <f>K9+K4</f>
        <v>1203.623</v>
      </c>
      <c r="L14" s="10">
        <f t="shared" ref="L14:S14" si="30">L9+L4</f>
        <v>1295</v>
      </c>
      <c r="M14" s="10">
        <f t="shared" si="30"/>
        <v>1366</v>
      </c>
      <c r="N14" s="10">
        <f t="shared" si="30"/>
        <v>1735</v>
      </c>
      <c r="O14" s="10">
        <f t="shared" si="30"/>
        <v>1508</v>
      </c>
      <c r="P14" s="10">
        <f t="shared" si="30"/>
        <v>1694</v>
      </c>
      <c r="Q14" s="10">
        <f t="shared" si="30"/>
        <v>1714</v>
      </c>
      <c r="R14" s="10">
        <f t="shared" si="30"/>
        <v>2144</v>
      </c>
      <c r="S14" s="10">
        <f t="shared" si="30"/>
        <v>1861</v>
      </c>
      <c r="T14" s="27"/>
      <c r="U14" s="27"/>
      <c r="V14" s="36">
        <f>V4+V9</f>
        <v>9266.25</v>
      </c>
      <c r="W14" s="36">
        <f t="shared" ref="W14:AA14" si="31">W4+W9</f>
        <v>11582.8125</v>
      </c>
      <c r="X14" s="36">
        <f t="shared" si="31"/>
        <v>14478.515625</v>
      </c>
      <c r="Y14" s="36">
        <f t="shared" si="31"/>
        <v>18098.14453125</v>
      </c>
      <c r="Z14" s="36">
        <f t="shared" si="31"/>
        <v>22622.6806640625</v>
      </c>
      <c r="AA14" s="36">
        <f t="shared" si="31"/>
        <v>28278.350830078125</v>
      </c>
      <c r="AD14" s="41">
        <v>18</v>
      </c>
    </row>
    <row r="15" spans="1:30" s="4" customFormat="1" x14ac:dyDescent="0.15">
      <c r="B15" s="4" t="s">
        <v>57</v>
      </c>
      <c r="K15" s="20">
        <f>K4/K14</f>
        <v>0.28643603520371413</v>
      </c>
      <c r="L15" s="20">
        <f t="shared" ref="L15:S15" si="32">L4/L14</f>
        <v>0.28262548262548265</v>
      </c>
      <c r="M15" s="20">
        <f t="shared" si="32"/>
        <v>0.27598828696925332</v>
      </c>
      <c r="N15" s="20">
        <f t="shared" si="32"/>
        <v>0.23054755043227665</v>
      </c>
      <c r="O15" s="20">
        <f t="shared" si="32"/>
        <v>0.25331564986737398</v>
      </c>
      <c r="P15" s="20">
        <f t="shared" si="32"/>
        <v>0.26210153482880755</v>
      </c>
      <c r="Q15" s="20">
        <f t="shared" si="32"/>
        <v>0.28354725787631274</v>
      </c>
      <c r="R15" s="20">
        <f t="shared" si="32"/>
        <v>0.24486940298507462</v>
      </c>
      <c r="S15" s="20">
        <f t="shared" si="32"/>
        <v>0.27458355722729716</v>
      </c>
      <c r="T15" s="27"/>
      <c r="U15" s="27"/>
      <c r="V15" s="36"/>
      <c r="W15" s="36"/>
      <c r="X15" s="36"/>
      <c r="Y15" s="36"/>
      <c r="Z15" s="36"/>
      <c r="AA15" s="36"/>
      <c r="AD15" s="42">
        <v>20</v>
      </c>
    </row>
    <row r="16" spans="1:30" s="4" customFormat="1" x14ac:dyDescent="0.15">
      <c r="T16" s="27"/>
      <c r="U16" s="27"/>
      <c r="V16" s="36"/>
      <c r="W16" s="36"/>
      <c r="X16" s="36"/>
      <c r="Y16" s="36"/>
      <c r="Z16" s="36"/>
      <c r="AA16" s="36"/>
      <c r="AD16" s="41">
        <v>22</v>
      </c>
    </row>
    <row r="17" spans="2:30" s="4" customFormat="1" x14ac:dyDescent="0.15">
      <c r="B17" s="10" t="s">
        <v>55</v>
      </c>
      <c r="K17" s="10">
        <f>K6+K11</f>
        <v>637.62300000000005</v>
      </c>
      <c r="L17" s="10">
        <f>L6+L11</f>
        <v>656</v>
      </c>
      <c r="M17" s="10">
        <f>M6+M11</f>
        <v>662</v>
      </c>
      <c r="N17" s="10">
        <f>N6+N11</f>
        <v>798</v>
      </c>
      <c r="O17" s="10">
        <f>O6+O11</f>
        <v>717</v>
      </c>
      <c r="P17" s="10">
        <f>P6+P11</f>
        <v>835</v>
      </c>
      <c r="Q17" s="10">
        <f>Q6+Q11</f>
        <v>901</v>
      </c>
      <c r="R17" s="10">
        <f>R6+R11</f>
        <v>1062</v>
      </c>
      <c r="S17" s="10">
        <f>S6+S11</f>
        <v>779</v>
      </c>
      <c r="T17" s="27"/>
      <c r="U17" s="27"/>
      <c r="V17" s="36">
        <f>V6+V11</f>
        <v>3853.5124999999998</v>
      </c>
      <c r="W17" s="36">
        <f t="shared" ref="W17:AA17" si="33">W6+W11</f>
        <v>4731.78125</v>
      </c>
      <c r="X17" s="36">
        <f t="shared" si="33"/>
        <v>5808.33984375</v>
      </c>
      <c r="Y17" s="36">
        <f t="shared" si="33"/>
        <v>7127.44140625</v>
      </c>
      <c r="Z17" s="36">
        <f t="shared" si="33"/>
        <v>8743.072509765625</v>
      </c>
      <c r="AA17" s="36">
        <f t="shared" si="33"/>
        <v>10721.054077148438</v>
      </c>
      <c r="AD17" s="42">
        <v>24</v>
      </c>
    </row>
    <row r="18" spans="2:30" s="4" customFormat="1" x14ac:dyDescent="0.15">
      <c r="B18" s="4" t="s">
        <v>58</v>
      </c>
      <c r="C18" s="5"/>
      <c r="D18" s="5"/>
      <c r="E18" s="5"/>
      <c r="F18" s="5"/>
      <c r="G18" s="5"/>
      <c r="H18" s="5"/>
      <c r="I18" s="5"/>
      <c r="J18" s="5"/>
      <c r="K18" s="20">
        <f>K6/K17</f>
        <v>0.41836790705479571</v>
      </c>
      <c r="L18" s="20">
        <f>L6/L17</f>
        <v>0.42835365853658536</v>
      </c>
      <c r="M18" s="20">
        <f>M6/M17</f>
        <v>0.44561933534743203</v>
      </c>
      <c r="N18" s="20">
        <f>N6/N17</f>
        <v>0.39348370927318294</v>
      </c>
      <c r="O18" s="20">
        <f>O6/O17</f>
        <v>0.41562064156206413</v>
      </c>
      <c r="P18" s="20">
        <f>P6/P17</f>
        <v>0.42994011976047902</v>
      </c>
      <c r="Q18" s="20">
        <f>Q6/Q17</f>
        <v>0.44173140954495005</v>
      </c>
      <c r="R18" s="20">
        <f>R6/R17</f>
        <v>0.40301318267419961</v>
      </c>
      <c r="S18" s="20">
        <f>S6/S17</f>
        <v>0.53145057766367132</v>
      </c>
      <c r="T18" s="27"/>
      <c r="U18" s="27"/>
      <c r="V18" s="23"/>
      <c r="W18" s="23"/>
      <c r="X18" s="23"/>
      <c r="Y18" s="23"/>
      <c r="Z18" s="23"/>
      <c r="AA18" s="23"/>
      <c r="AD18" s="41">
        <v>26</v>
      </c>
    </row>
    <row r="19" spans="2:30" s="4" customFormat="1" x14ac:dyDescent="0.15">
      <c r="L19" s="5"/>
      <c r="M19" s="5"/>
      <c r="N19" s="12"/>
      <c r="T19" s="27"/>
      <c r="U19" s="27"/>
      <c r="V19" s="23"/>
      <c r="W19" s="23"/>
      <c r="X19" s="23"/>
      <c r="Y19" s="23"/>
      <c r="Z19" s="23"/>
      <c r="AA19" s="23"/>
      <c r="AD19" s="42">
        <v>28</v>
      </c>
    </row>
    <row r="20" spans="2:30" s="4" customFormat="1" x14ac:dyDescent="0.15">
      <c r="H20" s="15">
        <f>H21/D21-1</f>
        <v>0.39392474974111158</v>
      </c>
      <c r="I20" s="15">
        <f t="shared" ref="I20:S20" si="34">I21/E21-1</f>
        <v>0.61203322313153752</v>
      </c>
      <c r="J20" s="15">
        <f t="shared" si="34"/>
        <v>0.78038234837909104</v>
      </c>
      <c r="K20" s="15">
        <f t="shared" si="34"/>
        <v>0.62907374491872625</v>
      </c>
      <c r="L20" s="15">
        <f t="shared" si="34"/>
        <v>0.61953345549997518</v>
      </c>
      <c r="M20" s="15">
        <f t="shared" si="34"/>
        <v>0.26917953006736739</v>
      </c>
      <c r="N20" s="15">
        <f t="shared" si="34"/>
        <v>8.1767855522279609E-2</v>
      </c>
      <c r="O20" s="15">
        <f t="shared" si="34"/>
        <v>-5.3963628692261234E-2</v>
      </c>
      <c r="P20" s="15">
        <f t="shared" si="34"/>
        <v>-1.834862385321101E-2</v>
      </c>
      <c r="Q20" s="15">
        <f t="shared" si="34"/>
        <v>-2.3178807947019875E-2</v>
      </c>
      <c r="R20" s="15">
        <f t="shared" si="34"/>
        <v>6.3758389261745041E-2</v>
      </c>
      <c r="S20" s="15">
        <f t="shared" si="34"/>
        <v>0.2578397212543555</v>
      </c>
      <c r="T20" s="27"/>
      <c r="U20" s="27"/>
      <c r="V20" s="33">
        <v>7.0000000000000007E-2</v>
      </c>
      <c r="W20" s="33">
        <v>7.0000000000000007E-2</v>
      </c>
      <c r="X20" s="33">
        <v>7.0000000000000007E-2</v>
      </c>
      <c r="Y20" s="33">
        <v>7.0000000000000007E-2</v>
      </c>
      <c r="Z20" s="33">
        <v>7.0000000000000007E-2</v>
      </c>
      <c r="AA20" s="33">
        <v>7.0000000000000007E-2</v>
      </c>
      <c r="AD20" s="41">
        <v>30</v>
      </c>
    </row>
    <row r="21" spans="2:30" s="4" customFormat="1" x14ac:dyDescent="0.15">
      <c r="B21" s="4" t="s">
        <v>28</v>
      </c>
      <c r="C21" s="5"/>
      <c r="D21" s="5">
        <v>144.85</v>
      </c>
      <c r="E21" s="5">
        <v>147.608</v>
      </c>
      <c r="F21" s="5">
        <v>154.72800000000001</v>
      </c>
      <c r="G21" s="5">
        <v>186.22300000000001</v>
      </c>
      <c r="H21" s="5">
        <v>201.91</v>
      </c>
      <c r="I21" s="5">
        <v>237.94900000000001</v>
      </c>
      <c r="J21" s="5">
        <v>275.47500000000002</v>
      </c>
      <c r="K21" s="5">
        <v>303.37099999999998</v>
      </c>
      <c r="L21" s="5">
        <v>327</v>
      </c>
      <c r="M21" s="5">
        <v>302</v>
      </c>
      <c r="N21" s="4">
        <v>298</v>
      </c>
      <c r="O21" s="2">
        <v>287</v>
      </c>
      <c r="P21" s="4">
        <v>321</v>
      </c>
      <c r="Q21">
        <v>295</v>
      </c>
      <c r="R21" s="5">
        <v>317</v>
      </c>
      <c r="S21" s="5">
        <v>361</v>
      </c>
      <c r="T21" s="27"/>
      <c r="U21" s="27"/>
      <c r="V21" s="23"/>
      <c r="W21" s="23"/>
      <c r="X21" s="23"/>
      <c r="Y21" s="23"/>
      <c r="Z21" s="23"/>
      <c r="AA21" s="23"/>
      <c r="AD21" s="42"/>
    </row>
    <row r="22" spans="2:30" s="4" customFormat="1" x14ac:dyDescent="0.15">
      <c r="B22" s="4" t="s">
        <v>27</v>
      </c>
      <c r="C22" s="5"/>
      <c r="D22" s="5">
        <v>133.227</v>
      </c>
      <c r="E22" s="5">
        <v>143.42699999999999</v>
      </c>
      <c r="F22" s="5">
        <v>159.077</v>
      </c>
      <c r="G22" s="5">
        <v>175.886</v>
      </c>
      <c r="H22" s="5">
        <v>183.55699999999999</v>
      </c>
      <c r="I22" s="5">
        <v>221.02799999999999</v>
      </c>
      <c r="J22" s="5">
        <v>273.47500000000002</v>
      </c>
      <c r="K22" s="5">
        <v>303.661</v>
      </c>
      <c r="L22" s="5">
        <v>347</v>
      </c>
      <c r="M22" s="5">
        <v>412</v>
      </c>
      <c r="N22" s="4">
        <v>440</v>
      </c>
      <c r="O22" s="2">
        <v>458</v>
      </c>
      <c r="P22" s="4">
        <v>648</v>
      </c>
      <c r="Q22">
        <v>313</v>
      </c>
      <c r="R22" s="5">
        <v>311</v>
      </c>
      <c r="S22" s="5">
        <v>335</v>
      </c>
      <c r="T22" s="27"/>
      <c r="U22" s="27"/>
      <c r="V22" s="23"/>
      <c r="W22" s="23"/>
      <c r="X22" s="23"/>
      <c r="Y22" s="23"/>
      <c r="Z22" s="23"/>
      <c r="AA22" s="23"/>
      <c r="AD22" s="41"/>
    </row>
    <row r="23" spans="2:30" s="4" customFormat="1" x14ac:dyDescent="0.15">
      <c r="B23" s="4" t="s">
        <v>26</v>
      </c>
      <c r="C23" s="5"/>
      <c r="D23" s="5">
        <v>83.307000000000002</v>
      </c>
      <c r="E23" s="5">
        <v>51.798999999999999</v>
      </c>
      <c r="F23" s="5">
        <v>65.394999999999996</v>
      </c>
      <c r="G23" s="5">
        <v>67.102000000000004</v>
      </c>
      <c r="H23" s="5">
        <v>77.965999999999994</v>
      </c>
      <c r="I23" s="5">
        <v>128.72200000000001</v>
      </c>
      <c r="J23" s="5">
        <v>101.054</v>
      </c>
      <c r="K23" s="5">
        <v>108.08799999999999</v>
      </c>
      <c r="L23" s="5">
        <v>130</v>
      </c>
      <c r="M23" s="5">
        <v>255</v>
      </c>
      <c r="N23" s="4">
        <v>214</v>
      </c>
      <c r="O23" s="2">
        <v>123</v>
      </c>
      <c r="P23" s="4">
        <v>131</v>
      </c>
      <c r="Q23">
        <v>137</v>
      </c>
      <c r="R23" s="5">
        <v>100</v>
      </c>
      <c r="S23" s="5">
        <v>124</v>
      </c>
      <c r="T23" s="27"/>
      <c r="U23" s="27"/>
      <c r="V23" s="23"/>
      <c r="W23" s="23"/>
      <c r="X23" s="23"/>
      <c r="Y23" s="23"/>
      <c r="Z23" s="23"/>
      <c r="AA23" s="23"/>
      <c r="AD23" s="42"/>
    </row>
    <row r="24" spans="2:30" x14ac:dyDescent="0.15">
      <c r="B24" s="4" t="s">
        <v>25</v>
      </c>
      <c r="C24" s="5"/>
      <c r="D24" s="5">
        <v>13.366</v>
      </c>
      <c r="E24" s="5">
        <v>11.753</v>
      </c>
      <c r="F24" s="5">
        <v>12.647</v>
      </c>
      <c r="G24" s="5">
        <v>10.606</v>
      </c>
      <c r="H24" s="5">
        <v>17.986000000000001</v>
      </c>
      <c r="I24" s="5">
        <v>25.311</v>
      </c>
      <c r="J24" s="5">
        <v>27.814</v>
      </c>
      <c r="K24" s="5">
        <v>20.492999999999999</v>
      </c>
      <c r="L24" s="2">
        <v>42</v>
      </c>
      <c r="M24" s="2">
        <v>39</v>
      </c>
      <c r="N24" s="2">
        <v>34</v>
      </c>
      <c r="O24">
        <v>42</v>
      </c>
      <c r="P24">
        <v>31</v>
      </c>
      <c r="Q24">
        <v>34</v>
      </c>
      <c r="R24" s="5">
        <v>45</v>
      </c>
      <c r="S24" s="5">
        <v>51</v>
      </c>
      <c r="T24" s="29"/>
      <c r="U24" s="29"/>
      <c r="V24" s="24"/>
      <c r="W24" s="24"/>
      <c r="X24" s="24"/>
      <c r="Y24" s="24"/>
      <c r="Z24" s="24"/>
      <c r="AA24" s="24"/>
      <c r="AD24" s="41"/>
    </row>
    <row r="25" spans="2:30" s="21" customFormat="1" x14ac:dyDescent="0.15">
      <c r="B25" s="10" t="s">
        <v>24</v>
      </c>
      <c r="C25" s="11"/>
      <c r="D25" s="11">
        <f>SUM(D21:D24)</f>
        <v>374.75</v>
      </c>
      <c r="E25" s="11">
        <f>SUM(E21:E24)</f>
        <v>354.58699999999993</v>
      </c>
      <c r="F25" s="11">
        <f>SUM(F21:F24)</f>
        <v>391.84699999999998</v>
      </c>
      <c r="G25" s="11">
        <f>SUM(G21:G24)</f>
        <v>439.81700000000001</v>
      </c>
      <c r="H25" s="11">
        <f t="shared" ref="H25:J25" si="35">SUM(H21:H24)</f>
        <v>481.41899999999998</v>
      </c>
      <c r="I25" s="11">
        <f t="shared" si="35"/>
        <v>613.01</v>
      </c>
      <c r="J25" s="11">
        <f t="shared" si="35"/>
        <v>677.81799999999998</v>
      </c>
      <c r="K25" s="11">
        <f>SUM(K21:K24)</f>
        <v>735.61299999999994</v>
      </c>
      <c r="L25" s="11">
        <f t="shared" ref="L25:S25" si="36">SUM(L21:L24)</f>
        <v>846</v>
      </c>
      <c r="M25" s="11">
        <f t="shared" si="36"/>
        <v>1008</v>
      </c>
      <c r="N25" s="11">
        <f t="shared" si="36"/>
        <v>986</v>
      </c>
      <c r="O25" s="11">
        <f t="shared" si="36"/>
        <v>910</v>
      </c>
      <c r="P25" s="11">
        <f t="shared" si="36"/>
        <v>1131</v>
      </c>
      <c r="Q25" s="11">
        <f t="shared" si="36"/>
        <v>779</v>
      </c>
      <c r="R25" s="11">
        <f t="shared" si="36"/>
        <v>773</v>
      </c>
      <c r="S25" s="11">
        <f t="shared" si="36"/>
        <v>871</v>
      </c>
      <c r="T25" s="31"/>
      <c r="U25" s="31"/>
      <c r="V25" s="37">
        <f>SUM(P25:S25)*(1+$V$20)</f>
        <v>3802.78</v>
      </c>
      <c r="W25" s="37">
        <f>V25*(1+$W$20)</f>
        <v>4068.9746000000005</v>
      </c>
      <c r="X25" s="37">
        <f>W25*(1+$W$20)</f>
        <v>4353.8028220000006</v>
      </c>
      <c r="Y25" s="37">
        <f>X25*(1+$W$20)</f>
        <v>4658.5690195400011</v>
      </c>
      <c r="Z25" s="37">
        <f>Y25*(1+$W$20)</f>
        <v>4984.6688509078012</v>
      </c>
      <c r="AA25" s="37">
        <f>Z25*(1+$W$20)</f>
        <v>5333.5956704713481</v>
      </c>
      <c r="AD25" s="42"/>
    </row>
    <row r="26" spans="2:30" x14ac:dyDescent="0.15">
      <c r="N26" s="5"/>
      <c r="T26" s="29"/>
      <c r="U26" s="29"/>
      <c r="V26" s="24"/>
      <c r="W26" s="24"/>
      <c r="X26" s="24"/>
      <c r="Y26" s="24"/>
      <c r="Z26" s="24"/>
      <c r="AA26" s="24"/>
      <c r="AD26" s="41"/>
    </row>
    <row r="27" spans="2:30" s="14" customFormat="1" x14ac:dyDescent="0.15">
      <c r="B27" s="4" t="s">
        <v>23</v>
      </c>
      <c r="C27" s="5"/>
      <c r="D27" s="5">
        <f>D17-D25</f>
        <v>-374.75</v>
      </c>
      <c r="E27" s="5">
        <f t="shared" ref="E27:S27" si="37">E17-E25</f>
        <v>-354.58699999999993</v>
      </c>
      <c r="F27" s="5">
        <f t="shared" si="37"/>
        <v>-391.84699999999998</v>
      </c>
      <c r="G27" s="5">
        <f t="shared" si="37"/>
        <v>-439.81700000000001</v>
      </c>
      <c r="H27" s="5">
        <f t="shared" si="37"/>
        <v>-481.41899999999998</v>
      </c>
      <c r="I27" s="5">
        <f t="shared" si="37"/>
        <v>-613.01</v>
      </c>
      <c r="J27" s="5">
        <f t="shared" si="37"/>
        <v>-677.81799999999998</v>
      </c>
      <c r="K27" s="5">
        <f t="shared" si="37"/>
        <v>-97.989999999999895</v>
      </c>
      <c r="L27" s="5">
        <f>L17-L25</f>
        <v>-190</v>
      </c>
      <c r="M27" s="5">
        <f>M17-M25</f>
        <v>-346</v>
      </c>
      <c r="N27" s="5">
        <f t="shared" si="37"/>
        <v>-188</v>
      </c>
      <c r="O27" s="5">
        <f t="shared" si="37"/>
        <v>-193</v>
      </c>
      <c r="P27" s="5">
        <f t="shared" si="37"/>
        <v>-296</v>
      </c>
      <c r="Q27" s="5">
        <f t="shared" si="37"/>
        <v>122</v>
      </c>
      <c r="R27" s="5">
        <f t="shared" si="37"/>
        <v>289</v>
      </c>
      <c r="S27" s="5">
        <f t="shared" si="37"/>
        <v>-92</v>
      </c>
      <c r="T27" s="32"/>
      <c r="U27" s="32"/>
      <c r="V27" s="34">
        <f>V17-V25</f>
        <v>50.732499999999618</v>
      </c>
      <c r="W27" s="34">
        <f t="shared" ref="W27:AA27" si="38">W17-W25</f>
        <v>662.80664999999954</v>
      </c>
      <c r="X27" s="34">
        <f t="shared" si="38"/>
        <v>1454.5370217499994</v>
      </c>
      <c r="Y27" s="34">
        <f t="shared" si="38"/>
        <v>2468.8723867099989</v>
      </c>
      <c r="Z27" s="34">
        <f t="shared" si="38"/>
        <v>3758.4036588578238</v>
      </c>
      <c r="AA27" s="34">
        <f t="shared" si="38"/>
        <v>5387.4584066770894</v>
      </c>
      <c r="AD27" s="42"/>
    </row>
    <row r="28" spans="2:30" x14ac:dyDescent="0.15">
      <c r="B28" s="4"/>
      <c r="C28" s="5"/>
      <c r="D28" s="5"/>
      <c r="E28" s="5"/>
      <c r="F28" s="5"/>
      <c r="G28" s="5"/>
      <c r="H28" s="5"/>
      <c r="I28" s="5"/>
      <c r="J28" s="5"/>
      <c r="K28" s="5"/>
      <c r="T28" s="29"/>
      <c r="U28" s="29"/>
      <c r="V28" s="29"/>
      <c r="AD28" s="41"/>
    </row>
    <row r="29" spans="2:30" x14ac:dyDescent="0.15">
      <c r="B29" s="4"/>
      <c r="C29" s="5"/>
      <c r="D29" s="5"/>
      <c r="E29" s="5"/>
      <c r="F29" s="5"/>
      <c r="G29" s="5"/>
      <c r="H29" s="5"/>
      <c r="I29" s="5"/>
      <c r="J29" s="5"/>
      <c r="K29" s="5"/>
      <c r="Z29" s="39" t="s">
        <v>59</v>
      </c>
      <c r="AA29" s="40">
        <v>30</v>
      </c>
      <c r="AD29" s="42"/>
    </row>
    <row r="30" spans="2:30" x14ac:dyDescent="0.15">
      <c r="B30" s="4"/>
      <c r="C30" s="5"/>
      <c r="D30" s="5"/>
      <c r="E30" s="5"/>
      <c r="F30" s="5"/>
      <c r="G30" s="5"/>
      <c r="H30" s="15">
        <v>0.70152315790545439</v>
      </c>
      <c r="I30" s="15">
        <v>0.37074455506902493</v>
      </c>
      <c r="J30" s="15">
        <v>0.25682794159748079</v>
      </c>
      <c r="K30" s="15">
        <v>7.5090198670953567E-2</v>
      </c>
      <c r="AD30" s="41"/>
    </row>
    <row r="31" spans="2:30" x14ac:dyDescent="0.15">
      <c r="B31" s="4"/>
      <c r="C31" s="5"/>
      <c r="D31" s="5"/>
      <c r="E31" s="5"/>
      <c r="F31" s="5"/>
      <c r="G31" s="5"/>
      <c r="H31" s="15">
        <v>9.5031369956048994E-2</v>
      </c>
      <c r="I31" s="15">
        <v>0.12132965307190768</v>
      </c>
      <c r="J31" s="15">
        <v>0.13892622035944502</v>
      </c>
      <c r="K31" s="19">
        <v>0.10801395749519216</v>
      </c>
      <c r="V31">
        <v>5</v>
      </c>
      <c r="W31">
        <v>4</v>
      </c>
      <c r="X31">
        <v>3</v>
      </c>
      <c r="Y31">
        <v>2</v>
      </c>
      <c r="Z31">
        <v>1</v>
      </c>
      <c r="AA31">
        <v>0</v>
      </c>
    </row>
    <row r="32" spans="2:30" x14ac:dyDescent="0.15">
      <c r="B32" s="4"/>
      <c r="D32" s="9"/>
      <c r="G32" s="9"/>
      <c r="H32" s="19">
        <v>0.21311475409836067</v>
      </c>
      <c r="I32" s="19">
        <v>0.28912466843501328</v>
      </c>
      <c r="J32" s="19">
        <v>0.3125</v>
      </c>
      <c r="K32" s="19">
        <v>0.33769633507853403</v>
      </c>
      <c r="U32" t="s">
        <v>61</v>
      </c>
      <c r="V32" s="38">
        <f t="shared" ref="V32:Y32" si="39">$AA$32/1.1^V31</f>
        <v>100355.63405400315</v>
      </c>
      <c r="W32" s="38">
        <f t="shared" si="39"/>
        <v>110391.19745940348</v>
      </c>
      <c r="X32" s="38">
        <f t="shared" si="39"/>
        <v>121430.31720534382</v>
      </c>
      <c r="Y32" s="38">
        <f t="shared" si="39"/>
        <v>133573.34892587824</v>
      </c>
      <c r="Z32" s="38">
        <f>$AA$32/1.1^Z31</f>
        <v>146930.68381846606</v>
      </c>
      <c r="AA32" s="38">
        <f>AA27*AA29</f>
        <v>161623.75220031268</v>
      </c>
    </row>
    <row r="33" spans="2:27" x14ac:dyDescent="0.15">
      <c r="B33" s="7"/>
      <c r="C33" s="8"/>
      <c r="D33" s="8"/>
      <c r="E33" s="8"/>
      <c r="F33" s="8"/>
      <c r="G33" s="8"/>
      <c r="H33" s="22">
        <f>AVERAGE(H30:H32)</f>
        <v>0.33655642731995467</v>
      </c>
      <c r="I33" s="22">
        <f t="shared" ref="I33:K33" si="40">AVERAGE(I30:I32)</f>
        <v>0.26039962552531531</v>
      </c>
      <c r="J33" s="22">
        <f t="shared" si="40"/>
        <v>0.23608472065230859</v>
      </c>
      <c r="K33" s="22">
        <f t="shared" si="40"/>
        <v>0.17360016374822659</v>
      </c>
      <c r="L33" s="3">
        <f>AVERAGE(H33:K33)</f>
        <v>0.25166023431145129</v>
      </c>
      <c r="U33" t="s">
        <v>60</v>
      </c>
      <c r="V33" s="14">
        <f>V32/Main!$J$3</f>
        <v>77.976405636366081</v>
      </c>
      <c r="W33">
        <f>W32/Main!$J$3</f>
        <v>85.774046200002701</v>
      </c>
      <c r="X33">
        <f>X32/Main!$J$3</f>
        <v>94.351450820002967</v>
      </c>
      <c r="Y33">
        <f>Y32/Main!$J$3</f>
        <v>103.78659590200328</v>
      </c>
      <c r="Z33">
        <f>Z32/Main!$J$3</f>
        <v>114.16525549220361</v>
      </c>
      <c r="AA33">
        <f>AA32/Main!$J$3</f>
        <v>125.58178104142399</v>
      </c>
    </row>
    <row r="34" spans="2:27" x14ac:dyDescent="0.15">
      <c r="L34" s="3"/>
    </row>
    <row r="35" spans="2:27" x14ac:dyDescent="0.15">
      <c r="B35" s="10"/>
      <c r="C35" s="12"/>
      <c r="D35" s="12"/>
      <c r="E35" s="12"/>
      <c r="F35" s="12"/>
      <c r="G35" s="13"/>
      <c r="H35" s="13"/>
      <c r="I35" s="13"/>
      <c r="J35" s="13"/>
      <c r="K35" s="13"/>
    </row>
    <row r="36" spans="2:27" x14ac:dyDescent="0.15">
      <c r="B36" s="4"/>
      <c r="H36" s="15">
        <v>0.39392474974111158</v>
      </c>
      <c r="I36" s="15">
        <v>0.61203322313153752</v>
      </c>
      <c r="J36" s="15">
        <v>0.78038234837909104</v>
      </c>
      <c r="K36" s="15">
        <v>0.62907374491872625</v>
      </c>
      <c r="L36" s="3">
        <f>AVERAGE(H36:K36)</f>
        <v>0.60385351654261665</v>
      </c>
      <c r="M36" s="3">
        <f>L36</f>
        <v>0.60385351654261665</v>
      </c>
    </row>
    <row r="37" spans="2:27" x14ac:dyDescent="0.15">
      <c r="G37" s="3"/>
      <c r="H37" s="15">
        <v>0.61953345549997518</v>
      </c>
      <c r="I37" s="15">
        <v>0.26917953006736739</v>
      </c>
      <c r="J37" s="15">
        <v>8.1767855522279609E-2</v>
      </c>
      <c r="K37" s="19">
        <v>-5.3963628692261234E-2</v>
      </c>
      <c r="L37" s="3">
        <f>AVERAGE(H37:K37)</f>
        <v>0.22912930309934024</v>
      </c>
      <c r="M37" s="2">
        <f>L37*2</f>
        <v>0.45825860619868047</v>
      </c>
    </row>
    <row r="38" spans="2:27" x14ac:dyDescent="0.15">
      <c r="H38" s="19">
        <v>-1.834862385321101E-2</v>
      </c>
      <c r="I38" s="19">
        <v>-2.3178807947019875E-2</v>
      </c>
      <c r="J38" s="19">
        <v>6.3758389261745041E-2</v>
      </c>
      <c r="K38" s="19">
        <v>0.2578397212543555</v>
      </c>
      <c r="L38" s="3">
        <f>AVERAGE(H38:K38)</f>
        <v>7.0017669678967415E-2</v>
      </c>
      <c r="M38" s="2">
        <f>L38*3</f>
        <v>0.21005300903690224</v>
      </c>
      <c r="N38" s="2">
        <f>M38+M37+M36/6</f>
        <v>0.7689538679926855</v>
      </c>
    </row>
    <row r="39" spans="2:27" x14ac:dyDescent="0.15">
      <c r="H39" s="22">
        <f>AVERAGE(H36:H38)</f>
        <v>0.33170319379595858</v>
      </c>
      <c r="I39" s="22">
        <f t="shared" ref="I39" si="41">AVERAGE(I36:I38)</f>
        <v>0.28601131508396166</v>
      </c>
      <c r="J39" s="22">
        <f t="shared" ref="J39" si="42">AVERAGE(J36:J38)</f>
        <v>0.30863619772103856</v>
      </c>
      <c r="K39" s="22">
        <f t="shared" ref="K39" si="43">AVERAGE(K36:K38)</f>
        <v>0.27764994582694019</v>
      </c>
      <c r="L39" s="3">
        <f>AVERAGE(H39:K39)</f>
        <v>0.30100016310697475</v>
      </c>
    </row>
  </sheetData>
  <dataValidations count="1">
    <dataValidation type="list" allowBlank="1" showInputMessage="1" showErrorMessage="1" sqref="AA29" xr:uid="{E8644608-9FDB-9344-AA30-CE255AB7BED7}">
      <formula1>AD10:AD20</formula1>
    </dataValidation>
  </dataValidations>
  <hyperlinks>
    <hyperlink ref="A1" location="Main!A1" display="Main" xr:uid="{8DC0C940-8B97-714F-80FD-8D6B33C0D5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A80C4-A7CE-4B42-AFAE-715A1FF31F95}">
  <dimension ref="H2:P16"/>
  <sheetViews>
    <sheetView topLeftCell="E1" zoomScale="183" workbookViewId="0">
      <selection activeCell="P18" sqref="P18"/>
    </sheetView>
  </sheetViews>
  <sheetFormatPr baseColWidth="10" defaultColWidth="8.83203125" defaultRowHeight="13" x14ac:dyDescent="0.15"/>
  <cols>
    <col min="8" max="8" width="25.6640625" customWidth="1"/>
    <col min="11" max="11" width="9" bestFit="1" customWidth="1"/>
    <col min="12" max="16" width="9.6640625" bestFit="1" customWidth="1"/>
  </cols>
  <sheetData>
    <row r="2" spans="8:16" x14ac:dyDescent="0.15">
      <c r="H2" t="e" vm="1">
        <v>#VALUE!</v>
      </c>
      <c r="I2" t="s">
        <v>0</v>
      </c>
      <c r="J2" s="1" cm="1">
        <f t="array" ref="J2">_FV(H2,"Price")</f>
        <v>62.45</v>
      </c>
    </row>
    <row r="3" spans="8:16" x14ac:dyDescent="0.15">
      <c r="I3" t="s">
        <v>1</v>
      </c>
      <c r="J3" s="4">
        <v>1287</v>
      </c>
      <c r="K3" s="2" t="s">
        <v>42</v>
      </c>
    </row>
    <row r="4" spans="8:16" x14ac:dyDescent="0.15">
      <c r="I4" t="s">
        <v>2</v>
      </c>
      <c r="J4" s="4">
        <f>+J2*J3</f>
        <v>80373.150000000009</v>
      </c>
    </row>
    <row r="5" spans="8:16" x14ac:dyDescent="0.15">
      <c r="I5" t="s">
        <v>3</v>
      </c>
      <c r="J5" s="4">
        <v>5200</v>
      </c>
      <c r="K5" s="2" t="s">
        <v>42</v>
      </c>
    </row>
    <row r="6" spans="8:16" x14ac:dyDescent="0.15">
      <c r="I6" t="s">
        <v>4</v>
      </c>
      <c r="J6" s="4">
        <v>916</v>
      </c>
      <c r="K6" s="2" t="s">
        <v>42</v>
      </c>
    </row>
    <row r="7" spans="8:16" x14ac:dyDescent="0.15">
      <c r="I7" t="s">
        <v>5</v>
      </c>
      <c r="J7" s="4">
        <f>+J4-J5+J6</f>
        <v>76089.150000000009</v>
      </c>
    </row>
    <row r="13" spans="8:16" x14ac:dyDescent="0.15">
      <c r="K13">
        <v>2025</v>
      </c>
      <c r="L13">
        <v>2026</v>
      </c>
      <c r="M13">
        <v>2027</v>
      </c>
      <c r="N13">
        <v>2028</v>
      </c>
      <c r="O13">
        <v>2029</v>
      </c>
      <c r="P13">
        <v>2030</v>
      </c>
    </row>
    <row r="14" spans="8:16" x14ac:dyDescent="0.15">
      <c r="K14">
        <v>1</v>
      </c>
      <c r="L14">
        <v>2</v>
      </c>
      <c r="M14">
        <v>3</v>
      </c>
      <c r="N14">
        <v>4</v>
      </c>
      <c r="O14">
        <v>5</v>
      </c>
      <c r="P14">
        <v>6</v>
      </c>
    </row>
    <row r="15" spans="8:16" x14ac:dyDescent="0.15">
      <c r="J15" s="4">
        <f>J7</f>
        <v>76089.150000000009</v>
      </c>
      <c r="K15" s="4">
        <f>$J$15*(1.1^K14)</f>
        <v>83698.065000000017</v>
      </c>
      <c r="L15" s="4">
        <f t="shared" ref="L15:P15" si="0">$J$15*(1.1^L14)</f>
        <v>92067.871500000023</v>
      </c>
      <c r="M15" s="4">
        <f t="shared" si="0"/>
        <v>101274.65865000004</v>
      </c>
      <c r="N15" s="4">
        <f t="shared" si="0"/>
        <v>111402.12451500005</v>
      </c>
      <c r="O15" s="4">
        <f t="shared" si="0"/>
        <v>122542.33696650005</v>
      </c>
      <c r="P15" s="4">
        <f t="shared" si="0"/>
        <v>134796.57066315008</v>
      </c>
    </row>
    <row r="16" spans="8:16" x14ac:dyDescent="0.15">
      <c r="L1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CA5C-B670-4C80-9331-D1863A882469}">
  <dimension ref="A1:V33"/>
  <sheetViews>
    <sheetView zoomScale="143" workbookViewId="0">
      <pane xSplit="2" ySplit="2" topLeftCell="H3" activePane="bottomRight" state="frozen"/>
      <selection pane="topRight" activeCell="C1" sqref="C1"/>
      <selection pane="bottomLeft" activeCell="A3" sqref="A3"/>
      <selection pane="bottomRight" activeCell="K13" sqref="K13"/>
    </sheetView>
  </sheetViews>
  <sheetFormatPr baseColWidth="10" defaultColWidth="8.83203125" defaultRowHeight="13" x14ac:dyDescent="0.15"/>
  <cols>
    <col min="1" max="1" width="5" bestFit="1" customWidth="1"/>
    <col min="2" max="2" width="22.1640625" bestFit="1" customWidth="1"/>
    <col min="3" max="14" width="9.1640625" style="2"/>
  </cols>
  <sheetData>
    <row r="1" spans="1:22" x14ac:dyDescent="0.15">
      <c r="A1" s="6" t="s">
        <v>29</v>
      </c>
    </row>
    <row r="2" spans="1:22" x14ac:dyDescent="0.15">
      <c r="C2" s="2" t="s">
        <v>7</v>
      </c>
      <c r="D2" s="2" t="s">
        <v>8</v>
      </c>
      <c r="E2" s="2" t="s">
        <v>9</v>
      </c>
      <c r="F2" s="2" t="s">
        <v>10</v>
      </c>
      <c r="G2" s="2" t="s">
        <v>11</v>
      </c>
      <c r="H2" s="2" t="s">
        <v>12</v>
      </c>
      <c r="I2" s="2" t="s">
        <v>13</v>
      </c>
      <c r="J2" s="2" t="s">
        <v>14</v>
      </c>
      <c r="K2" s="2" t="s">
        <v>15</v>
      </c>
      <c r="L2" s="2" t="s">
        <v>16</v>
      </c>
      <c r="M2" s="2" t="s">
        <v>17</v>
      </c>
      <c r="N2" s="2" t="s">
        <v>18</v>
      </c>
      <c r="O2" s="2" t="s">
        <v>38</v>
      </c>
      <c r="P2" s="2" t="s">
        <v>39</v>
      </c>
      <c r="Q2" s="2" t="s">
        <v>40</v>
      </c>
      <c r="R2" s="2" t="s">
        <v>41</v>
      </c>
      <c r="S2" s="2" t="s">
        <v>42</v>
      </c>
      <c r="T2" s="2" t="s">
        <v>43</v>
      </c>
      <c r="U2" s="2" t="s">
        <v>44</v>
      </c>
      <c r="V2" s="2" t="s">
        <v>45</v>
      </c>
    </row>
    <row r="3" spans="1:22" s="4" customFormat="1" x14ac:dyDescent="0.15">
      <c r="B3" s="4" t="s">
        <v>36</v>
      </c>
      <c r="C3" s="5"/>
      <c r="D3" s="5"/>
      <c r="E3" s="5"/>
      <c r="F3" s="5"/>
      <c r="G3" s="5">
        <v>37346.885999999999</v>
      </c>
      <c r="H3" s="5"/>
      <c r="I3" s="5"/>
      <c r="J3" s="5"/>
      <c r="K3" s="5">
        <v>43199.951999999997</v>
      </c>
      <c r="L3" s="5"/>
      <c r="M3" s="5"/>
      <c r="N3" s="5"/>
    </row>
    <row r="4" spans="1:22" x14ac:dyDescent="0.15">
      <c r="G4" s="11">
        <f>SUM(D7:G7)</f>
        <v>3448.1369999999997</v>
      </c>
      <c r="K4" s="11">
        <f>SUM(H7:K7)</f>
        <v>4826.8320000000003</v>
      </c>
      <c r="L4" s="16">
        <f>K4/G4-1</f>
        <v>0.39983765146222461</v>
      </c>
      <c r="O4" s="11">
        <f>SUM(L7:O7)</f>
        <v>5904</v>
      </c>
      <c r="P4" s="16">
        <f>O4/K4-1</f>
        <v>0.2231625215047881</v>
      </c>
      <c r="S4" s="11">
        <f>SUM(P7:S7)</f>
        <v>7413</v>
      </c>
      <c r="T4" s="16">
        <f>S4/O4-1</f>
        <v>0.25558943089430897</v>
      </c>
    </row>
    <row r="5" spans="1:22" s="4" customFormat="1" x14ac:dyDescent="0.15">
      <c r="B5" s="4" t="s">
        <v>19</v>
      </c>
      <c r="C5" s="5"/>
      <c r="D5" s="5">
        <v>196.434</v>
      </c>
      <c r="E5" s="5">
        <v>245.274</v>
      </c>
      <c r="F5" s="5">
        <v>279.44</v>
      </c>
      <c r="G5" s="5">
        <v>320.68099999999998</v>
      </c>
      <c r="H5" s="5">
        <v>334.23700000000002</v>
      </c>
      <c r="I5" s="5">
        <v>336.20800000000003</v>
      </c>
      <c r="J5" s="5">
        <v>351.20800000000003</v>
      </c>
      <c r="K5" s="5">
        <v>344.76100000000002</v>
      </c>
      <c r="L5" s="5">
        <v>366</v>
      </c>
      <c r="M5" s="5">
        <v>377</v>
      </c>
      <c r="N5" s="5">
        <v>400</v>
      </c>
      <c r="O5" s="4">
        <v>382</v>
      </c>
      <c r="P5" s="4">
        <v>444</v>
      </c>
      <c r="Q5" s="4">
        <v>486</v>
      </c>
      <c r="R5" s="4">
        <v>525</v>
      </c>
      <c r="S5" s="4">
        <v>511</v>
      </c>
    </row>
    <row r="6" spans="1:22" s="4" customFormat="1" x14ac:dyDescent="0.15">
      <c r="B6" s="4" t="s">
        <v>20</v>
      </c>
      <c r="C6" s="5"/>
      <c r="D6" s="5">
        <v>517.90700000000004</v>
      </c>
      <c r="E6" s="5">
        <v>522.13099999999997</v>
      </c>
      <c r="F6" s="5">
        <v>698.30399999999997</v>
      </c>
      <c r="G6" s="5">
        <v>667.96600000000001</v>
      </c>
      <c r="H6" s="5">
        <v>785.20799999999997</v>
      </c>
      <c r="I6" s="5">
        <v>787.53200000000004</v>
      </c>
      <c r="J6" s="5">
        <v>1028.816</v>
      </c>
      <c r="K6" s="5">
        <v>858.86199999999997</v>
      </c>
      <c r="L6" s="5">
        <v>929</v>
      </c>
      <c r="M6" s="5">
        <v>989</v>
      </c>
      <c r="N6" s="5">
        <v>1335</v>
      </c>
      <c r="O6" s="4">
        <v>1126</v>
      </c>
      <c r="P6" s="4">
        <v>1250</v>
      </c>
      <c r="Q6" s="4">
        <v>1228</v>
      </c>
      <c r="R6" s="4">
        <v>1619</v>
      </c>
      <c r="S6" s="4">
        <v>1350</v>
      </c>
    </row>
    <row r="7" spans="1:22" s="10" customFormat="1" x14ac:dyDescent="0.15">
      <c r="B7" s="10" t="s">
        <v>6</v>
      </c>
      <c r="C7" s="11"/>
      <c r="D7" s="11">
        <f>+D5+D6</f>
        <v>714.34100000000001</v>
      </c>
      <c r="E7" s="11">
        <f>+E5+E6</f>
        <v>767.40499999999997</v>
      </c>
      <c r="F7" s="11">
        <f>+F5+F6</f>
        <v>977.74399999999991</v>
      </c>
      <c r="G7" s="11">
        <f>+G5+G6</f>
        <v>988.64699999999993</v>
      </c>
      <c r="H7" s="11">
        <f>+H5+H6</f>
        <v>1119.4449999999999</v>
      </c>
      <c r="I7" s="11">
        <f>+I5+I6</f>
        <v>1123.74</v>
      </c>
      <c r="J7" s="11">
        <f>+J5+J6</f>
        <v>1380.0240000000001</v>
      </c>
      <c r="K7" s="11">
        <f>+K5+K6</f>
        <v>1203.623</v>
      </c>
      <c r="L7" s="11">
        <f>+L5+L6</f>
        <v>1295</v>
      </c>
      <c r="M7" s="11">
        <f>+M5+M6</f>
        <v>1366</v>
      </c>
      <c r="N7" s="11">
        <f>+N5+N6</f>
        <v>1735</v>
      </c>
      <c r="O7" s="11">
        <f>+O5+O6</f>
        <v>1508</v>
      </c>
      <c r="P7" s="11">
        <f>+P5+P6</f>
        <v>1694</v>
      </c>
      <c r="Q7" s="11">
        <f>+Q5+Q6</f>
        <v>1714</v>
      </c>
      <c r="R7" s="11">
        <f>+R5+R6</f>
        <v>2144</v>
      </c>
      <c r="S7" s="11">
        <f>+S5+S6</f>
        <v>1861</v>
      </c>
    </row>
    <row r="8" spans="1:22" s="10" customFormat="1" x14ac:dyDescent="0.15">
      <c r="C8" s="11"/>
      <c r="D8" s="11"/>
      <c r="E8" s="16">
        <f>E7/D7-1</f>
        <v>7.4283850429976761E-2</v>
      </c>
      <c r="F8" s="16">
        <f>F7/E7-1</f>
        <v>0.27409125559515513</v>
      </c>
      <c r="G8" s="16">
        <f>G7/F7-1</f>
        <v>1.1151180677150707E-2</v>
      </c>
      <c r="H8" s="16">
        <f>H7/G7-1</f>
        <v>0.13230000192181834</v>
      </c>
      <c r="I8" s="16">
        <f>I7/H7-1</f>
        <v>3.8367226616762284E-3</v>
      </c>
      <c r="J8" s="16">
        <f>J7/I7-1</f>
        <v>0.22806343104276805</v>
      </c>
      <c r="K8" s="16">
        <f>K7/J7-1</f>
        <v>-0.12782458855788015</v>
      </c>
      <c r="L8" s="16">
        <f>L7/K7-1</f>
        <v>7.5918290029352908E-2</v>
      </c>
      <c r="M8" s="16">
        <f>M7/L7-1</f>
        <v>5.4826254826254806E-2</v>
      </c>
      <c r="N8" s="16">
        <f>N7/M7-1</f>
        <v>0.27013177159590041</v>
      </c>
      <c r="O8" s="16">
        <f>O7/N7-1</f>
        <v>-0.13083573487031697</v>
      </c>
      <c r="P8" s="16">
        <f>P7/O7-1</f>
        <v>0.12334217506631306</v>
      </c>
      <c r="Q8" s="16">
        <f>Q7/P7-1</f>
        <v>1.1806375442739103E-2</v>
      </c>
      <c r="R8" s="16">
        <f>R7/Q7-1</f>
        <v>0.25087514585764303</v>
      </c>
      <c r="S8" s="16">
        <f>S7/R7-1</f>
        <v>-0.13199626865671643</v>
      </c>
    </row>
    <row r="9" spans="1:22" s="10" customFormat="1" x14ac:dyDescent="0.15">
      <c r="C9" s="11"/>
      <c r="D9" s="11"/>
      <c r="E9" s="16"/>
      <c r="F9" s="16"/>
      <c r="G9" s="16"/>
      <c r="H9" s="16"/>
      <c r="I9" s="16"/>
      <c r="J9" s="16"/>
      <c r="K9" s="16"/>
      <c r="L9" s="16"/>
      <c r="M9" s="16"/>
      <c r="N9" s="16"/>
      <c r="O9" s="16"/>
      <c r="P9" s="16"/>
      <c r="Q9" s="16"/>
      <c r="R9" s="16"/>
      <c r="S9" s="16"/>
    </row>
    <row r="10" spans="1:22" s="10" customFormat="1" x14ac:dyDescent="0.15">
      <c r="C10" s="11"/>
      <c r="D10" s="11"/>
      <c r="E10" s="16"/>
      <c r="F10" s="16"/>
      <c r="G10" s="16"/>
      <c r="H10" s="16"/>
      <c r="I10" s="16"/>
      <c r="J10" s="16"/>
      <c r="K10" s="2">
        <v>78</v>
      </c>
      <c r="L10" s="2">
        <v>85</v>
      </c>
      <c r="M10" s="5">
        <v>82</v>
      </c>
      <c r="N10" s="5">
        <v>86</v>
      </c>
      <c r="O10" s="5">
        <v>84</v>
      </c>
      <c r="P10" s="5">
        <v>85</v>
      </c>
      <c r="Q10" s="5">
        <v>88</v>
      </c>
      <c r="R10" s="5">
        <v>97</v>
      </c>
      <c r="S10" s="5">
        <v>97</v>
      </c>
    </row>
    <row r="11" spans="1:22" x14ac:dyDescent="0.15">
      <c r="K11" s="16">
        <f>(K5-K10)/K5</f>
        <v>0.77375631234391362</v>
      </c>
      <c r="L11" s="16">
        <f t="shared" ref="L11:S11" si="0">(L5-L10)/L5</f>
        <v>0.76775956284153002</v>
      </c>
      <c r="M11" s="16">
        <f t="shared" si="0"/>
        <v>0.7824933687002652</v>
      </c>
      <c r="N11" s="16">
        <f t="shared" si="0"/>
        <v>0.78500000000000003</v>
      </c>
      <c r="O11" s="16">
        <f t="shared" si="0"/>
        <v>0.78010471204188481</v>
      </c>
      <c r="P11" s="16">
        <f t="shared" si="0"/>
        <v>0.80855855855855852</v>
      </c>
      <c r="Q11" s="16">
        <f t="shared" si="0"/>
        <v>0.81893004115226342</v>
      </c>
      <c r="R11" s="16">
        <f t="shared" si="0"/>
        <v>0.81523809523809521</v>
      </c>
      <c r="S11" s="16">
        <f t="shared" si="0"/>
        <v>0.81017612524461835</v>
      </c>
      <c r="T11" t="s">
        <v>46</v>
      </c>
    </row>
    <row r="12" spans="1:22" s="4" customFormat="1" x14ac:dyDescent="0.15">
      <c r="K12" s="17">
        <v>488</v>
      </c>
      <c r="L12" s="8">
        <v>554</v>
      </c>
      <c r="M12" s="5">
        <v>622</v>
      </c>
      <c r="N12" s="5">
        <v>851</v>
      </c>
      <c r="O12" s="5">
        <v>707</v>
      </c>
      <c r="P12" s="5">
        <v>774</v>
      </c>
      <c r="Q12" s="5">
        <v>725</v>
      </c>
      <c r="R12" s="5">
        <v>985</v>
      </c>
      <c r="S12" s="5">
        <v>985</v>
      </c>
    </row>
    <row r="13" spans="1:22" s="4" customFormat="1" x14ac:dyDescent="0.15">
      <c r="K13" s="16">
        <f>(K6-K12)/K7</f>
        <v>0.30812139681611267</v>
      </c>
      <c r="L13" s="16">
        <f t="shared" ref="L13:S13" si="1">(L6-L12)/L7</f>
        <v>0.28957528957528955</v>
      </c>
      <c r="M13" s="16">
        <f t="shared" si="1"/>
        <v>0.26866764275256222</v>
      </c>
      <c r="N13" s="16">
        <f t="shared" si="1"/>
        <v>0.27896253602305476</v>
      </c>
      <c r="O13" s="16">
        <f t="shared" si="1"/>
        <v>0.27785145888594165</v>
      </c>
      <c r="P13" s="16">
        <f t="shared" si="1"/>
        <v>0.28099173553719009</v>
      </c>
      <c r="Q13" s="16">
        <f t="shared" si="1"/>
        <v>0.29346557759626607</v>
      </c>
      <c r="R13" s="16">
        <f t="shared" si="1"/>
        <v>0.29570895522388058</v>
      </c>
      <c r="S13" s="16">
        <f t="shared" si="1"/>
        <v>0.19613111230521224</v>
      </c>
      <c r="T13" s="4" t="s">
        <v>47</v>
      </c>
    </row>
    <row r="14" spans="1:22" s="4" customFormat="1" x14ac:dyDescent="0.15">
      <c r="L14" s="5"/>
      <c r="N14" s="5"/>
    </row>
    <row r="15" spans="1:22" s="4" customFormat="1" x14ac:dyDescent="0.15">
      <c r="L15" s="5"/>
      <c r="M15" s="5"/>
      <c r="N15" s="5"/>
    </row>
    <row r="16" spans="1:22" s="4" customFormat="1" x14ac:dyDescent="0.15">
      <c r="B16" s="4" t="s">
        <v>22</v>
      </c>
      <c r="C16" s="5"/>
      <c r="D16" s="5">
        <v>339.30700000000002</v>
      </c>
      <c r="E16" s="5">
        <v>362.25700000000001</v>
      </c>
      <c r="F16" s="5">
        <v>473.35599999999999</v>
      </c>
      <c r="G16" s="5">
        <f>58.382+371.549</f>
        <v>429.93099999999998</v>
      </c>
      <c r="H16" s="5">
        <v>498.58499999999998</v>
      </c>
      <c r="I16" s="5">
        <v>514.83100000000002</v>
      </c>
      <c r="J16" s="5">
        <v>687.36500000000001</v>
      </c>
      <c r="K16" s="5">
        <f>K10+K12</f>
        <v>566</v>
      </c>
      <c r="L16" s="5"/>
      <c r="M16" s="5"/>
      <c r="N16" s="5"/>
    </row>
    <row r="17" spans="2:14" s="4" customFormat="1" x14ac:dyDescent="0.15">
      <c r="B17" s="4" t="s">
        <v>21</v>
      </c>
      <c r="C17" s="5"/>
      <c r="D17" s="5">
        <f>+D7-D16</f>
        <v>375.03399999999999</v>
      </c>
      <c r="E17" s="5">
        <f>+E7-E16</f>
        <v>405.14799999999997</v>
      </c>
      <c r="F17" s="5">
        <f>+F7-F16</f>
        <v>504.38799999999992</v>
      </c>
      <c r="G17" s="5">
        <f>+G7-G16</f>
        <v>558.71599999999989</v>
      </c>
      <c r="H17" s="5">
        <f>+H7-H16</f>
        <v>620.8599999999999</v>
      </c>
      <c r="I17" s="5">
        <f>+I7-I16</f>
        <v>608.90899999999999</v>
      </c>
      <c r="J17" s="5">
        <f>+J7-J16</f>
        <v>692.65900000000011</v>
      </c>
      <c r="K17" s="5">
        <f>+K7-K16</f>
        <v>637.62300000000005</v>
      </c>
      <c r="L17" s="5"/>
      <c r="M17" s="5"/>
      <c r="N17" s="5"/>
    </row>
    <row r="18" spans="2:14" s="4" customFormat="1" x14ac:dyDescent="0.15">
      <c r="B18" s="4" t="s">
        <v>28</v>
      </c>
      <c r="C18" s="5"/>
      <c r="D18" s="5">
        <v>144.85</v>
      </c>
      <c r="E18" s="5">
        <v>147.608</v>
      </c>
      <c r="F18" s="5">
        <v>154.72800000000001</v>
      </c>
      <c r="G18" s="5">
        <v>186.22300000000001</v>
      </c>
      <c r="H18" s="5">
        <v>201.91</v>
      </c>
      <c r="I18" s="5">
        <v>237.94900000000001</v>
      </c>
      <c r="J18" s="5">
        <v>275.47500000000002</v>
      </c>
      <c r="K18" s="5">
        <v>303.37099999999998</v>
      </c>
      <c r="L18" s="5"/>
      <c r="M18" s="5"/>
      <c r="N18" s="2"/>
    </row>
    <row r="19" spans="2:14" s="4" customFormat="1" x14ac:dyDescent="0.15">
      <c r="B19" s="4" t="s">
        <v>27</v>
      </c>
      <c r="C19" s="5"/>
      <c r="D19" s="5">
        <v>133.227</v>
      </c>
      <c r="E19" s="5">
        <v>143.42699999999999</v>
      </c>
      <c r="F19" s="5">
        <v>159.077</v>
      </c>
      <c r="G19" s="5">
        <v>175.886</v>
      </c>
      <c r="H19" s="5">
        <v>183.55699999999999</v>
      </c>
      <c r="I19" s="5">
        <v>221.02799999999999</v>
      </c>
      <c r="J19" s="5">
        <v>273.47500000000002</v>
      </c>
      <c r="K19" s="5">
        <v>303.661</v>
      </c>
      <c r="L19" s="5"/>
      <c r="M19" s="5"/>
      <c r="N19" s="12"/>
    </row>
    <row r="20" spans="2:14" s="4" customFormat="1" x14ac:dyDescent="0.15">
      <c r="B20" s="4" t="s">
        <v>26</v>
      </c>
      <c r="C20" s="5"/>
      <c r="D20" s="5">
        <v>83.307000000000002</v>
      </c>
      <c r="E20" s="5">
        <v>51.798999999999999</v>
      </c>
      <c r="F20" s="5">
        <v>65.394999999999996</v>
      </c>
      <c r="G20" s="5">
        <v>67.102000000000004</v>
      </c>
      <c r="H20" s="5">
        <v>77.965999999999994</v>
      </c>
      <c r="I20" s="5">
        <v>128.72200000000001</v>
      </c>
      <c r="J20" s="5">
        <v>101.054</v>
      </c>
      <c r="K20" s="5">
        <v>108.08799999999999</v>
      </c>
      <c r="L20" s="5"/>
      <c r="M20" s="5"/>
      <c r="N20" s="5"/>
    </row>
    <row r="21" spans="2:14" s="4" customFormat="1" x14ac:dyDescent="0.15">
      <c r="B21" s="4" t="s">
        <v>25</v>
      </c>
      <c r="C21" s="5"/>
      <c r="D21" s="5">
        <v>13.366</v>
      </c>
      <c r="E21" s="5">
        <v>11.753</v>
      </c>
      <c r="F21" s="5">
        <v>12.647</v>
      </c>
      <c r="G21" s="5">
        <v>10.606</v>
      </c>
      <c r="H21" s="5">
        <v>17.986000000000001</v>
      </c>
      <c r="I21" s="5">
        <v>25.311</v>
      </c>
      <c r="J21" s="5">
        <v>27.814</v>
      </c>
      <c r="K21" s="5">
        <v>20.492999999999999</v>
      </c>
      <c r="L21" s="5"/>
      <c r="M21" s="5"/>
      <c r="N21" s="5"/>
    </row>
    <row r="22" spans="2:14" s="4" customFormat="1" x14ac:dyDescent="0.15">
      <c r="B22" s="4" t="s">
        <v>24</v>
      </c>
      <c r="C22" s="5"/>
      <c r="D22" s="5">
        <f>SUM(D18:D21)</f>
        <v>374.75</v>
      </c>
      <c r="E22" s="5">
        <f>SUM(E18:E21)</f>
        <v>354.58699999999993</v>
      </c>
      <c r="F22" s="5">
        <f>SUM(F18:F21)</f>
        <v>391.84699999999998</v>
      </c>
      <c r="G22" s="5">
        <f>SUM(G18:G21)</f>
        <v>439.81700000000001</v>
      </c>
      <c r="H22" s="5">
        <f t="shared" ref="H22:J22" si="2">SUM(H18:H21)</f>
        <v>481.41899999999998</v>
      </c>
      <c r="I22" s="5">
        <f t="shared" si="2"/>
        <v>613.01</v>
      </c>
      <c r="J22" s="5">
        <f t="shared" si="2"/>
        <v>677.81799999999998</v>
      </c>
      <c r="K22" s="5">
        <f>SUM(K18:K21)</f>
        <v>735.61299999999994</v>
      </c>
      <c r="L22" s="5"/>
      <c r="M22" s="5"/>
      <c r="N22" s="5"/>
    </row>
    <row r="23" spans="2:14" s="4" customFormat="1" x14ac:dyDescent="0.15">
      <c r="B23" s="4" t="s">
        <v>23</v>
      </c>
      <c r="C23" s="5"/>
      <c r="D23" s="5">
        <f t="shared" ref="D23:F23" si="3">D17-D22</f>
        <v>0.28399999999999181</v>
      </c>
      <c r="E23" s="5">
        <f t="shared" si="3"/>
        <v>50.561000000000035</v>
      </c>
      <c r="F23" s="5">
        <f t="shared" si="3"/>
        <v>112.54099999999994</v>
      </c>
      <c r="G23" s="5">
        <f>G17-G22</f>
        <v>118.89899999999989</v>
      </c>
      <c r="H23" s="5">
        <f t="shared" ref="H23:J23" si="4">H17-H22</f>
        <v>139.44099999999992</v>
      </c>
      <c r="I23" s="5">
        <f t="shared" si="4"/>
        <v>-4.1009999999999991</v>
      </c>
      <c r="J23" s="5">
        <f t="shared" si="4"/>
        <v>14.841000000000122</v>
      </c>
      <c r="K23" s="5">
        <f>K17-K22</f>
        <v>-97.989999999999895</v>
      </c>
      <c r="L23" s="5"/>
      <c r="M23" s="5"/>
      <c r="N23" s="5"/>
    </row>
    <row r="24" spans="2:14" x14ac:dyDescent="0.15">
      <c r="B24" s="4" t="s">
        <v>30</v>
      </c>
      <c r="C24" s="5"/>
      <c r="D24" s="5"/>
      <c r="E24" s="5"/>
      <c r="F24" s="5"/>
      <c r="G24" s="5">
        <f>2.83-0.873</f>
        <v>1.9570000000000001</v>
      </c>
      <c r="H24" s="5"/>
      <c r="I24" s="5"/>
      <c r="J24" s="5"/>
      <c r="K24" s="5">
        <f>6.189-0.874</f>
        <v>5.3150000000000004</v>
      </c>
      <c r="N24" s="5"/>
    </row>
    <row r="25" spans="2:14" s="7" customFormat="1" x14ac:dyDescent="0.15">
      <c r="B25" s="4" t="s">
        <v>33</v>
      </c>
      <c r="C25" s="5"/>
      <c r="D25" s="5"/>
      <c r="E25" s="5"/>
      <c r="F25" s="5"/>
      <c r="G25" s="5">
        <f>+G23+G24</f>
        <v>120.85599999999988</v>
      </c>
      <c r="H25" s="5"/>
      <c r="I25" s="5"/>
      <c r="J25" s="5"/>
      <c r="K25" s="5">
        <f>+K23+K24</f>
        <v>-92.674999999999898</v>
      </c>
      <c r="L25" s="8"/>
      <c r="M25" s="8"/>
      <c r="N25" s="8"/>
    </row>
    <row r="26" spans="2:14" x14ac:dyDescent="0.15">
      <c r="B26" s="4" t="s">
        <v>32</v>
      </c>
      <c r="C26" s="5"/>
      <c r="D26" s="5"/>
      <c r="E26" s="5"/>
      <c r="F26" s="5"/>
      <c r="G26" s="5">
        <v>0.111</v>
      </c>
      <c r="H26" s="5"/>
      <c r="I26" s="5"/>
      <c r="J26" s="5"/>
      <c r="K26" s="5">
        <v>0</v>
      </c>
      <c r="N26" s="5"/>
    </row>
    <row r="27" spans="2:14" s="14" customFormat="1" x14ac:dyDescent="0.15">
      <c r="B27" s="4" t="s">
        <v>31</v>
      </c>
      <c r="C27" s="5"/>
      <c r="D27" s="5"/>
      <c r="E27" s="5"/>
      <c r="F27" s="5"/>
      <c r="G27" s="5">
        <f>+G25-G26</f>
        <v>120.74499999999988</v>
      </c>
      <c r="H27" s="5"/>
      <c r="I27" s="5"/>
      <c r="J27" s="5"/>
      <c r="K27" s="5">
        <f>+K25-K26</f>
        <v>-92.674999999999898</v>
      </c>
      <c r="L27" s="12"/>
      <c r="M27" s="12"/>
      <c r="N27" s="12"/>
    </row>
    <row r="28" spans="2:14" x14ac:dyDescent="0.15">
      <c r="B28" s="4" t="s">
        <v>34</v>
      </c>
      <c r="D28" s="9"/>
      <c r="G28" s="9">
        <f>+G27/G29</f>
        <v>0.95319189542877347</v>
      </c>
      <c r="K28" s="9">
        <f>+K27/K29</f>
        <v>-0.73543960909577344</v>
      </c>
    </row>
    <row r="29" spans="2:14" x14ac:dyDescent="0.15">
      <c r="B29" s="7" t="s">
        <v>1</v>
      </c>
      <c r="C29" s="8"/>
      <c r="D29" s="8"/>
      <c r="E29" s="8"/>
      <c r="F29" s="8"/>
      <c r="G29" s="8">
        <v>126.67438799999999</v>
      </c>
      <c r="H29" s="8"/>
      <c r="I29" s="8"/>
      <c r="J29" s="8"/>
      <c r="K29" s="8">
        <v>126.01306599999999</v>
      </c>
    </row>
    <row r="31" spans="2:14" x14ac:dyDescent="0.15">
      <c r="B31" s="10" t="s">
        <v>35</v>
      </c>
      <c r="C31" s="12"/>
      <c r="D31" s="12"/>
      <c r="E31" s="12"/>
      <c r="F31" s="12"/>
      <c r="G31" s="13"/>
      <c r="H31" s="13">
        <f>+H7/D7-1</f>
        <v>0.56710170632793022</v>
      </c>
      <c r="I31" s="13">
        <f>+I7/E7-1</f>
        <v>0.46433760530619428</v>
      </c>
      <c r="J31" s="13">
        <f>+J7/F7-1</f>
        <v>0.4114369405488556</v>
      </c>
      <c r="K31" s="13">
        <f>+K7/G7-1</f>
        <v>0.2174446491012465</v>
      </c>
    </row>
    <row r="32" spans="2:14" x14ac:dyDescent="0.15">
      <c r="B32" s="4" t="s">
        <v>37</v>
      </c>
      <c r="K32" s="3">
        <f>+K3/G3-1</f>
        <v>0.15672166080995353</v>
      </c>
    </row>
    <row r="33" spans="2:11" x14ac:dyDescent="0.15">
      <c r="B33" t="s">
        <v>21</v>
      </c>
      <c r="G33" s="3">
        <f>+G17/G7</f>
        <v>0.56513194294829194</v>
      </c>
      <c r="K33" s="3">
        <f>+K17/K7</f>
        <v>0.52975308713774993</v>
      </c>
    </row>
  </sheetData>
  <phoneticPr fontId="4" type="noConversion"/>
  <hyperlinks>
    <hyperlink ref="A1" location="Main!A1" display="Main" xr:uid="{102272EF-3934-4689-9338-D50328FA6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Shopify Model</vt: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Daniel Yang</cp:lastModifiedBy>
  <dcterms:created xsi:type="dcterms:W3CDTF">2022-07-26T13:15:08Z</dcterms:created>
  <dcterms:modified xsi:type="dcterms:W3CDTF">2024-05-10T03:43:50Z</dcterms:modified>
</cp:coreProperties>
</file>