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Yanina\Desktop\ESCOM\Ciencias\Tercero\Programación para Ciencia de Datos\ProgramasR\Parcial2\"/>
    </mc:Choice>
  </mc:AlternateContent>
  <xr:revisionPtr revIDLastSave="0" documentId="13_ncr:1_{7A102B16-905D-4C43-AF5F-328B2FD8713D}" xr6:coauthVersionLast="47" xr6:coauthVersionMax="47" xr10:uidLastSave="{00000000-0000-0000-0000-000000000000}"/>
  <bookViews>
    <workbookView xWindow="-120" yWindow="-120" windowWidth="20730" windowHeight="11160" firstSheet="5" activeTab="10" xr2:uid="{E3B13B2D-3782-4A9B-ABC5-FFE15953CFED}"/>
  </bookViews>
  <sheets>
    <sheet name="cajasCereal" sheetId="1" r:id="rId1"/>
    <sheet name="librosVendidos" sheetId="2" r:id="rId2"/>
    <sheet name="Quartiles" sheetId="3" r:id="rId3"/>
    <sheet name="cajasCereal2" sheetId="4" r:id="rId4"/>
    <sheet name="librasCajas" sheetId="5" r:id="rId5"/>
    <sheet name="librosVendidos2" sheetId="6" r:id="rId6"/>
    <sheet name="noAcabé" sheetId="7" r:id="rId7"/>
    <sheet name="Hoja2" sheetId="8" r:id="rId8"/>
    <sheet name="cadenaPizzerias" sheetId="9" r:id="rId9"/>
    <sheet name="gerenteVentas" sheetId="10" r:id="rId10"/>
    <sheet name="autoestimaDepresion"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9" i="11" l="1"/>
  <c r="B15" i="11"/>
  <c r="C15" i="11"/>
  <c r="C14" i="11"/>
  <c r="B14" i="11"/>
  <c r="B80" i="10"/>
  <c r="B78" i="10"/>
  <c r="B75" i="10"/>
  <c r="B72" i="10"/>
  <c r="B71" i="10"/>
  <c r="F35" i="10"/>
  <c r="F36" i="10"/>
  <c r="F37" i="10"/>
  <c r="F38" i="10"/>
  <c r="F39" i="10"/>
  <c r="F40" i="10"/>
  <c r="F41" i="10"/>
  <c r="F42" i="10"/>
  <c r="F43" i="10"/>
  <c r="F44" i="10"/>
  <c r="F34" i="10"/>
  <c r="B46" i="10"/>
  <c r="C44" i="10"/>
  <c r="D44" i="10"/>
  <c r="E44" i="10"/>
  <c r="E35" i="10"/>
  <c r="E36" i="10"/>
  <c r="E37" i="10"/>
  <c r="E38" i="10"/>
  <c r="E39" i="10"/>
  <c r="E40" i="10"/>
  <c r="E41" i="10"/>
  <c r="E42" i="10"/>
  <c r="E43" i="10"/>
  <c r="E34" i="10"/>
  <c r="B44" i="10"/>
  <c r="D35" i="10"/>
  <c r="D36" i="10"/>
  <c r="D37" i="10"/>
  <c r="D38" i="10"/>
  <c r="D39" i="10"/>
  <c r="D40" i="10"/>
  <c r="D41" i="10"/>
  <c r="D42" i="10"/>
  <c r="D43" i="10"/>
  <c r="D34" i="10"/>
  <c r="B49" i="9"/>
  <c r="B67" i="9"/>
  <c r="B66" i="9"/>
  <c r="B63" i="9"/>
  <c r="B62" i="9"/>
  <c r="C56" i="9"/>
  <c r="B56" i="9"/>
  <c r="C45" i="9"/>
  <c r="D45" i="9"/>
  <c r="E45" i="9"/>
  <c r="F45" i="9"/>
  <c r="F36" i="9"/>
  <c r="F37" i="9"/>
  <c r="F38" i="9"/>
  <c r="F39" i="9"/>
  <c r="F40" i="9"/>
  <c r="F41" i="9"/>
  <c r="F42" i="9"/>
  <c r="F43" i="9"/>
  <c r="F44" i="9"/>
  <c r="F35" i="9"/>
  <c r="B45" i="9"/>
  <c r="B47" i="9"/>
  <c r="B46" i="9"/>
  <c r="E44" i="9"/>
  <c r="D44" i="9"/>
  <c r="E43" i="9"/>
  <c r="D43" i="9"/>
  <c r="E42" i="9"/>
  <c r="D42" i="9"/>
  <c r="E41" i="9"/>
  <c r="D41" i="9"/>
  <c r="E40" i="9"/>
  <c r="D40" i="9"/>
  <c r="E39" i="9"/>
  <c r="D39" i="9"/>
  <c r="E38" i="9"/>
  <c r="D38" i="9"/>
  <c r="E37" i="9"/>
  <c r="D37" i="9"/>
  <c r="E36" i="9"/>
  <c r="D36" i="9"/>
  <c r="E35" i="9"/>
  <c r="D35" i="9"/>
  <c r="E7" i="9"/>
  <c r="E8" i="9"/>
  <c r="E9" i="9"/>
  <c r="E10" i="9"/>
  <c r="E11" i="9"/>
  <c r="E12" i="9"/>
  <c r="E13" i="9"/>
  <c r="E14" i="9"/>
  <c r="E15" i="9"/>
  <c r="E6" i="9"/>
  <c r="D7" i="9"/>
  <c r="D8" i="9"/>
  <c r="D9" i="9"/>
  <c r="D10" i="9"/>
  <c r="D11" i="9"/>
  <c r="D12" i="9"/>
  <c r="D13" i="9"/>
  <c r="D14" i="9"/>
  <c r="D15" i="9"/>
  <c r="D6" i="9"/>
  <c r="A23" i="8"/>
  <c r="B13" i="8"/>
  <c r="D6" i="8"/>
  <c r="D7" i="8"/>
  <c r="D8" i="8"/>
  <c r="D9" i="8"/>
  <c r="D5" i="8"/>
  <c r="C10" i="8"/>
  <c r="C6" i="8"/>
  <c r="C5" i="8"/>
  <c r="B10" i="8"/>
  <c r="C23" i="7"/>
  <c r="C22" i="7"/>
  <c r="B20" i="7"/>
  <c r="B5" i="7"/>
  <c r="B6" i="7"/>
  <c r="B7" i="7"/>
  <c r="B8" i="7"/>
  <c r="B9" i="7"/>
  <c r="B10" i="7"/>
  <c r="B11" i="7"/>
  <c r="B12" i="7"/>
  <c r="B13" i="7"/>
  <c r="B14" i="7"/>
  <c r="B15" i="7"/>
  <c r="B16" i="7"/>
  <c r="B17" i="7"/>
  <c r="B18" i="7"/>
  <c r="B19" i="7"/>
  <c r="B4" i="7"/>
  <c r="B21" i="7"/>
  <c r="B15" i="6"/>
  <c r="C15" i="6"/>
  <c r="B13" i="6"/>
  <c r="C13" i="6"/>
  <c r="B14" i="6"/>
  <c r="C14" i="6"/>
  <c r="B10" i="6"/>
  <c r="D6" i="6"/>
  <c r="C5" i="6"/>
  <c r="B13" i="5"/>
  <c r="B15" i="5"/>
  <c r="C15" i="5"/>
  <c r="C13" i="5"/>
  <c r="C9" i="5"/>
  <c r="G4" i="5" s="1"/>
  <c r="E5" i="5"/>
  <c r="E4" i="5"/>
  <c r="D4" i="5"/>
  <c r="B14" i="5" s="1"/>
  <c r="B24" i="4"/>
  <c r="B25" i="4"/>
  <c r="B30" i="4"/>
  <c r="B29" i="4"/>
  <c r="B28" i="4"/>
  <c r="B23" i="4"/>
  <c r="B22" i="3"/>
  <c r="B28" i="3"/>
  <c r="B27" i="3"/>
  <c r="B26" i="3"/>
  <c r="B24" i="3"/>
  <c r="B23" i="3"/>
  <c r="B15" i="2"/>
  <c r="B14" i="2"/>
  <c r="H4" i="2"/>
  <c r="G4" i="2"/>
  <c r="F8" i="2"/>
  <c r="F7" i="2"/>
  <c r="F6" i="2"/>
  <c r="F5" i="2"/>
  <c r="F4" i="2"/>
  <c r="B13" i="2"/>
  <c r="E5" i="2"/>
  <c r="E6" i="2"/>
  <c r="E7" i="2"/>
  <c r="E8" i="2"/>
  <c r="E4" i="2"/>
  <c r="B9" i="2"/>
  <c r="D8" i="2"/>
  <c r="D7" i="2"/>
  <c r="D6" i="2"/>
  <c r="D5" i="2"/>
  <c r="D4" i="2"/>
  <c r="B25" i="1"/>
  <c r="C27" i="1"/>
  <c r="C26" i="1"/>
  <c r="B27" i="1"/>
  <c r="C8" i="1"/>
  <c r="C9" i="1"/>
  <c r="C10" i="1"/>
  <c r="C11" i="1"/>
  <c r="C12" i="1"/>
  <c r="C13" i="1"/>
  <c r="C14" i="1"/>
  <c r="C15" i="1"/>
  <c r="C16" i="1"/>
  <c r="C17" i="1"/>
  <c r="C18" i="1"/>
  <c r="C19" i="1"/>
  <c r="C20" i="1"/>
  <c r="C21" i="1"/>
  <c r="C22" i="1"/>
  <c r="C7" i="1"/>
  <c r="C25" i="1"/>
</calcChain>
</file>

<file path=xl/sharedStrings.xml><?xml version="1.0" encoding="utf-8"?>
<sst xmlns="http://schemas.openxmlformats.org/spreadsheetml/2006/main" count="199" uniqueCount="123">
  <si>
    <t>Los siguientes datos representan los pesos en gramos de contenido de 16 cajas de cereal que se seleccionaron al azar de un proceso de llenado con el propósito de verificar medidas de tendencia central, obténgalas e interprete</t>
  </si>
  <si>
    <t>Datos originales</t>
  </si>
  <si>
    <t xml:space="preserve">Datos ordenados </t>
  </si>
  <si>
    <t>Media</t>
  </si>
  <si>
    <t>Moda</t>
  </si>
  <si>
    <t>Mediana</t>
  </si>
  <si>
    <t>Valores calculados</t>
  </si>
  <si>
    <t>Valor funcion</t>
  </si>
  <si>
    <t>Conteo</t>
  </si>
  <si>
    <t>496 - 506</t>
  </si>
  <si>
    <t>Interpretación</t>
  </si>
  <si>
    <t>El promedio de la muestra tiene un peso de 503.75 gr</t>
  </si>
  <si>
    <t>El valor modal de las cajas es de 496 gr y 506 gr</t>
  </si>
  <si>
    <t>El 50% de las cajas de cereal poseen un peso de 504.5 gr</t>
  </si>
  <si>
    <t>(Usamos función conteo para calculados)</t>
  </si>
  <si>
    <t>La siguiente tabla muestra la cantidad de libros vendidos en una librería y su frecuencia Calcule las medidas de tendencia central e interprete</t>
  </si>
  <si>
    <t>Intervalos</t>
  </si>
  <si>
    <t>Frecuencia(f)</t>
  </si>
  <si>
    <t>4--8</t>
  </si>
  <si>
    <t>8--12</t>
  </si>
  <si>
    <t>12--16</t>
  </si>
  <si>
    <t>16--20</t>
  </si>
  <si>
    <t>0--4</t>
  </si>
  <si>
    <t>Marca de clase (x)</t>
  </si>
  <si>
    <t>Total</t>
  </si>
  <si>
    <t>xf</t>
  </si>
  <si>
    <t>Resultado</t>
  </si>
  <si>
    <t>Frecuencia acumulada (F)</t>
  </si>
  <si>
    <t>Amplitud</t>
  </si>
  <si>
    <t>Posición (n)</t>
  </si>
  <si>
    <t>De las siguientes series calcula los cuartiles y deciles</t>
  </si>
  <si>
    <t>Dichas observaciones son los minutos que se tardan en esperar el autobus 15 pasajeros</t>
  </si>
  <si>
    <t>Posición</t>
  </si>
  <si>
    <t>Datos ordenados</t>
  </si>
  <si>
    <t>Resultados</t>
  </si>
  <si>
    <t>Q1</t>
  </si>
  <si>
    <t>Q3</t>
  </si>
  <si>
    <t>Q2=Me</t>
  </si>
  <si>
    <t>Valor</t>
  </si>
  <si>
    <t>Menos del 25% de los pasajeros tienen que esperar 18 minutos</t>
  </si>
  <si>
    <t>Menos del 50% de los pasajeros tienen que esperar 30 minutos</t>
  </si>
  <si>
    <t>Menos del 75% de los pasajeros tienen que esperar 47 minutos</t>
  </si>
  <si>
    <t>Los siguientes datos representan los pesos en gramos de contenido de 16 cajas de cereal que se seleccionaron al azar de un proceso de llenado con el propósito de verificar medidas de tendencia central,</t>
  </si>
  <si>
    <t>obténgalas e interprete</t>
  </si>
  <si>
    <t>Redondeo</t>
  </si>
  <si>
    <t>Menos del 25% de las cajas de cereal tienen 497 gr</t>
  </si>
  <si>
    <t>Menos del 50% de las cajas de cereal tienen 505 gr</t>
  </si>
  <si>
    <t>Menos del 75% de las cajas de cereal tienen 509 gr</t>
  </si>
  <si>
    <t>En la siguiente tabla muestra los pesos en libras de cajas en la producción de material químico calcula un cuartil dos deciles y dos percentiles los que desees:</t>
  </si>
  <si>
    <t xml:space="preserve">Limite inferior </t>
  </si>
  <si>
    <t xml:space="preserve">Limite superior </t>
  </si>
  <si>
    <t>Frecuencia</t>
  </si>
  <si>
    <t>Amplitud (f)</t>
  </si>
  <si>
    <t>Q2</t>
  </si>
  <si>
    <t>Menos del 25% de las cajas tiene 16 libras</t>
  </si>
  <si>
    <t>Menos del 50% de las cajas cuenta con un peso menos de 16.01 libras</t>
  </si>
  <si>
    <t>Menos del 75% de las cajas cuenta con un peso menos de 16.02 libras</t>
  </si>
  <si>
    <t xml:space="preserve">La siguiente tabla muestra la cantidad de libros vendidos en una librería y su frecuencia </t>
  </si>
  <si>
    <t>Calcule los cuartiles</t>
  </si>
  <si>
    <t>Intervalor</t>
  </si>
  <si>
    <t>Frecuencia Acumulada</t>
  </si>
  <si>
    <t xml:space="preserve">El 25% de libros vendidos es menor a 5.8 </t>
  </si>
  <si>
    <t>El 50% de libros vendidos es menor a 9.6</t>
  </si>
  <si>
    <t>El 75% de libros vendidos es menor a 13.75</t>
  </si>
  <si>
    <t>(x-X)^2</t>
  </si>
  <si>
    <t>Varianza</t>
  </si>
  <si>
    <t>x*f</t>
  </si>
  <si>
    <t>(X-X)^2</t>
  </si>
  <si>
    <t>Una cadena de Pizzerías toma una muestra de diez de sus sucursales para tratar de encontrar un modelo matemático que le permita predecir sus ventas y obtuvo los siguientes datos:</t>
  </si>
  <si>
    <t xml:space="preserve"> la población de personas en miles fue de 2, 6, 8, 8, 12, 16, 20, 20, 22, 26; y las ventas trimestrales en miles de pesos fue de: 58, 105, 88, 118, 117, 137, 157, 168, 149, 202. </t>
  </si>
  <si>
    <t>Realice una regresión para estimar las ventas de dos sucursales que tienen 14,000 y 30,000 personas como potenciales clientes respectivamen</t>
  </si>
  <si>
    <t>Sucursal</t>
  </si>
  <si>
    <t>2. Datos tabulados</t>
  </si>
  <si>
    <t>3. Graficar datos</t>
  </si>
  <si>
    <t>Personas(x)</t>
  </si>
  <si>
    <t>Ventas(y)</t>
  </si>
  <si>
    <t>XY</t>
  </si>
  <si>
    <t>X^2</t>
  </si>
  <si>
    <t>4 y 5 aplicar fórmulas ára encontrar a y b</t>
  </si>
  <si>
    <t>Media X</t>
  </si>
  <si>
    <t>Media Y</t>
  </si>
  <si>
    <t>b=</t>
  </si>
  <si>
    <t>Totales</t>
  </si>
  <si>
    <t>a=</t>
  </si>
  <si>
    <t>?</t>
  </si>
  <si>
    <t>6. obtener la ecuación que mejor se ajuste</t>
  </si>
  <si>
    <t>y=</t>
  </si>
  <si>
    <t>60.04+4.98X</t>
  </si>
  <si>
    <t>7. Error estandar de estimación</t>
  </si>
  <si>
    <t>Y^2</t>
  </si>
  <si>
    <t>Se=</t>
  </si>
  <si>
    <t xml:space="preserve">Regresión lineal para 2 sucursales </t>
  </si>
  <si>
    <t>sucursal1</t>
  </si>
  <si>
    <t>sucursal2</t>
  </si>
  <si>
    <t>60.04+4.98*14</t>
  </si>
  <si>
    <t>60.04+4.98*30</t>
  </si>
  <si>
    <t>Un gerente de ventas reunió los datos siguientes relacionados con las ventas anuales en miles de pesos y los años de experiencia de diez vendedores.</t>
  </si>
  <si>
    <t xml:space="preserve"> Estime las ventas anuales para un vendedor con 7 años de experiencia</t>
  </si>
  <si>
    <t>Vendedor</t>
  </si>
  <si>
    <t>2. Graficar los datos</t>
  </si>
  <si>
    <t>Años de experiencia (X)</t>
  </si>
  <si>
    <t>Ventas anuales (miles) (Y)</t>
  </si>
  <si>
    <t>3. Obtener la ecuacion que mejor se ajuste</t>
  </si>
  <si>
    <t>MediaX=</t>
  </si>
  <si>
    <t>MediaY=</t>
  </si>
  <si>
    <t>80+4X</t>
  </si>
  <si>
    <t>4. Obtener error estandar de estiamción</t>
  </si>
  <si>
    <t>5. Obtener el coeficiente de determinación</t>
  </si>
  <si>
    <t>r2</t>
  </si>
  <si>
    <t>6. Obtener coeficiente de correlacion</t>
  </si>
  <si>
    <t>r</t>
  </si>
  <si>
    <t>Correlación perfecta</t>
  </si>
  <si>
    <t>7. Determinar el intervalo de confianza con 95% y 108 ventas anuales</t>
  </si>
  <si>
    <t>y</t>
  </si>
  <si>
    <t>t.gl</t>
  </si>
  <si>
    <t>108+-2.306(4.609/RAIZ(10)</t>
  </si>
  <si>
    <t>Autoestima</t>
  </si>
  <si>
    <t>Depresión</t>
  </si>
  <si>
    <t>Varianza de cada criterio</t>
  </si>
  <si>
    <t>Covarianza y matriz de covarianzas</t>
  </si>
  <si>
    <t>Correlación y matriz de correlación, aplicando el coeficiente de pearson</t>
  </si>
  <si>
    <t>Total de datos</t>
  </si>
  <si>
    <t>Coef. Pearson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</si>
</sst>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rgb="FF202124"/>
      <name val="Roboto"/>
    </font>
    <font>
      <sz val="11"/>
      <name val="Calibri"/>
      <family val="2"/>
      <scheme val="minor"/>
    </font>
    <font>
      <sz val="11"/>
      <name val="Calibri "/>
    </font>
    <font>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rgb="FF7030A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center"/>
    </xf>
    <xf numFmtId="16" fontId="0" fillId="0" borderId="0" xfId="0" applyNumberFormat="1" applyAlignment="1">
      <alignment horizontal="center"/>
    </xf>
    <xf numFmtId="0" fontId="0" fillId="2" borderId="0" xfId="0" applyFill="1" applyAlignment="1">
      <alignment horizont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4" borderId="0" xfId="0" applyFill="1" applyAlignment="1">
      <alignment horizontal="center" vertical="center"/>
    </xf>
    <xf numFmtId="0" fontId="0" fillId="2" borderId="0" xfId="0" applyFill="1" applyAlignment="1">
      <alignment horizontal="center" vertical="center"/>
    </xf>
    <xf numFmtId="9" fontId="0" fillId="4" borderId="0" xfId="0" applyNumberFormat="1" applyFill="1" applyAlignment="1">
      <alignment horizontal="center" vertical="center"/>
    </xf>
    <xf numFmtId="0" fontId="0" fillId="5" borderId="0" xfId="0" applyFill="1" applyAlignment="1">
      <alignment horizontal="center" vertical="center"/>
    </xf>
    <xf numFmtId="9" fontId="0" fillId="5" borderId="0" xfId="0" applyNumberFormat="1" applyFill="1" applyAlignment="1">
      <alignment horizontal="center" vertical="center"/>
    </xf>
    <xf numFmtId="0" fontId="0" fillId="6" borderId="0" xfId="0" applyFill="1" applyAlignment="1">
      <alignment horizontal="center" vertical="center"/>
    </xf>
    <xf numFmtId="0" fontId="0" fillId="7" borderId="0" xfId="0" applyFill="1"/>
    <xf numFmtId="0" fontId="0" fillId="9" borderId="0" xfId="0" applyFill="1"/>
    <xf numFmtId="0" fontId="0" fillId="7" borderId="0" xfId="0" applyFill="1" applyAlignment="1">
      <alignment horizontal="center" vertical="center"/>
    </xf>
    <xf numFmtId="9" fontId="0" fillId="7" borderId="0" xfId="0" applyNumberFormat="1" applyFill="1" applyAlignment="1">
      <alignment horizontal="center" vertical="center"/>
    </xf>
    <xf numFmtId="0" fontId="0" fillId="8" borderId="0" xfId="0" applyFill="1" applyAlignment="1">
      <alignment horizontal="center" vertical="center"/>
    </xf>
    <xf numFmtId="9" fontId="0" fillId="8" borderId="0" xfId="0" applyNumberFormat="1" applyFill="1" applyAlignment="1">
      <alignment horizontal="center" vertical="center"/>
    </xf>
    <xf numFmtId="0" fontId="3" fillId="0" borderId="0" xfId="0" applyFont="1" applyFill="1"/>
    <xf numFmtId="0" fontId="2" fillId="0" borderId="0" xfId="0" applyFont="1" applyFill="1"/>
    <xf numFmtId="0" fontId="0" fillId="0" borderId="0" xfId="0" applyFont="1"/>
    <xf numFmtId="0" fontId="4" fillId="0" borderId="0" xfId="0" applyFont="1"/>
    <xf numFmtId="0" fontId="3" fillId="0" borderId="0" xfId="0" applyFont="1"/>
    <xf numFmtId="0" fontId="0" fillId="0" borderId="0" xfId="0" applyAlignment="1">
      <alignment horizontal="center"/>
    </xf>
    <xf numFmtId="2" fontId="0" fillId="0" borderId="0" xfId="0" applyNumberFormat="1"/>
    <xf numFmtId="2"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MX"/>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yVal>
            <c:numRef>
              <c:f>cadenaPizzerias!$C$6:$C$15</c:f>
              <c:numCache>
                <c:formatCode>General</c:formatCode>
                <c:ptCount val="10"/>
                <c:pt idx="0">
                  <c:v>58</c:v>
                </c:pt>
                <c:pt idx="1">
                  <c:v>105</c:v>
                </c:pt>
                <c:pt idx="2">
                  <c:v>88</c:v>
                </c:pt>
                <c:pt idx="3">
                  <c:v>118</c:v>
                </c:pt>
                <c:pt idx="4">
                  <c:v>117</c:v>
                </c:pt>
                <c:pt idx="5">
                  <c:v>137</c:v>
                </c:pt>
                <c:pt idx="6">
                  <c:v>157</c:v>
                </c:pt>
                <c:pt idx="7">
                  <c:v>168</c:v>
                </c:pt>
                <c:pt idx="8">
                  <c:v>149</c:v>
                </c:pt>
                <c:pt idx="9">
                  <c:v>202</c:v>
                </c:pt>
              </c:numCache>
            </c:numRef>
          </c:yVal>
          <c:smooth val="0"/>
          <c:extLst>
            <c:ext xmlns:c16="http://schemas.microsoft.com/office/drawing/2014/chart" uri="{C3380CC4-5D6E-409C-BE32-E72D297353CC}">
              <c16:uniqueId val="{00000000-B142-4C3A-96B8-D4BD2252F6AC}"/>
            </c:ext>
          </c:extLst>
        </c:ser>
        <c:dLbls>
          <c:showLegendKey val="0"/>
          <c:showVal val="0"/>
          <c:showCatName val="0"/>
          <c:showSerName val="0"/>
          <c:showPercent val="0"/>
          <c:showBubbleSize val="0"/>
        </c:dLbls>
        <c:axId val="658038015"/>
        <c:axId val="617533583"/>
      </c:scatterChart>
      <c:valAx>
        <c:axId val="658038015"/>
        <c:scaling>
          <c:orientation val="minMax"/>
        </c:scaling>
        <c:delete val="0"/>
        <c:axPos val="b"/>
        <c:majorGridlines>
          <c:spPr>
            <a:ln w="9525" cap="flat" cmpd="sng" algn="ctr">
              <a:solidFill>
                <a:schemeClr val="dk1">
                  <a:lumMod val="65000"/>
                  <a:lumOff val="35000"/>
                  <a:alpha val="75000"/>
                </a:schemeClr>
              </a:solidFill>
              <a:round/>
            </a:ln>
            <a:effectLst/>
          </c:spPr>
        </c:majorGridlines>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617533583"/>
        <c:crosses val="autoZero"/>
        <c:crossBetween val="midCat"/>
      </c:valAx>
      <c:valAx>
        <c:axId val="617533583"/>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MX"/>
          </a:p>
        </c:txPr>
        <c:crossAx val="658038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Gráfico de dispersión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9"/>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46-4C47-B17D-995A80318E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gerenteVentas!$B$5:$B$14</c:f>
              <c:numCache>
                <c:formatCode>General</c:formatCode>
                <c:ptCount val="10"/>
                <c:pt idx="0">
                  <c:v>1</c:v>
                </c:pt>
                <c:pt idx="1">
                  <c:v>3</c:v>
                </c:pt>
                <c:pt idx="2">
                  <c:v>4</c:v>
                </c:pt>
                <c:pt idx="3">
                  <c:v>4</c:v>
                </c:pt>
                <c:pt idx="4">
                  <c:v>6</c:v>
                </c:pt>
                <c:pt idx="5">
                  <c:v>8</c:v>
                </c:pt>
                <c:pt idx="6">
                  <c:v>10</c:v>
                </c:pt>
                <c:pt idx="7">
                  <c:v>10</c:v>
                </c:pt>
                <c:pt idx="8">
                  <c:v>11</c:v>
                </c:pt>
                <c:pt idx="9">
                  <c:v>13</c:v>
                </c:pt>
              </c:numCache>
            </c:numRef>
          </c:xVal>
          <c:yVal>
            <c:numRef>
              <c:f>gerenteVentas!$C$5:$C$14</c:f>
              <c:numCache>
                <c:formatCode>General</c:formatCode>
                <c:ptCount val="10"/>
                <c:pt idx="0">
                  <c:v>80</c:v>
                </c:pt>
                <c:pt idx="1">
                  <c:v>97</c:v>
                </c:pt>
                <c:pt idx="2">
                  <c:v>92</c:v>
                </c:pt>
                <c:pt idx="3">
                  <c:v>102</c:v>
                </c:pt>
                <c:pt idx="4">
                  <c:v>103</c:v>
                </c:pt>
                <c:pt idx="5">
                  <c:v>111</c:v>
                </c:pt>
                <c:pt idx="6">
                  <c:v>119</c:v>
                </c:pt>
                <c:pt idx="7">
                  <c:v>123</c:v>
                </c:pt>
                <c:pt idx="8">
                  <c:v>117</c:v>
                </c:pt>
                <c:pt idx="9">
                  <c:v>136</c:v>
                </c:pt>
              </c:numCache>
            </c:numRef>
          </c:yVal>
          <c:smooth val="0"/>
          <c:extLst>
            <c:ext xmlns:c16="http://schemas.microsoft.com/office/drawing/2014/chart" uri="{C3380CC4-5D6E-409C-BE32-E72D297353CC}">
              <c16:uniqueId val="{00000000-4F46-4C47-B17D-995A80318E38}"/>
            </c:ext>
          </c:extLst>
        </c:ser>
        <c:dLbls>
          <c:showLegendKey val="0"/>
          <c:showVal val="0"/>
          <c:showCatName val="0"/>
          <c:showSerName val="0"/>
          <c:showPercent val="0"/>
          <c:showBubbleSize val="0"/>
        </c:dLbls>
        <c:axId val="743096863"/>
        <c:axId val="743097695"/>
      </c:scatterChart>
      <c:valAx>
        <c:axId val="7430968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097695"/>
        <c:crosses val="autoZero"/>
        <c:crossBetween val="midCat"/>
      </c:valAx>
      <c:valAx>
        <c:axId val="7430976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096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Gráfico de dispersión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9"/>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261-45FE-9CB9-A43441F07F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gerenteVentas!$B$5:$B$14</c:f>
              <c:numCache>
                <c:formatCode>General</c:formatCode>
                <c:ptCount val="10"/>
                <c:pt idx="0">
                  <c:v>1</c:v>
                </c:pt>
                <c:pt idx="1">
                  <c:v>3</c:v>
                </c:pt>
                <c:pt idx="2">
                  <c:v>4</c:v>
                </c:pt>
                <c:pt idx="3">
                  <c:v>4</c:v>
                </c:pt>
                <c:pt idx="4">
                  <c:v>6</c:v>
                </c:pt>
                <c:pt idx="5">
                  <c:v>8</c:v>
                </c:pt>
                <c:pt idx="6">
                  <c:v>10</c:v>
                </c:pt>
                <c:pt idx="7">
                  <c:v>10</c:v>
                </c:pt>
                <c:pt idx="8">
                  <c:v>11</c:v>
                </c:pt>
                <c:pt idx="9">
                  <c:v>13</c:v>
                </c:pt>
              </c:numCache>
            </c:numRef>
          </c:xVal>
          <c:yVal>
            <c:numRef>
              <c:f>gerenteVentas!$C$5:$C$14</c:f>
              <c:numCache>
                <c:formatCode>General</c:formatCode>
                <c:ptCount val="10"/>
                <c:pt idx="0">
                  <c:v>80</c:v>
                </c:pt>
                <c:pt idx="1">
                  <c:v>97</c:v>
                </c:pt>
                <c:pt idx="2">
                  <c:v>92</c:v>
                </c:pt>
                <c:pt idx="3">
                  <c:v>102</c:v>
                </c:pt>
                <c:pt idx="4">
                  <c:v>103</c:v>
                </c:pt>
                <c:pt idx="5">
                  <c:v>111</c:v>
                </c:pt>
                <c:pt idx="6">
                  <c:v>119</c:v>
                </c:pt>
                <c:pt idx="7">
                  <c:v>123</c:v>
                </c:pt>
                <c:pt idx="8">
                  <c:v>117</c:v>
                </c:pt>
                <c:pt idx="9">
                  <c:v>136</c:v>
                </c:pt>
              </c:numCache>
            </c:numRef>
          </c:yVal>
          <c:smooth val="0"/>
          <c:extLst>
            <c:ext xmlns:c16="http://schemas.microsoft.com/office/drawing/2014/chart" uri="{C3380CC4-5D6E-409C-BE32-E72D297353CC}">
              <c16:uniqueId val="{00000001-8261-45FE-9CB9-A43441F07F4D}"/>
            </c:ext>
          </c:extLst>
        </c:ser>
        <c:dLbls>
          <c:showLegendKey val="0"/>
          <c:showVal val="0"/>
          <c:showCatName val="0"/>
          <c:showSerName val="0"/>
          <c:showPercent val="0"/>
          <c:showBubbleSize val="0"/>
        </c:dLbls>
        <c:axId val="743096863"/>
        <c:axId val="743097695"/>
      </c:scatterChart>
      <c:valAx>
        <c:axId val="7430968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097695"/>
        <c:crosses val="autoZero"/>
        <c:crossBetween val="midCat"/>
      </c:valAx>
      <c:valAx>
        <c:axId val="74309769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09686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7</xdr:col>
      <xdr:colOff>314325</xdr:colOff>
      <xdr:row>9</xdr:row>
      <xdr:rowOff>0</xdr:rowOff>
    </xdr:from>
    <xdr:to>
      <xdr:col>10</xdr:col>
      <xdr:colOff>676645</xdr:colOff>
      <xdr:row>17</xdr:row>
      <xdr:rowOff>105002</xdr:rowOff>
    </xdr:to>
    <xdr:pic>
      <xdr:nvPicPr>
        <xdr:cNvPr id="2" name="Imagen 1">
          <a:extLst>
            <a:ext uri="{FF2B5EF4-FFF2-40B4-BE49-F238E27FC236}">
              <a16:creationId xmlns:a16="http://schemas.microsoft.com/office/drawing/2014/main" id="{14181183-817C-4224-8B4D-014C09BDCB6C}"/>
            </a:ext>
          </a:extLst>
        </xdr:cNvPr>
        <xdr:cNvPicPr>
          <a:picLocks noChangeAspect="1"/>
        </xdr:cNvPicPr>
      </xdr:nvPicPr>
      <xdr:blipFill>
        <a:blip xmlns:r="http://schemas.openxmlformats.org/officeDocument/2006/relationships" r:embed="rId1"/>
        <a:stretch>
          <a:fillRect/>
        </a:stretch>
      </xdr:blipFill>
      <xdr:spPr>
        <a:xfrm>
          <a:off x="6838950" y="1714500"/>
          <a:ext cx="2648320" cy="16290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752475</xdr:colOff>
      <xdr:row>3</xdr:row>
      <xdr:rowOff>167427</xdr:rowOff>
    </xdr:from>
    <xdr:to>
      <xdr:col>18</xdr:col>
      <xdr:colOff>447675</xdr:colOff>
      <xdr:row>18</xdr:row>
      <xdr:rowOff>85725</xdr:rowOff>
    </xdr:to>
    <xdr:pic>
      <xdr:nvPicPr>
        <xdr:cNvPr id="2" name="Imagen 1">
          <a:extLst>
            <a:ext uri="{FF2B5EF4-FFF2-40B4-BE49-F238E27FC236}">
              <a16:creationId xmlns:a16="http://schemas.microsoft.com/office/drawing/2014/main" id="{B3E293D9-2366-4F0C-91D1-C3A0B7BEE1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00"/>
        <a:stretch/>
      </xdr:blipFill>
      <xdr:spPr bwMode="auto">
        <a:xfrm>
          <a:off x="7400925" y="738927"/>
          <a:ext cx="7315200" cy="27757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16</xdr:row>
      <xdr:rowOff>14287</xdr:rowOff>
    </xdr:from>
    <xdr:to>
      <xdr:col>6</xdr:col>
      <xdr:colOff>57150</xdr:colOff>
      <xdr:row>30</xdr:row>
      <xdr:rowOff>90487</xdr:rowOff>
    </xdr:to>
    <xdr:graphicFrame macro="">
      <xdr:nvGraphicFramePr>
        <xdr:cNvPr id="2" name="Gráfico 1">
          <a:extLst>
            <a:ext uri="{FF2B5EF4-FFF2-40B4-BE49-F238E27FC236}">
              <a16:creationId xmlns:a16="http://schemas.microsoft.com/office/drawing/2014/main" id="{AF52E054-6598-453B-9802-6184171E0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16</xdr:row>
      <xdr:rowOff>52387</xdr:rowOff>
    </xdr:from>
    <xdr:to>
      <xdr:col>4</xdr:col>
      <xdr:colOff>171450</xdr:colOff>
      <xdr:row>30</xdr:row>
      <xdr:rowOff>128587</xdr:rowOff>
    </xdr:to>
    <xdr:graphicFrame macro="">
      <xdr:nvGraphicFramePr>
        <xdr:cNvPr id="2" name="Gráfico 1">
          <a:extLst>
            <a:ext uri="{FF2B5EF4-FFF2-40B4-BE49-F238E27FC236}">
              <a16:creationId xmlns:a16="http://schemas.microsoft.com/office/drawing/2014/main" id="{62F7EFF1-FDF6-447B-B41F-171B0335A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53</xdr:row>
      <xdr:rowOff>47625</xdr:rowOff>
    </xdr:from>
    <xdr:to>
      <xdr:col>4</xdr:col>
      <xdr:colOff>104775</xdr:colOff>
      <xdr:row>67</xdr:row>
      <xdr:rowOff>123825</xdr:rowOff>
    </xdr:to>
    <xdr:graphicFrame macro="">
      <xdr:nvGraphicFramePr>
        <xdr:cNvPr id="3" name="Gráfico 2">
          <a:extLst>
            <a:ext uri="{FF2B5EF4-FFF2-40B4-BE49-F238E27FC236}">
              <a16:creationId xmlns:a16="http://schemas.microsoft.com/office/drawing/2014/main" id="{833CA90F-FAB6-428A-9FE6-487E75B27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D6CEC-163D-4FAC-AA10-C6801ECCCAFD}">
  <dimension ref="A1:L27"/>
  <sheetViews>
    <sheetView topLeftCell="A6" workbookViewId="0">
      <selection activeCell="J20" sqref="J20"/>
    </sheetView>
  </sheetViews>
  <sheetFormatPr baseColWidth="10" defaultRowHeight="15"/>
  <cols>
    <col min="1" max="1" width="15.140625" customWidth="1"/>
    <col min="2" max="2" width="17.28515625" customWidth="1"/>
    <col min="3" max="3" width="13.140625" customWidth="1"/>
  </cols>
  <sheetData>
    <row r="1" spans="1:8">
      <c r="A1" s="1" t="s">
        <v>0</v>
      </c>
    </row>
    <row r="3" spans="1:8">
      <c r="A3">
        <v>506</v>
      </c>
      <c r="B3">
        <v>508</v>
      </c>
      <c r="C3">
        <v>499</v>
      </c>
      <c r="D3">
        <v>503</v>
      </c>
      <c r="E3">
        <v>504</v>
      </c>
      <c r="F3">
        <v>510</v>
      </c>
      <c r="G3">
        <v>497</v>
      </c>
      <c r="H3">
        <v>512</v>
      </c>
    </row>
    <row r="4" spans="1:8">
      <c r="A4">
        <v>514</v>
      </c>
      <c r="B4">
        <v>505</v>
      </c>
      <c r="C4">
        <v>493</v>
      </c>
      <c r="D4">
        <v>496</v>
      </c>
      <c r="E4">
        <v>506</v>
      </c>
      <c r="F4">
        <v>502</v>
      </c>
      <c r="G4">
        <v>509</v>
      </c>
      <c r="H4">
        <v>496</v>
      </c>
    </row>
    <row r="6" spans="1:8">
      <c r="A6" t="s">
        <v>1</v>
      </c>
      <c r="B6" t="s">
        <v>2</v>
      </c>
      <c r="C6" t="s">
        <v>8</v>
      </c>
    </row>
    <row r="7" spans="1:8">
      <c r="A7">
        <v>493</v>
      </c>
      <c r="B7">
        <v>493</v>
      </c>
      <c r="C7">
        <f>COUNTIF(B7:B22,B7)</f>
        <v>1</v>
      </c>
    </row>
    <row r="8" spans="1:8">
      <c r="A8">
        <v>496</v>
      </c>
      <c r="B8">
        <v>496</v>
      </c>
      <c r="C8">
        <f t="shared" ref="C8:C22" si="0">COUNTIF(B8:B23,B8)</f>
        <v>2</v>
      </c>
    </row>
    <row r="9" spans="1:8">
      <c r="A9">
        <v>496</v>
      </c>
      <c r="B9">
        <v>496</v>
      </c>
      <c r="C9">
        <f t="shared" si="0"/>
        <v>1</v>
      </c>
    </row>
    <row r="10" spans="1:8">
      <c r="A10">
        <v>497</v>
      </c>
      <c r="B10">
        <v>497</v>
      </c>
      <c r="C10">
        <f t="shared" si="0"/>
        <v>1</v>
      </c>
    </row>
    <row r="11" spans="1:8">
      <c r="A11">
        <v>499</v>
      </c>
      <c r="B11">
        <v>499</v>
      </c>
      <c r="C11">
        <f t="shared" si="0"/>
        <v>1</v>
      </c>
    </row>
    <row r="12" spans="1:8">
      <c r="A12">
        <v>502</v>
      </c>
      <c r="B12">
        <v>502</v>
      </c>
      <c r="C12">
        <f t="shared" si="0"/>
        <v>1</v>
      </c>
    </row>
    <row r="13" spans="1:8">
      <c r="A13">
        <v>503</v>
      </c>
      <c r="B13">
        <v>503</v>
      </c>
      <c r="C13">
        <f t="shared" si="0"/>
        <v>1</v>
      </c>
    </row>
    <row r="14" spans="1:8">
      <c r="A14">
        <v>504</v>
      </c>
      <c r="B14">
        <v>504</v>
      </c>
      <c r="C14">
        <f t="shared" si="0"/>
        <v>1</v>
      </c>
    </row>
    <row r="15" spans="1:8">
      <c r="A15">
        <v>505</v>
      </c>
      <c r="B15">
        <v>505</v>
      </c>
      <c r="C15">
        <f t="shared" si="0"/>
        <v>1</v>
      </c>
    </row>
    <row r="16" spans="1:8">
      <c r="A16">
        <v>506</v>
      </c>
      <c r="B16">
        <v>506</v>
      </c>
      <c r="C16">
        <f t="shared" si="0"/>
        <v>2</v>
      </c>
    </row>
    <row r="17" spans="1:12">
      <c r="A17">
        <v>506</v>
      </c>
      <c r="B17">
        <v>506</v>
      </c>
      <c r="C17">
        <f t="shared" si="0"/>
        <v>1</v>
      </c>
    </row>
    <row r="18" spans="1:12">
      <c r="A18">
        <v>508</v>
      </c>
      <c r="B18">
        <v>508</v>
      </c>
      <c r="C18">
        <f t="shared" si="0"/>
        <v>1</v>
      </c>
    </row>
    <row r="19" spans="1:12">
      <c r="A19">
        <v>509</v>
      </c>
      <c r="B19">
        <v>509</v>
      </c>
      <c r="C19">
        <f t="shared" si="0"/>
        <v>1</v>
      </c>
    </row>
    <row r="20" spans="1:12">
      <c r="A20">
        <v>510</v>
      </c>
      <c r="B20">
        <v>510</v>
      </c>
      <c r="C20">
        <f t="shared" si="0"/>
        <v>1</v>
      </c>
    </row>
    <row r="21" spans="1:12">
      <c r="A21">
        <v>512</v>
      </c>
      <c r="B21">
        <v>512</v>
      </c>
      <c r="C21">
        <f t="shared" si="0"/>
        <v>1</v>
      </c>
    </row>
    <row r="22" spans="1:12">
      <c r="A22">
        <v>514</v>
      </c>
      <c r="B22">
        <v>514</v>
      </c>
      <c r="C22">
        <f t="shared" si="0"/>
        <v>1</v>
      </c>
    </row>
    <row r="24" spans="1:12">
      <c r="B24" t="s">
        <v>6</v>
      </c>
      <c r="C24" t="s">
        <v>7</v>
      </c>
      <c r="D24" t="s">
        <v>10</v>
      </c>
    </row>
    <row r="25" spans="1:12">
      <c r="A25" t="s">
        <v>3</v>
      </c>
      <c r="B25" s="2">
        <f>SUM(B7:B22)/16</f>
        <v>503.75</v>
      </c>
      <c r="C25" s="2">
        <f>AVERAGE(B7:B22)</f>
        <v>503.75</v>
      </c>
      <c r="D25" s="27" t="s">
        <v>11</v>
      </c>
      <c r="E25" s="27"/>
      <c r="F25" s="27"/>
      <c r="G25" s="27"/>
      <c r="H25" s="27"/>
    </row>
    <row r="26" spans="1:12">
      <c r="A26" t="s">
        <v>4</v>
      </c>
      <c r="B26" s="3" t="s">
        <v>9</v>
      </c>
      <c r="C26" s="2">
        <f>MODE(B7:B22)</f>
        <v>496</v>
      </c>
      <c r="D26" s="27" t="s">
        <v>12</v>
      </c>
      <c r="E26" s="27"/>
      <c r="F26" s="27"/>
      <c r="G26" s="27"/>
      <c r="H26" s="27"/>
      <c r="I26" s="27" t="s">
        <v>14</v>
      </c>
      <c r="J26" s="27"/>
      <c r="K26" s="27"/>
      <c r="L26" s="27"/>
    </row>
    <row r="27" spans="1:12">
      <c r="A27" t="s">
        <v>5</v>
      </c>
      <c r="B27" s="2">
        <f>(B14+B15)/2</f>
        <v>504.5</v>
      </c>
      <c r="C27" s="2">
        <f>MEDIAN(B7:B22)</f>
        <v>504.5</v>
      </c>
      <c r="D27" s="27" t="s">
        <v>13</v>
      </c>
      <c r="E27" s="27"/>
      <c r="F27" s="27"/>
      <c r="G27" s="27"/>
      <c r="H27" s="27"/>
    </row>
  </sheetData>
  <sortState xmlns:xlrd2="http://schemas.microsoft.com/office/spreadsheetml/2017/richdata2" ref="A7:B22">
    <sortCondition ref="B7:B22"/>
  </sortState>
  <mergeCells count="4">
    <mergeCell ref="D25:H25"/>
    <mergeCell ref="D26:H26"/>
    <mergeCell ref="D27:H27"/>
    <mergeCell ref="I26:L26"/>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D6A04-738D-438A-8C02-CCE105BD3ED1}">
  <dimension ref="A1:F86"/>
  <sheetViews>
    <sheetView topLeftCell="A66" workbookViewId="0">
      <selection activeCell="C87" sqref="C87"/>
    </sheetView>
  </sheetViews>
  <sheetFormatPr baseColWidth="10" defaultRowHeight="15"/>
  <cols>
    <col min="2" max="2" width="21.7109375" customWidth="1"/>
    <col min="3" max="3" width="23.5703125" customWidth="1"/>
  </cols>
  <sheetData>
    <row r="1" spans="1:3">
      <c r="A1" s="26" t="s">
        <v>96</v>
      </c>
    </row>
    <row r="2" spans="1:3">
      <c r="A2" t="s">
        <v>97</v>
      </c>
    </row>
    <row r="4" spans="1:3">
      <c r="A4" t="s">
        <v>98</v>
      </c>
      <c r="B4" t="s">
        <v>100</v>
      </c>
      <c r="C4" t="s">
        <v>101</v>
      </c>
    </row>
    <row r="5" spans="1:3">
      <c r="A5" s="2">
        <v>1</v>
      </c>
      <c r="B5" s="2">
        <v>1</v>
      </c>
      <c r="C5" s="2">
        <v>80</v>
      </c>
    </row>
    <row r="6" spans="1:3">
      <c r="A6" s="2">
        <v>2</v>
      </c>
      <c r="B6" s="2">
        <v>3</v>
      </c>
      <c r="C6" s="2">
        <v>97</v>
      </c>
    </row>
    <row r="7" spans="1:3">
      <c r="A7" s="2">
        <v>3</v>
      </c>
      <c r="B7" s="2">
        <v>4</v>
      </c>
      <c r="C7" s="2">
        <v>92</v>
      </c>
    </row>
    <row r="8" spans="1:3">
      <c r="A8" s="2">
        <v>4</v>
      </c>
      <c r="B8" s="2">
        <v>4</v>
      </c>
      <c r="C8" s="2">
        <v>102</v>
      </c>
    </row>
    <row r="9" spans="1:3">
      <c r="A9" s="2">
        <v>5</v>
      </c>
      <c r="B9" s="2">
        <v>6</v>
      </c>
      <c r="C9" s="2">
        <v>103</v>
      </c>
    </row>
    <row r="10" spans="1:3">
      <c r="A10" s="2">
        <v>6</v>
      </c>
      <c r="B10" s="2">
        <v>8</v>
      </c>
      <c r="C10" s="2">
        <v>111</v>
      </c>
    </row>
    <row r="11" spans="1:3">
      <c r="A11" s="2">
        <v>7</v>
      </c>
      <c r="B11" s="2">
        <v>10</v>
      </c>
      <c r="C11" s="2">
        <v>119</v>
      </c>
    </row>
    <row r="12" spans="1:3">
      <c r="A12" s="2">
        <v>8</v>
      </c>
      <c r="B12" s="2">
        <v>10</v>
      </c>
      <c r="C12" s="2">
        <v>123</v>
      </c>
    </row>
    <row r="13" spans="1:3">
      <c r="A13" s="2">
        <v>9</v>
      </c>
      <c r="B13" s="2">
        <v>11</v>
      </c>
      <c r="C13" s="2">
        <v>117</v>
      </c>
    </row>
    <row r="14" spans="1:3">
      <c r="A14" s="2">
        <v>10</v>
      </c>
      <c r="B14" s="2">
        <v>13</v>
      </c>
      <c r="C14" s="2">
        <v>136</v>
      </c>
    </row>
    <row r="16" spans="1:3">
      <c r="A16" t="s">
        <v>99</v>
      </c>
    </row>
    <row r="32" spans="1:1">
      <c r="A32" t="s">
        <v>102</v>
      </c>
    </row>
    <row r="33" spans="1:6">
      <c r="A33" t="s">
        <v>98</v>
      </c>
      <c r="B33" t="s">
        <v>100</v>
      </c>
      <c r="C33" t="s">
        <v>101</v>
      </c>
      <c r="D33" t="s">
        <v>76</v>
      </c>
      <c r="E33" t="s">
        <v>77</v>
      </c>
      <c r="F33" t="s">
        <v>89</v>
      </c>
    </row>
    <row r="34" spans="1:6">
      <c r="A34" s="2">
        <v>1</v>
      </c>
      <c r="B34" s="2">
        <v>1</v>
      </c>
      <c r="C34" s="2">
        <v>80</v>
      </c>
      <c r="D34">
        <f>B34*C34</f>
        <v>80</v>
      </c>
      <c r="E34">
        <f>POWER(B34,2)</f>
        <v>1</v>
      </c>
      <c r="F34">
        <f>POWER(C34,2)</f>
        <v>6400</v>
      </c>
    </row>
    <row r="35" spans="1:6">
      <c r="A35" s="2">
        <v>2</v>
      </c>
      <c r="B35" s="2">
        <v>3</v>
      </c>
      <c r="C35" s="2">
        <v>97</v>
      </c>
      <c r="D35">
        <f t="shared" ref="D35:D43" si="0">B35*C35</f>
        <v>291</v>
      </c>
      <c r="E35">
        <f t="shared" ref="E35:E43" si="1">POWER(B35,2)</f>
        <v>9</v>
      </c>
      <c r="F35">
        <f t="shared" ref="F35:F44" si="2">POWER(C35,2)</f>
        <v>9409</v>
      </c>
    </row>
    <row r="36" spans="1:6">
      <c r="A36" s="2">
        <v>3</v>
      </c>
      <c r="B36" s="2">
        <v>4</v>
      </c>
      <c r="C36" s="2">
        <v>92</v>
      </c>
      <c r="D36">
        <f t="shared" si="0"/>
        <v>368</v>
      </c>
      <c r="E36">
        <f t="shared" si="1"/>
        <v>16</v>
      </c>
      <c r="F36">
        <f t="shared" si="2"/>
        <v>8464</v>
      </c>
    </row>
    <row r="37" spans="1:6">
      <c r="A37" s="2">
        <v>4</v>
      </c>
      <c r="B37" s="2">
        <v>4</v>
      </c>
      <c r="C37" s="2">
        <v>102</v>
      </c>
      <c r="D37">
        <f t="shared" si="0"/>
        <v>408</v>
      </c>
      <c r="E37">
        <f t="shared" si="1"/>
        <v>16</v>
      </c>
      <c r="F37">
        <f t="shared" si="2"/>
        <v>10404</v>
      </c>
    </row>
    <row r="38" spans="1:6">
      <c r="A38" s="2">
        <v>5</v>
      </c>
      <c r="B38" s="2">
        <v>6</v>
      </c>
      <c r="C38" s="2">
        <v>103</v>
      </c>
      <c r="D38">
        <f t="shared" si="0"/>
        <v>618</v>
      </c>
      <c r="E38">
        <f t="shared" si="1"/>
        <v>36</v>
      </c>
      <c r="F38">
        <f t="shared" si="2"/>
        <v>10609</v>
      </c>
    </row>
    <row r="39" spans="1:6">
      <c r="A39" s="2">
        <v>6</v>
      </c>
      <c r="B39" s="2">
        <v>8</v>
      </c>
      <c r="C39" s="2">
        <v>111</v>
      </c>
      <c r="D39">
        <f t="shared" si="0"/>
        <v>888</v>
      </c>
      <c r="E39">
        <f t="shared" si="1"/>
        <v>64</v>
      </c>
      <c r="F39">
        <f t="shared" si="2"/>
        <v>12321</v>
      </c>
    </row>
    <row r="40" spans="1:6">
      <c r="A40" s="2">
        <v>7</v>
      </c>
      <c r="B40" s="2">
        <v>10</v>
      </c>
      <c r="C40" s="2">
        <v>119</v>
      </c>
      <c r="D40">
        <f t="shared" si="0"/>
        <v>1190</v>
      </c>
      <c r="E40">
        <f t="shared" si="1"/>
        <v>100</v>
      </c>
      <c r="F40">
        <f t="shared" si="2"/>
        <v>14161</v>
      </c>
    </row>
    <row r="41" spans="1:6">
      <c r="A41" s="2">
        <v>8</v>
      </c>
      <c r="B41" s="2">
        <v>10</v>
      </c>
      <c r="C41" s="2">
        <v>123</v>
      </c>
      <c r="D41">
        <f t="shared" si="0"/>
        <v>1230</v>
      </c>
      <c r="E41">
        <f t="shared" si="1"/>
        <v>100</v>
      </c>
      <c r="F41">
        <f t="shared" si="2"/>
        <v>15129</v>
      </c>
    </row>
    <row r="42" spans="1:6">
      <c r="A42" s="2">
        <v>9</v>
      </c>
      <c r="B42" s="2">
        <v>11</v>
      </c>
      <c r="C42" s="2">
        <v>117</v>
      </c>
      <c r="D42">
        <f t="shared" si="0"/>
        <v>1287</v>
      </c>
      <c r="E42">
        <f t="shared" si="1"/>
        <v>121</v>
      </c>
      <c r="F42">
        <f t="shared" si="2"/>
        <v>13689</v>
      </c>
    </row>
    <row r="43" spans="1:6">
      <c r="A43" s="2">
        <v>10</v>
      </c>
      <c r="B43" s="2">
        <v>13</v>
      </c>
      <c r="C43" s="2">
        <v>136</v>
      </c>
      <c r="D43">
        <f t="shared" si="0"/>
        <v>1768</v>
      </c>
      <c r="E43">
        <f t="shared" si="1"/>
        <v>169</v>
      </c>
      <c r="F43">
        <f t="shared" si="2"/>
        <v>18496</v>
      </c>
    </row>
    <row r="44" spans="1:6">
      <c r="A44" t="s">
        <v>24</v>
      </c>
      <c r="B44">
        <f>SUM(B34:B43)</f>
        <v>70</v>
      </c>
      <c r="C44">
        <f t="shared" ref="C44:E44" si="3">SUM(C34:C43)</f>
        <v>1080</v>
      </c>
      <c r="D44">
        <f t="shared" si="3"/>
        <v>8128</v>
      </c>
      <c r="E44">
        <f t="shared" si="3"/>
        <v>632</v>
      </c>
      <c r="F44">
        <f t="shared" si="2"/>
        <v>1166400</v>
      </c>
    </row>
    <row r="46" spans="1:6">
      <c r="A46" t="s">
        <v>103</v>
      </c>
      <c r="B46">
        <f>AVERAGE(E44)</f>
        <v>632</v>
      </c>
      <c r="C46" s="2">
        <v>7</v>
      </c>
    </row>
    <row r="47" spans="1:6">
      <c r="A47" t="s">
        <v>104</v>
      </c>
      <c r="C47" s="2">
        <v>108</v>
      </c>
    </row>
    <row r="49" spans="1:2">
      <c r="A49" t="s">
        <v>81</v>
      </c>
      <c r="B49">
        <v>4</v>
      </c>
    </row>
    <row r="50" spans="1:2">
      <c r="A50" t="s">
        <v>83</v>
      </c>
      <c r="B50">
        <v>80</v>
      </c>
    </row>
    <row r="52" spans="1:2">
      <c r="A52" t="s">
        <v>86</v>
      </c>
      <c r="B52" t="s">
        <v>105</v>
      </c>
    </row>
    <row r="70" spans="1:3">
      <c r="A70" t="s">
        <v>106</v>
      </c>
    </row>
    <row r="71" spans="1:3">
      <c r="A71" t="s">
        <v>90</v>
      </c>
      <c r="B71">
        <f>(F44-(B50*C44)-(B49*D44))/A43-2</f>
        <v>104746.8</v>
      </c>
      <c r="C71">
        <v>4.6097722289999998</v>
      </c>
    </row>
    <row r="72" spans="1:3">
      <c r="B72">
        <f>SQRT(B71)</f>
        <v>323.64610301994986</v>
      </c>
    </row>
    <row r="74" spans="1:3">
      <c r="A74" t="s">
        <v>107</v>
      </c>
    </row>
    <row r="75" spans="1:3">
      <c r="A75" t="s">
        <v>108</v>
      </c>
      <c r="B75">
        <f>((B50*C44)+(B49*D44)-(A43*POWER(C47,2))/F44-(A43*POWER(C47,2)))</f>
        <v>2271.8999999999942</v>
      </c>
      <c r="C75">
        <v>0.93038493</v>
      </c>
    </row>
    <row r="77" spans="1:3">
      <c r="A77" t="s">
        <v>109</v>
      </c>
    </row>
    <row r="78" spans="1:3">
      <c r="A78" t="s">
        <v>110</v>
      </c>
      <c r="B78">
        <f>SQRT(C75)</f>
        <v>0.96456463236011303</v>
      </c>
      <c r="C78" t="s">
        <v>111</v>
      </c>
    </row>
    <row r="80" spans="1:3">
      <c r="B80">
        <f>PEARSON(B5:B14,C5:C14)</f>
        <v>0.96456463255964886</v>
      </c>
    </row>
    <row r="82" spans="1:4">
      <c r="A82" t="s">
        <v>112</v>
      </c>
    </row>
    <row r="83" spans="1:4">
      <c r="C83" t="s">
        <v>113</v>
      </c>
      <c r="D83">
        <v>108</v>
      </c>
    </row>
    <row r="84" spans="1:4">
      <c r="C84" t="s">
        <v>114</v>
      </c>
      <c r="D84">
        <v>2.306</v>
      </c>
    </row>
    <row r="86" spans="1:4">
      <c r="C86" t="s">
        <v>115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B429D-EF12-4A37-8C27-3586FABE86FE}">
  <dimension ref="A1:C20"/>
  <sheetViews>
    <sheetView tabSelected="1" workbookViewId="0">
      <selection activeCell="C19" sqref="C19"/>
    </sheetView>
  </sheetViews>
  <sheetFormatPr baseColWidth="10" defaultRowHeight="15"/>
  <cols>
    <col min="1" max="1" width="13.28515625" customWidth="1"/>
    <col min="2" max="2" width="12" bestFit="1" customWidth="1"/>
    <col min="3" max="3" width="13.42578125" bestFit="1" customWidth="1"/>
  </cols>
  <sheetData>
    <row r="1" spans="1:3">
      <c r="A1" t="s">
        <v>116</v>
      </c>
      <c r="B1" t="s">
        <v>117</v>
      </c>
      <c r="C1" t="s">
        <v>121</v>
      </c>
    </row>
    <row r="2" spans="1:3">
      <c r="A2">
        <v>24</v>
      </c>
      <c r="B2">
        <v>50</v>
      </c>
      <c r="C2">
        <v>1</v>
      </c>
    </row>
    <row r="3" spans="1:3">
      <c r="A3">
        <v>38</v>
      </c>
      <c r="B3">
        <v>62</v>
      </c>
      <c r="C3">
        <v>2</v>
      </c>
    </row>
    <row r="4" spans="1:3">
      <c r="A4">
        <v>22</v>
      </c>
      <c r="B4">
        <v>58</v>
      </c>
      <c r="C4">
        <v>3</v>
      </c>
    </row>
    <row r="5" spans="1:3">
      <c r="A5">
        <v>25</v>
      </c>
      <c r="B5">
        <v>55</v>
      </c>
      <c r="C5">
        <v>4</v>
      </c>
    </row>
    <row r="6" spans="1:3">
      <c r="A6">
        <v>36</v>
      </c>
      <c r="B6">
        <v>62</v>
      </c>
      <c r="C6">
        <v>5</v>
      </c>
    </row>
    <row r="7" spans="1:3">
      <c r="A7">
        <v>32</v>
      </c>
      <c r="B7">
        <v>65</v>
      </c>
      <c r="C7">
        <v>6</v>
      </c>
    </row>
    <row r="8" spans="1:3">
      <c r="A8">
        <v>38</v>
      </c>
      <c r="B8">
        <v>64</v>
      </c>
      <c r="C8">
        <v>7</v>
      </c>
    </row>
    <row r="9" spans="1:3">
      <c r="A9">
        <v>45</v>
      </c>
      <c r="B9">
        <v>70</v>
      </c>
      <c r="C9">
        <v>8</v>
      </c>
    </row>
    <row r="10" spans="1:3">
      <c r="A10">
        <v>32</v>
      </c>
      <c r="B10">
        <v>63</v>
      </c>
      <c r="C10">
        <v>9</v>
      </c>
    </row>
    <row r="11" spans="1:3">
      <c r="A11">
        <v>24</v>
      </c>
      <c r="B11">
        <v>48</v>
      </c>
      <c r="C11">
        <v>10</v>
      </c>
    </row>
    <row r="13" spans="1:3">
      <c r="A13" t="s">
        <v>118</v>
      </c>
    </row>
    <row r="14" spans="1:3">
      <c r="A14" t="s">
        <v>116</v>
      </c>
      <c r="B14" s="29">
        <f>_xlfn.VAR.S(A2:A11)</f>
        <v>59.155555555555516</v>
      </c>
      <c r="C14" s="28">
        <f>_xlfn.COVARIANCE.S(A2:A11,B2:B11)</f>
        <v>44.866666666666674</v>
      </c>
    </row>
    <row r="15" spans="1:3">
      <c r="A15" t="s">
        <v>117</v>
      </c>
      <c r="B15" s="28">
        <f>_xlfn.COVARIANCE.S(B2:B11,A2:A11)</f>
        <v>44.866666666666674</v>
      </c>
      <c r="C15" s="28">
        <f>_xlfn.VAR.S(B2:B11)</f>
        <v>47.788888888888728</v>
      </c>
    </row>
    <row r="18" spans="1:2">
      <c r="A18" t="s">
        <v>119</v>
      </c>
    </row>
    <row r="19" spans="1:2">
      <c r="A19" t="s">
        <v>122</v>
      </c>
      <c r="B19">
        <f>PEARSON(A2:A11,B2:B11)</f>
        <v>0.84384478335488156</v>
      </c>
    </row>
    <row r="20" spans="1:2">
      <c r="A20" t="s">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42BC7-CD5D-49B9-935F-EF724B0ADE4D}">
  <dimension ref="A1:H15"/>
  <sheetViews>
    <sheetView workbookViewId="0">
      <selection activeCell="H4" sqref="H4"/>
    </sheetView>
  </sheetViews>
  <sheetFormatPr baseColWidth="10" defaultRowHeight="15"/>
  <cols>
    <col min="2" max="2" width="12.7109375" customWidth="1"/>
    <col min="4" max="4" width="16.42578125" customWidth="1"/>
    <col min="6" max="6" width="23" customWidth="1"/>
  </cols>
  <sheetData>
    <row r="1" spans="1:8">
      <c r="A1" s="1" t="s">
        <v>15</v>
      </c>
    </row>
    <row r="3" spans="1:8">
      <c r="A3" s="4" t="s">
        <v>16</v>
      </c>
      <c r="B3" s="4" t="s">
        <v>17</v>
      </c>
      <c r="C3" s="4"/>
      <c r="D3" s="4" t="s">
        <v>23</v>
      </c>
      <c r="E3" s="4" t="s">
        <v>25</v>
      </c>
      <c r="F3" s="4" t="s">
        <v>27</v>
      </c>
      <c r="G3" s="4" t="s">
        <v>28</v>
      </c>
      <c r="H3" s="4" t="s">
        <v>29</v>
      </c>
    </row>
    <row r="4" spans="1:8">
      <c r="A4" s="4" t="s">
        <v>22</v>
      </c>
      <c r="B4" s="4">
        <v>3</v>
      </c>
      <c r="C4" s="4"/>
      <c r="D4" s="4">
        <f>(0+4)/2</f>
        <v>2</v>
      </c>
      <c r="E4" s="4">
        <f>(B4*D4)</f>
        <v>6</v>
      </c>
      <c r="F4" s="4">
        <f>B4</f>
        <v>3</v>
      </c>
      <c r="G4" s="4">
        <f>4-0</f>
        <v>4</v>
      </c>
      <c r="H4" s="7">
        <f>B9/2</f>
        <v>10.5</v>
      </c>
    </row>
    <row r="5" spans="1:8">
      <c r="A5" s="6" t="s">
        <v>18</v>
      </c>
      <c r="B5" s="4">
        <v>5</v>
      </c>
      <c r="C5" s="4"/>
      <c r="D5" s="4">
        <f>(4+8)/2</f>
        <v>6</v>
      </c>
      <c r="E5" s="4">
        <f t="shared" ref="E5:E8" si="0">(B5*D5)</f>
        <v>30</v>
      </c>
      <c r="F5" s="4">
        <f>B5+F4</f>
        <v>8</v>
      </c>
      <c r="G5" s="4"/>
      <c r="H5" s="4"/>
    </row>
    <row r="6" spans="1:8">
      <c r="A6" s="7" t="s">
        <v>19</v>
      </c>
      <c r="B6" s="7">
        <v>6</v>
      </c>
      <c r="C6" s="4"/>
      <c r="D6" s="4">
        <f>(8+12)/2</f>
        <v>10</v>
      </c>
      <c r="E6" s="4">
        <f t="shared" si="0"/>
        <v>60</v>
      </c>
      <c r="F6" s="4">
        <f>B6+F5</f>
        <v>14</v>
      </c>
      <c r="G6" s="4"/>
      <c r="H6" s="4"/>
    </row>
    <row r="7" spans="1:8">
      <c r="A7" s="4" t="s">
        <v>20</v>
      </c>
      <c r="B7" s="4">
        <v>4</v>
      </c>
      <c r="C7" s="4"/>
      <c r="D7" s="4">
        <f>(12+16)/2</f>
        <v>14</v>
      </c>
      <c r="E7" s="4">
        <f t="shared" si="0"/>
        <v>56</v>
      </c>
      <c r="F7" s="4">
        <f>B7+F6</f>
        <v>18</v>
      </c>
      <c r="G7" s="4"/>
      <c r="H7" s="4"/>
    </row>
    <row r="8" spans="1:8">
      <c r="A8" s="4" t="s">
        <v>21</v>
      </c>
      <c r="B8" s="4">
        <v>3</v>
      </c>
      <c r="C8" s="4"/>
      <c r="D8" s="4">
        <f>(16+20)/2</f>
        <v>18</v>
      </c>
      <c r="E8" s="4">
        <f t="shared" si="0"/>
        <v>54</v>
      </c>
      <c r="F8" s="4">
        <f>B8+F7</f>
        <v>21</v>
      </c>
      <c r="G8" s="4"/>
      <c r="H8" s="4"/>
    </row>
    <row r="9" spans="1:8">
      <c r="A9" s="4" t="s">
        <v>24</v>
      </c>
      <c r="B9" s="4">
        <f>SUM(B4:B8)</f>
        <v>21</v>
      </c>
      <c r="C9" s="4"/>
      <c r="D9" s="4"/>
      <c r="E9" s="4"/>
      <c r="F9" s="4"/>
      <c r="G9" s="4"/>
      <c r="H9" s="4"/>
    </row>
    <row r="12" spans="1:8">
      <c r="A12" t="s">
        <v>26</v>
      </c>
      <c r="C12" t="s">
        <v>10</v>
      </c>
    </row>
    <row r="13" spans="1:8">
      <c r="A13" t="s">
        <v>3</v>
      </c>
      <c r="B13">
        <f>SUM(E4:E8)/B9</f>
        <v>9.8095238095238102</v>
      </c>
    </row>
    <row r="14" spans="1:8">
      <c r="A14" t="s">
        <v>5</v>
      </c>
      <c r="B14">
        <f>8+G4*((H4-F5)/B6)</f>
        <v>9.6666666666666661</v>
      </c>
    </row>
    <row r="15" spans="1:8">
      <c r="A15" t="s">
        <v>4</v>
      </c>
      <c r="B15">
        <f>8+G4*((B6-B5)/((B6-B5)+(B6-B7)))</f>
        <v>9.3333333333333339</v>
      </c>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095D0-E92C-4F69-954D-D3FB9B44E014}">
  <dimension ref="A1:E28"/>
  <sheetViews>
    <sheetView workbookViewId="0">
      <selection activeCell="B22" sqref="B22"/>
    </sheetView>
  </sheetViews>
  <sheetFormatPr baseColWidth="10" defaultRowHeight="15"/>
  <cols>
    <col min="1" max="1" width="10.85546875" customWidth="1"/>
    <col min="2" max="2" width="14.85546875" customWidth="1"/>
    <col min="3" max="3" width="16.7109375" customWidth="1"/>
  </cols>
  <sheetData>
    <row r="1" spans="1:5">
      <c r="A1" t="s">
        <v>30</v>
      </c>
    </row>
    <row r="2" spans="1:5">
      <c r="A2" t="s">
        <v>31</v>
      </c>
    </row>
    <row r="4" spans="1:5">
      <c r="A4" s="2" t="s">
        <v>32</v>
      </c>
      <c r="B4" s="2" t="s">
        <v>1</v>
      </c>
      <c r="C4" s="2" t="s">
        <v>33</v>
      </c>
      <c r="D4" s="2"/>
    </row>
    <row r="5" spans="1:5">
      <c r="A5" s="2">
        <v>1</v>
      </c>
      <c r="B5" s="2">
        <v>6</v>
      </c>
      <c r="C5" s="2">
        <v>6</v>
      </c>
      <c r="D5" s="8"/>
    </row>
    <row r="6" spans="1:5">
      <c r="A6" s="2">
        <v>2</v>
      </c>
      <c r="B6" s="2">
        <v>8</v>
      </c>
      <c r="C6" s="2">
        <v>8</v>
      </c>
      <c r="D6" s="8"/>
    </row>
    <row r="7" spans="1:5">
      <c r="A7" s="2">
        <v>3</v>
      </c>
      <c r="B7" s="2">
        <v>15</v>
      </c>
      <c r="C7" s="2">
        <v>15</v>
      </c>
      <c r="D7" s="8"/>
      <c r="E7" t="s">
        <v>39</v>
      </c>
    </row>
    <row r="8" spans="1:5">
      <c r="A8" s="2">
        <v>4</v>
      </c>
      <c r="B8" s="2">
        <v>20</v>
      </c>
      <c r="C8" s="2">
        <v>18</v>
      </c>
      <c r="D8" s="9">
        <v>0.25</v>
      </c>
    </row>
    <row r="9" spans="1:5">
      <c r="A9" s="2">
        <v>5</v>
      </c>
      <c r="B9" s="2">
        <v>30</v>
      </c>
      <c r="C9" s="2">
        <v>20</v>
      </c>
      <c r="D9" s="10"/>
    </row>
    <row r="10" spans="1:5">
      <c r="A10" s="2">
        <v>6</v>
      </c>
      <c r="B10" s="2">
        <v>25</v>
      </c>
      <c r="C10" s="2">
        <v>23</v>
      </c>
      <c r="D10" s="10"/>
    </row>
    <row r="11" spans="1:5">
      <c r="A11" s="2">
        <v>7</v>
      </c>
      <c r="B11" s="2">
        <v>18</v>
      </c>
      <c r="C11" s="2">
        <v>25</v>
      </c>
      <c r="D11" s="10"/>
      <c r="E11" t="s">
        <v>40</v>
      </c>
    </row>
    <row r="12" spans="1:5">
      <c r="A12" s="11">
        <v>8</v>
      </c>
      <c r="B12" s="11">
        <v>23</v>
      </c>
      <c r="C12" s="11">
        <v>30</v>
      </c>
      <c r="D12" s="12">
        <v>0.5</v>
      </c>
    </row>
    <row r="13" spans="1:5">
      <c r="A13" s="2">
        <v>9</v>
      </c>
      <c r="B13" s="2">
        <v>50</v>
      </c>
      <c r="C13" s="2">
        <v>36</v>
      </c>
      <c r="D13" s="13"/>
    </row>
    <row r="14" spans="1:5">
      <c r="A14" s="2">
        <v>10</v>
      </c>
      <c r="B14" s="2">
        <v>45</v>
      </c>
      <c r="C14" s="2">
        <v>38</v>
      </c>
      <c r="D14" s="13"/>
      <c r="E14" t="s">
        <v>41</v>
      </c>
    </row>
    <row r="15" spans="1:5">
      <c r="A15" s="2">
        <v>11</v>
      </c>
      <c r="B15" s="2">
        <v>60</v>
      </c>
      <c r="C15" s="2">
        <v>45</v>
      </c>
      <c r="D15" s="14">
        <v>0.75</v>
      </c>
    </row>
    <row r="16" spans="1:5">
      <c r="A16" s="2">
        <v>12</v>
      </c>
      <c r="B16" s="2">
        <v>38</v>
      </c>
      <c r="C16" s="2">
        <v>47</v>
      </c>
      <c r="D16" s="15"/>
    </row>
    <row r="17" spans="1:4">
      <c r="A17" s="2">
        <v>13</v>
      </c>
      <c r="B17" s="2">
        <v>36</v>
      </c>
      <c r="C17" s="2">
        <v>50</v>
      </c>
      <c r="D17" s="15"/>
    </row>
    <row r="18" spans="1:4">
      <c r="A18" s="2">
        <v>14</v>
      </c>
      <c r="B18" s="2">
        <v>47</v>
      </c>
      <c r="C18" s="2">
        <v>55</v>
      </c>
      <c r="D18" s="15"/>
    </row>
    <row r="19" spans="1:4">
      <c r="A19" s="2">
        <v>15</v>
      </c>
      <c r="B19" s="2">
        <v>55</v>
      </c>
      <c r="C19" s="2">
        <v>60</v>
      </c>
      <c r="D19" s="15"/>
    </row>
    <row r="21" spans="1:4">
      <c r="A21" s="2" t="s">
        <v>34</v>
      </c>
      <c r="B21" s="2" t="s">
        <v>32</v>
      </c>
      <c r="C21" s="2" t="s">
        <v>38</v>
      </c>
    </row>
    <row r="22" spans="1:4">
      <c r="A22" s="2" t="s">
        <v>35</v>
      </c>
      <c r="B22" s="2">
        <f>(1*(15+1))/4</f>
        <v>4</v>
      </c>
      <c r="C22" s="2">
        <v>18</v>
      </c>
    </row>
    <row r="23" spans="1:4">
      <c r="A23" s="2" t="s">
        <v>37</v>
      </c>
      <c r="B23" s="2">
        <f>(15+1)/2</f>
        <v>8</v>
      </c>
      <c r="C23" s="2">
        <v>30</v>
      </c>
    </row>
    <row r="24" spans="1:4">
      <c r="A24" s="2" t="s">
        <v>36</v>
      </c>
      <c r="B24" s="2">
        <f>3*(15+1)/4</f>
        <v>12</v>
      </c>
      <c r="C24" s="2">
        <v>47</v>
      </c>
    </row>
    <row r="26" spans="1:4">
      <c r="A26" s="2" t="s">
        <v>3</v>
      </c>
      <c r="B26" s="2">
        <f>AVERAGE(C5:C19)</f>
        <v>31.733333333333334</v>
      </c>
    </row>
    <row r="27" spans="1:4">
      <c r="A27" s="2" t="s">
        <v>4</v>
      </c>
      <c r="B27" s="2" t="e">
        <f>MODE(C5:C19)</f>
        <v>#N/A</v>
      </c>
    </row>
    <row r="28" spans="1:4">
      <c r="A28" s="2" t="s">
        <v>5</v>
      </c>
      <c r="B28" s="2">
        <f>MEDIAN(C5:C19)</f>
        <v>30</v>
      </c>
    </row>
  </sheetData>
  <sortState xmlns:xlrd2="http://schemas.microsoft.com/office/spreadsheetml/2017/richdata2" ref="A5:C19">
    <sortCondition ref="C5:C1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C3681-5BCA-4C2F-BF96-83A80E407DFE}">
  <dimension ref="A1:E30"/>
  <sheetViews>
    <sheetView workbookViewId="0">
      <selection activeCell="B1" sqref="B1"/>
    </sheetView>
  </sheetViews>
  <sheetFormatPr baseColWidth="10" defaultRowHeight="15"/>
  <cols>
    <col min="1" max="1" width="11.42578125" customWidth="1"/>
    <col min="2" max="2" width="15.28515625" customWidth="1"/>
    <col min="3" max="3" width="15.85546875" customWidth="1"/>
  </cols>
  <sheetData>
    <row r="1" spans="1:5">
      <c r="A1" t="s">
        <v>42</v>
      </c>
    </row>
    <row r="2" spans="1:5">
      <c r="A2" t="s">
        <v>43</v>
      </c>
    </row>
    <row r="4" spans="1:5">
      <c r="A4" s="2" t="s">
        <v>32</v>
      </c>
      <c r="B4" s="2" t="s">
        <v>1</v>
      </c>
      <c r="C4" s="2" t="s">
        <v>33</v>
      </c>
    </row>
    <row r="5" spans="1:5">
      <c r="A5" s="5">
        <v>1</v>
      </c>
      <c r="B5" s="5">
        <v>493</v>
      </c>
      <c r="C5" s="5">
        <v>493</v>
      </c>
      <c r="D5" s="16"/>
    </row>
    <row r="6" spans="1:5">
      <c r="A6" s="5">
        <v>2</v>
      </c>
      <c r="B6" s="5">
        <v>496</v>
      </c>
      <c r="C6" s="5">
        <v>496</v>
      </c>
      <c r="D6" s="16"/>
    </row>
    <row r="7" spans="1:5">
      <c r="A7" s="5">
        <v>3</v>
      </c>
      <c r="B7" s="5">
        <v>496</v>
      </c>
      <c r="C7" s="5">
        <v>496</v>
      </c>
      <c r="D7" s="18"/>
      <c r="E7" t="s">
        <v>45</v>
      </c>
    </row>
    <row r="8" spans="1:5">
      <c r="A8" s="5">
        <v>4</v>
      </c>
      <c r="B8" s="5">
        <v>497</v>
      </c>
      <c r="C8" s="5">
        <v>497</v>
      </c>
      <c r="D8" s="19">
        <v>0.25</v>
      </c>
    </row>
    <row r="9" spans="1:5">
      <c r="A9" s="5">
        <v>5</v>
      </c>
      <c r="B9" s="5">
        <v>499</v>
      </c>
      <c r="C9" s="5">
        <v>499</v>
      </c>
      <c r="D9" s="8"/>
    </row>
    <row r="10" spans="1:5">
      <c r="A10" s="5">
        <v>6</v>
      </c>
      <c r="B10" s="5">
        <v>502</v>
      </c>
      <c r="C10" s="5">
        <v>502</v>
      </c>
      <c r="D10" s="8"/>
    </row>
    <row r="11" spans="1:5">
      <c r="A11" s="5">
        <v>7</v>
      </c>
      <c r="B11" s="5">
        <v>503</v>
      </c>
      <c r="C11" s="5">
        <v>503</v>
      </c>
      <c r="D11" s="8"/>
      <c r="E11" t="s">
        <v>46</v>
      </c>
    </row>
    <row r="12" spans="1:5">
      <c r="A12" s="5">
        <v>8</v>
      </c>
      <c r="B12" s="5">
        <v>504</v>
      </c>
      <c r="C12" s="5">
        <v>504</v>
      </c>
      <c r="D12" s="8"/>
    </row>
    <row r="13" spans="1:5">
      <c r="A13" s="7">
        <v>9</v>
      </c>
      <c r="B13" s="7">
        <v>505</v>
      </c>
      <c r="C13" s="7">
        <v>505</v>
      </c>
      <c r="D13" s="9">
        <v>0.5</v>
      </c>
    </row>
    <row r="14" spans="1:5">
      <c r="A14" s="5">
        <v>10</v>
      </c>
      <c r="B14" s="5">
        <v>506</v>
      </c>
      <c r="C14" s="5">
        <v>506</v>
      </c>
      <c r="D14" s="20"/>
    </row>
    <row r="15" spans="1:5">
      <c r="A15" s="5">
        <v>11</v>
      </c>
      <c r="B15" s="5">
        <v>506</v>
      </c>
      <c r="C15" s="5">
        <v>506</v>
      </c>
      <c r="D15" s="20"/>
    </row>
    <row r="16" spans="1:5">
      <c r="A16" s="5">
        <v>12</v>
      </c>
      <c r="B16" s="5">
        <v>508</v>
      </c>
      <c r="C16" s="5">
        <v>508</v>
      </c>
      <c r="D16" s="20"/>
      <c r="E16" t="s">
        <v>47</v>
      </c>
    </row>
    <row r="17" spans="1:4">
      <c r="A17" s="5">
        <v>13</v>
      </c>
      <c r="B17" s="5">
        <v>509</v>
      </c>
      <c r="C17" s="5">
        <v>509</v>
      </c>
      <c r="D17" s="21">
        <v>0.75</v>
      </c>
    </row>
    <row r="18" spans="1:4">
      <c r="A18" s="5">
        <v>14</v>
      </c>
      <c r="B18" s="5">
        <v>510</v>
      </c>
      <c r="C18" s="5">
        <v>510</v>
      </c>
      <c r="D18" s="17"/>
    </row>
    <row r="19" spans="1:4">
      <c r="A19" s="5">
        <v>15</v>
      </c>
      <c r="B19" s="5">
        <v>512</v>
      </c>
      <c r="C19" s="5">
        <v>512</v>
      </c>
      <c r="D19" s="17"/>
    </row>
    <row r="20" spans="1:4">
      <c r="A20" s="5">
        <v>16</v>
      </c>
      <c r="B20" s="5">
        <v>514</v>
      </c>
      <c r="C20" s="5">
        <v>514</v>
      </c>
      <c r="D20" s="17"/>
    </row>
    <row r="22" spans="1:4">
      <c r="A22" s="2" t="s">
        <v>34</v>
      </c>
      <c r="B22" s="2" t="s">
        <v>32</v>
      </c>
      <c r="C22" s="2" t="s">
        <v>44</v>
      </c>
      <c r="D22" s="2" t="s">
        <v>38</v>
      </c>
    </row>
    <row r="23" spans="1:4">
      <c r="A23" s="2" t="s">
        <v>35</v>
      </c>
      <c r="B23" s="5">
        <f>(1*(16+1))/4</f>
        <v>4.25</v>
      </c>
      <c r="C23" s="5">
        <v>4</v>
      </c>
      <c r="D23" s="5">
        <v>497</v>
      </c>
    </row>
    <row r="24" spans="1:4">
      <c r="A24" s="2" t="s">
        <v>37</v>
      </c>
      <c r="B24" s="5">
        <f>(A12+A13)/2</f>
        <v>8.5</v>
      </c>
      <c r="C24" s="5">
        <v>9</v>
      </c>
      <c r="D24" s="5">
        <v>505</v>
      </c>
    </row>
    <row r="25" spans="1:4">
      <c r="A25" s="2" t="s">
        <v>36</v>
      </c>
      <c r="B25" s="5">
        <f>3*(16+1)/4</f>
        <v>12.75</v>
      </c>
      <c r="C25" s="5">
        <v>13</v>
      </c>
      <c r="D25" s="5">
        <v>509</v>
      </c>
    </row>
    <row r="26" spans="1:4">
      <c r="A26" s="5"/>
      <c r="B26" s="5"/>
      <c r="C26" s="5"/>
      <c r="D26" s="5"/>
    </row>
    <row r="27" spans="1:4">
      <c r="C27" s="5"/>
      <c r="D27" s="5"/>
    </row>
    <row r="28" spans="1:4">
      <c r="A28" s="2" t="s">
        <v>3</v>
      </c>
      <c r="B28" s="5">
        <f>AVERAGE(C5:C20)</f>
        <v>503.75</v>
      </c>
      <c r="C28" s="5"/>
      <c r="D28" s="5"/>
    </row>
    <row r="29" spans="1:4">
      <c r="A29" s="2" t="s">
        <v>5</v>
      </c>
      <c r="B29" s="5">
        <f>MEDIAN(C5:C20)</f>
        <v>504.5</v>
      </c>
      <c r="C29" s="5"/>
      <c r="D29" s="5"/>
    </row>
    <row r="30" spans="1:4">
      <c r="A30" s="2" t="s">
        <v>4</v>
      </c>
      <c r="B30" s="5">
        <f>MODE(C5:C20)</f>
        <v>496</v>
      </c>
    </row>
  </sheetData>
  <sortState xmlns:xlrd2="http://schemas.microsoft.com/office/spreadsheetml/2017/richdata2" ref="A5:C20">
    <sortCondition ref="C5:C20"/>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E7FF0-A74A-47BD-98BE-093836634967}">
  <dimension ref="A1:M16"/>
  <sheetViews>
    <sheetView workbookViewId="0">
      <selection activeCell="A12" sqref="A12:A15"/>
    </sheetView>
  </sheetViews>
  <sheetFormatPr baseColWidth="10" defaultRowHeight="15"/>
  <cols>
    <col min="1" max="1" width="15.7109375" customWidth="1"/>
    <col min="2" max="2" width="15" customWidth="1"/>
    <col min="5" max="5" width="24.42578125" customWidth="1"/>
    <col min="6" max="6" width="64.28515625" customWidth="1"/>
  </cols>
  <sheetData>
    <row r="1" spans="1:13">
      <c r="A1" s="22" t="s">
        <v>48</v>
      </c>
      <c r="B1" s="23"/>
      <c r="C1" s="23"/>
      <c r="D1" s="23"/>
      <c r="E1" s="23"/>
      <c r="F1" s="23"/>
      <c r="G1" s="23"/>
      <c r="H1" s="23"/>
      <c r="I1" s="23"/>
      <c r="J1" s="23"/>
      <c r="K1" s="23"/>
      <c r="L1" s="23"/>
      <c r="M1" s="23"/>
    </row>
    <row r="3" spans="1:13">
      <c r="A3" s="2" t="s">
        <v>49</v>
      </c>
      <c r="B3" s="2" t="s">
        <v>50</v>
      </c>
      <c r="C3" s="2" t="s">
        <v>51</v>
      </c>
      <c r="D3" s="2" t="s">
        <v>52</v>
      </c>
      <c r="E3" s="2" t="s">
        <v>27</v>
      </c>
      <c r="F3" s="2" t="s">
        <v>10</v>
      </c>
      <c r="G3" s="2" t="s">
        <v>32</v>
      </c>
      <c r="H3" s="2"/>
    </row>
    <row r="4" spans="1:13">
      <c r="A4" s="2">
        <v>15.95</v>
      </c>
      <c r="B4" s="2">
        <v>15.97</v>
      </c>
      <c r="C4" s="2">
        <v>4</v>
      </c>
      <c r="D4" s="2">
        <f>B4-A4</f>
        <v>2.000000000000135E-2</v>
      </c>
      <c r="E4" s="13">
        <f>C4</f>
        <v>4</v>
      </c>
      <c r="F4" s="2" t="s">
        <v>54</v>
      </c>
      <c r="G4" s="2">
        <f>C9/2</f>
        <v>18</v>
      </c>
      <c r="H4" s="2"/>
    </row>
    <row r="5" spans="1:13">
      <c r="A5" s="2">
        <v>15.98</v>
      </c>
      <c r="B5" s="2">
        <v>16</v>
      </c>
      <c r="C5" s="2">
        <v>10</v>
      </c>
      <c r="D5" s="2"/>
      <c r="E5" s="13">
        <f>C5+C4</f>
        <v>14</v>
      </c>
      <c r="F5" s="2"/>
      <c r="G5" s="2"/>
      <c r="H5" s="2"/>
    </row>
    <row r="6" spans="1:13">
      <c r="A6" s="11">
        <v>16.010000000000002</v>
      </c>
      <c r="B6" s="11">
        <v>16.03</v>
      </c>
      <c r="C6" s="8">
        <v>18</v>
      </c>
      <c r="D6" s="2"/>
      <c r="E6" s="2">
        <v>32</v>
      </c>
      <c r="F6" s="2" t="s">
        <v>55</v>
      </c>
      <c r="G6" s="2"/>
      <c r="H6" s="2"/>
    </row>
    <row r="7" spans="1:13">
      <c r="A7" s="2">
        <v>16.04</v>
      </c>
      <c r="B7" s="2">
        <v>16.059999999999999</v>
      </c>
      <c r="C7" s="2">
        <v>3</v>
      </c>
      <c r="D7" s="2"/>
      <c r="E7" s="2">
        <v>35</v>
      </c>
      <c r="F7" s="2" t="s">
        <v>56</v>
      </c>
      <c r="G7" s="2"/>
      <c r="H7" s="2"/>
    </row>
    <row r="8" spans="1:13">
      <c r="A8" s="2">
        <v>16.07</v>
      </c>
      <c r="B8" s="2">
        <v>16.09</v>
      </c>
      <c r="C8" s="2">
        <v>1</v>
      </c>
      <c r="D8" s="2"/>
      <c r="E8" s="2">
        <v>36</v>
      </c>
      <c r="F8" s="2"/>
      <c r="G8" s="2"/>
      <c r="H8" s="2"/>
    </row>
    <row r="9" spans="1:13">
      <c r="A9" s="2" t="s">
        <v>24</v>
      </c>
      <c r="B9" s="2"/>
      <c r="C9" s="2">
        <f>SUM(C4:C8)</f>
        <v>36</v>
      </c>
      <c r="D9" s="2"/>
      <c r="E9" s="2"/>
      <c r="F9" s="2"/>
      <c r="G9" s="2"/>
      <c r="H9" s="2"/>
    </row>
    <row r="10" spans="1:13">
      <c r="A10" s="2"/>
      <c r="B10" s="2"/>
      <c r="C10" s="2"/>
      <c r="D10" s="2"/>
      <c r="E10" s="2"/>
      <c r="F10" s="2"/>
      <c r="G10" s="2"/>
      <c r="H10" s="2"/>
    </row>
    <row r="11" spans="1:13">
      <c r="A11" s="2"/>
      <c r="B11" s="2"/>
      <c r="C11" s="2"/>
      <c r="D11" s="2"/>
      <c r="E11" s="2"/>
      <c r="F11" s="2"/>
      <c r="G11" s="2"/>
      <c r="H11" s="2"/>
    </row>
    <row r="12" spans="1:13">
      <c r="A12" s="2" t="s">
        <v>34</v>
      </c>
      <c r="B12" s="2"/>
      <c r="C12" s="2" t="s">
        <v>32</v>
      </c>
      <c r="D12" s="2"/>
      <c r="E12" s="2"/>
      <c r="F12" s="2"/>
      <c r="G12" s="2"/>
      <c r="H12" s="2"/>
    </row>
    <row r="13" spans="1:13">
      <c r="A13" s="2" t="s">
        <v>35</v>
      </c>
      <c r="B13" s="2">
        <f>A5+D4*(C13-E4)/C5</f>
        <v>15.990000000000002</v>
      </c>
      <c r="C13" s="2">
        <f>1*(C9/4)</f>
        <v>9</v>
      </c>
      <c r="D13" s="2"/>
      <c r="E13" s="2"/>
      <c r="F13" s="2"/>
      <c r="G13" s="2"/>
      <c r="H13" s="2"/>
    </row>
    <row r="14" spans="1:13">
      <c r="A14" s="2" t="s">
        <v>53</v>
      </c>
      <c r="B14" s="2">
        <f>A6+D4*(G4-E5)/C6</f>
        <v>16.014444444444447</v>
      </c>
      <c r="C14" s="2"/>
      <c r="D14" s="2"/>
      <c r="E14" s="2"/>
      <c r="F14" s="2"/>
      <c r="G14" s="2"/>
      <c r="H14" s="2"/>
    </row>
    <row r="15" spans="1:13">
      <c r="A15" s="2" t="s">
        <v>36</v>
      </c>
      <c r="B15" s="2">
        <f>A6+D4*(C15-E5)/C6</f>
        <v>16.024444444444448</v>
      </c>
      <c r="C15" s="2">
        <f>3*(C9/4)</f>
        <v>27</v>
      </c>
      <c r="D15" s="2"/>
      <c r="E15" s="2"/>
      <c r="F15" s="2"/>
      <c r="G15" s="2"/>
      <c r="H15" s="2"/>
    </row>
    <row r="16" spans="1:13">
      <c r="A16" s="2"/>
      <c r="B16" s="2"/>
      <c r="C16" s="2"/>
      <c r="D16" s="2"/>
      <c r="E16" s="2"/>
      <c r="F16" s="2"/>
      <c r="G16" s="2"/>
      <c r="H16" s="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27301-3538-476C-98D9-5FB373AE0CBE}">
  <dimension ref="A1:H15"/>
  <sheetViews>
    <sheetView workbookViewId="0">
      <selection activeCell="A4" sqref="A4:B10"/>
    </sheetView>
  </sheetViews>
  <sheetFormatPr baseColWidth="10" defaultRowHeight="15"/>
  <cols>
    <col min="4" max="4" width="21" customWidth="1"/>
  </cols>
  <sheetData>
    <row r="1" spans="1:8">
      <c r="A1" t="s">
        <v>57</v>
      </c>
    </row>
    <row r="2" spans="1:8">
      <c r="A2" t="s">
        <v>58</v>
      </c>
    </row>
    <row r="4" spans="1:8">
      <c r="A4" s="2" t="s">
        <v>59</v>
      </c>
      <c r="B4" s="2" t="s">
        <v>51</v>
      </c>
      <c r="C4" s="2" t="s">
        <v>28</v>
      </c>
      <c r="D4" s="2" t="s">
        <v>60</v>
      </c>
    </row>
    <row r="5" spans="1:8">
      <c r="A5" s="2" t="s">
        <v>22</v>
      </c>
      <c r="B5" s="2">
        <v>3</v>
      </c>
      <c r="C5" s="2">
        <f>4-0</f>
        <v>4</v>
      </c>
      <c r="D5" s="2">
        <v>3</v>
      </c>
    </row>
    <row r="6" spans="1:8">
      <c r="A6" s="2" t="s">
        <v>18</v>
      </c>
      <c r="B6" s="2">
        <v>5</v>
      </c>
      <c r="C6" s="2"/>
      <c r="D6" s="2">
        <f>B6+B5</f>
        <v>8</v>
      </c>
    </row>
    <row r="7" spans="1:8">
      <c r="A7" s="2" t="s">
        <v>19</v>
      </c>
      <c r="B7" s="2">
        <v>6</v>
      </c>
      <c r="C7" s="2"/>
      <c r="D7" s="2">
        <v>14</v>
      </c>
    </row>
    <row r="8" spans="1:8">
      <c r="A8" s="2" t="s">
        <v>20</v>
      </c>
      <c r="B8" s="2">
        <v>4</v>
      </c>
      <c r="C8" s="2"/>
      <c r="D8" s="2">
        <v>18</v>
      </c>
    </row>
    <row r="9" spans="1:8">
      <c r="A9" s="2" t="s">
        <v>21</v>
      </c>
      <c r="B9" s="2">
        <v>3</v>
      </c>
      <c r="C9" s="2"/>
      <c r="D9" s="2">
        <v>21</v>
      </c>
    </row>
    <row r="10" spans="1:8">
      <c r="A10" s="2" t="s">
        <v>24</v>
      </c>
      <c r="B10" s="2">
        <f>SUM(B5:B9)</f>
        <v>21</v>
      </c>
      <c r="C10" s="2"/>
      <c r="D10" s="2"/>
    </row>
    <row r="11" spans="1:8">
      <c r="A11" s="2"/>
      <c r="B11" s="2"/>
      <c r="C11" s="2"/>
      <c r="D11" s="2"/>
    </row>
    <row r="12" spans="1:8">
      <c r="A12" s="2" t="s">
        <v>34</v>
      </c>
      <c r="B12" s="2" t="s">
        <v>38</v>
      </c>
      <c r="C12" s="2" t="s">
        <v>32</v>
      </c>
      <c r="D12" s="2"/>
    </row>
    <row r="13" spans="1:8">
      <c r="A13" s="2" t="s">
        <v>35</v>
      </c>
      <c r="B13" s="2">
        <f>4+C5*(C13-D5)/B6</f>
        <v>5.8</v>
      </c>
      <c r="C13" s="2">
        <f>1*B10/4</f>
        <v>5.25</v>
      </c>
      <c r="D13" s="2"/>
      <c r="E13" s="2" t="s">
        <v>61</v>
      </c>
      <c r="F13" s="2"/>
      <c r="G13" s="2"/>
      <c r="H13" s="2"/>
    </row>
    <row r="14" spans="1:8">
      <c r="A14" s="2" t="s">
        <v>53</v>
      </c>
      <c r="B14" s="2">
        <f>8+C5*(C14-D6)/B7</f>
        <v>9.6666666666666661</v>
      </c>
      <c r="C14" s="2">
        <f>B10/2</f>
        <v>10.5</v>
      </c>
      <c r="D14" s="2"/>
      <c r="E14" s="2" t="s">
        <v>62</v>
      </c>
      <c r="F14" s="2"/>
      <c r="G14" s="2"/>
      <c r="H14" s="2"/>
    </row>
    <row r="15" spans="1:8">
      <c r="A15" s="2" t="s">
        <v>36</v>
      </c>
      <c r="B15" s="2">
        <f>12+C5*(C15-D7)/B8</f>
        <v>13.75</v>
      </c>
      <c r="C15" s="2">
        <f>3*(B10/4)</f>
        <v>15.75</v>
      </c>
      <c r="D15" s="2"/>
      <c r="E15" s="2" t="s">
        <v>63</v>
      </c>
      <c r="F15" s="2"/>
      <c r="G15" s="2"/>
      <c r="H15"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CD298-B99F-4766-95EC-F105083EFE53}">
  <dimension ref="A3:C23"/>
  <sheetViews>
    <sheetView topLeftCell="A3" workbookViewId="0">
      <selection activeCell="C22" sqref="C22"/>
    </sheetView>
  </sheetViews>
  <sheetFormatPr baseColWidth="10" defaultRowHeight="15"/>
  <cols>
    <col min="3" max="3" width="11.85546875" bestFit="1" customWidth="1"/>
  </cols>
  <sheetData>
    <row r="3" spans="1:2">
      <c r="B3" t="s">
        <v>64</v>
      </c>
    </row>
    <row r="4" spans="1:2">
      <c r="A4">
        <v>506</v>
      </c>
      <c r="B4">
        <f>POWER((A4-B$21),2)</f>
        <v>5.0625</v>
      </c>
    </row>
    <row r="5" spans="1:2">
      <c r="A5">
        <v>508</v>
      </c>
      <c r="B5">
        <f t="shared" ref="B5:B19" si="0">POWER((A5-B$21),2)</f>
        <v>18.0625</v>
      </c>
    </row>
    <row r="6" spans="1:2">
      <c r="A6">
        <v>499</v>
      </c>
      <c r="B6">
        <f t="shared" si="0"/>
        <v>22.5625</v>
      </c>
    </row>
    <row r="7" spans="1:2">
      <c r="A7">
        <v>503</v>
      </c>
      <c r="B7">
        <f t="shared" si="0"/>
        <v>0.5625</v>
      </c>
    </row>
    <row r="8" spans="1:2">
      <c r="A8">
        <v>504</v>
      </c>
      <c r="B8">
        <f t="shared" si="0"/>
        <v>6.25E-2</v>
      </c>
    </row>
    <row r="9" spans="1:2">
      <c r="A9">
        <v>510</v>
      </c>
      <c r="B9">
        <f t="shared" si="0"/>
        <v>39.0625</v>
      </c>
    </row>
    <row r="10" spans="1:2">
      <c r="A10">
        <v>497</v>
      </c>
      <c r="B10">
        <f t="shared" si="0"/>
        <v>45.5625</v>
      </c>
    </row>
    <row r="11" spans="1:2">
      <c r="A11">
        <v>512</v>
      </c>
      <c r="B11">
        <f t="shared" si="0"/>
        <v>68.0625</v>
      </c>
    </row>
    <row r="12" spans="1:2">
      <c r="A12">
        <v>514</v>
      </c>
      <c r="B12">
        <f t="shared" si="0"/>
        <v>105.0625</v>
      </c>
    </row>
    <row r="13" spans="1:2">
      <c r="A13">
        <v>505</v>
      </c>
      <c r="B13">
        <f t="shared" si="0"/>
        <v>1.5625</v>
      </c>
    </row>
    <row r="14" spans="1:2">
      <c r="A14">
        <v>493</v>
      </c>
      <c r="B14">
        <f t="shared" si="0"/>
        <v>115.5625</v>
      </c>
    </row>
    <row r="15" spans="1:2">
      <c r="A15">
        <v>496</v>
      </c>
      <c r="B15">
        <f t="shared" si="0"/>
        <v>60.0625</v>
      </c>
    </row>
    <row r="16" spans="1:2">
      <c r="A16">
        <v>506</v>
      </c>
      <c r="B16">
        <f t="shared" si="0"/>
        <v>5.0625</v>
      </c>
    </row>
    <row r="17" spans="1:3">
      <c r="A17">
        <v>502</v>
      </c>
      <c r="B17">
        <f t="shared" si="0"/>
        <v>3.0625</v>
      </c>
    </row>
    <row r="18" spans="1:3">
      <c r="A18">
        <v>509</v>
      </c>
      <c r="B18">
        <f t="shared" si="0"/>
        <v>27.5625</v>
      </c>
    </row>
    <row r="19" spans="1:3">
      <c r="A19">
        <v>496</v>
      </c>
      <c r="B19">
        <f t="shared" si="0"/>
        <v>60.0625</v>
      </c>
    </row>
    <row r="20" spans="1:3">
      <c r="B20">
        <f>SUM(B4:B19)</f>
        <v>577</v>
      </c>
    </row>
    <row r="21" spans="1:3">
      <c r="A21" t="s">
        <v>3</v>
      </c>
      <c r="B21">
        <f>AVERAGE(A4:A19)</f>
        <v>503.75</v>
      </c>
    </row>
    <row r="22" spans="1:3">
      <c r="A22" t="s">
        <v>65</v>
      </c>
      <c r="C22">
        <f>VAR(B4:B19)</f>
        <v>1379.5</v>
      </c>
    </row>
    <row r="23" spans="1:3">
      <c r="C23">
        <f>STDEV(B4:B20)</f>
        <v>136.03614574945752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CCF91-D418-40EB-97DF-439835743E9C}">
  <dimension ref="A4:E23"/>
  <sheetViews>
    <sheetView workbookViewId="0">
      <selection activeCell="A24" sqref="A24"/>
    </sheetView>
  </sheetViews>
  <sheetFormatPr baseColWidth="10" defaultRowHeight="15"/>
  <sheetData>
    <row r="4" spans="1:5">
      <c r="A4" s="2" t="s">
        <v>59</v>
      </c>
      <c r="B4" s="2" t="s">
        <v>51</v>
      </c>
      <c r="C4" t="s">
        <v>23</v>
      </c>
      <c r="D4" t="s">
        <v>66</v>
      </c>
      <c r="E4" t="s">
        <v>67</v>
      </c>
    </row>
    <row r="5" spans="1:5">
      <c r="A5" s="2" t="s">
        <v>22</v>
      </c>
      <c r="B5" s="2">
        <v>3</v>
      </c>
      <c r="C5">
        <f>(0+4)/2</f>
        <v>2</v>
      </c>
      <c r="D5">
        <f>B5*C5</f>
        <v>6</v>
      </c>
    </row>
    <row r="6" spans="1:5">
      <c r="A6" s="2" t="s">
        <v>18</v>
      </c>
      <c r="B6" s="2">
        <v>5</v>
      </c>
      <c r="C6">
        <f>12/2</f>
        <v>6</v>
      </c>
      <c r="D6">
        <f t="shared" ref="D6:D9" si="0">B6*C6</f>
        <v>30</v>
      </c>
    </row>
    <row r="7" spans="1:5">
      <c r="A7" s="2" t="s">
        <v>19</v>
      </c>
      <c r="B7" s="2">
        <v>6</v>
      </c>
      <c r="C7">
        <v>10</v>
      </c>
      <c r="D7">
        <f t="shared" si="0"/>
        <v>60</v>
      </c>
    </row>
    <row r="8" spans="1:5">
      <c r="A8" s="2" t="s">
        <v>20</v>
      </c>
      <c r="B8" s="2">
        <v>4</v>
      </c>
      <c r="C8">
        <v>14</v>
      </c>
      <c r="D8">
        <f t="shared" si="0"/>
        <v>56</v>
      </c>
    </row>
    <row r="9" spans="1:5">
      <c r="A9" s="2" t="s">
        <v>21</v>
      </c>
      <c r="B9" s="2">
        <v>3</v>
      </c>
      <c r="C9">
        <v>18</v>
      </c>
      <c r="D9">
        <f t="shared" si="0"/>
        <v>54</v>
      </c>
    </row>
    <row r="10" spans="1:5">
      <c r="A10" s="2" t="s">
        <v>24</v>
      </c>
      <c r="B10" s="2">
        <f>SUM(B5:B9)</f>
        <v>21</v>
      </c>
      <c r="C10">
        <f>SUM(C5:C9)</f>
        <v>50</v>
      </c>
    </row>
    <row r="13" spans="1:5">
      <c r="A13" s="2" t="s">
        <v>3</v>
      </c>
      <c r="B13">
        <f>AVERAGE(B10)</f>
        <v>21</v>
      </c>
    </row>
    <row r="16" spans="1:5">
      <c r="A16">
        <v>32</v>
      </c>
    </row>
    <row r="17" spans="1:1">
      <c r="A17">
        <v>32</v>
      </c>
    </row>
    <row r="18" spans="1:1">
      <c r="A18">
        <v>34</v>
      </c>
    </row>
    <row r="19" spans="1:1">
      <c r="A19">
        <v>71</v>
      </c>
    </row>
    <row r="20" spans="1:1">
      <c r="A20">
        <v>35</v>
      </c>
    </row>
    <row r="21" spans="1:1">
      <c r="A21">
        <v>36</v>
      </c>
    </row>
    <row r="22" spans="1:1">
      <c r="A22">
        <v>75</v>
      </c>
    </row>
    <row r="23" spans="1:1">
      <c r="A23">
        <f>AVERAGE(A16:A22)</f>
        <v>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B911-5042-410B-94AD-98A178B92827}">
  <dimension ref="A1:P67"/>
  <sheetViews>
    <sheetView topLeftCell="A38" workbookViewId="0">
      <selection activeCell="B50" sqref="B50"/>
    </sheetView>
  </sheetViews>
  <sheetFormatPr baseColWidth="10" defaultRowHeight="15"/>
  <sheetData>
    <row r="1" spans="1:16" ht="15.75">
      <c r="A1" s="25" t="s">
        <v>68</v>
      </c>
      <c r="B1" s="24"/>
      <c r="C1" s="24"/>
      <c r="D1" s="24"/>
      <c r="E1" s="24"/>
      <c r="F1" s="24"/>
      <c r="G1" s="24"/>
      <c r="H1" s="24"/>
      <c r="I1" s="24"/>
      <c r="J1" s="24"/>
      <c r="K1" s="24"/>
      <c r="L1" s="24"/>
      <c r="M1" s="24"/>
      <c r="N1" s="24"/>
      <c r="O1" s="24"/>
      <c r="P1" s="24"/>
    </row>
    <row r="2" spans="1:16">
      <c r="A2" t="s">
        <v>69</v>
      </c>
    </row>
    <row r="3" spans="1:16">
      <c r="A3" t="s">
        <v>70</v>
      </c>
    </row>
    <row r="4" spans="1:16">
      <c r="A4" t="s">
        <v>72</v>
      </c>
    </row>
    <row r="5" spans="1:16">
      <c r="A5" t="s">
        <v>71</v>
      </c>
      <c r="B5" t="s">
        <v>74</v>
      </c>
      <c r="C5" t="s">
        <v>75</v>
      </c>
      <c r="D5" t="s">
        <v>76</v>
      </c>
      <c r="E5" t="s">
        <v>77</v>
      </c>
    </row>
    <row r="6" spans="1:16">
      <c r="A6">
        <v>1</v>
      </c>
      <c r="B6">
        <v>2</v>
      </c>
      <c r="C6">
        <v>58</v>
      </c>
      <c r="D6">
        <f>B6*C6</f>
        <v>116</v>
      </c>
      <c r="E6">
        <f>POWER(B6,2)</f>
        <v>4</v>
      </c>
    </row>
    <row r="7" spans="1:16">
      <c r="A7">
        <v>2</v>
      </c>
      <c r="B7">
        <v>6</v>
      </c>
      <c r="C7">
        <v>105</v>
      </c>
      <c r="D7">
        <f t="shared" ref="D7:D15" si="0">B7*C7</f>
        <v>630</v>
      </c>
      <c r="E7">
        <f t="shared" ref="E7:E15" si="1">POWER(B7,2)</f>
        <v>36</v>
      </c>
    </row>
    <row r="8" spans="1:16">
      <c r="A8">
        <v>3</v>
      </c>
      <c r="B8">
        <v>8</v>
      </c>
      <c r="C8">
        <v>88</v>
      </c>
      <c r="D8">
        <f t="shared" si="0"/>
        <v>704</v>
      </c>
      <c r="E8">
        <f t="shared" si="1"/>
        <v>64</v>
      </c>
    </row>
    <row r="9" spans="1:16">
      <c r="A9">
        <v>4</v>
      </c>
      <c r="B9">
        <v>8</v>
      </c>
      <c r="C9">
        <v>118</v>
      </c>
      <c r="D9">
        <f t="shared" si="0"/>
        <v>944</v>
      </c>
      <c r="E9">
        <f t="shared" si="1"/>
        <v>64</v>
      </c>
    </row>
    <row r="10" spans="1:16">
      <c r="A10">
        <v>5</v>
      </c>
      <c r="B10">
        <v>12</v>
      </c>
      <c r="C10">
        <v>117</v>
      </c>
      <c r="D10">
        <f t="shared" si="0"/>
        <v>1404</v>
      </c>
      <c r="E10">
        <f t="shared" si="1"/>
        <v>144</v>
      </c>
    </row>
    <row r="11" spans="1:16">
      <c r="A11">
        <v>6</v>
      </c>
      <c r="B11">
        <v>16</v>
      </c>
      <c r="C11">
        <v>137</v>
      </c>
      <c r="D11">
        <f t="shared" si="0"/>
        <v>2192</v>
      </c>
      <c r="E11">
        <f t="shared" si="1"/>
        <v>256</v>
      </c>
    </row>
    <row r="12" spans="1:16">
      <c r="A12">
        <v>7</v>
      </c>
      <c r="B12">
        <v>20</v>
      </c>
      <c r="C12">
        <v>157</v>
      </c>
      <c r="D12">
        <f t="shared" si="0"/>
        <v>3140</v>
      </c>
      <c r="E12">
        <f t="shared" si="1"/>
        <v>400</v>
      </c>
    </row>
    <row r="13" spans="1:16">
      <c r="A13">
        <v>8</v>
      </c>
      <c r="B13">
        <v>20</v>
      </c>
      <c r="C13">
        <v>168</v>
      </c>
      <c r="D13">
        <f t="shared" si="0"/>
        <v>3360</v>
      </c>
      <c r="E13">
        <f t="shared" si="1"/>
        <v>400</v>
      </c>
    </row>
    <row r="14" spans="1:16">
      <c r="A14">
        <v>9</v>
      </c>
      <c r="B14">
        <v>22</v>
      </c>
      <c r="C14">
        <v>149</v>
      </c>
      <c r="D14">
        <f t="shared" si="0"/>
        <v>3278</v>
      </c>
      <c r="E14">
        <f t="shared" si="1"/>
        <v>484</v>
      </c>
    </row>
    <row r="15" spans="1:16">
      <c r="A15">
        <v>10</v>
      </c>
      <c r="B15">
        <v>26</v>
      </c>
      <c r="C15">
        <v>202</v>
      </c>
      <c r="D15">
        <f t="shared" si="0"/>
        <v>5252</v>
      </c>
      <c r="E15">
        <f t="shared" si="1"/>
        <v>676</v>
      </c>
    </row>
    <row r="16" spans="1:16">
      <c r="A16" t="s">
        <v>73</v>
      </c>
    </row>
    <row r="33" spans="1:6">
      <c r="A33" t="s">
        <v>78</v>
      </c>
    </row>
    <row r="34" spans="1:6">
      <c r="A34" t="s">
        <v>71</v>
      </c>
      <c r="B34" t="s">
        <v>74</v>
      </c>
      <c r="C34" t="s">
        <v>75</v>
      </c>
      <c r="D34" t="s">
        <v>76</v>
      </c>
      <c r="E34" t="s">
        <v>77</v>
      </c>
      <c r="F34" t="s">
        <v>89</v>
      </c>
    </row>
    <row r="35" spans="1:6">
      <c r="A35">
        <v>1</v>
      </c>
      <c r="B35">
        <v>2</v>
      </c>
      <c r="C35">
        <v>58</v>
      </c>
      <c r="D35">
        <f>B35*C35</f>
        <v>116</v>
      </c>
      <c r="E35">
        <f>POWER(B35,2)</f>
        <v>4</v>
      </c>
      <c r="F35">
        <f>POWER(C35,2)</f>
        <v>3364</v>
      </c>
    </row>
    <row r="36" spans="1:6">
      <c r="A36">
        <v>2</v>
      </c>
      <c r="B36">
        <v>6</v>
      </c>
      <c r="C36">
        <v>105</v>
      </c>
      <c r="D36">
        <f t="shared" ref="D36:D44" si="2">B36*C36</f>
        <v>630</v>
      </c>
      <c r="E36">
        <f t="shared" ref="E36:E44" si="3">POWER(B36,2)</f>
        <v>36</v>
      </c>
      <c r="F36">
        <f t="shared" ref="F36:F44" si="4">POWER(C36,2)</f>
        <v>11025</v>
      </c>
    </row>
    <row r="37" spans="1:6">
      <c r="A37">
        <v>3</v>
      </c>
      <c r="B37">
        <v>8</v>
      </c>
      <c r="C37">
        <v>88</v>
      </c>
      <c r="D37">
        <f t="shared" si="2"/>
        <v>704</v>
      </c>
      <c r="E37">
        <f t="shared" si="3"/>
        <v>64</v>
      </c>
      <c r="F37">
        <f t="shared" si="4"/>
        <v>7744</v>
      </c>
    </row>
    <row r="38" spans="1:6">
      <c r="A38">
        <v>4</v>
      </c>
      <c r="B38">
        <v>8</v>
      </c>
      <c r="C38">
        <v>118</v>
      </c>
      <c r="D38">
        <f t="shared" si="2"/>
        <v>944</v>
      </c>
      <c r="E38">
        <f t="shared" si="3"/>
        <v>64</v>
      </c>
      <c r="F38">
        <f t="shared" si="4"/>
        <v>13924</v>
      </c>
    </row>
    <row r="39" spans="1:6">
      <c r="A39">
        <v>5</v>
      </c>
      <c r="B39">
        <v>12</v>
      </c>
      <c r="C39">
        <v>117</v>
      </c>
      <c r="D39">
        <f t="shared" si="2"/>
        <v>1404</v>
      </c>
      <c r="E39">
        <f t="shared" si="3"/>
        <v>144</v>
      </c>
      <c r="F39">
        <f t="shared" si="4"/>
        <v>13689</v>
      </c>
    </row>
    <row r="40" spans="1:6">
      <c r="A40">
        <v>6</v>
      </c>
      <c r="B40">
        <v>16</v>
      </c>
      <c r="C40">
        <v>137</v>
      </c>
      <c r="D40">
        <f t="shared" si="2"/>
        <v>2192</v>
      </c>
      <c r="E40">
        <f t="shared" si="3"/>
        <v>256</v>
      </c>
      <c r="F40">
        <f t="shared" si="4"/>
        <v>18769</v>
      </c>
    </row>
    <row r="41" spans="1:6">
      <c r="A41">
        <v>7</v>
      </c>
      <c r="B41">
        <v>20</v>
      </c>
      <c r="C41">
        <v>157</v>
      </c>
      <c r="D41">
        <f t="shared" si="2"/>
        <v>3140</v>
      </c>
      <c r="E41">
        <f t="shared" si="3"/>
        <v>400</v>
      </c>
      <c r="F41">
        <f t="shared" si="4"/>
        <v>24649</v>
      </c>
    </row>
    <row r="42" spans="1:6">
      <c r="A42">
        <v>8</v>
      </c>
      <c r="B42">
        <v>20</v>
      </c>
      <c r="C42">
        <v>168</v>
      </c>
      <c r="D42">
        <f t="shared" si="2"/>
        <v>3360</v>
      </c>
      <c r="E42">
        <f t="shared" si="3"/>
        <v>400</v>
      </c>
      <c r="F42">
        <f t="shared" si="4"/>
        <v>28224</v>
      </c>
    </row>
    <row r="43" spans="1:6">
      <c r="A43">
        <v>9</v>
      </c>
      <c r="B43">
        <v>22</v>
      </c>
      <c r="C43">
        <v>149</v>
      </c>
      <c r="D43">
        <f t="shared" si="2"/>
        <v>3278</v>
      </c>
      <c r="E43">
        <f t="shared" si="3"/>
        <v>484</v>
      </c>
      <c r="F43">
        <f t="shared" si="4"/>
        <v>22201</v>
      </c>
    </row>
    <row r="44" spans="1:6">
      <c r="A44">
        <v>10</v>
      </c>
      <c r="B44">
        <v>26</v>
      </c>
      <c r="C44">
        <v>202</v>
      </c>
      <c r="D44">
        <f t="shared" si="2"/>
        <v>5252</v>
      </c>
      <c r="E44">
        <f t="shared" si="3"/>
        <v>676</v>
      </c>
      <c r="F44">
        <f t="shared" si="4"/>
        <v>40804</v>
      </c>
    </row>
    <row r="45" spans="1:6">
      <c r="A45" t="s">
        <v>82</v>
      </c>
      <c r="B45">
        <f>SUM(B35:B44)</f>
        <v>140</v>
      </c>
      <c r="C45">
        <f t="shared" ref="C45:F45" si="5">SUM(C35:C44)</f>
        <v>1299</v>
      </c>
      <c r="D45">
        <f t="shared" si="5"/>
        <v>21020</v>
      </c>
      <c r="E45">
        <f t="shared" si="5"/>
        <v>2528</v>
      </c>
      <c r="F45">
        <f t="shared" si="5"/>
        <v>184393</v>
      </c>
    </row>
    <row r="46" spans="1:6">
      <c r="A46" t="s">
        <v>79</v>
      </c>
      <c r="B46">
        <f>AVERAGE(B35:B44)</f>
        <v>14</v>
      </c>
    </row>
    <row r="47" spans="1:6">
      <c r="A47" t="s">
        <v>80</v>
      </c>
      <c r="B47">
        <f>AVERAGE(C35:C44)</f>
        <v>129.9</v>
      </c>
    </row>
    <row r="49" spans="1:4">
      <c r="A49" t="s">
        <v>81</v>
      </c>
      <c r="B49">
        <f>(D45-(B45*B47*B46))/E45-(B45*POWER(B46,2))</f>
        <v>-27532.398734177215</v>
      </c>
      <c r="C49" t="s">
        <v>84</v>
      </c>
      <c r="D49">
        <v>4.9894366200000002</v>
      </c>
    </row>
    <row r="50" spans="1:4">
      <c r="A50" t="s">
        <v>83</v>
      </c>
      <c r="D50">
        <v>60.047887299999999</v>
      </c>
    </row>
    <row r="52" spans="1:4">
      <c r="A52" t="s">
        <v>85</v>
      </c>
    </row>
    <row r="53" spans="1:4">
      <c r="A53" t="s">
        <v>86</v>
      </c>
      <c r="B53" t="s">
        <v>87</v>
      </c>
    </row>
    <row r="55" spans="1:4">
      <c r="A55" t="s">
        <v>88</v>
      </c>
    </row>
    <row r="56" spans="1:4">
      <c r="A56" t="s">
        <v>90</v>
      </c>
      <c r="B56">
        <f>(F45-(D50*C45)-(D49*D45)/B45-2)</f>
        <v>105639.66612764001</v>
      </c>
      <c r="C56">
        <f>SQRT(B56)</f>
        <v>325.0225624901139</v>
      </c>
      <c r="D56">
        <v>13.751530000000001</v>
      </c>
    </row>
    <row r="58" spans="1:4">
      <c r="A58" t="s">
        <v>91</v>
      </c>
    </row>
    <row r="60" spans="1:4">
      <c r="A60" t="s">
        <v>92</v>
      </c>
      <c r="B60">
        <v>14000</v>
      </c>
    </row>
    <row r="61" spans="1:4">
      <c r="A61" t="s">
        <v>86</v>
      </c>
      <c r="B61" t="s">
        <v>94</v>
      </c>
    </row>
    <row r="62" spans="1:4">
      <c r="A62" t="s">
        <v>86</v>
      </c>
      <c r="B62">
        <f>60.04+4.98*14</f>
        <v>129.76</v>
      </c>
    </row>
    <row r="63" spans="1:4">
      <c r="B63">
        <f>B60+B62</f>
        <v>14129.76</v>
      </c>
    </row>
    <row r="64" spans="1:4">
      <c r="A64" t="s">
        <v>93</v>
      </c>
      <c r="B64">
        <v>30000</v>
      </c>
    </row>
    <row r="65" spans="1:2">
      <c r="A65" t="s">
        <v>86</v>
      </c>
      <c r="B65" t="s">
        <v>95</v>
      </c>
    </row>
    <row r="66" spans="1:2">
      <c r="A66" t="s">
        <v>86</v>
      </c>
      <c r="B66">
        <f>60.04+4.98*30</f>
        <v>209.44</v>
      </c>
    </row>
    <row r="67" spans="1:2">
      <c r="B67">
        <f>B64+B66</f>
        <v>30209.439999999999</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cajasCereal</vt:lpstr>
      <vt:lpstr>librosVendidos</vt:lpstr>
      <vt:lpstr>Quartiles</vt:lpstr>
      <vt:lpstr>cajasCereal2</vt:lpstr>
      <vt:lpstr>librasCajas</vt:lpstr>
      <vt:lpstr>librosVendidos2</vt:lpstr>
      <vt:lpstr>noAcabé</vt:lpstr>
      <vt:lpstr>Hoja2</vt:lpstr>
      <vt:lpstr>cadenaPizzerias</vt:lpstr>
      <vt:lpstr>gerenteVentas</vt:lpstr>
      <vt:lpstr>autoestimaDepresion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Yanina</dc:creator>
  <cp:lastModifiedBy>Yanina</cp:lastModifiedBy>
  <dcterms:created xsi:type="dcterms:W3CDTF">2021-10-05T12:53:01Z</dcterms:created>
  <dcterms:modified xsi:type="dcterms:W3CDTF">2021-10-18T01:23:19Z</dcterms:modified>
</cp:coreProperties>
</file>