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665dfs02\Documents\dupont\Documents\DOCS+\models\"/>
    </mc:Choice>
  </mc:AlternateContent>
  <bookViews>
    <workbookView xWindow="0" yWindow="0" windowWidth="27010" windowHeight="8990" activeTab="1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0" i="2" l="1"/>
  <c r="L90" i="2"/>
  <c r="K90" i="2"/>
  <c r="J90" i="2"/>
  <c r="M88" i="2"/>
  <c r="L88" i="2"/>
  <c r="K88" i="2"/>
  <c r="J88" i="2"/>
  <c r="J86" i="2"/>
  <c r="J85" i="2"/>
  <c r="J84" i="2"/>
  <c r="J83" i="2"/>
  <c r="J82" i="2"/>
  <c r="J81" i="2"/>
  <c r="J78" i="2"/>
  <c r="J77" i="2"/>
  <c r="J76" i="2"/>
  <c r="J74" i="2"/>
  <c r="J73" i="2"/>
  <c r="J72" i="2"/>
  <c r="J71" i="2"/>
  <c r="J70" i="2"/>
  <c r="J69" i="2"/>
  <c r="J68" i="2"/>
  <c r="J67" i="2"/>
  <c r="J66" i="2"/>
  <c r="J65" i="2"/>
  <c r="I86" i="2"/>
  <c r="I85" i="2"/>
  <c r="I84" i="2"/>
  <c r="I83" i="2"/>
  <c r="I81" i="2"/>
  <c r="I82" i="2"/>
  <c r="I76" i="2"/>
  <c r="I79" i="2" s="1"/>
  <c r="I78" i="2"/>
  <c r="I77" i="2"/>
  <c r="I74" i="2"/>
  <c r="I73" i="2"/>
  <c r="I72" i="2"/>
  <c r="I71" i="2"/>
  <c r="I70" i="2"/>
  <c r="I69" i="2"/>
  <c r="I68" i="2"/>
  <c r="I67" i="2"/>
  <c r="I66" i="2"/>
  <c r="I65" i="2"/>
  <c r="I55" i="2"/>
  <c r="I54" i="2"/>
  <c r="I56" i="2"/>
  <c r="I46" i="2"/>
  <c r="I41" i="2"/>
  <c r="I49" i="2" s="1"/>
  <c r="I62" i="2"/>
  <c r="I64" i="2"/>
  <c r="H85" i="2"/>
  <c r="H83" i="2"/>
  <c r="H82" i="2"/>
  <c r="H81" i="2"/>
  <c r="H84" i="2"/>
  <c r="H78" i="2"/>
  <c r="H77" i="2"/>
  <c r="H76" i="2"/>
  <c r="H74" i="2"/>
  <c r="H73" i="2"/>
  <c r="H72" i="2"/>
  <c r="H71" i="2"/>
  <c r="H70" i="2"/>
  <c r="H69" i="2"/>
  <c r="H68" i="2"/>
  <c r="H67" i="2"/>
  <c r="H66" i="2"/>
  <c r="H65" i="2"/>
  <c r="H64" i="2"/>
  <c r="H56" i="2"/>
  <c r="H55" i="2"/>
  <c r="H62" i="2" s="1"/>
  <c r="H54" i="2"/>
  <c r="H46" i="2"/>
  <c r="H41" i="2"/>
  <c r="H49" i="2"/>
  <c r="H40" i="2"/>
  <c r="G86" i="2"/>
  <c r="G84" i="2"/>
  <c r="G81" i="2"/>
  <c r="J79" i="2"/>
  <c r="H79" i="2"/>
  <c r="G79" i="2"/>
  <c r="G76" i="2"/>
  <c r="G74" i="2"/>
  <c r="G73" i="2"/>
  <c r="G64" i="2"/>
  <c r="G56" i="2"/>
  <c r="G55" i="2"/>
  <c r="G54" i="2"/>
  <c r="G46" i="2"/>
  <c r="G41" i="2"/>
  <c r="G40" i="2" s="1"/>
  <c r="S86" i="2"/>
  <c r="R86" i="2"/>
  <c r="Q86" i="2"/>
  <c r="M86" i="2"/>
  <c r="R83" i="2"/>
  <c r="R81" i="2"/>
  <c r="Q81" i="2"/>
  <c r="R84" i="2"/>
  <c r="Q84" i="2"/>
  <c r="S84" i="2"/>
  <c r="S81" i="2"/>
  <c r="S76" i="2"/>
  <c r="S79" i="2" s="1"/>
  <c r="R76" i="2"/>
  <c r="R79" i="2"/>
  <c r="Q76" i="2"/>
  <c r="Q79" i="2"/>
  <c r="R91" i="2"/>
  <c r="S91" i="2"/>
  <c r="R90" i="2"/>
  <c r="Q90" i="2"/>
  <c r="S90" i="2"/>
  <c r="R89" i="2"/>
  <c r="Q88" i="2"/>
  <c r="S89" i="2"/>
  <c r="R88" i="2"/>
  <c r="S88" i="2"/>
  <c r="S73" i="2"/>
  <c r="S74" i="2" s="1"/>
  <c r="R73" i="2"/>
  <c r="T74" i="2"/>
  <c r="R74" i="2"/>
  <c r="Q74" i="2"/>
  <c r="Q73" i="2"/>
  <c r="T64" i="2"/>
  <c r="S64" i="2"/>
  <c r="R64" i="2"/>
  <c r="Q64" i="2"/>
  <c r="J64" i="2"/>
  <c r="T38" i="2"/>
  <c r="T37" i="2"/>
  <c r="S38" i="2"/>
  <c r="S37" i="2"/>
  <c r="R38" i="2"/>
  <c r="R37" i="2"/>
  <c r="Q38" i="2"/>
  <c r="Q37" i="2"/>
  <c r="S34" i="2"/>
  <c r="R34" i="2"/>
  <c r="T34" i="2"/>
  <c r="T21" i="2"/>
  <c r="T32" i="2"/>
  <c r="T29" i="2"/>
  <c r="T27" i="2"/>
  <c r="T25" i="2"/>
  <c r="T26" i="2" s="1"/>
  <c r="T28" i="2" s="1"/>
  <c r="T30" i="2" s="1"/>
  <c r="T31" i="2" s="1"/>
  <c r="T24" i="2"/>
  <c r="T23" i="2"/>
  <c r="T22" i="2"/>
  <c r="T20" i="2"/>
  <c r="T18" i="2"/>
  <c r="T17" i="2"/>
  <c r="T16" i="2"/>
  <c r="N34" i="2"/>
  <c r="N24" i="2"/>
  <c r="N22" i="2"/>
  <c r="N23" i="2"/>
  <c r="N32" i="2"/>
  <c r="N37" i="2"/>
  <c r="M38" i="2"/>
  <c r="L38" i="2"/>
  <c r="K38" i="2"/>
  <c r="J38" i="2"/>
  <c r="N27" i="2"/>
  <c r="N25" i="2"/>
  <c r="N18" i="2"/>
  <c r="N17" i="2"/>
  <c r="S27" i="2"/>
  <c r="S32" i="2"/>
  <c r="S29" i="2"/>
  <c r="R25" i="2"/>
  <c r="Q25" i="2"/>
  <c r="S24" i="2"/>
  <c r="S23" i="2"/>
  <c r="S22" i="2"/>
  <c r="S25" i="2" s="1"/>
  <c r="S20" i="2"/>
  <c r="S18" i="2"/>
  <c r="S17" i="2"/>
  <c r="S16" i="2"/>
  <c r="J55" i="2"/>
  <c r="J56" i="2"/>
  <c r="J54" i="2"/>
  <c r="J46" i="2"/>
  <c r="J41" i="2"/>
  <c r="J40" i="2"/>
  <c r="R19" i="2"/>
  <c r="R21" i="2" s="1"/>
  <c r="Q19" i="2"/>
  <c r="Q21" i="2" s="1"/>
  <c r="N19" i="2"/>
  <c r="S8" i="2"/>
  <c r="R8" i="2"/>
  <c r="Q8" i="2"/>
  <c r="N16" i="2"/>
  <c r="M84" i="2"/>
  <c r="M79" i="2"/>
  <c r="K36" i="2"/>
  <c r="L36" i="2"/>
  <c r="M36" i="2"/>
  <c r="M57" i="2"/>
  <c r="M56" i="2"/>
  <c r="M55" i="2"/>
  <c r="M54" i="2"/>
  <c r="M53" i="2"/>
  <c r="M46" i="2"/>
  <c r="M41" i="2"/>
  <c r="M49" i="2" s="1"/>
  <c r="M25" i="2"/>
  <c r="M19" i="2"/>
  <c r="L85" i="2"/>
  <c r="L83" i="2"/>
  <c r="L82" i="2"/>
  <c r="L78" i="2"/>
  <c r="L73" i="2"/>
  <c r="M73" i="2" s="1"/>
  <c r="L72" i="2"/>
  <c r="M72" i="2" s="1"/>
  <c r="L71" i="2"/>
  <c r="M71" i="2" s="1"/>
  <c r="L69" i="2"/>
  <c r="L68" i="2"/>
  <c r="L70" i="2"/>
  <c r="L67" i="2"/>
  <c r="L66" i="2"/>
  <c r="L65" i="2"/>
  <c r="L56" i="2"/>
  <c r="L55" i="2"/>
  <c r="L54" i="2"/>
  <c r="L53" i="2"/>
  <c r="L46" i="2"/>
  <c r="L41" i="2"/>
  <c r="L49" i="2" s="1"/>
  <c r="L27" i="2"/>
  <c r="L25" i="2"/>
  <c r="L20" i="2"/>
  <c r="L19" i="2"/>
  <c r="R2" i="2"/>
  <c r="S2" i="2"/>
  <c r="T2" i="2" s="1"/>
  <c r="U2" i="2" s="1"/>
  <c r="V2" i="2" s="1"/>
  <c r="W2" i="2" s="1"/>
  <c r="X2" i="2" s="1"/>
  <c r="Y2" i="2" s="1"/>
  <c r="Z2" i="2" s="1"/>
  <c r="AA2" i="2" s="1"/>
  <c r="AB2" i="2" s="1"/>
  <c r="F25" i="2"/>
  <c r="F19" i="2"/>
  <c r="F21" i="2" s="1"/>
  <c r="G8" i="2"/>
  <c r="K8" i="2"/>
  <c r="K81" i="2"/>
  <c r="K84" i="2" s="1"/>
  <c r="K77" i="2"/>
  <c r="L77" i="2" s="1"/>
  <c r="K76" i="2"/>
  <c r="K74" i="2"/>
  <c r="K56" i="2"/>
  <c r="K55" i="2"/>
  <c r="K54" i="2"/>
  <c r="K53" i="2"/>
  <c r="K46" i="2"/>
  <c r="K41" i="2"/>
  <c r="J25" i="2"/>
  <c r="I25" i="2"/>
  <c r="H25" i="2"/>
  <c r="G25" i="2"/>
  <c r="K25" i="2"/>
  <c r="K19" i="2"/>
  <c r="K21" i="2" s="1"/>
  <c r="K37" i="2" s="1"/>
  <c r="J19" i="2"/>
  <c r="J21" i="2" s="1"/>
  <c r="J37" i="2" s="1"/>
  <c r="I19" i="2"/>
  <c r="I21" i="2" s="1"/>
  <c r="H19" i="2"/>
  <c r="H21" i="2" s="1"/>
  <c r="G19" i="2"/>
  <c r="G21" i="2" s="1"/>
  <c r="N4" i="1"/>
  <c r="N7" i="1" s="1"/>
  <c r="I40" i="2" l="1"/>
  <c r="H86" i="2"/>
  <c r="G62" i="2"/>
  <c r="G49" i="2"/>
  <c r="T19" i="2"/>
  <c r="Q26" i="2"/>
  <c r="Q28" i="2" s="1"/>
  <c r="Q30" i="2" s="1"/>
  <c r="Q31" i="2" s="1"/>
  <c r="J49" i="2"/>
  <c r="N21" i="2"/>
  <c r="N20" i="2" s="1"/>
  <c r="N26" i="2"/>
  <c r="N28" i="2" s="1"/>
  <c r="R26" i="2"/>
  <c r="R28" i="2" s="1"/>
  <c r="R30" i="2" s="1"/>
  <c r="R31" i="2" s="1"/>
  <c r="S19" i="2"/>
  <c r="S21" i="2" s="1"/>
  <c r="S26" i="2" s="1"/>
  <c r="S28" i="2" s="1"/>
  <c r="S30" i="2" s="1"/>
  <c r="S31" i="2" s="1"/>
  <c r="J62" i="2"/>
  <c r="K79" i="2"/>
  <c r="K86" i="2" s="1"/>
  <c r="M40" i="2"/>
  <c r="L62" i="2"/>
  <c r="L74" i="2"/>
  <c r="M34" i="2"/>
  <c r="M74" i="2"/>
  <c r="M21" i="2"/>
  <c r="M37" i="2" s="1"/>
  <c r="L81" i="2"/>
  <c r="L84" i="2" s="1"/>
  <c r="M62" i="2"/>
  <c r="L76" i="2"/>
  <c r="L79" i="2" s="1"/>
  <c r="L34" i="2"/>
  <c r="F26" i="2"/>
  <c r="F28" i="2" s="1"/>
  <c r="F30" i="2" s="1"/>
  <c r="F31" i="2" s="1"/>
  <c r="L21" i="2"/>
  <c r="L37" i="2" s="1"/>
  <c r="J34" i="2"/>
  <c r="L40" i="2"/>
  <c r="K40" i="2"/>
  <c r="K34" i="2"/>
  <c r="K62" i="2"/>
  <c r="K26" i="2"/>
  <c r="K28" i="2" s="1"/>
  <c r="K30" i="2" s="1"/>
  <c r="K49" i="2"/>
  <c r="H26" i="2"/>
  <c r="H28" i="2" s="1"/>
  <c r="H30" i="2" s="1"/>
  <c r="H31" i="2" s="1"/>
  <c r="G26" i="2"/>
  <c r="G28" i="2" s="1"/>
  <c r="G30" i="2" s="1"/>
  <c r="G31" i="2" s="1"/>
  <c r="I26" i="2"/>
  <c r="I28" i="2" s="1"/>
  <c r="I30" i="2" s="1"/>
  <c r="I31" i="2" s="1"/>
  <c r="J26" i="2"/>
  <c r="J28" i="2" s="1"/>
  <c r="J30" i="2" s="1"/>
  <c r="J31" i="2" s="1"/>
  <c r="N29" i="2" l="1"/>
  <c r="N38" i="2" s="1"/>
  <c r="M26" i="2"/>
  <c r="M28" i="2" s="1"/>
  <c r="M30" i="2" s="1"/>
  <c r="M31" i="2"/>
  <c r="M64" i="2"/>
  <c r="L86" i="2"/>
  <c r="L26" i="2"/>
  <c r="L28" i="2" s="1"/>
  <c r="L30" i="2" s="1"/>
  <c r="K31" i="2"/>
  <c r="K64" i="2"/>
  <c r="N30" i="2" l="1"/>
  <c r="N31" i="2" s="1"/>
  <c r="L31" i="2"/>
  <c r="L64" i="2"/>
</calcChain>
</file>

<file path=xl/sharedStrings.xml><?xml version="1.0" encoding="utf-8"?>
<sst xmlns="http://schemas.openxmlformats.org/spreadsheetml/2006/main" count="124" uniqueCount="110">
  <si>
    <t>Price</t>
  </si>
  <si>
    <t>Shares</t>
  </si>
  <si>
    <t>MC</t>
  </si>
  <si>
    <t>Cash</t>
  </si>
  <si>
    <t>Debt</t>
  </si>
  <si>
    <t>EV</t>
  </si>
  <si>
    <t>Main</t>
  </si>
  <si>
    <t>Q122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</si>
  <si>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</si>
  <si>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</si>
  <si>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</si>
  <si>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</si>
  <si>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</si>
  <si>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</si>
  <si>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</si>
  <si>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</si>
  <si>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</si>
  <si>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</si>
  <si>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</si>
  <si>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Product</t>
  </si>
  <si>
    <t>Services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</si>
  <si>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</si>
  <si>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</si>
  <si>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</si>
  <si>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</si>
  <si>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</si>
  <si>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</si>
  <si>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</si>
  <si>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</si>
  <si>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</si>
  <si>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</si>
  <si>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</si>
  <si>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</si>
  <si>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</si>
  <si>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Assets</t>
  </si>
  <si>
    <t>AR</t>
  </si>
  <si>
    <t>Prepaids</t>
  </si>
  <si>
    <t>PP&amp;E</t>
  </si>
  <si>
    <t>Lease</t>
  </si>
  <si>
    <t>Goodwill</t>
  </si>
  <si>
    <t>DT</t>
  </si>
  <si>
    <t>OA</t>
  </si>
  <si>
    <t>AP</t>
  </si>
  <si>
    <t>AE</t>
  </si>
  <si>
    <t>DR</t>
  </si>
  <si>
    <t>OL</t>
  </si>
  <si>
    <t>PIC</t>
  </si>
  <si>
    <t>Retained</t>
  </si>
  <si>
    <t>AOCI</t>
  </si>
  <si>
    <t>Treasury</t>
  </si>
  <si>
    <t>L+SE</t>
  </si>
  <si>
    <t>Net Cash</t>
  </si>
  <si>
    <t>Revenue y/y</t>
  </si>
  <si>
    <t>Model NI</t>
  </si>
  <si>
    <t>Reported NI</t>
  </si>
  <si>
    <t>D&amp;A</t>
  </si>
  <si>
    <t>SBC</t>
  </si>
  <si>
    <t>Investment</t>
  </si>
  <si>
    <t>Other</t>
  </si>
  <si>
    <t>WC</t>
  </si>
  <si>
    <t>CFFO</t>
  </si>
  <si>
    <t>Investments</t>
  </si>
  <si>
    <t>Acquisitions</t>
  </si>
  <si>
    <t>PPE</t>
  </si>
  <si>
    <t>CFFI</t>
  </si>
  <si>
    <t>Buyback</t>
  </si>
  <si>
    <t>CFFF</t>
  </si>
  <si>
    <t>FX</t>
  </si>
  <si>
    <t>CIC</t>
  </si>
  <si>
    <t>Gross Margin</t>
  </si>
  <si>
    <t>Digital Media</t>
  </si>
  <si>
    <t>Digital Experience</t>
  </si>
  <si>
    <t>USD</t>
  </si>
  <si>
    <t>Publishing</t>
  </si>
  <si>
    <t>Americas</t>
  </si>
  <si>
    <t>EMEA</t>
  </si>
  <si>
    <t>APAC</t>
  </si>
  <si>
    <t xml:space="preserve">  Creative Cloud</t>
  </si>
  <si>
    <t xml:space="preserve">  Document Cloud</t>
  </si>
  <si>
    <t>10/7/21: 1.24B acquisition of Frame.io</t>
  </si>
  <si>
    <t>Photoshop</t>
  </si>
  <si>
    <t>Illustrator</t>
  </si>
  <si>
    <t>Express</t>
  </si>
  <si>
    <t>Lightroom</t>
  </si>
  <si>
    <t>Premiere</t>
  </si>
  <si>
    <t>Stock</t>
  </si>
  <si>
    <t>Acrobat</t>
  </si>
  <si>
    <t>After Effects</t>
  </si>
  <si>
    <t>InDesign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</si>
  <si>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</si>
  <si>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</si>
  <si>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</si>
  <si>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</si>
  <si>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</si>
  <si>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</si>
  <si>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</si>
  <si>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</si>
  <si>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</si>
  <si>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</si>
  <si>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</si>
  <si>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CEO: Shantanu Narayen</t>
  </si>
  <si>
    <t>RPO</t>
  </si>
  <si>
    <t>Revenue cc</t>
  </si>
  <si>
    <t>RPO y/y</t>
  </si>
  <si>
    <t>FY19</t>
  </si>
  <si>
    <t>Subscription</t>
  </si>
  <si>
    <t>Tax Rate</t>
  </si>
  <si>
    <t>CFFO TTM</t>
  </si>
  <si>
    <t>CFFO TTM y/y</t>
  </si>
  <si>
    <t>FCF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</si>
</sst>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0" fontId="2" fillId="0" borderId="0" xfId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25045</xdr:colOff>
      <xdr:row>0</xdr:row>
      <xdr:rowOff>0</xdr:rowOff>
    </xdr:from>
    <xdr:to>
      <xdr:col>13</xdr:col>
      <xdr:colOff>25045</xdr:colOff>
      <xdr:row>101</xdr:row>
      <xdr:rowOff>23812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33D2170-8042-5328-83CB-E2BE416C36F8}"/>
            </a:ext>
          </a:extLst>
        </xdr:cNvPr>
        <xdr:cNvCxnSpPr/>
      </xdr:nvCxnSpPr>
      <xdr:spPr>
        <a:xfrm>
          <a:off x="8168920" y="0"/>
          <a:ext cx="0" cy="162579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16711</xdr:colOff>
      <xdr:row>0</xdr:row>
      <xdr:rowOff>0</xdr:rowOff>
    </xdr:from>
    <xdr:to>
      <xdr:col>19</xdr:col>
      <xdr:colOff>16711</xdr:colOff>
      <xdr:row>95</xdr:row>
      <xdr:rowOff>65484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E80C6D4-33A2-4BC8-A302-30C3049C7B34}"/>
            </a:ext>
          </a:extLst>
        </xdr:cNvPr>
        <xdr:cNvCxnSpPr/>
      </xdr:nvCxnSpPr>
      <xdr:spPr>
        <a:xfrm>
          <a:off x="11857477" y="0"/>
          <a:ext cx="0" cy="1533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zoomScale="130" zoomScaleNormal="130" workbookViewId="0">
      <selection activeCell="N3" sqref="N3"/>
    </sheetView>
  </sheetViews>
  <sheetFormatPr baseColWidth="10" defaultColWidth="8.7265625" defaultRowHeight="12.5" x14ac:dyDescent="0.25"/>
  <cols>
    <col min="2" max="2" width="11.26953125" customWidth="1"/>
    <col min="9" max="9" width="5.26953125" customWidth="1"/>
    <col min="10" max="10" width="5.453125" customWidth="1"/>
    <col min="11" max="11" width="5.81640625" customWidth="1"/>
    <col min="12" max="12" width="5" customWidth="1"/>
  </cols>
  <sheetData>
    <row r="2" spans="2:15" ht="13" x14ac:dyDescent="0.3">
      <c r="B2" s="10" t="s">
        <v>19</v>
      </c>
      <c r="M2" t="s">
        <v>0</v>
      </c>
      <c r="N2" s="1">
        <v>393.84</v>
      </c>
    </row>
    <row r="3" spans="2:15" x14ac:dyDescent="0.25">
      <c r="B3" t="s">
        <v>80</v>
      </c>
      <c r="M3" t="s">
        <v>1</v>
      </c>
      <c r="N3" s="3">
        <v>472.5</v>
      </c>
      <c r="O3" s="4" t="s">
        <v>17</v>
      </c>
    </row>
    <row r="4" spans="2:15" x14ac:dyDescent="0.25">
      <c r="B4" t="s">
        <v>81</v>
      </c>
      <c r="M4" t="s">
        <v>2</v>
      </c>
      <c r="N4" s="3">
        <f>+N2*N3</f>
        <v>186089.4</v>
      </c>
    </row>
    <row r="5" spans="2:15" x14ac:dyDescent="0.25">
      <c r="B5" t="s">
        <v>82</v>
      </c>
      <c r="M5" t="s">
        <v>3</v>
      </c>
      <c r="N5" s="3">
        <v>5299</v>
      </c>
      <c r="O5" s="4" t="s">
        <v>17</v>
      </c>
    </row>
    <row r="6" spans="2:15" x14ac:dyDescent="0.25">
      <c r="B6" t="s">
        <v>83</v>
      </c>
      <c r="M6" t="s">
        <v>4</v>
      </c>
      <c r="N6" s="3">
        <v>4126</v>
      </c>
      <c r="O6" s="4" t="s">
        <v>17</v>
      </c>
    </row>
    <row r="7" spans="2:15" x14ac:dyDescent="0.25">
      <c r="B7" t="s">
        <v>84</v>
      </c>
      <c r="M7" t="s">
        <v>5</v>
      </c>
      <c r="N7" s="3">
        <f>+N4-N5+N6</f>
        <v>184916.4</v>
      </c>
    </row>
    <row r="8" spans="2:15" x14ac:dyDescent="0.25">
      <c r="B8" t="s">
        <v>85</v>
      </c>
      <c r="N8" s="3"/>
    </row>
    <row r="9" spans="2:15" x14ac:dyDescent="0.25">
      <c r="B9" t="s">
        <v>86</v>
      </c>
      <c r="M9" t="s">
        <v>100</v>
      </c>
    </row>
    <row r="10" spans="2:15" x14ac:dyDescent="0.25">
      <c r="B10" t="s">
        <v>87</v>
      </c>
    </row>
    <row r="11" spans="2:15" x14ac:dyDescent="0.25">
      <c r="B11" t="s">
        <v>88</v>
      </c>
    </row>
    <row r="14" spans="2:15" x14ac:dyDescent="0.25">
      <c r="B14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88" sqref="B88"/>
    </sheetView>
  </sheetViews>
  <sheetFormatPr baseColWidth="10" defaultColWidth="8.7265625" defaultRowHeight="12.5" x14ac:dyDescent="0.25"/>
  <cols>
    <col min="1" max="1" width="5" bestFit="1" customWidth="1"/>
    <col min="2" max="2" width="18.1796875" bestFit="1" customWidth="1"/>
    <col min="3" max="5" width="9" style="4" customWidth="1"/>
    <col min="6" max="6" width="8.81640625" style="4" customWidth="1"/>
    <col min="7" max="14" width="9" style="4" customWidth="1"/>
    <col min="18" max="28" width="9.54296875" customWidth="1"/>
  </cols>
  <sheetData>
    <row r="1" spans="1:28" x14ac:dyDescent="0.25">
      <c r="A1" s="2" t="s">
        <v>6</v>
      </c>
    </row>
    <row r="2" spans="1:28" s="11" customFormat="1" x14ac:dyDescent="0.25">
      <c r="C2" s="12"/>
      <c r="D2" s="12"/>
      <c r="E2" s="12"/>
      <c r="F2" s="12">
        <v>44162</v>
      </c>
      <c r="G2" s="12">
        <v>44260</v>
      </c>
      <c r="H2" s="12">
        <v>44351</v>
      </c>
      <c r="I2" s="12">
        <v>44442</v>
      </c>
      <c r="J2" s="12">
        <v>44533</v>
      </c>
      <c r="K2" s="12">
        <v>44624</v>
      </c>
      <c r="L2" s="12">
        <v>44715</v>
      </c>
      <c r="M2" s="12">
        <v>44806</v>
      </c>
      <c r="N2" s="12"/>
      <c r="R2" s="11">
        <f>+F2</f>
        <v>44162</v>
      </c>
      <c r="S2" s="11">
        <f>+J2</f>
        <v>44533</v>
      </c>
      <c r="T2" s="11">
        <f>+S2+365</f>
        <v>44898</v>
      </c>
      <c r="U2" s="11">
        <f t="shared" ref="U2:AB2" si="0">+T2+365</f>
        <v>45263</v>
      </c>
      <c r="V2" s="11">
        <f t="shared" si="0"/>
        <v>45628</v>
      </c>
      <c r="W2" s="11">
        <f t="shared" si="0"/>
        <v>45993</v>
      </c>
      <c r="X2" s="11">
        <f t="shared" si="0"/>
        <v>46358</v>
      </c>
      <c r="Y2" s="11">
        <f t="shared" si="0"/>
        <v>46723</v>
      </c>
      <c r="Z2" s="11">
        <f t="shared" si="0"/>
        <v>47088</v>
      </c>
      <c r="AA2" s="11">
        <f t="shared" si="0"/>
        <v>47453</v>
      </c>
      <c r="AB2" s="11">
        <f t="shared" si="0"/>
        <v>47818</v>
      </c>
    </row>
    <row r="3" spans="1:28" x14ac:dyDescent="0.25">
      <c r="B3" t="s">
        <v>72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7</v>
      </c>
      <c r="L3" s="4" t="s">
        <v>16</v>
      </c>
      <c r="M3" s="4" t="s">
        <v>17</v>
      </c>
      <c r="N3" s="4" t="s">
        <v>18</v>
      </c>
      <c r="Q3" s="4" t="s">
        <v>104</v>
      </c>
      <c r="R3" s="4" t="s">
        <v>89</v>
      </c>
      <c r="S3" s="4" t="s">
        <v>90</v>
      </c>
      <c r="T3" s="4" t="s">
        <v>91</v>
      </c>
      <c r="U3" s="4" t="s">
        <v>92</v>
      </c>
      <c r="V3" s="4" t="s">
        <v>93</v>
      </c>
      <c r="W3" s="4" t="s">
        <v>94</v>
      </c>
      <c r="X3" s="4" t="s">
        <v>95</v>
      </c>
      <c r="Y3" s="4" t="s">
        <v>96</v>
      </c>
      <c r="Z3" s="4" t="s">
        <v>97</v>
      </c>
      <c r="AA3" s="4" t="s">
        <v>98</v>
      </c>
      <c r="AB3" s="4" t="s">
        <v>99</v>
      </c>
    </row>
    <row r="4" spans="1:28" s="3" customFormat="1" x14ac:dyDescent="0.25">
      <c r="B4" s="3" t="s">
        <v>101</v>
      </c>
      <c r="C4" s="5"/>
      <c r="D4" s="5"/>
      <c r="E4" s="5"/>
      <c r="F4" s="5"/>
      <c r="G4" s="5">
        <v>11610</v>
      </c>
      <c r="H4" s="5">
        <v>12230</v>
      </c>
      <c r="I4" s="5">
        <v>12630</v>
      </c>
      <c r="J4" s="5">
        <v>13990</v>
      </c>
      <c r="K4" s="5">
        <v>13830</v>
      </c>
      <c r="L4" s="5">
        <v>13820</v>
      </c>
      <c r="M4" s="5">
        <v>14110</v>
      </c>
      <c r="N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5"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5">
      <c r="B6" t="s">
        <v>73</v>
      </c>
      <c r="G6" s="4">
        <v>112</v>
      </c>
      <c r="H6" s="4">
        <v>110</v>
      </c>
      <c r="K6" s="4">
        <v>95</v>
      </c>
      <c r="L6" s="4">
        <v>91</v>
      </c>
      <c r="Q6">
        <v>669</v>
      </c>
      <c r="R6">
        <v>510</v>
      </c>
      <c r="S6">
        <v>398</v>
      </c>
    </row>
    <row r="7" spans="1:28" s="3" customFormat="1" x14ac:dyDescent="0.25">
      <c r="B7" s="3" t="s">
        <v>71</v>
      </c>
      <c r="C7" s="5"/>
      <c r="D7" s="5"/>
      <c r="E7" s="5"/>
      <c r="F7" s="5"/>
      <c r="G7" s="5">
        <v>934</v>
      </c>
      <c r="H7" s="5">
        <v>938</v>
      </c>
      <c r="I7" s="5">
        <v>981</v>
      </c>
      <c r="J7" s="5"/>
      <c r="K7" s="5">
        <v>1057</v>
      </c>
      <c r="L7" s="5">
        <v>1095</v>
      </c>
      <c r="M7" s="5">
        <v>1120</v>
      </c>
      <c r="N7" s="5"/>
      <c r="Q7" s="3">
        <v>2795</v>
      </c>
      <c r="R7" s="3">
        <v>3125</v>
      </c>
      <c r="S7" s="3">
        <v>3867</v>
      </c>
    </row>
    <row r="8" spans="1:28" s="3" customFormat="1" x14ac:dyDescent="0.25">
      <c r="B8" s="3" t="s">
        <v>70</v>
      </c>
      <c r="C8" s="5"/>
      <c r="D8" s="5"/>
      <c r="E8" s="5"/>
      <c r="F8" s="5"/>
      <c r="G8" s="5">
        <f>SUM(G9:G10)</f>
        <v>2859</v>
      </c>
      <c r="H8" s="5">
        <v>2787</v>
      </c>
      <c r="I8" s="5"/>
      <c r="J8" s="5"/>
      <c r="K8" s="5">
        <f>SUM(K9:K10)</f>
        <v>3110</v>
      </c>
      <c r="L8" s="5">
        <v>3200</v>
      </c>
      <c r="M8" s="5">
        <v>3230</v>
      </c>
      <c r="N8" s="5"/>
      <c r="Q8" s="3">
        <f>+Q9+Q10</f>
        <v>7707</v>
      </c>
      <c r="R8" s="3">
        <f>+R9+R10</f>
        <v>9233</v>
      </c>
      <c r="S8" s="3">
        <f>+S9+S10</f>
        <v>11520</v>
      </c>
    </row>
    <row r="9" spans="1:28" s="3" customFormat="1" x14ac:dyDescent="0.25">
      <c r="B9" s="3" t="s">
        <v>77</v>
      </c>
      <c r="C9" s="5"/>
      <c r="D9" s="5"/>
      <c r="E9" s="5"/>
      <c r="F9" s="5"/>
      <c r="G9" s="5">
        <v>2379</v>
      </c>
      <c r="H9" s="5">
        <v>2318</v>
      </c>
      <c r="I9" s="5"/>
      <c r="J9" s="5"/>
      <c r="K9" s="5">
        <v>2548</v>
      </c>
      <c r="L9" s="5">
        <v>2605</v>
      </c>
      <c r="M9" s="5">
        <v>2630</v>
      </c>
      <c r="N9" s="5"/>
      <c r="Q9" s="3">
        <v>6482</v>
      </c>
      <c r="R9" s="3">
        <v>7736</v>
      </c>
      <c r="S9" s="3">
        <v>9546</v>
      </c>
    </row>
    <row r="10" spans="1:28" s="3" customFormat="1" x14ac:dyDescent="0.25">
      <c r="B10" s="3" t="s">
        <v>78</v>
      </c>
      <c r="C10" s="5"/>
      <c r="D10" s="5"/>
      <c r="E10" s="5"/>
      <c r="F10" s="5"/>
      <c r="G10" s="5">
        <v>480</v>
      </c>
      <c r="H10" s="5">
        <v>469</v>
      </c>
      <c r="I10" s="5"/>
      <c r="J10" s="5"/>
      <c r="K10" s="5">
        <v>562</v>
      </c>
      <c r="L10" s="5">
        <v>595</v>
      </c>
      <c r="M10" s="5">
        <v>607</v>
      </c>
      <c r="N10" s="5"/>
      <c r="Q10" s="3">
        <v>1225</v>
      </c>
      <c r="R10" s="3">
        <v>1497</v>
      </c>
      <c r="S10" s="3">
        <v>1974</v>
      </c>
    </row>
    <row r="11" spans="1:28" s="3" customFormat="1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28" s="3" customFormat="1" x14ac:dyDescent="0.25">
      <c r="B12" s="3" t="s">
        <v>74</v>
      </c>
      <c r="C12" s="5"/>
      <c r="D12" s="5"/>
      <c r="E12" s="5"/>
      <c r="F12" s="5"/>
      <c r="G12" s="5">
        <v>2224</v>
      </c>
      <c r="H12" s="5">
        <v>2185</v>
      </c>
      <c r="I12" s="5"/>
      <c r="J12" s="5"/>
      <c r="K12" s="5">
        <v>2446</v>
      </c>
      <c r="L12" s="5">
        <v>2524</v>
      </c>
      <c r="M12" s="5"/>
      <c r="N12" s="5"/>
      <c r="Q12" s="3">
        <v>6506</v>
      </c>
      <c r="R12" s="3">
        <v>7454</v>
      </c>
      <c r="S12" s="3">
        <v>8996</v>
      </c>
    </row>
    <row r="13" spans="1:28" s="3" customFormat="1" x14ac:dyDescent="0.25">
      <c r="B13" s="3" t="s">
        <v>75</v>
      </c>
      <c r="C13" s="5"/>
      <c r="D13" s="5"/>
      <c r="E13" s="5"/>
      <c r="F13" s="5"/>
      <c r="G13" s="5">
        <v>1052</v>
      </c>
      <c r="H13" s="5">
        <v>1026</v>
      </c>
      <c r="I13" s="5"/>
      <c r="J13" s="5"/>
      <c r="K13" s="5">
        <v>1136</v>
      </c>
      <c r="L13" s="5">
        <v>1157</v>
      </c>
      <c r="M13" s="5"/>
      <c r="N13" s="5"/>
      <c r="Q13" s="3">
        <v>2975</v>
      </c>
      <c r="R13" s="3">
        <v>3400</v>
      </c>
      <c r="S13" s="3">
        <v>4252</v>
      </c>
    </row>
    <row r="14" spans="1:28" s="3" customFormat="1" x14ac:dyDescent="0.25">
      <c r="B14" s="3" t="s">
        <v>76</v>
      </c>
      <c r="C14" s="5"/>
      <c r="D14" s="5"/>
      <c r="E14" s="5"/>
      <c r="F14" s="5"/>
      <c r="G14" s="5">
        <v>629</v>
      </c>
      <c r="H14" s="5">
        <v>624</v>
      </c>
      <c r="I14" s="5"/>
      <c r="J14" s="5"/>
      <c r="K14" s="5">
        <v>680</v>
      </c>
      <c r="L14" s="5">
        <v>705</v>
      </c>
      <c r="M14" s="5"/>
      <c r="N14" s="5"/>
      <c r="Q14" s="3">
        <v>1690</v>
      </c>
      <c r="R14" s="3">
        <v>2014</v>
      </c>
      <c r="S14" s="3">
        <v>2537</v>
      </c>
    </row>
    <row r="16" spans="1:28" s="3" customFormat="1" x14ac:dyDescent="0.25">
      <c r="B16" s="3" t="s">
        <v>105</v>
      </c>
      <c r="C16" s="5"/>
      <c r="D16" s="5"/>
      <c r="E16" s="5"/>
      <c r="F16" s="5">
        <v>3115</v>
      </c>
      <c r="G16" s="5">
        <v>3584</v>
      </c>
      <c r="H16" s="5">
        <v>3520</v>
      </c>
      <c r="I16" s="5">
        <v>3657</v>
      </c>
      <c r="J16" s="5">
        <v>3812</v>
      </c>
      <c r="K16" s="5">
        <v>3958</v>
      </c>
      <c r="L16" s="5">
        <v>4070</v>
      </c>
      <c r="M16" s="5">
        <v>4128</v>
      </c>
      <c r="N16" s="5">
        <f>+J16*1.1</f>
        <v>4193.2000000000007</v>
      </c>
      <c r="Q16" s="3">
        <v>9634</v>
      </c>
      <c r="R16" s="3">
        <v>11626</v>
      </c>
      <c r="S16" s="3">
        <f>SUM(G16:J16)</f>
        <v>14573</v>
      </c>
      <c r="T16" s="3">
        <f>SUM(K16:N16)</f>
        <v>16349.2</v>
      </c>
    </row>
    <row r="17" spans="2:20" s="3" customFormat="1" x14ac:dyDescent="0.25">
      <c r="B17" s="3" t="s">
        <v>19</v>
      </c>
      <c r="C17" s="5"/>
      <c r="D17" s="5"/>
      <c r="E17" s="5"/>
      <c r="F17" s="5">
        <v>127</v>
      </c>
      <c r="G17" s="5">
        <v>155</v>
      </c>
      <c r="H17" s="5">
        <v>153</v>
      </c>
      <c r="I17" s="5">
        <v>119</v>
      </c>
      <c r="J17" s="5">
        <v>128</v>
      </c>
      <c r="K17" s="5">
        <v>145</v>
      </c>
      <c r="L17" s="5">
        <v>146</v>
      </c>
      <c r="M17" s="5">
        <v>126</v>
      </c>
      <c r="N17" s="5">
        <f>+J17*1.1</f>
        <v>140.80000000000001</v>
      </c>
      <c r="Q17" s="3">
        <v>648</v>
      </c>
      <c r="R17" s="3">
        <v>507</v>
      </c>
      <c r="S17" s="3">
        <f>SUM(G17:J17)</f>
        <v>555</v>
      </c>
      <c r="T17" s="3">
        <f>SUM(K17:N17)</f>
        <v>557.79999999999995</v>
      </c>
    </row>
    <row r="18" spans="2:20" s="3" customFormat="1" x14ac:dyDescent="0.25">
      <c r="B18" s="3" t="s">
        <v>20</v>
      </c>
      <c r="C18" s="5"/>
      <c r="D18" s="5"/>
      <c r="E18" s="5"/>
      <c r="F18" s="5">
        <v>182</v>
      </c>
      <c r="G18" s="5">
        <v>166</v>
      </c>
      <c r="H18" s="5">
        <v>162</v>
      </c>
      <c r="I18" s="5">
        <v>159</v>
      </c>
      <c r="J18" s="5">
        <v>170</v>
      </c>
      <c r="K18" s="5">
        <v>159</v>
      </c>
      <c r="L18" s="5">
        <v>170</v>
      </c>
      <c r="M18" s="5">
        <v>179</v>
      </c>
      <c r="N18" s="5">
        <f>+J18*1.1</f>
        <v>187.00000000000003</v>
      </c>
      <c r="Q18" s="3">
        <v>889</v>
      </c>
      <c r="R18" s="3">
        <v>735</v>
      </c>
      <c r="S18" s="3">
        <f>SUM(G18:J18)</f>
        <v>657</v>
      </c>
      <c r="T18" s="3">
        <f>SUM(K18:N18)</f>
        <v>695</v>
      </c>
    </row>
    <row r="19" spans="2:20" s="6" customFormat="1" ht="13" x14ac:dyDescent="0.3">
      <c r="B19" s="6" t="s">
        <v>21</v>
      </c>
      <c r="C19" s="7"/>
      <c r="D19" s="7"/>
      <c r="E19" s="7"/>
      <c r="F19" s="7">
        <f t="shared" ref="F19" si="1">SUM(F16:F18)</f>
        <v>3424</v>
      </c>
      <c r="G19" s="7">
        <f>SUM(G16:G18)</f>
        <v>3905</v>
      </c>
      <c r="H19" s="7">
        <f t="shared" ref="H19:M19" si="2">SUM(H16:H18)</f>
        <v>3835</v>
      </c>
      <c r="I19" s="7">
        <f t="shared" si="2"/>
        <v>3935</v>
      </c>
      <c r="J19" s="7">
        <f t="shared" si="2"/>
        <v>4110</v>
      </c>
      <c r="K19" s="7">
        <f t="shared" si="2"/>
        <v>4262</v>
      </c>
      <c r="L19" s="7">
        <f t="shared" si="2"/>
        <v>4386</v>
      </c>
      <c r="M19" s="7">
        <f t="shared" si="2"/>
        <v>4433</v>
      </c>
      <c r="N19" s="7">
        <f>SUM(N16:N18)</f>
        <v>4521.0000000000009</v>
      </c>
      <c r="Q19" s="7">
        <f>SUM(Q16:Q18)</f>
        <v>11171</v>
      </c>
      <c r="R19" s="7">
        <f>SUM(R16:R18)</f>
        <v>12868</v>
      </c>
      <c r="S19" s="7">
        <f>SUM(S16:S18)</f>
        <v>15785</v>
      </c>
      <c r="T19" s="7">
        <f>SUM(T16:T18)</f>
        <v>17602</v>
      </c>
    </row>
    <row r="20" spans="2:20" s="3" customFormat="1" x14ac:dyDescent="0.25">
      <c r="B20" s="3" t="s">
        <v>22</v>
      </c>
      <c r="C20" s="5"/>
      <c r="D20" s="5"/>
      <c r="E20" s="5"/>
      <c r="F20" s="5">
        <v>428</v>
      </c>
      <c r="G20" s="5">
        <v>447</v>
      </c>
      <c r="H20" s="5">
        <v>444</v>
      </c>
      <c r="I20" s="5">
        <v>467</v>
      </c>
      <c r="J20" s="5">
        <v>507</v>
      </c>
      <c r="K20" s="5">
        <v>512</v>
      </c>
      <c r="L20" s="5">
        <f>539</f>
        <v>539</v>
      </c>
      <c r="M20" s="5">
        <v>546</v>
      </c>
      <c r="N20" s="5">
        <f>+N19-N21</f>
        <v>542.52</v>
      </c>
      <c r="Q20" s="3">
        <v>1673</v>
      </c>
      <c r="R20" s="3">
        <v>1722</v>
      </c>
      <c r="S20" s="3">
        <f>SUM(G20:J20)</f>
        <v>1865</v>
      </c>
      <c r="T20" s="3">
        <f>SUM(K20:N20)</f>
        <v>2139.52</v>
      </c>
    </row>
    <row r="21" spans="2:20" s="3" customFormat="1" x14ac:dyDescent="0.25">
      <c r="B21" s="3" t="s">
        <v>23</v>
      </c>
      <c r="C21" s="5"/>
      <c r="D21" s="5"/>
      <c r="E21" s="5"/>
      <c r="F21" s="5">
        <f>F19-F20</f>
        <v>2996</v>
      </c>
      <c r="G21" s="5">
        <f>G19-G20</f>
        <v>3458</v>
      </c>
      <c r="H21" s="5">
        <f t="shared" ref="H21:K21" si="3">H19-H20</f>
        <v>3391</v>
      </c>
      <c r="I21" s="5">
        <f t="shared" si="3"/>
        <v>3468</v>
      </c>
      <c r="J21" s="5">
        <f t="shared" si="3"/>
        <v>3603</v>
      </c>
      <c r="K21" s="5">
        <f t="shared" si="3"/>
        <v>3750</v>
      </c>
      <c r="L21" s="5">
        <f>L19-L20</f>
        <v>3847</v>
      </c>
      <c r="M21" s="5">
        <f>+M19-M20</f>
        <v>3887</v>
      </c>
      <c r="N21" s="5">
        <f>+N19*0.88</f>
        <v>3978.4800000000009</v>
      </c>
      <c r="Q21" s="3">
        <f>+Q19-Q20</f>
        <v>9498</v>
      </c>
      <c r="R21" s="3">
        <f>+R19-R20</f>
        <v>11146</v>
      </c>
      <c r="S21" s="3">
        <f>+S19-S20</f>
        <v>13920</v>
      </c>
      <c r="T21" s="3">
        <f>+T19-T20</f>
        <v>15462.48</v>
      </c>
    </row>
    <row r="22" spans="2:20" s="3" customFormat="1" x14ac:dyDescent="0.25">
      <c r="B22" s="3" t="s">
        <v>24</v>
      </c>
      <c r="C22" s="5"/>
      <c r="D22" s="5"/>
      <c r="E22" s="5"/>
      <c r="F22" s="5">
        <v>558</v>
      </c>
      <c r="G22" s="5">
        <v>620</v>
      </c>
      <c r="H22" s="5">
        <v>612</v>
      </c>
      <c r="I22" s="5">
        <v>651</v>
      </c>
      <c r="J22" s="5">
        <v>657</v>
      </c>
      <c r="K22" s="5">
        <v>701</v>
      </c>
      <c r="L22" s="5">
        <v>738</v>
      </c>
      <c r="M22" s="5">
        <v>775</v>
      </c>
      <c r="N22" s="5">
        <f t="shared" ref="N22" si="4">+J22*1.05</f>
        <v>689.85</v>
      </c>
      <c r="Q22" s="3">
        <v>1930</v>
      </c>
      <c r="R22" s="3">
        <v>2188</v>
      </c>
      <c r="S22" s="3">
        <f>SUM(G22:J22)</f>
        <v>2540</v>
      </c>
      <c r="T22" s="3">
        <f>SUM(K22:N22)</f>
        <v>2903.85</v>
      </c>
    </row>
    <row r="23" spans="2:20" s="3" customFormat="1" x14ac:dyDescent="0.25">
      <c r="B23" s="3" t="s">
        <v>25</v>
      </c>
      <c r="C23" s="5"/>
      <c r="D23" s="5"/>
      <c r="E23" s="5"/>
      <c r="F23" s="5">
        <v>941</v>
      </c>
      <c r="G23" s="5">
        <v>1049</v>
      </c>
      <c r="H23" s="5">
        <v>1073</v>
      </c>
      <c r="I23" s="5">
        <v>1068</v>
      </c>
      <c r="J23" s="5">
        <v>1131</v>
      </c>
      <c r="K23" s="5">
        <v>1158</v>
      </c>
      <c r="L23" s="5">
        <v>1247</v>
      </c>
      <c r="M23" s="5">
        <v>1266</v>
      </c>
      <c r="N23" s="5">
        <f>+J23*1.05</f>
        <v>1187.55</v>
      </c>
      <c r="Q23" s="3">
        <v>3244</v>
      </c>
      <c r="R23" s="3">
        <v>3591</v>
      </c>
      <c r="S23" s="3">
        <f>SUM(G23:J23)</f>
        <v>4321</v>
      </c>
      <c r="T23" s="3">
        <f>SUM(K23:N23)</f>
        <v>4858.55</v>
      </c>
    </row>
    <row r="24" spans="2:20" s="3" customFormat="1" x14ac:dyDescent="0.25">
      <c r="B24" s="3" t="s">
        <v>26</v>
      </c>
      <c r="C24" s="5"/>
      <c r="D24" s="5"/>
      <c r="E24" s="5"/>
      <c r="F24" s="5">
        <v>243</v>
      </c>
      <c r="G24" s="5">
        <v>290</v>
      </c>
      <c r="H24" s="5">
        <v>256</v>
      </c>
      <c r="I24" s="5">
        <v>265</v>
      </c>
      <c r="J24" s="5">
        <v>274</v>
      </c>
      <c r="K24" s="5">
        <v>269</v>
      </c>
      <c r="L24" s="5">
        <v>291</v>
      </c>
      <c r="M24" s="5">
        <v>319</v>
      </c>
      <c r="N24" s="5">
        <f t="shared" ref="N24" si="5">+J24*1.05</f>
        <v>287.7</v>
      </c>
      <c r="Q24" s="3">
        <v>881</v>
      </c>
      <c r="R24" s="3">
        <v>968</v>
      </c>
      <c r="S24" s="3">
        <f>SUM(G24:J24)</f>
        <v>1085</v>
      </c>
      <c r="T24" s="3">
        <f>SUM(K24:N24)</f>
        <v>1166.7</v>
      </c>
    </row>
    <row r="25" spans="2:20" s="3" customFormat="1" x14ac:dyDescent="0.25">
      <c r="B25" s="3" t="s">
        <v>27</v>
      </c>
      <c r="C25" s="5"/>
      <c r="D25" s="5"/>
      <c r="E25" s="5"/>
      <c r="F25" s="5">
        <f t="shared" ref="F25" si="6">SUM(F22:F24)</f>
        <v>1742</v>
      </c>
      <c r="G25" s="5">
        <f t="shared" ref="G25:J25" si="7">SUM(G22:G24)</f>
        <v>1959</v>
      </c>
      <c r="H25" s="5">
        <f t="shared" si="7"/>
        <v>1941</v>
      </c>
      <c r="I25" s="5">
        <f t="shared" si="7"/>
        <v>1984</v>
      </c>
      <c r="J25" s="5">
        <f t="shared" si="7"/>
        <v>2062</v>
      </c>
      <c r="K25" s="5">
        <f>SUM(K22:K24)</f>
        <v>2128</v>
      </c>
      <c r="L25" s="5">
        <f t="shared" ref="L25:M25" si="8">SUM(L22:L24)</f>
        <v>2276</v>
      </c>
      <c r="M25" s="5">
        <f t="shared" si="8"/>
        <v>2360</v>
      </c>
      <c r="N25" s="5">
        <f t="shared" ref="N25" si="9">SUM(N22:N24)</f>
        <v>2165.1</v>
      </c>
      <c r="Q25" s="5">
        <f t="shared" ref="Q25:S25" si="10">SUM(Q22:Q24)</f>
        <v>6055</v>
      </c>
      <c r="R25" s="5">
        <f t="shared" si="10"/>
        <v>6747</v>
      </c>
      <c r="S25" s="5">
        <f t="shared" si="10"/>
        <v>7946</v>
      </c>
      <c r="T25" s="5">
        <f t="shared" ref="T25" si="11">SUM(T22:T24)</f>
        <v>8929.1</v>
      </c>
    </row>
    <row r="26" spans="2:20" s="3" customFormat="1" x14ac:dyDescent="0.25">
      <c r="B26" s="3" t="s">
        <v>28</v>
      </c>
      <c r="C26" s="5"/>
      <c r="D26" s="5"/>
      <c r="E26" s="5"/>
      <c r="F26" s="5">
        <f t="shared" ref="F26" si="12">F21-F25</f>
        <v>1254</v>
      </c>
      <c r="G26" s="5">
        <f t="shared" ref="G26:J26" si="13">G21-G25</f>
        <v>1499</v>
      </c>
      <c r="H26" s="5">
        <f t="shared" si="13"/>
        <v>1450</v>
      </c>
      <c r="I26" s="5">
        <f t="shared" si="13"/>
        <v>1484</v>
      </c>
      <c r="J26" s="5">
        <f t="shared" si="13"/>
        <v>1541</v>
      </c>
      <c r="K26" s="5">
        <f>K21-K25</f>
        <v>1622</v>
      </c>
      <c r="L26" s="5">
        <f t="shared" ref="L26:M26" si="14">L21-L25</f>
        <v>1571</v>
      </c>
      <c r="M26" s="5">
        <f t="shared" si="14"/>
        <v>1527</v>
      </c>
      <c r="N26" s="5">
        <f t="shared" ref="N26" si="15">N21-N25</f>
        <v>1813.380000000001</v>
      </c>
      <c r="Q26" s="5">
        <f t="shared" ref="Q26:S26" si="16">Q21-Q25</f>
        <v>3443</v>
      </c>
      <c r="R26" s="5">
        <f t="shared" si="16"/>
        <v>4399</v>
      </c>
      <c r="S26" s="5">
        <f t="shared" si="16"/>
        <v>5974</v>
      </c>
      <c r="T26" s="5">
        <f t="shared" ref="T26" si="17">T21-T25</f>
        <v>6533.3799999999992</v>
      </c>
    </row>
    <row r="27" spans="2:20" x14ac:dyDescent="0.25">
      <c r="B27" s="3" t="s">
        <v>29</v>
      </c>
      <c r="F27" s="4">
        <v>-27</v>
      </c>
      <c r="G27" s="4">
        <v>-30</v>
      </c>
      <c r="H27" s="4">
        <v>-28</v>
      </c>
      <c r="I27" s="4">
        <v>-23</v>
      </c>
      <c r="J27" s="4">
        <v>-28</v>
      </c>
      <c r="K27" s="4">
        <v>-28</v>
      </c>
      <c r="L27" s="4">
        <f>-28-1</f>
        <v>-29</v>
      </c>
      <c r="M27" s="4">
        <v>-28</v>
      </c>
      <c r="N27" s="4">
        <f>+M27</f>
        <v>-28</v>
      </c>
      <c r="Q27" s="3">
        <v>-157</v>
      </c>
      <c r="R27" s="3">
        <v>-116</v>
      </c>
      <c r="S27" s="3">
        <f>SUM(G27:J27)</f>
        <v>-109</v>
      </c>
      <c r="T27" s="3">
        <f>SUM(K27:N27)</f>
        <v>-113</v>
      </c>
    </row>
    <row r="28" spans="2:20" x14ac:dyDescent="0.25">
      <c r="B28" s="3" t="s">
        <v>30</v>
      </c>
      <c r="F28" s="5">
        <f>+F26+F27</f>
        <v>1227</v>
      </c>
      <c r="G28" s="5">
        <f>+G26+G27</f>
        <v>1469</v>
      </c>
      <c r="H28" s="5">
        <f t="shared" ref="H28:N28" si="18">+H26+H27</f>
        <v>1422</v>
      </c>
      <c r="I28" s="5">
        <f t="shared" si="18"/>
        <v>1461</v>
      </c>
      <c r="J28" s="5">
        <f t="shared" si="18"/>
        <v>1513</v>
      </c>
      <c r="K28" s="5">
        <f t="shared" si="18"/>
        <v>1594</v>
      </c>
      <c r="L28" s="5">
        <f t="shared" si="18"/>
        <v>1542</v>
      </c>
      <c r="M28" s="5">
        <f t="shared" si="18"/>
        <v>1499</v>
      </c>
      <c r="N28" s="5">
        <f t="shared" si="18"/>
        <v>1785.380000000001</v>
      </c>
      <c r="Q28" s="5">
        <f t="shared" ref="Q28:T28" si="19">+Q26+Q27</f>
        <v>3286</v>
      </c>
      <c r="R28" s="5">
        <f t="shared" si="19"/>
        <v>4283</v>
      </c>
      <c r="S28" s="5">
        <f t="shared" si="19"/>
        <v>5865</v>
      </c>
      <c r="T28" s="5">
        <f t="shared" si="19"/>
        <v>6420.3799999999992</v>
      </c>
    </row>
    <row r="29" spans="2:20" s="3" customFormat="1" x14ac:dyDescent="0.25">
      <c r="B29" s="3" t="s">
        <v>31</v>
      </c>
      <c r="C29" s="5"/>
      <c r="D29" s="5"/>
      <c r="E29" s="5"/>
      <c r="F29" s="5">
        <v>0</v>
      </c>
      <c r="G29" s="5">
        <v>172</v>
      </c>
      <c r="H29" s="5">
        <v>270</v>
      </c>
      <c r="I29" s="5">
        <v>206</v>
      </c>
      <c r="J29" s="5">
        <v>235</v>
      </c>
      <c r="K29" s="5">
        <v>277</v>
      </c>
      <c r="L29" s="5">
        <v>314</v>
      </c>
      <c r="M29" s="5">
        <v>320</v>
      </c>
      <c r="N29" s="5">
        <f>+N28*0.2</f>
        <v>357.07600000000025</v>
      </c>
      <c r="Q29" s="3">
        <v>254</v>
      </c>
      <c r="R29" s="3">
        <v>-1084</v>
      </c>
      <c r="S29" s="3">
        <f>SUM(G29:J29)</f>
        <v>883</v>
      </c>
      <c r="T29" s="3">
        <f>SUM(K29:N29)</f>
        <v>1268.0760000000002</v>
      </c>
    </row>
    <row r="30" spans="2:20" x14ac:dyDescent="0.25">
      <c r="B30" s="3" t="s">
        <v>32</v>
      </c>
      <c r="F30" s="5">
        <f>+F28-F29</f>
        <v>1227</v>
      </c>
      <c r="G30" s="5">
        <f>+G28-G29</f>
        <v>1297</v>
      </c>
      <c r="H30" s="5">
        <f t="shared" ref="H30:N30" si="20">+H28-H29</f>
        <v>1152</v>
      </c>
      <c r="I30" s="5">
        <f t="shared" si="20"/>
        <v>1255</v>
      </c>
      <c r="J30" s="5">
        <f t="shared" si="20"/>
        <v>1278</v>
      </c>
      <c r="K30" s="5">
        <f t="shared" si="20"/>
        <v>1317</v>
      </c>
      <c r="L30" s="5">
        <f t="shared" si="20"/>
        <v>1228</v>
      </c>
      <c r="M30" s="5">
        <f t="shared" si="20"/>
        <v>1179</v>
      </c>
      <c r="N30" s="5">
        <f t="shared" si="20"/>
        <v>1428.3040000000008</v>
      </c>
      <c r="Q30" s="3">
        <f t="shared" ref="Q30:R30" si="21">+Q28-Q29</f>
        <v>3032</v>
      </c>
      <c r="R30" s="3">
        <f t="shared" si="21"/>
        <v>5367</v>
      </c>
      <c r="S30" s="3">
        <f>+S28-S29</f>
        <v>4982</v>
      </c>
      <c r="T30" s="3">
        <f>+T28-T29</f>
        <v>5152.3039999999992</v>
      </c>
    </row>
    <row r="31" spans="2:20" x14ac:dyDescent="0.25">
      <c r="B31" s="3" t="s">
        <v>33</v>
      </c>
      <c r="F31" s="8">
        <f t="shared" ref="F31" si="22">+F30/F32</f>
        <v>2.5351239669421486</v>
      </c>
      <c r="G31" s="8">
        <f>+G30/G32</f>
        <v>2.6853002070393375</v>
      </c>
      <c r="H31" s="8">
        <f t="shared" ref="H31:N31" si="23">+H30/H32</f>
        <v>2.3950103950103951</v>
      </c>
      <c r="I31" s="8">
        <f t="shared" si="23"/>
        <v>2.6091476091476093</v>
      </c>
      <c r="J31" s="8">
        <f t="shared" si="23"/>
        <v>2.6625000000000001</v>
      </c>
      <c r="K31" s="8">
        <f t="shared" si="23"/>
        <v>2.7726315789473683</v>
      </c>
      <c r="L31" s="8">
        <f t="shared" si="23"/>
        <v>2.5961945031712474</v>
      </c>
      <c r="M31" s="8">
        <f t="shared" si="23"/>
        <v>2.5138592750533051</v>
      </c>
      <c r="N31" s="8">
        <f t="shared" si="23"/>
        <v>3.045424307036249</v>
      </c>
      <c r="Q31" s="1">
        <f t="shared" ref="Q31:R31" si="24">+Q30/Q32</f>
        <v>6.1626016260162606</v>
      </c>
      <c r="R31" s="1">
        <f t="shared" si="24"/>
        <v>11.065979381443299</v>
      </c>
      <c r="S31" s="1">
        <f>+S30/S32</f>
        <v>10.352207792207793</v>
      </c>
      <c r="T31" s="1">
        <f>+T30/T32</f>
        <v>10.927474019088015</v>
      </c>
    </row>
    <row r="32" spans="2:20" s="3" customFormat="1" x14ac:dyDescent="0.25">
      <c r="B32" s="3" t="s">
        <v>1</v>
      </c>
      <c r="C32" s="5"/>
      <c r="D32" s="5"/>
      <c r="E32" s="5"/>
      <c r="F32" s="5">
        <v>484</v>
      </c>
      <c r="G32" s="5">
        <v>483</v>
      </c>
      <c r="H32" s="5">
        <v>481</v>
      </c>
      <c r="I32" s="5">
        <v>481</v>
      </c>
      <c r="J32" s="5">
        <v>480</v>
      </c>
      <c r="K32" s="5">
        <v>475</v>
      </c>
      <c r="L32" s="5">
        <v>473</v>
      </c>
      <c r="M32" s="5">
        <v>469</v>
      </c>
      <c r="N32" s="5">
        <f>+M32</f>
        <v>469</v>
      </c>
      <c r="Q32" s="3">
        <v>492</v>
      </c>
      <c r="R32" s="3">
        <v>485</v>
      </c>
      <c r="S32" s="3">
        <f>AVERAGE(G32:J32)</f>
        <v>481.25</v>
      </c>
      <c r="T32" s="3">
        <f>AVERAGE(K32:N32)</f>
        <v>471.5</v>
      </c>
    </row>
    <row r="34" spans="2:20" x14ac:dyDescent="0.25">
      <c r="B34" s="3" t="s">
        <v>52</v>
      </c>
      <c r="J34" s="9">
        <f t="shared" ref="J34" si="25">J19/F19-1</f>
        <v>0.20035046728971961</v>
      </c>
      <c r="K34" s="9">
        <f>K19/G19-1</f>
        <v>9.1421254801536511E-2</v>
      </c>
      <c r="L34" s="9">
        <f t="shared" ref="L34:N34" si="26">L19/H19-1</f>
        <v>0.14367666232073018</v>
      </c>
      <c r="M34" s="9">
        <f t="shared" si="26"/>
        <v>0.12655654383735704</v>
      </c>
      <c r="N34" s="9">
        <f t="shared" si="26"/>
        <v>0.10000000000000031</v>
      </c>
      <c r="R34" s="13">
        <f t="shared" ref="R34:S34" si="27">+R19/Q19-1</f>
        <v>0.151911198639334</v>
      </c>
      <c r="S34" s="13">
        <f t="shared" si="27"/>
        <v>0.22668635374572577</v>
      </c>
      <c r="T34" s="13">
        <f>+T19/S19-1</f>
        <v>0.11510928096293949</v>
      </c>
    </row>
    <row r="35" spans="2:20" x14ac:dyDescent="0.25">
      <c r="B35" s="3" t="s">
        <v>102</v>
      </c>
      <c r="J35" s="9"/>
      <c r="K35" s="9"/>
      <c r="L35" s="9"/>
      <c r="M35" s="9">
        <v>0.15</v>
      </c>
    </row>
    <row r="36" spans="2:20" x14ac:dyDescent="0.25">
      <c r="B36" s="3" t="s">
        <v>103</v>
      </c>
      <c r="J36" s="9"/>
      <c r="K36" s="9">
        <f>K4/G4-1</f>
        <v>0.19121447028423777</v>
      </c>
      <c r="L36" s="9">
        <f>L4/H4-1</f>
        <v>0.13000817661488151</v>
      </c>
      <c r="M36" s="9">
        <f>M4/I4-1</f>
        <v>0.11718131433095813</v>
      </c>
    </row>
    <row r="37" spans="2:20" x14ac:dyDescent="0.25">
      <c r="B37" s="3" t="s">
        <v>69</v>
      </c>
      <c r="J37" s="9">
        <f t="shared" ref="J37" si="28">J21/J19</f>
        <v>0.87664233576642336</v>
      </c>
      <c r="K37" s="9">
        <f>K21/K19</f>
        <v>0.87986860628812769</v>
      </c>
      <c r="L37" s="9">
        <f t="shared" ref="L37:N37" si="29">L21/L19</f>
        <v>0.87710898312813501</v>
      </c>
      <c r="M37" s="9">
        <f t="shared" si="29"/>
        <v>0.87683284457478006</v>
      </c>
      <c r="N37" s="9">
        <f t="shared" si="29"/>
        <v>0.88</v>
      </c>
      <c r="Q37" s="9">
        <f t="shared" ref="Q37:T37" si="30">Q21/Q19</f>
        <v>0.85023722137677915</v>
      </c>
      <c r="R37" s="9">
        <f t="shared" si="30"/>
        <v>0.86617967050046629</v>
      </c>
      <c r="S37" s="9">
        <f t="shared" si="30"/>
        <v>0.88184985745961353</v>
      </c>
      <c r="T37" s="9">
        <f t="shared" si="30"/>
        <v>0.87845017611635035</v>
      </c>
    </row>
    <row r="38" spans="2:20" x14ac:dyDescent="0.25">
      <c r="B38" s="3" t="s">
        <v>106</v>
      </c>
      <c r="J38" s="9">
        <f>+J29/J28</f>
        <v>0.15532055518836749</v>
      </c>
      <c r="K38" s="9">
        <f t="shared" ref="K38:N38" si="31">+K29/K28</f>
        <v>0.1737766624843162</v>
      </c>
      <c r="L38" s="9">
        <f t="shared" si="31"/>
        <v>0.20363164721141375</v>
      </c>
      <c r="M38" s="9">
        <f t="shared" si="31"/>
        <v>0.2134756504336224</v>
      </c>
      <c r="N38" s="9">
        <f t="shared" si="31"/>
        <v>0.20000000000000004</v>
      </c>
      <c r="Q38" s="9">
        <f t="shared" ref="Q38:T38" si="32">+Q29/Q28</f>
        <v>7.7297626293365798E-2</v>
      </c>
      <c r="R38" s="9">
        <f t="shared" si="32"/>
        <v>-0.25309362596310997</v>
      </c>
      <c r="S38" s="9">
        <f t="shared" si="32"/>
        <v>0.15055413469735721</v>
      </c>
      <c r="T38" s="9">
        <f t="shared" si="32"/>
        <v>0.19750793566735933</v>
      </c>
    </row>
    <row r="40" spans="2:20" s="3" customFormat="1" x14ac:dyDescent="0.25">
      <c r="B40" s="3" t="s">
        <v>51</v>
      </c>
      <c r="C40" s="5"/>
      <c r="D40" s="5"/>
      <c r="E40" s="5"/>
      <c r="F40" s="5"/>
      <c r="G40" s="5">
        <f t="shared" ref="G40" si="33">+G41-G53</f>
        <v>844</v>
      </c>
      <c r="H40" s="5">
        <f t="shared" ref="H40:I40" si="34">+H41-H53</f>
        <v>1648</v>
      </c>
      <c r="I40" s="5">
        <f t="shared" si="34"/>
        <v>2042</v>
      </c>
      <c r="J40" s="5">
        <f t="shared" ref="J40" si="35">+J41-J53</f>
        <v>1675</v>
      </c>
      <c r="K40" s="5">
        <f>+K41-K53</f>
        <v>576</v>
      </c>
      <c r="L40" s="5">
        <f t="shared" ref="L40:M40" si="36">+L41-L53</f>
        <v>1173</v>
      </c>
      <c r="M40" s="5">
        <f t="shared" si="36"/>
        <v>1637</v>
      </c>
      <c r="N40" s="5"/>
    </row>
    <row r="41" spans="2:20" s="3" customFormat="1" x14ac:dyDescent="0.25">
      <c r="B41" s="3" t="s">
        <v>3</v>
      </c>
      <c r="C41" s="5"/>
      <c r="D41" s="5"/>
      <c r="E41" s="5"/>
      <c r="F41" s="5"/>
      <c r="G41" s="5">
        <f>3452+1511</f>
        <v>4963</v>
      </c>
      <c r="H41" s="5">
        <f>4250+1518</f>
        <v>5768</v>
      </c>
      <c r="I41" s="5">
        <f>4623+1541</f>
        <v>6164</v>
      </c>
      <c r="J41" s="5">
        <f>3844+1954</f>
        <v>5798</v>
      </c>
      <c r="K41" s="5">
        <f>2739+1962</f>
        <v>4701</v>
      </c>
      <c r="L41" s="5">
        <f>3365+1934</f>
        <v>5299</v>
      </c>
      <c r="M41" s="5">
        <f>3870+1894</f>
        <v>5764</v>
      </c>
      <c r="N41" s="5"/>
    </row>
    <row r="42" spans="2:20" s="3" customFormat="1" x14ac:dyDescent="0.25">
      <c r="B42" s="3" t="s">
        <v>35</v>
      </c>
      <c r="C42" s="5"/>
      <c r="D42" s="5"/>
      <c r="E42" s="5"/>
      <c r="F42" s="5"/>
      <c r="G42" s="5">
        <v>1520</v>
      </c>
      <c r="H42" s="5">
        <v>1477</v>
      </c>
      <c r="I42" s="5">
        <v>1545</v>
      </c>
      <c r="J42" s="5">
        <v>1878</v>
      </c>
      <c r="K42" s="5">
        <v>1685</v>
      </c>
      <c r="L42" s="5">
        <v>1588</v>
      </c>
      <c r="M42" s="5">
        <v>1723</v>
      </c>
      <c r="N42" s="5"/>
    </row>
    <row r="43" spans="2:20" s="3" customFormat="1" x14ac:dyDescent="0.25">
      <c r="B43" s="3" t="s">
        <v>36</v>
      </c>
      <c r="C43" s="5"/>
      <c r="D43" s="5"/>
      <c r="E43" s="5"/>
      <c r="F43" s="5"/>
      <c r="G43" s="5">
        <v>901</v>
      </c>
      <c r="H43" s="5">
        <v>833</v>
      </c>
      <c r="I43" s="5">
        <v>910</v>
      </c>
      <c r="J43" s="5">
        <v>993</v>
      </c>
      <c r="K43" s="5">
        <v>1090</v>
      </c>
      <c r="L43" s="5">
        <v>1021</v>
      </c>
      <c r="M43" s="5">
        <v>1002</v>
      </c>
      <c r="N43" s="5"/>
    </row>
    <row r="44" spans="2:20" s="3" customFormat="1" x14ac:dyDescent="0.25">
      <c r="B44" s="3" t="s">
        <v>37</v>
      </c>
      <c r="C44" s="5"/>
      <c r="D44" s="5"/>
      <c r="E44" s="5"/>
      <c r="F44" s="5"/>
      <c r="G44" s="5">
        <v>1530</v>
      </c>
      <c r="H44" s="5">
        <v>1573</v>
      </c>
      <c r="I44" s="5">
        <v>1629</v>
      </c>
      <c r="J44" s="5">
        <v>1673</v>
      </c>
      <c r="K44" s="5">
        <v>1703</v>
      </c>
      <c r="L44" s="5">
        <v>1790</v>
      </c>
      <c r="M44" s="5">
        <v>1858</v>
      </c>
      <c r="N44" s="5"/>
    </row>
    <row r="45" spans="2:20" s="3" customFormat="1" x14ac:dyDescent="0.25">
      <c r="B45" s="3" t="s">
        <v>38</v>
      </c>
      <c r="C45" s="5"/>
      <c r="D45" s="5"/>
      <c r="E45" s="5"/>
      <c r="F45" s="5"/>
      <c r="G45" s="5">
        <v>477</v>
      </c>
      <c r="H45" s="5">
        <v>458</v>
      </c>
      <c r="I45" s="5">
        <v>452</v>
      </c>
      <c r="J45" s="5">
        <v>443</v>
      </c>
      <c r="K45" s="5">
        <v>435</v>
      </c>
      <c r="L45" s="5">
        <v>430</v>
      </c>
      <c r="M45" s="5">
        <v>414</v>
      </c>
      <c r="N45" s="5"/>
    </row>
    <row r="46" spans="2:20" s="3" customFormat="1" x14ac:dyDescent="0.25">
      <c r="B46" s="3" t="s">
        <v>39</v>
      </c>
      <c r="C46" s="5"/>
      <c r="D46" s="5"/>
      <c r="E46" s="5"/>
      <c r="F46" s="5"/>
      <c r="G46" s="5">
        <f>11845+1729</f>
        <v>13574</v>
      </c>
      <c r="H46" s="5">
        <f>11859+1641</f>
        <v>13500</v>
      </c>
      <c r="I46" s="5">
        <f>11838+1557</f>
        <v>13395</v>
      </c>
      <c r="J46" s="5">
        <f>12668+1820</f>
        <v>14488</v>
      </c>
      <c r="K46" s="5">
        <f>12795+1743</f>
        <v>14538</v>
      </c>
      <c r="L46" s="5">
        <f>12801+1650</f>
        <v>14451</v>
      </c>
      <c r="M46" s="5">
        <f>12756+1548</f>
        <v>14304</v>
      </c>
      <c r="N46" s="5"/>
    </row>
    <row r="47" spans="2:20" s="3" customFormat="1" x14ac:dyDescent="0.25">
      <c r="B47" s="3" t="s">
        <v>40</v>
      </c>
      <c r="C47" s="5"/>
      <c r="D47" s="5"/>
      <c r="E47" s="5"/>
      <c r="F47" s="5"/>
      <c r="G47" s="5">
        <v>1262</v>
      </c>
      <c r="H47" s="5">
        <v>1168</v>
      </c>
      <c r="I47" s="5">
        <v>1190</v>
      </c>
      <c r="J47" s="5">
        <v>1085</v>
      </c>
      <c r="K47" s="5">
        <v>950</v>
      </c>
      <c r="L47" s="5">
        <v>882</v>
      </c>
      <c r="M47" s="5">
        <v>799</v>
      </c>
      <c r="N47" s="5"/>
    </row>
    <row r="48" spans="2:20" s="3" customFormat="1" x14ac:dyDescent="0.25">
      <c r="B48" s="3" t="s">
        <v>41</v>
      </c>
      <c r="C48" s="5"/>
      <c r="D48" s="5"/>
      <c r="E48" s="5"/>
      <c r="F48" s="5"/>
      <c r="G48" s="5">
        <v>758</v>
      </c>
      <c r="H48" s="5">
        <v>805</v>
      </c>
      <c r="I48" s="5">
        <v>859</v>
      </c>
      <c r="J48" s="5">
        <v>883</v>
      </c>
      <c r="K48" s="5">
        <v>874</v>
      </c>
      <c r="L48" s="5">
        <v>865</v>
      </c>
      <c r="M48" s="5">
        <v>880</v>
      </c>
      <c r="N48" s="5"/>
    </row>
    <row r="49" spans="2:20" s="3" customFormat="1" x14ac:dyDescent="0.25">
      <c r="B49" s="3" t="s">
        <v>34</v>
      </c>
      <c r="C49" s="5"/>
      <c r="D49" s="5"/>
      <c r="E49" s="5"/>
      <c r="F49" s="5"/>
      <c r="G49" s="5">
        <f t="shared" ref="G49" si="37">SUM(G41:G48)</f>
        <v>24985</v>
      </c>
      <c r="H49" s="5">
        <f t="shared" ref="H49" si="38">SUM(H41:H48)</f>
        <v>25582</v>
      </c>
      <c r="I49" s="5">
        <f t="shared" ref="I49" si="39">SUM(I41:I48)</f>
        <v>26144</v>
      </c>
      <c r="J49" s="5">
        <f t="shared" ref="J49" si="40">SUM(J41:J48)</f>
        <v>27241</v>
      </c>
      <c r="K49" s="5">
        <f>SUM(K41:K48)</f>
        <v>25976</v>
      </c>
      <c r="L49" s="5">
        <f t="shared" ref="L49:M49" si="41">SUM(L41:L48)</f>
        <v>26326</v>
      </c>
      <c r="M49" s="5">
        <f t="shared" si="41"/>
        <v>26744</v>
      </c>
      <c r="N49" s="5"/>
    </row>
    <row r="50" spans="2:20" s="3" customFormat="1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2:20" s="3" customFormat="1" x14ac:dyDescent="0.25">
      <c r="B51" s="3" t="s">
        <v>42</v>
      </c>
      <c r="C51" s="5"/>
      <c r="D51" s="5"/>
      <c r="E51" s="5"/>
      <c r="F51" s="5"/>
      <c r="G51" s="5">
        <v>254</v>
      </c>
      <c r="H51" s="5">
        <v>312</v>
      </c>
      <c r="I51" s="5">
        <v>331</v>
      </c>
      <c r="J51" s="5">
        <v>312</v>
      </c>
      <c r="K51" s="5">
        <v>295</v>
      </c>
      <c r="L51" s="5">
        <v>366</v>
      </c>
      <c r="M51" s="5">
        <v>316</v>
      </c>
      <c r="N51" s="5"/>
    </row>
    <row r="52" spans="2:20" s="3" customFormat="1" x14ac:dyDescent="0.25">
      <c r="B52" s="3" t="s">
        <v>43</v>
      </c>
      <c r="C52" s="5"/>
      <c r="D52" s="5"/>
      <c r="E52" s="5"/>
      <c r="F52" s="5"/>
      <c r="G52" s="5">
        <v>1243</v>
      </c>
      <c r="H52" s="5">
        <v>1538</v>
      </c>
      <c r="I52" s="5">
        <v>1450</v>
      </c>
      <c r="J52" s="5">
        <v>1736</v>
      </c>
      <c r="K52" s="5">
        <v>1333</v>
      </c>
      <c r="L52" s="5">
        <v>1615</v>
      </c>
      <c r="M52" s="5">
        <v>1629</v>
      </c>
      <c r="N52" s="5"/>
    </row>
    <row r="53" spans="2:20" s="3" customFormat="1" x14ac:dyDescent="0.25">
      <c r="B53" s="3" t="s">
        <v>4</v>
      </c>
      <c r="C53" s="5"/>
      <c r="D53" s="5"/>
      <c r="E53" s="5"/>
      <c r="F53" s="5"/>
      <c r="G53" s="5">
        <v>4119</v>
      </c>
      <c r="H53" s="5">
        <v>4120</v>
      </c>
      <c r="I53" s="5">
        <v>4122</v>
      </c>
      <c r="J53" s="5">
        <v>4123</v>
      </c>
      <c r="K53" s="5">
        <f>499+3626</f>
        <v>4125</v>
      </c>
      <c r="L53" s="5">
        <f>499+3627</f>
        <v>4126</v>
      </c>
      <c r="M53" s="5">
        <f>500+3627</f>
        <v>4127</v>
      </c>
      <c r="N53" s="5"/>
    </row>
    <row r="54" spans="2:20" s="3" customFormat="1" x14ac:dyDescent="0.25">
      <c r="B54" s="3" t="s">
        <v>44</v>
      </c>
      <c r="C54" s="5"/>
      <c r="D54" s="5"/>
      <c r="E54" s="5"/>
      <c r="F54" s="5"/>
      <c r="G54" s="5">
        <f>4134+151</f>
        <v>4285</v>
      </c>
      <c r="H54" s="5">
        <f>4144+139</f>
        <v>4283</v>
      </c>
      <c r="I54" s="5">
        <f>4243+142</f>
        <v>4385</v>
      </c>
      <c r="J54" s="5">
        <f>4733+145</f>
        <v>4878</v>
      </c>
      <c r="K54" s="5">
        <f>4894+125</f>
        <v>5019</v>
      </c>
      <c r="L54" s="5">
        <f>4753+123</f>
        <v>4876</v>
      </c>
      <c r="M54" s="5">
        <f>4829+114</f>
        <v>4943</v>
      </c>
      <c r="N54" s="5"/>
    </row>
    <row r="55" spans="2:20" s="3" customFormat="1" x14ac:dyDescent="0.25">
      <c r="B55" s="3" t="s">
        <v>31</v>
      </c>
      <c r="C55" s="5"/>
      <c r="D55" s="5"/>
      <c r="E55" s="5"/>
      <c r="F55" s="5"/>
      <c r="G55" s="5">
        <f>81+81+540</f>
        <v>702</v>
      </c>
      <c r="H55" s="5">
        <f>55+510+80</f>
        <v>645</v>
      </c>
      <c r="I55" s="5">
        <f>70+533+7</f>
        <v>610</v>
      </c>
      <c r="J55" s="5">
        <f>534+54+5</f>
        <v>593</v>
      </c>
      <c r="K55" s="5">
        <f>83+540+4</f>
        <v>627</v>
      </c>
      <c r="L55" s="5">
        <f>62+503+4</f>
        <v>569</v>
      </c>
      <c r="M55" s="5">
        <f>76+510</f>
        <v>586</v>
      </c>
      <c r="N55" s="5"/>
    </row>
    <row r="56" spans="2:20" s="3" customFormat="1" x14ac:dyDescent="0.25">
      <c r="B56" s="3" t="s">
        <v>38</v>
      </c>
      <c r="C56" s="5"/>
      <c r="D56" s="5"/>
      <c r="E56" s="5"/>
      <c r="F56" s="5"/>
      <c r="G56" s="5">
        <f>94+494</f>
        <v>588</v>
      </c>
      <c r="H56" s="5">
        <f>96+477</f>
        <v>573</v>
      </c>
      <c r="I56" s="5">
        <f>97+466</f>
        <v>563</v>
      </c>
      <c r="J56" s="5">
        <f>97+453</f>
        <v>550</v>
      </c>
      <c r="K56" s="5">
        <f>93+447</f>
        <v>540</v>
      </c>
      <c r="L56" s="5">
        <f>90+442</f>
        <v>532</v>
      </c>
      <c r="M56" s="5">
        <f>88+426</f>
        <v>514</v>
      </c>
      <c r="N56" s="5"/>
    </row>
    <row r="57" spans="2:20" s="3" customFormat="1" x14ac:dyDescent="0.25">
      <c r="B57" s="3" t="s">
        <v>45</v>
      </c>
      <c r="C57" s="5"/>
      <c r="D57" s="5"/>
      <c r="E57" s="5"/>
      <c r="F57" s="5"/>
      <c r="G57" s="5">
        <v>248</v>
      </c>
      <c r="H57" s="5">
        <v>259</v>
      </c>
      <c r="I57" s="5">
        <v>269</v>
      </c>
      <c r="J57" s="5">
        <v>252</v>
      </c>
      <c r="K57" s="5">
        <v>262</v>
      </c>
      <c r="L57" s="5">
        <v>257</v>
      </c>
      <c r="M57" s="5">
        <f>253</f>
        <v>253</v>
      </c>
      <c r="N57" s="5"/>
    </row>
    <row r="58" spans="2:20" s="3" customFormat="1" x14ac:dyDescent="0.25">
      <c r="B58" s="3" t="s">
        <v>46</v>
      </c>
      <c r="C58" s="5"/>
      <c r="D58" s="5"/>
      <c r="E58" s="5"/>
      <c r="F58" s="5"/>
      <c r="G58" s="5">
        <v>7617</v>
      </c>
      <c r="H58" s="5">
        <v>7877</v>
      </c>
      <c r="I58" s="5">
        <v>8209</v>
      </c>
      <c r="J58" s="5">
        <v>8428</v>
      </c>
      <c r="K58" s="5">
        <v>8750</v>
      </c>
      <c r="L58" s="5">
        <v>9102</v>
      </c>
      <c r="M58" s="5">
        <v>9548</v>
      </c>
      <c r="N58" s="5"/>
    </row>
    <row r="59" spans="2:20" s="3" customFormat="1" x14ac:dyDescent="0.25">
      <c r="B59" s="3" t="s">
        <v>47</v>
      </c>
      <c r="C59" s="5"/>
      <c r="D59" s="5"/>
      <c r="E59" s="5"/>
      <c r="F59" s="5"/>
      <c r="G59" s="5">
        <v>20521</v>
      </c>
      <c r="H59" s="5">
        <v>21538</v>
      </c>
      <c r="I59" s="5">
        <v>22750</v>
      </c>
      <c r="J59" s="5">
        <v>23905</v>
      </c>
      <c r="K59" s="5">
        <v>24961</v>
      </c>
      <c r="L59" s="5">
        <v>26022</v>
      </c>
      <c r="M59" s="5">
        <v>27158</v>
      </c>
      <c r="N59" s="5"/>
    </row>
    <row r="60" spans="2:20" s="3" customFormat="1" x14ac:dyDescent="0.25">
      <c r="B60" s="3" t="s">
        <v>48</v>
      </c>
      <c r="C60" s="5"/>
      <c r="D60" s="5"/>
      <c r="E60" s="5"/>
      <c r="F60" s="5"/>
      <c r="G60" s="5">
        <v>-141</v>
      </c>
      <c r="H60" s="5">
        <v>-121</v>
      </c>
      <c r="I60" s="5">
        <v>-131</v>
      </c>
      <c r="J60" s="5">
        <v>-137</v>
      </c>
      <c r="K60" s="5">
        <v>-177</v>
      </c>
      <c r="L60" s="5">
        <v>-195</v>
      </c>
      <c r="M60" s="5">
        <v>-224</v>
      </c>
      <c r="N60" s="5"/>
    </row>
    <row r="61" spans="2:20" s="3" customFormat="1" x14ac:dyDescent="0.25">
      <c r="B61" s="3" t="s">
        <v>49</v>
      </c>
      <c r="C61" s="5"/>
      <c r="D61" s="5"/>
      <c r="E61" s="5"/>
      <c r="F61" s="5"/>
      <c r="G61" s="5">
        <v>-14451</v>
      </c>
      <c r="H61" s="5">
        <v>-15442</v>
      </c>
      <c r="I61" s="5">
        <v>-16414</v>
      </c>
      <c r="J61" s="5">
        <v>-17399</v>
      </c>
      <c r="K61" s="5">
        <v>-19759</v>
      </c>
      <c r="L61" s="5">
        <v>-20944</v>
      </c>
      <c r="M61" s="5">
        <v>-22109</v>
      </c>
      <c r="N61" s="5"/>
    </row>
    <row r="62" spans="2:20" s="3" customFormat="1" x14ac:dyDescent="0.25">
      <c r="B62" s="3" t="s">
        <v>50</v>
      </c>
      <c r="C62" s="5"/>
      <c r="D62" s="5"/>
      <c r="E62" s="5"/>
      <c r="F62" s="5"/>
      <c r="G62" s="5">
        <f t="shared" ref="G62" si="42">SUM(G51:G61)</f>
        <v>24985</v>
      </c>
      <c r="H62" s="5">
        <f t="shared" ref="H62" si="43">SUM(H51:H61)</f>
        <v>25582</v>
      </c>
      <c r="I62" s="5">
        <f t="shared" ref="I62" si="44">SUM(I51:I61)</f>
        <v>26144</v>
      </c>
      <c r="J62" s="5">
        <f t="shared" ref="J62" si="45">SUM(J51:J61)</f>
        <v>27241</v>
      </c>
      <c r="K62" s="5">
        <f>SUM(K51:K61)</f>
        <v>25976</v>
      </c>
      <c r="L62" s="5">
        <f t="shared" ref="L62:M62" si="46">SUM(L51:L61)</f>
        <v>26326</v>
      </c>
      <c r="M62" s="5">
        <f t="shared" si="46"/>
        <v>26741</v>
      </c>
      <c r="N62" s="5"/>
    </row>
    <row r="63" spans="2:20" s="3" customFormat="1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2:20" s="3" customFormat="1" x14ac:dyDescent="0.25">
      <c r="B64" s="3" t="s">
        <v>53</v>
      </c>
      <c r="C64" s="5"/>
      <c r="D64" s="5"/>
      <c r="E64" s="5"/>
      <c r="F64" s="5"/>
      <c r="G64" s="5">
        <f t="shared" ref="G64:M64" si="47">G30</f>
        <v>1297</v>
      </c>
      <c r="H64" s="5">
        <f t="shared" si="47"/>
        <v>1152</v>
      </c>
      <c r="I64" s="5">
        <f t="shared" si="47"/>
        <v>1255</v>
      </c>
      <c r="J64" s="5">
        <f t="shared" si="47"/>
        <v>1278</v>
      </c>
      <c r="K64" s="5">
        <f t="shared" si="47"/>
        <v>1317</v>
      </c>
      <c r="L64" s="5">
        <f t="shared" si="47"/>
        <v>1228</v>
      </c>
      <c r="M64" s="5">
        <f t="shared" si="47"/>
        <v>1179</v>
      </c>
      <c r="N64" s="5"/>
      <c r="Q64" s="5">
        <f t="shared" ref="Q64:T64" si="48">Q30</f>
        <v>3032</v>
      </c>
      <c r="R64" s="5">
        <f t="shared" si="48"/>
        <v>5367</v>
      </c>
      <c r="S64" s="5">
        <f t="shared" si="48"/>
        <v>4982</v>
      </c>
      <c r="T64" s="5">
        <f t="shared" si="48"/>
        <v>5152.3039999999992</v>
      </c>
    </row>
    <row r="65" spans="2:20" s="3" customFormat="1" x14ac:dyDescent="0.25">
      <c r="B65" s="3" t="s">
        <v>54</v>
      </c>
      <c r="C65" s="5"/>
      <c r="D65" s="5"/>
      <c r="E65" s="5"/>
      <c r="F65" s="5"/>
      <c r="G65" s="5">
        <v>1261</v>
      </c>
      <c r="H65" s="5">
        <f>2377-G65</f>
        <v>1116</v>
      </c>
      <c r="I65" s="5">
        <f>3589-H65-G65</f>
        <v>1212</v>
      </c>
      <c r="J65" s="5">
        <f>+S65-I65-H65-G65</f>
        <v>1233</v>
      </c>
      <c r="K65" s="5">
        <v>1266</v>
      </c>
      <c r="L65" s="5">
        <f>2444-K65</f>
        <v>1178</v>
      </c>
      <c r="M65" s="5">
        <v>1136</v>
      </c>
      <c r="N65" s="5"/>
      <c r="Q65" s="3">
        <v>2951</v>
      </c>
      <c r="R65" s="3">
        <v>5260</v>
      </c>
      <c r="S65" s="3">
        <v>4822</v>
      </c>
    </row>
    <row r="66" spans="2:20" s="3" customFormat="1" x14ac:dyDescent="0.25">
      <c r="B66" s="3" t="s">
        <v>55</v>
      </c>
      <c r="C66" s="5"/>
      <c r="D66" s="5"/>
      <c r="E66" s="5"/>
      <c r="F66" s="5"/>
      <c r="G66" s="5">
        <v>196</v>
      </c>
      <c r="H66" s="5">
        <f>390-G66</f>
        <v>194</v>
      </c>
      <c r="I66" s="5">
        <f>583-H66-G66</f>
        <v>193</v>
      </c>
      <c r="J66" s="5">
        <f t="shared" ref="J66:J73" si="49">+S66-I66-H66-G66</f>
        <v>205</v>
      </c>
      <c r="K66" s="5">
        <v>213</v>
      </c>
      <c r="L66" s="5">
        <f>425-K66</f>
        <v>212</v>
      </c>
      <c r="M66" s="5">
        <v>216</v>
      </c>
      <c r="N66" s="5"/>
      <c r="Q66" s="3">
        <v>757</v>
      </c>
      <c r="R66" s="3">
        <v>757</v>
      </c>
      <c r="S66" s="3">
        <v>788</v>
      </c>
    </row>
    <row r="67" spans="2:20" s="3" customFormat="1" x14ac:dyDescent="0.25">
      <c r="B67" s="3" t="s">
        <v>56</v>
      </c>
      <c r="C67" s="5"/>
      <c r="D67" s="5"/>
      <c r="E67" s="5"/>
      <c r="F67" s="5"/>
      <c r="G67" s="5">
        <v>260</v>
      </c>
      <c r="H67" s="5">
        <f>520-G67</f>
        <v>260</v>
      </c>
      <c r="I67" s="5">
        <f>800-H67-G67</f>
        <v>280</v>
      </c>
      <c r="J67" s="5">
        <f t="shared" si="49"/>
        <v>269</v>
      </c>
      <c r="K67" s="5">
        <v>322</v>
      </c>
      <c r="L67" s="5">
        <f>674-K67</f>
        <v>352</v>
      </c>
      <c r="M67" s="5">
        <v>378</v>
      </c>
      <c r="N67" s="5"/>
      <c r="Q67" s="3">
        <v>788</v>
      </c>
      <c r="R67" s="3">
        <v>909</v>
      </c>
      <c r="S67" s="3">
        <v>1069</v>
      </c>
    </row>
    <row r="68" spans="2:20" s="3" customFormat="1" x14ac:dyDescent="0.25">
      <c r="B68" s="3" t="s">
        <v>38</v>
      </c>
      <c r="C68" s="5"/>
      <c r="D68" s="5"/>
      <c r="E68" s="5"/>
      <c r="F68" s="5"/>
      <c r="G68" s="5">
        <v>19</v>
      </c>
      <c r="H68" s="5">
        <f>33-G68</f>
        <v>14</v>
      </c>
      <c r="I68" s="5">
        <f>53-H68-G68</f>
        <v>20</v>
      </c>
      <c r="J68" s="5">
        <f t="shared" si="49"/>
        <v>20</v>
      </c>
      <c r="K68" s="5">
        <v>0</v>
      </c>
      <c r="L68" s="5">
        <f>42-K68</f>
        <v>42</v>
      </c>
      <c r="M68" s="5">
        <v>0</v>
      </c>
      <c r="N68" s="5"/>
      <c r="Q68" s="3">
        <v>0</v>
      </c>
      <c r="R68" s="3">
        <v>87</v>
      </c>
      <c r="S68" s="3">
        <v>73</v>
      </c>
    </row>
    <row r="69" spans="2:20" s="3" customFormat="1" x14ac:dyDescent="0.25">
      <c r="B69" s="3" t="s">
        <v>40</v>
      </c>
      <c r="C69" s="5"/>
      <c r="D69" s="5"/>
      <c r="E69" s="5"/>
      <c r="F69" s="5"/>
      <c r="G69" s="5">
        <v>117</v>
      </c>
      <c r="H69" s="5">
        <f>210-G69</f>
        <v>93</v>
      </c>
      <c r="I69" s="5">
        <f>120-H69-G69</f>
        <v>-90</v>
      </c>
      <c r="J69" s="5">
        <f t="shared" si="49"/>
        <v>63</v>
      </c>
      <c r="K69" s="5">
        <v>0</v>
      </c>
      <c r="L69" s="5">
        <f>197-K69</f>
        <v>197</v>
      </c>
      <c r="M69" s="5">
        <v>0</v>
      </c>
      <c r="N69" s="5"/>
      <c r="Q69" s="3">
        <v>3</v>
      </c>
      <c r="R69" s="3">
        <v>-1501</v>
      </c>
      <c r="S69" s="3">
        <v>183</v>
      </c>
    </row>
    <row r="70" spans="2:20" s="3" customFormat="1" x14ac:dyDescent="0.25">
      <c r="B70" s="3" t="s">
        <v>57</v>
      </c>
      <c r="C70" s="5"/>
      <c r="D70" s="5"/>
      <c r="E70" s="5"/>
      <c r="F70" s="5"/>
      <c r="G70" s="5">
        <v>0</v>
      </c>
      <c r="H70" s="5">
        <f>-7-G70</f>
        <v>-7</v>
      </c>
      <c r="I70" s="5">
        <f>-11-H70-G70</f>
        <v>-4</v>
      </c>
      <c r="J70" s="5">
        <f t="shared" si="49"/>
        <v>7</v>
      </c>
      <c r="K70" s="5">
        <v>17</v>
      </c>
      <c r="L70" s="5">
        <f>27-K70</f>
        <v>10</v>
      </c>
      <c r="M70" s="5">
        <v>6</v>
      </c>
      <c r="N70" s="5"/>
      <c r="Q70" s="3">
        <v>-48</v>
      </c>
      <c r="R70" s="3">
        <v>-11</v>
      </c>
      <c r="S70" s="3">
        <v>-4</v>
      </c>
    </row>
    <row r="71" spans="2:20" s="3" customFormat="1" x14ac:dyDescent="0.25">
      <c r="B71" s="3" t="s">
        <v>58</v>
      </c>
      <c r="C71" s="5"/>
      <c r="D71" s="5"/>
      <c r="E71" s="5"/>
      <c r="F71" s="5"/>
      <c r="G71" s="5">
        <v>2</v>
      </c>
      <c r="H71" s="5">
        <f>5-G71</f>
        <v>3</v>
      </c>
      <c r="I71" s="5">
        <f>3-H71-G71</f>
        <v>-2</v>
      </c>
      <c r="J71" s="5">
        <f t="shared" si="49"/>
        <v>4</v>
      </c>
      <c r="K71" s="5">
        <v>153</v>
      </c>
      <c r="L71" s="5">
        <f>2-K71</f>
        <v>-151</v>
      </c>
      <c r="M71" s="5">
        <f>112-L71-K71</f>
        <v>110</v>
      </c>
      <c r="N71" s="5"/>
      <c r="Q71" s="3">
        <v>14</v>
      </c>
      <c r="R71" s="3">
        <v>40</v>
      </c>
      <c r="S71" s="3">
        <v>7</v>
      </c>
    </row>
    <row r="72" spans="2:20" s="3" customFormat="1" x14ac:dyDescent="0.25">
      <c r="B72" s="3" t="s">
        <v>44</v>
      </c>
      <c r="C72" s="5"/>
      <c r="D72" s="5"/>
      <c r="E72" s="5"/>
      <c r="F72" s="5"/>
      <c r="G72" s="5">
        <v>471</v>
      </c>
      <c r="H72" s="5">
        <f>469-G72</f>
        <v>-2</v>
      </c>
      <c r="I72" s="5">
        <f>571-H72-G72</f>
        <v>102</v>
      </c>
      <c r="J72" s="5">
        <f t="shared" si="49"/>
        <v>482</v>
      </c>
      <c r="K72" s="5">
        <v>141</v>
      </c>
      <c r="L72" s="5">
        <f>0-K72</f>
        <v>-141</v>
      </c>
      <c r="M72" s="5">
        <f>67-L72-K72</f>
        <v>67</v>
      </c>
      <c r="N72" s="5"/>
      <c r="Q72" s="3">
        <v>497</v>
      </c>
      <c r="R72" s="3">
        <v>258</v>
      </c>
      <c r="S72" s="3">
        <v>1053</v>
      </c>
    </row>
    <row r="73" spans="2:20" s="3" customFormat="1" x14ac:dyDescent="0.25">
      <c r="B73" s="3" t="s">
        <v>59</v>
      </c>
      <c r="C73" s="5"/>
      <c r="D73" s="5"/>
      <c r="E73" s="5"/>
      <c r="F73" s="5"/>
      <c r="G73" s="5">
        <f>-82-242-59-200+29</f>
        <v>-554</v>
      </c>
      <c r="H73" s="5">
        <f>-39-258-1+87-26-G73</f>
        <v>317</v>
      </c>
      <c r="I73" s="5">
        <f>-105-423+18-47+13-H73-G73</f>
        <v>-307</v>
      </c>
      <c r="J73" s="5">
        <f t="shared" si="49"/>
        <v>-217</v>
      </c>
      <c r="K73" s="5">
        <v>-343</v>
      </c>
      <c r="L73" s="5">
        <f>287-140+60-187-20-2-K73</f>
        <v>341</v>
      </c>
      <c r="M73" s="5">
        <f>-211-L73-K73</f>
        <v>-209</v>
      </c>
      <c r="N73" s="5"/>
      <c r="Q73" s="3">
        <f>-188-551+23+172+4</f>
        <v>-540</v>
      </c>
      <c r="R73" s="3">
        <f>106-288+96+86-72</f>
        <v>-72</v>
      </c>
      <c r="S73" s="3">
        <f>-430-475-20+162+2</f>
        <v>-761</v>
      </c>
    </row>
    <row r="74" spans="2:20" s="3" customFormat="1" x14ac:dyDescent="0.25">
      <c r="B74" s="3" t="s">
        <v>60</v>
      </c>
      <c r="C74" s="5"/>
      <c r="D74" s="5"/>
      <c r="E74" s="5"/>
      <c r="F74" s="5"/>
      <c r="G74" s="5">
        <f t="shared" ref="G74:M74" si="50">SUM(G65:G73)</f>
        <v>1772</v>
      </c>
      <c r="H74" s="5">
        <f t="shared" si="50"/>
        <v>1988</v>
      </c>
      <c r="I74" s="5">
        <f t="shared" si="50"/>
        <v>1404</v>
      </c>
      <c r="J74" s="5">
        <f t="shared" si="50"/>
        <v>2066</v>
      </c>
      <c r="K74" s="5">
        <f t="shared" si="50"/>
        <v>1769</v>
      </c>
      <c r="L74" s="5">
        <f t="shared" si="50"/>
        <v>2040</v>
      </c>
      <c r="M74" s="5">
        <f t="shared" si="50"/>
        <v>1704</v>
      </c>
      <c r="N74" s="5"/>
      <c r="Q74" s="3">
        <f>SUM(Q65:Q73)</f>
        <v>4422</v>
      </c>
      <c r="R74" s="3">
        <f t="shared" ref="R74:T74" si="51">SUM(R65:R73)</f>
        <v>5727</v>
      </c>
      <c r="S74" s="3">
        <f t="shared" si="51"/>
        <v>7230</v>
      </c>
      <c r="T74" s="3">
        <f t="shared" si="51"/>
        <v>0</v>
      </c>
    </row>
    <row r="75" spans="2:20" s="3" customFormat="1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2:20" s="3" customFormat="1" x14ac:dyDescent="0.25">
      <c r="B76" s="3" t="s">
        <v>61</v>
      </c>
      <c r="C76" s="5"/>
      <c r="D76" s="5"/>
      <c r="E76" s="5"/>
      <c r="F76" s="5"/>
      <c r="G76" s="5">
        <f>-289+246+39-25</f>
        <v>-29</v>
      </c>
      <c r="H76" s="5">
        <f>-639+521+104-27-G76</f>
        <v>-12</v>
      </c>
      <c r="I76" s="5">
        <f>-881+701+138-H76-G76-37</f>
        <v>-38</v>
      </c>
      <c r="J76" s="5">
        <f t="shared" ref="J76:J78" si="52">+S76-I76-H76-G76</f>
        <v>-428</v>
      </c>
      <c r="K76" s="5">
        <f>-288+208+54</f>
        <v>-26</v>
      </c>
      <c r="L76" s="5">
        <f>-524+349+159-K76-30</f>
        <v>-20</v>
      </c>
      <c r="M76" s="5">
        <v>31</v>
      </c>
      <c r="N76" s="5"/>
      <c r="Q76" s="3">
        <f>-700+700+86-49+3</f>
        <v>40</v>
      </c>
      <c r="R76" s="3">
        <f>-1071+915+167+9-15</f>
        <v>5</v>
      </c>
      <c r="S76" s="3">
        <f>-1533+877+191-42</f>
        <v>-507</v>
      </c>
    </row>
    <row r="77" spans="2:20" s="3" customFormat="1" x14ac:dyDescent="0.25">
      <c r="B77" s="3" t="s">
        <v>62</v>
      </c>
      <c r="C77" s="5"/>
      <c r="D77" s="5"/>
      <c r="E77" s="5"/>
      <c r="F77" s="5"/>
      <c r="G77" s="5">
        <v>-1470</v>
      </c>
      <c r="H77" s="5">
        <f>-1470-G77</f>
        <v>0</v>
      </c>
      <c r="I77" s="5">
        <f>-1470-H77-G77</f>
        <v>0</v>
      </c>
      <c r="J77" s="5">
        <f t="shared" si="52"/>
        <v>-1212</v>
      </c>
      <c r="K77" s="5">
        <f>-106-28</f>
        <v>-134</v>
      </c>
      <c r="L77" s="5">
        <f>-126-K77</f>
        <v>8</v>
      </c>
      <c r="M77" s="5">
        <v>-9</v>
      </c>
      <c r="N77" s="5"/>
      <c r="Q77" s="3">
        <v>-101</v>
      </c>
      <c r="R77" s="3">
        <v>0</v>
      </c>
      <c r="S77" s="3">
        <v>-2682</v>
      </c>
    </row>
    <row r="78" spans="2:20" s="3" customFormat="1" x14ac:dyDescent="0.25">
      <c r="B78" s="3" t="s">
        <v>63</v>
      </c>
      <c r="C78" s="5"/>
      <c r="D78" s="5"/>
      <c r="E78" s="5"/>
      <c r="F78" s="5"/>
      <c r="G78" s="5">
        <v>-59</v>
      </c>
      <c r="H78" s="5">
        <f>-154-G78</f>
        <v>-95</v>
      </c>
      <c r="I78" s="5">
        <f>-249-H78-G78</f>
        <v>-95</v>
      </c>
      <c r="J78" s="5">
        <f t="shared" si="52"/>
        <v>-99</v>
      </c>
      <c r="K78" s="5">
        <v>-100</v>
      </c>
      <c r="L78" s="5">
        <f>-226-K78</f>
        <v>-126</v>
      </c>
      <c r="M78" s="5">
        <v>-125</v>
      </c>
      <c r="N78" s="5"/>
      <c r="Q78" s="3">
        <v>-395</v>
      </c>
      <c r="R78" s="3">
        <v>-419</v>
      </c>
      <c r="S78" s="3">
        <v>-348</v>
      </c>
    </row>
    <row r="79" spans="2:20" s="3" customFormat="1" x14ac:dyDescent="0.25">
      <c r="B79" s="3" t="s">
        <v>64</v>
      </c>
      <c r="C79" s="5"/>
      <c r="D79" s="5"/>
      <c r="E79" s="5"/>
      <c r="F79" s="5"/>
      <c r="G79" s="5">
        <f>SUM(G76:G78)</f>
        <v>-1558</v>
      </c>
      <c r="H79" s="5">
        <f t="shared" ref="H79:J79" si="53">SUM(H76:H78)</f>
        <v>-107</v>
      </c>
      <c r="I79" s="5">
        <f t="shared" si="53"/>
        <v>-133</v>
      </c>
      <c r="J79" s="5">
        <f t="shared" si="53"/>
        <v>-1739</v>
      </c>
      <c r="K79" s="5">
        <f>SUM(K76:K78)</f>
        <v>-260</v>
      </c>
      <c r="L79" s="5">
        <f>SUM(L76:L78)</f>
        <v>-138</v>
      </c>
      <c r="M79" s="5">
        <f>SUM(M76:M78)</f>
        <v>-103</v>
      </c>
      <c r="N79" s="5"/>
      <c r="Q79" s="3">
        <f>SUM(Q76:Q78)</f>
        <v>-456</v>
      </c>
      <c r="R79" s="3">
        <f>SUM(R76:R78)</f>
        <v>-414</v>
      </c>
      <c r="S79" s="3">
        <f t="shared" ref="S79" si="54">SUM(S76:S78)</f>
        <v>-3537</v>
      </c>
    </row>
    <row r="80" spans="2:20" s="3" customFormat="1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9" s="3" customFormat="1" x14ac:dyDescent="0.25">
      <c r="B81" s="3" t="s">
        <v>65</v>
      </c>
      <c r="C81" s="5"/>
      <c r="D81" s="5"/>
      <c r="E81" s="5"/>
      <c r="F81" s="5"/>
      <c r="G81" s="5">
        <f>-950+87</f>
        <v>-863</v>
      </c>
      <c r="H81" s="5">
        <f>-1950+87-G81</f>
        <v>-1000</v>
      </c>
      <c r="I81" s="5">
        <f>-2950+290-H81-G81</f>
        <v>-797</v>
      </c>
      <c r="J81" s="5">
        <f t="shared" ref="J81:J85" si="55">+S81-I81-H81-G81</f>
        <v>-999</v>
      </c>
      <c r="K81" s="5">
        <f>-2400+91</f>
        <v>-2309</v>
      </c>
      <c r="L81" s="5">
        <f>-3600-K81+91</f>
        <v>-1200</v>
      </c>
      <c r="M81" s="5">
        <v>-1200</v>
      </c>
      <c r="N81" s="5"/>
      <c r="Q81" s="3">
        <f>-2750+233</f>
        <v>-2517</v>
      </c>
      <c r="R81" s="3">
        <f>-3050+270</f>
        <v>-2780</v>
      </c>
      <c r="S81" s="3">
        <f>-3950+291</f>
        <v>-3659</v>
      </c>
    </row>
    <row r="82" spans="2:19" s="3" customFormat="1" x14ac:dyDescent="0.25">
      <c r="B82" s="3" t="s">
        <v>31</v>
      </c>
      <c r="C82" s="5"/>
      <c r="D82" s="5"/>
      <c r="E82" s="5"/>
      <c r="F82" s="5"/>
      <c r="G82" s="5">
        <v>-391</v>
      </c>
      <c r="H82" s="5">
        <f>-480-G82</f>
        <v>-89</v>
      </c>
      <c r="I82" s="5">
        <f>-602-H82-G82</f>
        <v>-122</v>
      </c>
      <c r="J82" s="5">
        <f t="shared" si="55"/>
        <v>-117</v>
      </c>
      <c r="K82" s="5">
        <v>-266</v>
      </c>
      <c r="L82" s="5">
        <f>-367-K82</f>
        <v>-101</v>
      </c>
      <c r="M82" s="5">
        <v>103</v>
      </c>
      <c r="N82" s="5"/>
      <c r="Q82" s="3">
        <v>-440</v>
      </c>
      <c r="R82" s="3">
        <v>-681</v>
      </c>
      <c r="S82" s="3">
        <v>-719</v>
      </c>
    </row>
    <row r="83" spans="2:19" s="3" customFormat="1" x14ac:dyDescent="0.25">
      <c r="B83" s="3" t="s">
        <v>58</v>
      </c>
      <c r="C83" s="5"/>
      <c r="D83" s="5"/>
      <c r="E83" s="5"/>
      <c r="F83" s="5"/>
      <c r="G83" s="5">
        <v>10</v>
      </c>
      <c r="H83" s="5">
        <f>19-G83</f>
        <v>9</v>
      </c>
      <c r="I83" s="5">
        <f>39-H83-G83</f>
        <v>20</v>
      </c>
      <c r="J83" s="5">
        <f t="shared" si="55"/>
        <v>38</v>
      </c>
      <c r="K83" s="5">
        <v>-29</v>
      </c>
      <c r="L83" s="5">
        <f>22-K83</f>
        <v>51</v>
      </c>
      <c r="M83" s="5">
        <v>37</v>
      </c>
      <c r="N83" s="5"/>
      <c r="Q83" s="3">
        <v>11</v>
      </c>
      <c r="R83" s="3">
        <f>-21+3144-3150</f>
        <v>-27</v>
      </c>
      <c r="S83" s="3">
        <v>77</v>
      </c>
    </row>
    <row r="84" spans="2:19" s="3" customFormat="1" x14ac:dyDescent="0.25">
      <c r="B84" s="3" t="s">
        <v>66</v>
      </c>
      <c r="C84" s="5"/>
      <c r="D84" s="5"/>
      <c r="E84" s="5"/>
      <c r="F84" s="5"/>
      <c r="G84" s="5">
        <f t="shared" ref="G84:M84" si="56">SUM(G81:G83)</f>
        <v>-1244</v>
      </c>
      <c r="H84" s="5">
        <f t="shared" si="56"/>
        <v>-1080</v>
      </c>
      <c r="I84" s="5">
        <f t="shared" si="56"/>
        <v>-899</v>
      </c>
      <c r="J84" s="5">
        <f t="shared" si="56"/>
        <v>-1078</v>
      </c>
      <c r="K84" s="5">
        <f t="shared" si="56"/>
        <v>-2604</v>
      </c>
      <c r="L84" s="5">
        <f t="shared" si="56"/>
        <v>-1250</v>
      </c>
      <c r="M84" s="5">
        <f t="shared" si="56"/>
        <v>-1060</v>
      </c>
      <c r="N84" s="5"/>
      <c r="Q84" s="3">
        <f t="shared" ref="Q84:R84" si="57">SUM(Q81:Q83)</f>
        <v>-2946</v>
      </c>
      <c r="R84" s="3">
        <f t="shared" si="57"/>
        <v>-3488</v>
      </c>
      <c r="S84" s="3">
        <f>SUM(S81:S83)</f>
        <v>-4301</v>
      </c>
    </row>
    <row r="85" spans="2:19" s="3" customFormat="1" x14ac:dyDescent="0.25">
      <c r="B85" s="3" t="s">
        <v>67</v>
      </c>
      <c r="C85" s="5"/>
      <c r="D85" s="5"/>
      <c r="E85" s="5"/>
      <c r="F85" s="5"/>
      <c r="G85" s="5">
        <v>4</v>
      </c>
      <c r="H85" s="5">
        <f>1-G85</f>
        <v>-3</v>
      </c>
      <c r="I85" s="5">
        <f>2-H85-G85</f>
        <v>1</v>
      </c>
      <c r="J85" s="5">
        <f t="shared" si="55"/>
        <v>-28</v>
      </c>
      <c r="K85" s="5">
        <v>-10</v>
      </c>
      <c r="L85" s="5">
        <f>-36-K85</f>
        <v>-26</v>
      </c>
      <c r="M85" s="5">
        <v>-36</v>
      </c>
      <c r="N85" s="5"/>
      <c r="Q85" s="3">
        <v>-13</v>
      </c>
      <c r="R85" s="3">
        <v>3</v>
      </c>
      <c r="S85" s="3">
        <v>-26</v>
      </c>
    </row>
    <row r="86" spans="2:19" x14ac:dyDescent="0.25">
      <c r="B86" s="3" t="s">
        <v>68</v>
      </c>
      <c r="G86" s="5">
        <f t="shared" ref="G86:M86" si="58">G85+G84+G79+G74</f>
        <v>-1026</v>
      </c>
      <c r="H86" s="5">
        <f t="shared" si="58"/>
        <v>798</v>
      </c>
      <c r="I86" s="5">
        <f t="shared" si="58"/>
        <v>373</v>
      </c>
      <c r="J86" s="5">
        <f t="shared" si="58"/>
        <v>-779</v>
      </c>
      <c r="K86" s="5">
        <f t="shared" si="58"/>
        <v>-1105</v>
      </c>
      <c r="L86" s="5">
        <f t="shared" si="58"/>
        <v>626</v>
      </c>
      <c r="M86" s="5">
        <f t="shared" si="58"/>
        <v>505</v>
      </c>
      <c r="Q86" s="5">
        <f t="shared" ref="Q86:S86" si="59">Q85+Q84+Q79+Q74</f>
        <v>1007</v>
      </c>
      <c r="R86" s="5">
        <f t="shared" si="59"/>
        <v>1828</v>
      </c>
      <c r="S86" s="5">
        <f t="shared" si="59"/>
        <v>-634</v>
      </c>
    </row>
    <row r="88" spans="2:19" x14ac:dyDescent="0.25">
      <c r="B88" s="3" t="s">
        <v>107</v>
      </c>
      <c r="J88" s="5">
        <f>SUM(G74:J74)</f>
        <v>7230</v>
      </c>
      <c r="K88" s="5">
        <f>SUM(H74:K74)</f>
        <v>7227</v>
      </c>
      <c r="L88" s="5">
        <f>SUM(I74:L74)</f>
        <v>7279</v>
      </c>
      <c r="M88" s="5">
        <f>SUM(J74:M74)</f>
        <v>7579</v>
      </c>
      <c r="Q88" s="3">
        <f>+Q74</f>
        <v>4422</v>
      </c>
      <c r="R88" s="3">
        <f>+R74</f>
        <v>5727</v>
      </c>
      <c r="S88" s="3">
        <f>+S74</f>
        <v>7230</v>
      </c>
    </row>
    <row r="89" spans="2:19" x14ac:dyDescent="0.25">
      <c r="B89" s="3" t="s">
        <v>108</v>
      </c>
      <c r="R89" s="13">
        <f>+R88/Q88-1</f>
        <v>0.2951153324287652</v>
      </c>
      <c r="S89" s="13">
        <f>+S88/R88-1</f>
        <v>0.26244106862231531</v>
      </c>
    </row>
    <row r="90" spans="2:19" x14ac:dyDescent="0.25">
      <c r="B90" s="3" t="s">
        <v>109</v>
      </c>
      <c r="J90" s="5">
        <f>+J88+SUM(G78:J78)</f>
        <v>6882</v>
      </c>
      <c r="K90" s="5">
        <f t="shared" ref="K90:M90" si="60">+K88+SUM(H78:K78)</f>
        <v>6838</v>
      </c>
      <c r="L90" s="5">
        <f t="shared" si="60"/>
        <v>6859</v>
      </c>
      <c r="M90" s="5">
        <f t="shared" si="60"/>
        <v>7129</v>
      </c>
      <c r="Q90" s="3">
        <f t="shared" ref="Q90:R90" si="61">+Q78+Q74</f>
        <v>4027</v>
      </c>
      <c r="R90" s="3">
        <f t="shared" si="61"/>
        <v>5308</v>
      </c>
      <c r="S90" s="3">
        <f>+S78+S74</f>
        <v>6882</v>
      </c>
    </row>
    <row r="91" spans="2:19" x14ac:dyDescent="0.25">
      <c r="Q91" s="13"/>
      <c r="R91" s="13">
        <f t="shared" ref="R91" si="62">+R90/Q90-1</f>
        <v>0.31810280605910113</v>
      </c>
      <c r="S91" s="13">
        <f>+S90/R90-1</f>
        <v>0.29653353428786744</v>
      </c>
    </row>
  </sheetData>
  <phoneticPr fontId="4" type="noConversion"/>
  <hyperlinks>
    <hyperlink ref="A1" location="Main!A1" display="Main"/>
  </hyperlink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Yann DUPONT</cp:lastModifiedBy>
  <dcterms:created xsi:type="dcterms:W3CDTF">2022-06-12T04:44:53Z</dcterms:created>
  <dcterms:modified xsi:type="dcterms:W3CDTF">2023-12-14T11:54:18Z</dcterms:modified>
</cp:coreProperties>
</file>