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filterPrivacy="1" defaultThemeVersion="124226"/>
  <xr:revisionPtr revIDLastSave="0" documentId="13_ncr:1_{BDB58672-007A-4F33-BF6F-58E2008527A4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  <c r="M8" i="1"/>
  <c r="M7" i="1"/>
  <c r="M6" i="1"/>
  <c r="I3" i="1"/>
  <c r="I4" i="1"/>
  <c r="I5" i="1"/>
  <c r="I6" i="1"/>
  <c r="I7" i="1"/>
  <c r="I8" i="1"/>
  <c r="I9" i="1"/>
  <c r="I2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8" i="1"/>
  <c r="L7" i="1"/>
  <c r="L6" i="1"/>
  <c r="L5" i="1"/>
  <c r="L4" i="1"/>
  <c r="L3" i="1"/>
  <c r="L2" i="1"/>
  <c r="E9" i="1"/>
  <c r="E8" i="1"/>
  <c r="E7" i="1"/>
  <c r="E6" i="1"/>
  <c r="E5" i="1"/>
  <c r="E4" i="1"/>
  <c r="E3" i="1"/>
  <c r="E2" i="1"/>
  <c r="H5" i="1"/>
  <c r="H4" i="1"/>
  <c r="H3" i="1"/>
  <c r="H2" i="1"/>
  <c r="H14" i="1"/>
  <c r="H13" i="1"/>
  <c r="H12" i="1"/>
  <c r="H11" i="1"/>
  <c r="H10" i="1"/>
  <c r="H9" i="1"/>
  <c r="H8" i="1"/>
  <c r="H7" i="1"/>
  <c r="H6" i="1"/>
  <c r="M14" i="1"/>
  <c r="M13" i="1"/>
  <c r="M12" i="1"/>
  <c r="M11" i="1"/>
  <c r="M10" i="1"/>
  <c r="M9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E14" i="1"/>
  <c r="E13" i="1"/>
  <c r="E12" i="1"/>
  <c r="E11" i="1"/>
  <c r="E10" i="1"/>
  <c r="M24" i="1"/>
  <c r="M23" i="1"/>
  <c r="M25" i="1"/>
  <c r="I16" i="1"/>
  <c r="I17" i="1"/>
  <c r="I18" i="1"/>
  <c r="I19" i="1"/>
  <c r="I20" i="1"/>
  <c r="I21" i="1"/>
  <c r="I22" i="1"/>
  <c r="I23" i="1"/>
  <c r="I24" i="1"/>
  <c r="I25" i="1"/>
  <c r="I15" i="1"/>
  <c r="D15" i="1"/>
  <c r="M15" i="1"/>
  <c r="M16" i="1"/>
  <c r="M17" i="1"/>
  <c r="M18" i="1"/>
  <c r="M19" i="1"/>
  <c r="M20" i="1"/>
  <c r="M21" i="1"/>
  <c r="M22" i="1"/>
  <c r="D25" i="1"/>
  <c r="K25" i="1"/>
  <c r="J25" i="1"/>
  <c r="E25" i="1"/>
  <c r="E15" i="1"/>
  <c r="K18" i="1"/>
  <c r="K17" i="1"/>
  <c r="K16" i="1"/>
  <c r="K15" i="1"/>
  <c r="J18" i="1"/>
  <c r="J17" i="1"/>
  <c r="J16" i="1"/>
  <c r="J15" i="1"/>
  <c r="D16" i="1"/>
  <c r="D17" i="1"/>
  <c r="D18" i="1"/>
  <c r="E18" i="1"/>
  <c r="E17" i="1"/>
  <c r="E16" i="1"/>
  <c r="H15" i="1"/>
  <c r="H16" i="1"/>
  <c r="H17" i="1"/>
  <c r="H18" i="1"/>
  <c r="H19" i="1"/>
  <c r="H20" i="1"/>
  <c r="H21" i="1"/>
  <c r="H22" i="1"/>
  <c r="H23" i="1"/>
  <c r="H24" i="1"/>
  <c r="H25" i="1"/>
  <c r="J24" i="1"/>
  <c r="K24" i="1"/>
  <c r="J23" i="1"/>
  <c r="K23" i="1"/>
  <c r="J22" i="1"/>
  <c r="K22" i="1"/>
  <c r="J21" i="1"/>
  <c r="K21" i="1"/>
  <c r="J20" i="1"/>
  <c r="K20" i="1"/>
  <c r="J19" i="1"/>
  <c r="K19" i="1"/>
  <c r="N24" i="1"/>
  <c r="D24" i="1" s="1"/>
  <c r="N23" i="1"/>
  <c r="E23" i="1" s="1"/>
  <c r="N22" i="1"/>
  <c r="E22" i="1" s="1"/>
  <c r="N21" i="1"/>
  <c r="N20" i="1"/>
  <c r="N19" i="1"/>
  <c r="D19" i="1" s="1"/>
  <c r="E21" i="1" l="1"/>
  <c r="D20" i="1"/>
  <c r="E20" i="1"/>
  <c r="D21" i="1"/>
  <c r="E24" i="1"/>
  <c r="D23" i="1"/>
  <c r="D22" i="1"/>
  <c r="E19" i="1"/>
</calcChain>
</file>

<file path=xl/sharedStrings.xml><?xml version="1.0" encoding="utf-8"?>
<sst xmlns="http://schemas.openxmlformats.org/spreadsheetml/2006/main" count="19" uniqueCount="19">
  <si>
    <t>PS(万人)</t>
    <phoneticPr fontId="1" type="noConversion"/>
  </si>
  <si>
    <t>UR(%)</t>
    <phoneticPr fontId="1" type="noConversion"/>
  </si>
  <si>
    <t>GDP(亿元)</t>
    <phoneticPr fontId="1" type="noConversion"/>
  </si>
  <si>
    <t>PCGDP(元)</t>
    <phoneticPr fontId="1" type="noConversion"/>
  </si>
  <si>
    <t>CC(万吨)</t>
    <phoneticPr fontId="1" type="noConversion"/>
  </si>
  <si>
    <t>OC(万吨)</t>
    <phoneticPr fontId="1" type="noConversion"/>
  </si>
  <si>
    <t>NGC(亿立方米)</t>
    <phoneticPr fontId="1" type="noConversion"/>
  </si>
  <si>
    <t>EPC(亿千瓦小时)</t>
    <phoneticPr fontId="1" type="noConversion"/>
  </si>
  <si>
    <t>PC(万辆)</t>
    <phoneticPr fontId="1" type="noConversion"/>
  </si>
  <si>
    <t>FV(万吨)</t>
    <phoneticPr fontId="1" type="noConversion"/>
  </si>
  <si>
    <t>PCLA(万里)</t>
    <phoneticPr fontId="1" type="noConversion"/>
  </si>
  <si>
    <t>碳排放量(百万吨)</t>
    <phoneticPr fontId="1" type="noConversion"/>
  </si>
  <si>
    <t>CE(万吨标准煤)</t>
    <phoneticPr fontId="1" type="noConversion"/>
  </si>
  <si>
    <t>PCES(吨)</t>
    <phoneticPr fontId="1" type="noConversion"/>
  </si>
  <si>
    <t>EC(吨)</t>
    <phoneticPr fontId="1" type="noConversion"/>
  </si>
  <si>
    <t>SI(百分比)</t>
    <phoneticPr fontId="1" type="noConversion"/>
  </si>
  <si>
    <t>BUS(辆)</t>
    <phoneticPr fontId="1" type="noConversion"/>
  </si>
  <si>
    <t>TI(百分比)</t>
    <phoneticPr fontId="1" type="noConversion"/>
  </si>
  <si>
    <t>年份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</si>
</sst>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%"/>
    <numFmt numFmtId="177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"/>
  <sheetViews>
    <sheetView tabSelected="1" workbookViewId="0">
      <pane xSplit="1" topLeftCell="B1" activePane="topRight" state="frozen"/>
      <selection pane="topRight" activeCell="J30" sqref="J30"/>
    </sheetView>
  </sheetViews>
  <sheetFormatPr defaultRowHeight="14" x14ac:dyDescent="0.25"/>
  <cols>
    <col min="1" max="1" width="8.7265625" style="1"/>
    <col min="2" max="2" width="25.54296875" style="1" customWidth="1"/>
    <col min="3" max="3" width="17.6328125" style="1" customWidth="1"/>
    <col min="4" max="4" width="8.7265625" style="1"/>
    <col min="5" max="5" width="13.54296875" style="1" bestFit="1" customWidth="1"/>
    <col min="6" max="7" width="8.7265625" style="1"/>
    <col min="8" max="8" width="12.1796875" style="1" customWidth="1"/>
    <col min="9" max="9" width="8.7265625" style="1"/>
    <col min="10" max="10" width="13.54296875" style="1" customWidth="1"/>
    <col min="11" max="11" width="11.6328125" style="1" customWidth="1"/>
    <col min="12" max="16" width="8.7265625" style="1"/>
    <col min="17" max="17" width="16.7265625" style="1" customWidth="1"/>
    <col min="18" max="18" width="19.08984375" style="1" customWidth="1"/>
    <col min="19" max="19" width="12.81640625" style="1" customWidth="1"/>
    <col min="20" max="16384" width="8.7265625" style="1"/>
  </cols>
  <sheetData>
    <row r="1" spans="1:19" x14ac:dyDescent="0.25">
      <c r="A1" s="1" t="s">
        <v>18</v>
      </c>
      <c r="B1" s="1" t="s">
        <v>11</v>
      </c>
      <c r="C1" s="1" t="s">
        <v>12</v>
      </c>
      <c r="D1" s="1" t="s">
        <v>3</v>
      </c>
      <c r="E1" s="1" t="s">
        <v>1</v>
      </c>
      <c r="F1" s="1" t="s">
        <v>8</v>
      </c>
      <c r="G1" s="1" t="s">
        <v>9</v>
      </c>
      <c r="H1" s="1" t="s">
        <v>10</v>
      </c>
      <c r="I1" s="1" t="s">
        <v>14</v>
      </c>
      <c r="J1" s="1" t="s">
        <v>15</v>
      </c>
      <c r="K1" s="1" t="s">
        <v>17</v>
      </c>
      <c r="L1" s="1" t="s">
        <v>13</v>
      </c>
      <c r="M1" s="1" t="s">
        <v>16</v>
      </c>
      <c r="N1" s="1" t="s">
        <v>0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2</v>
      </c>
    </row>
    <row r="2" spans="1:19" x14ac:dyDescent="0.25">
      <c r="A2" s="1">
        <v>1997</v>
      </c>
      <c r="B2" s="1">
        <v>264.7</v>
      </c>
      <c r="C2" s="1">
        <v>12878.587</v>
      </c>
      <c r="D2" s="1">
        <v>7461</v>
      </c>
      <c r="E2" s="2">
        <f>2310/N2</f>
        <v>0.26220204313280365</v>
      </c>
      <c r="F2" s="1">
        <v>13.92</v>
      </c>
      <c r="G2" s="1">
        <v>78989</v>
      </c>
      <c r="H2" s="1">
        <f>0.27+0.14+5.93+5.89+0.04+0.2+1.47+0.03</f>
        <v>13.969999999999999</v>
      </c>
      <c r="I2" s="1">
        <f>(C2*10000)/((S2*POWER(10,8))/10000)</f>
        <v>1.9700764865154274</v>
      </c>
      <c r="J2" s="2">
        <f>3147.4/6537.1</f>
        <v>0.48146731731195791</v>
      </c>
      <c r="K2" s="2">
        <f>2194.7/6537.1</f>
        <v>0.33572991081672299</v>
      </c>
      <c r="L2" s="1">
        <f>36.53/1000</f>
        <v>3.653E-2</v>
      </c>
      <c r="M2" s="1">
        <f>9161+37939</f>
        <v>47100</v>
      </c>
      <c r="N2" s="1">
        <v>8810</v>
      </c>
      <c r="O2" s="1">
        <v>9863</v>
      </c>
      <c r="P2" s="1">
        <v>1528.57</v>
      </c>
      <c r="Q2" s="1">
        <v>7.53</v>
      </c>
      <c r="R2" s="1">
        <v>855.54</v>
      </c>
      <c r="S2" s="1">
        <v>6537.1</v>
      </c>
    </row>
    <row r="3" spans="1:19" x14ac:dyDescent="0.25">
      <c r="A3" s="1">
        <v>1998</v>
      </c>
      <c r="B3" s="1">
        <v>261.3</v>
      </c>
      <c r="C3" s="1">
        <v>12472.269</v>
      </c>
      <c r="D3" s="1">
        <v>7968</v>
      </c>
      <c r="E3" s="2">
        <f>2296/N3</f>
        <v>0.25879170423805231</v>
      </c>
      <c r="F3" s="1">
        <v>18.96</v>
      </c>
      <c r="G3" s="1">
        <v>79392</v>
      </c>
      <c r="H3" s="1">
        <f>0.27+0.14+6.41+6.39+0.09+0.18+1.61+0.02</f>
        <v>15.11</v>
      </c>
      <c r="I3" s="1">
        <f t="shared" ref="I3:I9" si="0">(C3*10000)/((S3*POWER(10,8))/10000)</f>
        <v>1.7763222434272368</v>
      </c>
      <c r="J3" s="2">
        <f>3408.1/7021.4</f>
        <v>0.48538752955251091</v>
      </c>
      <c r="K3" s="2">
        <f>2397.5/7021.4</f>
        <v>0.34145611986213575</v>
      </c>
      <c r="L3" s="1">
        <f>45.06/1000</f>
        <v>4.5060000000000003E-2</v>
      </c>
      <c r="M3" s="1">
        <f>9945+42068</f>
        <v>52013</v>
      </c>
      <c r="N3" s="1">
        <v>8872</v>
      </c>
      <c r="O3" s="1">
        <v>9922</v>
      </c>
      <c r="P3" s="1">
        <v>1448.99</v>
      </c>
      <c r="Q3" s="1">
        <v>6.56</v>
      </c>
      <c r="R3" s="1">
        <v>792.89</v>
      </c>
      <c r="S3" s="1">
        <v>7021.4</v>
      </c>
    </row>
    <row r="4" spans="1:19" x14ac:dyDescent="0.25">
      <c r="A4" s="1">
        <v>1999</v>
      </c>
      <c r="B4" s="1">
        <v>260.60000000000002</v>
      </c>
      <c r="C4" s="1">
        <v>12446.062</v>
      </c>
      <c r="D4" s="1">
        <v>8483</v>
      </c>
      <c r="E4" s="2">
        <f>2322/N4</f>
        <v>0.26025554808338935</v>
      </c>
      <c r="F4" s="1">
        <v>25.72</v>
      </c>
      <c r="G4" s="1">
        <v>83444</v>
      </c>
      <c r="H4" s="1">
        <f>0.27+0.25+6.78+6.77+0.14+0.23+1.78+0.02</f>
        <v>16.240000000000002</v>
      </c>
      <c r="I4" s="1">
        <f t="shared" si="0"/>
        <v>1.6608479009314367</v>
      </c>
      <c r="J4" s="2">
        <f>3644.3/7493.8</f>
        <v>0.48630868184365744</v>
      </c>
      <c r="K4" s="2">
        <f>2628.5/7493.8</f>
        <v>0.35075662547706105</v>
      </c>
      <c r="L4" s="1">
        <f>49.53/1000</f>
        <v>4.9530000000000005E-2</v>
      </c>
      <c r="M4" s="1">
        <f>10874+46261</f>
        <v>57135</v>
      </c>
      <c r="N4" s="1">
        <v>8922</v>
      </c>
      <c r="O4" s="1">
        <v>9955</v>
      </c>
      <c r="P4" s="1">
        <v>1477.6</v>
      </c>
      <c r="Q4" s="1">
        <v>3.52</v>
      </c>
      <c r="R4" s="1">
        <v>805.47</v>
      </c>
      <c r="S4" s="1">
        <v>7493.8</v>
      </c>
    </row>
    <row r="5" spans="1:19" x14ac:dyDescent="0.25">
      <c r="A5" s="1">
        <v>2000</v>
      </c>
      <c r="B5" s="1">
        <v>261.5</v>
      </c>
      <c r="C5" s="1">
        <v>13005.059499999999</v>
      </c>
      <c r="D5" s="1">
        <v>9260</v>
      </c>
      <c r="E5" s="2">
        <f>2409/N5</f>
        <v>0.26841225626740944</v>
      </c>
      <c r="F5" s="1">
        <v>35.909999999999997</v>
      </c>
      <c r="G5" s="1">
        <v>92499</v>
      </c>
      <c r="H5" s="1">
        <f>0.24+0.25+7.07+7.06+0.2+0.26+1.89+0.01</f>
        <v>16.98</v>
      </c>
      <c r="I5" s="1">
        <f t="shared" si="0"/>
        <v>1.5710198596296252</v>
      </c>
      <c r="J5" s="2">
        <f>4120.2/8278.1</f>
        <v>0.49772290743044895</v>
      </c>
      <c r="K5" s="2">
        <f>2905.8/8278.1</f>
        <v>0.35102257764462863</v>
      </c>
      <c r="L5" s="1">
        <f>47.45/1000</f>
        <v>4.7450000000000006E-2</v>
      </c>
      <c r="M5" s="1">
        <f>12195+45994</f>
        <v>58189</v>
      </c>
      <c r="N5" s="1">
        <v>8975</v>
      </c>
      <c r="O5" s="1">
        <v>8698.35</v>
      </c>
      <c r="P5" s="1">
        <v>1771.22</v>
      </c>
      <c r="Q5" s="1">
        <v>4.53</v>
      </c>
      <c r="R5" s="1">
        <v>1001</v>
      </c>
      <c r="S5" s="1">
        <v>8278.1</v>
      </c>
    </row>
    <row r="6" spans="1:19" x14ac:dyDescent="0.25">
      <c r="A6" s="1">
        <v>2001</v>
      </c>
      <c r="B6" s="1">
        <v>303.3</v>
      </c>
      <c r="C6" s="1">
        <v>14725.049000000001</v>
      </c>
      <c r="D6" s="1">
        <v>10063</v>
      </c>
      <c r="E6" s="2">
        <f>2517/N6</f>
        <v>0.27839840725583453</v>
      </c>
      <c r="F6" s="1">
        <v>47.37</v>
      </c>
      <c r="G6" s="1">
        <v>101775</v>
      </c>
      <c r="H6" s="1">
        <f>0.29+0.26+7.11+7.1+0.21+0.3+1.97+0.02</f>
        <v>17.260000000000002</v>
      </c>
      <c r="I6" s="1">
        <f t="shared" si="0"/>
        <v>1.6223804014896099</v>
      </c>
      <c r="J6" s="2">
        <f>4466.7/9076.2</f>
        <v>0.49213327163350296</v>
      </c>
      <c r="K6" s="2">
        <f>3269/9076.2</f>
        <v>0.36017275952491129</v>
      </c>
      <c r="L6" s="1">
        <f>48.16/1000</f>
        <v>4.8159999999999994E-2</v>
      </c>
      <c r="M6" s="1">
        <f>14088+47062</f>
        <v>61150</v>
      </c>
      <c r="N6" s="1">
        <v>9041</v>
      </c>
      <c r="O6" s="1">
        <v>11098</v>
      </c>
      <c r="P6" s="1">
        <v>1777.97</v>
      </c>
      <c r="Q6" s="1">
        <v>4.93</v>
      </c>
      <c r="R6" s="1">
        <v>1104.53</v>
      </c>
      <c r="S6" s="1">
        <v>9076.2000000000007</v>
      </c>
    </row>
    <row r="7" spans="1:19" x14ac:dyDescent="0.25">
      <c r="A7" s="1">
        <v>2002</v>
      </c>
      <c r="B7" s="1">
        <v>345.9</v>
      </c>
      <c r="C7" s="1">
        <v>17266.799500000001</v>
      </c>
      <c r="D7" s="1">
        <v>11120</v>
      </c>
      <c r="E7" s="2">
        <f>2634/N7</f>
        <v>0.29002422373926445</v>
      </c>
      <c r="F7" s="1">
        <v>67.87</v>
      </c>
      <c r="G7" s="1">
        <v>110185</v>
      </c>
      <c r="H7" s="1">
        <f>0.29+0.26+7.4+7.39+0.24+0.35+2.03+0.01</f>
        <v>17.970000000000002</v>
      </c>
      <c r="I7" s="1">
        <f t="shared" si="0"/>
        <v>1.7135711308490051</v>
      </c>
      <c r="J7" s="2">
        <f>5037.6/10076.5</f>
        <v>0.49993549347491695</v>
      </c>
      <c r="K7" s="2">
        <f>3669.7/10076.5</f>
        <v>0.36418399245769861</v>
      </c>
      <c r="L7" s="1">
        <f>64.26/1000</f>
        <v>6.4260000000000012E-2</v>
      </c>
      <c r="M7" s="1">
        <f>15584+49790</f>
        <v>65374</v>
      </c>
      <c r="N7" s="1">
        <v>9082</v>
      </c>
      <c r="O7" s="1">
        <v>12938</v>
      </c>
      <c r="P7" s="1">
        <v>1628.23</v>
      </c>
      <c r="Q7" s="1">
        <v>4.63</v>
      </c>
      <c r="R7" s="1">
        <v>1241.74</v>
      </c>
      <c r="S7" s="1">
        <v>10076.5</v>
      </c>
    </row>
    <row r="8" spans="1:19" x14ac:dyDescent="0.25">
      <c r="A8" s="1">
        <v>2003</v>
      </c>
      <c r="B8" s="1">
        <v>424.2</v>
      </c>
      <c r="C8" s="1">
        <v>17878.867999999999</v>
      </c>
      <c r="D8" s="1">
        <v>11977</v>
      </c>
      <c r="E8" s="2">
        <f>2833/N8</f>
        <v>0.31046575342465754</v>
      </c>
      <c r="F8" s="1">
        <v>89.86</v>
      </c>
      <c r="G8" s="1">
        <v>117051</v>
      </c>
      <c r="H8" s="1">
        <f>0.32+0.1+7.63+7.62+0.3+0.39+2.08+0.01</f>
        <v>18.450000000000006</v>
      </c>
      <c r="I8" s="1">
        <f t="shared" si="0"/>
        <v>1.6397817154596814</v>
      </c>
      <c r="J8" s="2">
        <f>5720/10903.2</f>
        <v>0.52461662631154149</v>
      </c>
      <c r="K8" s="2">
        <f>3276.2/10903.2</f>
        <v>0.30048059285347417</v>
      </c>
      <c r="L8" s="1">
        <f>63.75/1000</f>
        <v>6.3750000000000001E-2</v>
      </c>
      <c r="M8" s="1">
        <f>15956+46520</f>
        <v>62476</v>
      </c>
      <c r="N8" s="1">
        <v>9125</v>
      </c>
      <c r="O8" s="1">
        <v>15165.68</v>
      </c>
      <c r="P8" s="1">
        <v>2213.73</v>
      </c>
      <c r="Q8" s="1">
        <v>9.61</v>
      </c>
      <c r="R8" s="1">
        <v>1395.72</v>
      </c>
      <c r="S8" s="1">
        <v>10903.2</v>
      </c>
    </row>
    <row r="9" spans="1:19" x14ac:dyDescent="0.25">
      <c r="A9" s="1">
        <v>2004</v>
      </c>
      <c r="B9" s="1">
        <v>518.29999999999995</v>
      </c>
      <c r="C9" s="1">
        <v>15908.1</v>
      </c>
      <c r="D9" s="1">
        <v>14540</v>
      </c>
      <c r="E9" s="2">
        <f>2951/N9</f>
        <v>0.32145969498910676</v>
      </c>
      <c r="F9" s="1">
        <v>117.1</v>
      </c>
      <c r="G9" s="1">
        <v>129024</v>
      </c>
      <c r="H9" s="1">
        <f>0.33+0.1+7.78+7.78+0.3+0.46+2.11+0</f>
        <v>18.860000000000003</v>
      </c>
      <c r="I9" s="1">
        <f t="shared" si="0"/>
        <v>1.1953697372277035</v>
      </c>
      <c r="J9" s="2">
        <f>7327.6/13308.1</f>
        <v>0.55061203327296915</v>
      </c>
      <c r="K9" s="2">
        <f>7327.6/13308.1</f>
        <v>0.55061203327296915</v>
      </c>
      <c r="L9" s="1">
        <f>71.87/1000</f>
        <v>7.1870000000000003E-2</v>
      </c>
      <c r="M9" s="1">
        <f>18027+48756</f>
        <v>66783</v>
      </c>
      <c r="N9" s="1">
        <v>9180</v>
      </c>
      <c r="O9" s="1">
        <v>18270.080000000002</v>
      </c>
      <c r="P9" s="1">
        <v>3196.39</v>
      </c>
      <c r="Q9" s="1">
        <v>11.71</v>
      </c>
      <c r="R9" s="1">
        <v>1693.71</v>
      </c>
      <c r="S9" s="1">
        <v>13308.1</v>
      </c>
    </row>
    <row r="10" spans="1:19" x14ac:dyDescent="0.25">
      <c r="A10" s="1">
        <v>2005</v>
      </c>
      <c r="B10" s="1">
        <v>661.9</v>
      </c>
      <c r="C10" s="1">
        <v>23588.7</v>
      </c>
      <c r="D10" s="1">
        <v>17308</v>
      </c>
      <c r="E10" s="2">
        <f>4162/9248</f>
        <v>0.45004325259515571</v>
      </c>
      <c r="F10" s="1">
        <v>136.07</v>
      </c>
      <c r="G10" s="1">
        <v>144701</v>
      </c>
      <c r="H10" s="1">
        <f>0.33+0.1+8.01+8.01+0.32+0.49+2.19</f>
        <v>19.45</v>
      </c>
      <c r="I10" s="1">
        <v>1.28</v>
      </c>
      <c r="J10" s="2">
        <f>8841.1/15947.5</f>
        <v>0.55438783508386902</v>
      </c>
      <c r="K10" s="2">
        <f>5178.2/15947.5</f>
        <v>0.32470293149396456</v>
      </c>
      <c r="L10" s="1">
        <f>133.66/1000</f>
        <v>0.13366</v>
      </c>
      <c r="M10" s="1">
        <f>23455+56226</f>
        <v>79681</v>
      </c>
      <c r="N10" s="1">
        <v>9248</v>
      </c>
      <c r="O10" s="1">
        <v>25247.91</v>
      </c>
      <c r="P10" s="1">
        <v>3300.36</v>
      </c>
      <c r="Q10" s="1">
        <v>17.89</v>
      </c>
      <c r="R10" s="1">
        <v>1912</v>
      </c>
      <c r="S10" s="1">
        <v>15947.5</v>
      </c>
    </row>
    <row r="11" spans="1:19" x14ac:dyDescent="0.25">
      <c r="A11" s="1">
        <v>2006</v>
      </c>
      <c r="B11" s="1">
        <v>745.4</v>
      </c>
      <c r="C11" s="1">
        <v>26149.9</v>
      </c>
      <c r="D11" s="1">
        <v>20443</v>
      </c>
      <c r="E11" s="2">
        <f>4291/9309</f>
        <v>0.46095176710710067</v>
      </c>
      <c r="F11" s="1">
        <v>199.24</v>
      </c>
      <c r="G11" s="1">
        <v>164132</v>
      </c>
      <c r="H11" s="1">
        <f>0.33+0.1+20.49+19.91+0.33+0.59+2.39+0.58</f>
        <v>44.72</v>
      </c>
      <c r="I11" s="1">
        <v>1.23</v>
      </c>
      <c r="J11" s="2">
        <f>10568.5/18967.8</f>
        <v>0.55718111747276966</v>
      </c>
      <c r="K11" s="2">
        <f>6301.1/18967.8</f>
        <v>0.33219983340187059</v>
      </c>
      <c r="L11" s="1">
        <f>145/1000</f>
        <v>0.14499999999999999</v>
      </c>
      <c r="M11" s="1">
        <f>25916+53377</f>
        <v>79293</v>
      </c>
      <c r="N11" s="1">
        <v>9309</v>
      </c>
      <c r="O11" s="1">
        <v>29001.25</v>
      </c>
      <c r="P11" s="1">
        <v>3878.27</v>
      </c>
      <c r="Q11" s="1">
        <v>22.59</v>
      </c>
      <c r="R11" s="1">
        <v>2272.0700000000002</v>
      </c>
      <c r="S11" s="1">
        <v>18967.8</v>
      </c>
    </row>
    <row r="12" spans="1:19" x14ac:dyDescent="0.25">
      <c r="A12" s="1">
        <v>2007</v>
      </c>
      <c r="B12" s="1">
        <v>765.6</v>
      </c>
      <c r="C12" s="1">
        <v>28550.799999999999</v>
      </c>
      <c r="D12" s="1">
        <v>24329</v>
      </c>
      <c r="E12" s="2">
        <f>4379/9367</f>
        <v>0.46749226006191952</v>
      </c>
      <c r="F12" s="1">
        <v>254.06</v>
      </c>
      <c r="G12" s="1">
        <v>195259</v>
      </c>
      <c r="H12" s="1">
        <f>0.33+0.1+21.22+20.77+0.4+0.64+2.38+0.45</f>
        <v>46.290000000000006</v>
      </c>
      <c r="I12" s="1">
        <v>1.18</v>
      </c>
      <c r="J12" s="2">
        <f>12529.4/22718.1</f>
        <v>0.55151619193506496</v>
      </c>
      <c r="K12" s="2">
        <f>7737.6/22718.1</f>
        <v>0.34059186287585674</v>
      </c>
      <c r="L12" s="1">
        <f>158.14/1000</f>
        <v>0.15813999999999998</v>
      </c>
      <c r="M12" s="1">
        <f>29265+55312</f>
        <v>84577</v>
      </c>
      <c r="N12" s="1">
        <v>9367</v>
      </c>
      <c r="O12" s="1">
        <v>31702.78</v>
      </c>
      <c r="P12" s="1">
        <v>4075.67</v>
      </c>
      <c r="Q12" s="1">
        <v>23.33</v>
      </c>
      <c r="R12" s="1">
        <v>2596.0500000000002</v>
      </c>
      <c r="S12" s="1">
        <v>22718.1</v>
      </c>
    </row>
    <row r="13" spans="1:19" x14ac:dyDescent="0.25">
      <c r="A13" s="1">
        <v>2008</v>
      </c>
      <c r="B13" s="1">
        <v>831.3</v>
      </c>
      <c r="C13" s="1">
        <v>29851.3</v>
      </c>
      <c r="D13" s="1">
        <v>28861</v>
      </c>
      <c r="E13" s="2">
        <f>4483/9417</f>
        <v>0.47605394499309761</v>
      </c>
      <c r="F13" s="1">
        <v>315.72000000000003</v>
      </c>
      <c r="G13" s="1">
        <v>244587</v>
      </c>
      <c r="H13" s="1">
        <f>0.36+0.1+22.07+21.71+0.43+0.7+2.38+0.36</f>
        <v>48.110000000000007</v>
      </c>
      <c r="I13" s="1">
        <v>1.1000000000000001</v>
      </c>
      <c r="J13" s="2">
        <f>14911.5/27106.2</f>
        <v>0.55011399605994205</v>
      </c>
      <c r="K13" s="2">
        <f>9318.5/27106.2</f>
        <v>0.34377743837203295</v>
      </c>
      <c r="L13" s="1">
        <f>175.77/1000</f>
        <v>0.17577000000000001</v>
      </c>
      <c r="M13" s="1">
        <f>30286+56325</f>
        <v>86611</v>
      </c>
      <c r="N13" s="1">
        <v>9417</v>
      </c>
      <c r="O13" s="1">
        <v>34389.61</v>
      </c>
      <c r="P13" s="1">
        <v>4626.97</v>
      </c>
      <c r="Q13" s="1">
        <v>34.5</v>
      </c>
      <c r="R13" s="1">
        <v>2726.97</v>
      </c>
      <c r="S13" s="1">
        <v>27106.2</v>
      </c>
    </row>
    <row r="14" spans="1:19" x14ac:dyDescent="0.25">
      <c r="A14" s="1">
        <v>2009</v>
      </c>
      <c r="B14" s="1">
        <v>880.1</v>
      </c>
      <c r="C14" s="1">
        <v>32225.9</v>
      </c>
      <c r="D14" s="1">
        <v>31282</v>
      </c>
      <c r="E14" s="2">
        <f>4576/9470</f>
        <v>0.48321013727560719</v>
      </c>
      <c r="F14" s="1">
        <v>433.94</v>
      </c>
      <c r="G14" s="1">
        <v>284086</v>
      </c>
      <c r="H14" s="1">
        <f>0.37+0.1+22.67+22.4+0.43+0.76+2.39+0.27</f>
        <v>49.39</v>
      </c>
      <c r="I14" s="1">
        <v>1.07</v>
      </c>
      <c r="J14" s="2">
        <f>15919.7/29540.8</f>
        <v>0.53890551373016304</v>
      </c>
      <c r="K14" s="2">
        <f>10544.9/29540.8</f>
        <v>0.3569605427070357</v>
      </c>
      <c r="L14" s="1">
        <f>190.61/1000</f>
        <v>0.19061</v>
      </c>
      <c r="M14" s="1">
        <f>25272+57278</f>
        <v>82550</v>
      </c>
      <c r="N14" s="1">
        <v>9470</v>
      </c>
      <c r="O14" s="1">
        <v>34795.17</v>
      </c>
      <c r="P14" s="1">
        <v>5142.8999999999996</v>
      </c>
      <c r="Q14" s="1">
        <v>40.24</v>
      </c>
      <c r="R14" s="1">
        <v>2941.07</v>
      </c>
      <c r="S14" s="1">
        <v>29540.799999999999</v>
      </c>
    </row>
    <row r="15" spans="1:19" x14ac:dyDescent="0.25">
      <c r="A15" s="1">
        <v>2010</v>
      </c>
      <c r="B15" s="1">
        <v>929.1</v>
      </c>
      <c r="C15" s="1">
        <v>34323</v>
      </c>
      <c r="D15" s="1">
        <f>(S15*POWER(10,8))/(N15*10000)</f>
        <v>35380.162703379225</v>
      </c>
      <c r="E15" s="2">
        <f>4765/N15</f>
        <v>0.49697538589904044</v>
      </c>
      <c r="F15" s="1">
        <v>577.11</v>
      </c>
      <c r="G15" s="1">
        <v>301313</v>
      </c>
      <c r="H15" s="1">
        <f>0.38+0.12+22.99+22.77+0.43+0.81+2.39+0.21</f>
        <v>50.1</v>
      </c>
      <c r="I15" s="1">
        <f>(C15*10000)/((S15*POWER(10,8))/10000)</f>
        <v>1.0118063232367898</v>
      </c>
      <c r="J15" s="2">
        <f>17733.1/S15</f>
        <v>0.52275333480728126</v>
      </c>
      <c r="K15" s="2">
        <f>12778.1/S15</f>
        <v>0.37668509101628711</v>
      </c>
      <c r="L15" s="1">
        <f>208.86/1000</f>
        <v>0.20886000000000002</v>
      </c>
      <c r="M15" s="1">
        <f>27752+57687</f>
        <v>85439</v>
      </c>
      <c r="N15" s="1">
        <v>9588</v>
      </c>
      <c r="O15" s="1">
        <v>37327.89</v>
      </c>
      <c r="P15" s="1">
        <v>5593.4</v>
      </c>
      <c r="Q15" s="1">
        <v>47.01</v>
      </c>
      <c r="R15" s="1">
        <v>3298</v>
      </c>
      <c r="S15" s="3">
        <v>33922.5</v>
      </c>
    </row>
    <row r="16" spans="1:19" x14ac:dyDescent="0.25">
      <c r="A16" s="1">
        <v>2011</v>
      </c>
      <c r="B16" s="1">
        <v>976.5</v>
      </c>
      <c r="C16" s="1">
        <v>35978</v>
      </c>
      <c r="D16" s="1">
        <f t="shared" ref="D16:D18" si="1">(S16*POWER(10,8))/(N16*10000)</f>
        <v>40418.93429901707</v>
      </c>
      <c r="E16" s="2">
        <f>4910/N16</f>
        <v>0.50801862390067254</v>
      </c>
      <c r="F16" s="1">
        <v>708.53</v>
      </c>
      <c r="G16" s="1">
        <v>318407</v>
      </c>
      <c r="H16" s="1">
        <f>0.42+0.12+23.32+23.14+0.44+0.87+2.42+0.18</f>
        <v>50.91</v>
      </c>
      <c r="I16" s="1">
        <f t="shared" ref="I16:I25" si="2">(C16*10000)/((S16*POWER(10,8))/10000)</f>
        <v>0.9209802149755919</v>
      </c>
      <c r="J16" s="2">
        <f>19926.1/S16</f>
        <v>0.51007682088012507</v>
      </c>
      <c r="K16" s="2">
        <f>15370.3/S16</f>
        <v>0.39345550609370555</v>
      </c>
      <c r="L16" s="1">
        <f>199.4/1000</f>
        <v>0.19939999999999999</v>
      </c>
      <c r="M16" s="1">
        <f>31230+58462</f>
        <v>89692</v>
      </c>
      <c r="N16" s="1">
        <v>9665</v>
      </c>
      <c r="O16" s="1">
        <v>38921</v>
      </c>
      <c r="P16" s="1">
        <v>5826.37</v>
      </c>
      <c r="Q16" s="1">
        <v>52.86</v>
      </c>
      <c r="R16" s="1">
        <v>3635.26</v>
      </c>
      <c r="S16" s="3">
        <v>39064.9</v>
      </c>
    </row>
    <row r="17" spans="1:19" x14ac:dyDescent="0.25">
      <c r="A17" s="1">
        <v>2012</v>
      </c>
      <c r="B17" s="1">
        <v>1007.7</v>
      </c>
      <c r="C17" s="1">
        <v>37650</v>
      </c>
      <c r="D17" s="1">
        <f t="shared" si="1"/>
        <v>44249.381953028438</v>
      </c>
      <c r="E17" s="2">
        <f>5078/N17</f>
        <v>0.52307375360527397</v>
      </c>
      <c r="F17" s="1">
        <v>877.56</v>
      </c>
      <c r="G17" s="1">
        <v>333603</v>
      </c>
      <c r="H17" s="1">
        <f>0.43+0.11+24.46+24.3+0.5+0.91+2.47+0.15</f>
        <v>53.329999999999991</v>
      </c>
      <c r="I17" s="1">
        <f t="shared" si="2"/>
        <v>0.876451732301611</v>
      </c>
      <c r="J17" s="2">
        <f>21275.9/S17</f>
        <v>0.4952801968466361</v>
      </c>
      <c r="K17" s="2">
        <f>17634.4/S17</f>
        <v>0.41050997152986801</v>
      </c>
      <c r="L17" s="1">
        <f>210.6/1000</f>
        <v>0.21059999999999998</v>
      </c>
      <c r="M17" s="1">
        <f>32869+58758</f>
        <v>91627</v>
      </c>
      <c r="N17" s="1">
        <v>9708</v>
      </c>
      <c r="O17" s="1">
        <v>40233</v>
      </c>
      <c r="P17" s="1">
        <v>6271.5</v>
      </c>
      <c r="Q17" s="1">
        <v>67.23</v>
      </c>
      <c r="R17" s="1">
        <v>3794.6</v>
      </c>
      <c r="S17" s="3">
        <v>42957.3</v>
      </c>
    </row>
    <row r="18" spans="1:19" x14ac:dyDescent="0.25">
      <c r="A18" s="1">
        <v>2013</v>
      </c>
      <c r="B18" s="1">
        <v>944.4</v>
      </c>
      <c r="C18" s="1">
        <v>39423</v>
      </c>
      <c r="D18" s="1">
        <f t="shared" si="1"/>
        <v>48578.185922429715</v>
      </c>
      <c r="E18" s="2">
        <f>5232/N18</f>
        <v>0.5368356248717423</v>
      </c>
      <c r="F18" s="1">
        <v>1039.55</v>
      </c>
      <c r="G18" s="1">
        <v>264100</v>
      </c>
      <c r="H18" s="1">
        <f>0.43+0.11+25.28+25.14+0.5+0.95+2.51+0.14</f>
        <v>55.06</v>
      </c>
      <c r="I18" s="1">
        <f t="shared" si="2"/>
        <v>0.83268735623929391</v>
      </c>
      <c r="J18" s="2">
        <f>22615.9/S18</f>
        <v>0.47769002815544848</v>
      </c>
      <c r="K18" s="2">
        <f>20274.3/S18</f>
        <v>0.42823106477442896</v>
      </c>
      <c r="L18" s="1">
        <f>225.5/1000</f>
        <v>0.22550000000000001</v>
      </c>
      <c r="M18" s="1">
        <f>35031+59080</f>
        <v>94111</v>
      </c>
      <c r="N18" s="1">
        <v>9746</v>
      </c>
      <c r="O18" s="1">
        <v>37683.440000000002</v>
      </c>
      <c r="P18" s="1">
        <v>6766.01</v>
      </c>
      <c r="Q18" s="1">
        <v>68.8</v>
      </c>
      <c r="R18" s="1">
        <v>4083.1</v>
      </c>
      <c r="S18" s="3">
        <v>47344.3</v>
      </c>
    </row>
    <row r="19" spans="1:19" x14ac:dyDescent="0.25">
      <c r="A19" s="1">
        <v>2014</v>
      </c>
      <c r="B19" s="1">
        <v>998</v>
      </c>
      <c r="C19" s="1">
        <v>35363</v>
      </c>
      <c r="D19" s="1">
        <f>(S19*POWER(10,8))/(N19*10000)</f>
        <v>51869.240984778837</v>
      </c>
      <c r="E19" s="2">
        <f>5385/N19</f>
        <v>0.55010726325467363</v>
      </c>
      <c r="F19" s="1">
        <v>1191.6199999999999</v>
      </c>
      <c r="G19" s="1">
        <v>264459</v>
      </c>
      <c r="H19" s="1">
        <f>0.5+0.11+25.95+25.84+0.51+0.98+2.54+0.11</f>
        <v>56.539999999999992</v>
      </c>
      <c r="I19" s="1">
        <f t="shared" si="2"/>
        <v>0.69646753901541714</v>
      </c>
      <c r="J19" s="2">
        <f>23654.3/S19</f>
        <v>0.46586692611295361</v>
      </c>
      <c r="K19" s="2">
        <f>22263.2/S19</f>
        <v>0.43846947698464589</v>
      </c>
      <c r="L19" s="1">
        <f>234.2/1000</f>
        <v>0.23419999999999999</v>
      </c>
      <c r="M19" s="1">
        <f>34138+60119</f>
        <v>94257</v>
      </c>
      <c r="N19" s="1">
        <f>5385+4404</f>
        <v>9789</v>
      </c>
      <c r="O19" s="1">
        <v>39561.730000000003</v>
      </c>
      <c r="P19" s="1">
        <v>7815.9</v>
      </c>
      <c r="Q19" s="1">
        <v>74.959999999999994</v>
      </c>
      <c r="R19" s="1">
        <v>4223.49</v>
      </c>
      <c r="S19" s="3">
        <v>50774.8</v>
      </c>
    </row>
    <row r="20" spans="1:19" x14ac:dyDescent="0.25">
      <c r="A20" s="1">
        <v>2015</v>
      </c>
      <c r="B20" s="1">
        <v>1052.2</v>
      </c>
      <c r="C20" s="1">
        <v>39331.599999999999</v>
      </c>
      <c r="D20" s="1">
        <f t="shared" ref="D20:D25" si="3">(S20*POWER(10,8))/(N20*10000)</f>
        <v>56147.862293084188</v>
      </c>
      <c r="E20" s="2">
        <f>5614/N20</f>
        <v>0.57012288006499445</v>
      </c>
      <c r="F20" s="1">
        <v>1351.83</v>
      </c>
      <c r="G20" s="1">
        <v>261849</v>
      </c>
      <c r="H20" s="1">
        <f>0.54+0.11+26.34+26.24+0.53+1+2.52+0.1</f>
        <v>57.38</v>
      </c>
      <c r="I20" s="1">
        <f t="shared" si="2"/>
        <v>0.71138458421958872</v>
      </c>
      <c r="J20" s="2">
        <f>24888.1/S20</f>
        <v>0.45014722692480208</v>
      </c>
      <c r="K20" s="2">
        <f>25289.9/S20</f>
        <v>0.45741452156675494</v>
      </c>
      <c r="L20" s="1">
        <f>341.3/1000</f>
        <v>0.34129999999999999</v>
      </c>
      <c r="M20" s="1">
        <f>39782+61231</f>
        <v>101013</v>
      </c>
      <c r="N20" s="1">
        <f>5614+4233</f>
        <v>9847</v>
      </c>
      <c r="O20" s="1">
        <v>40926.94</v>
      </c>
      <c r="P20" s="1">
        <v>8607.02</v>
      </c>
      <c r="Q20" s="1">
        <v>82.32</v>
      </c>
      <c r="R20" s="1">
        <v>5117.05</v>
      </c>
      <c r="S20" s="3">
        <v>55288.800000000003</v>
      </c>
    </row>
    <row r="21" spans="1:19" x14ac:dyDescent="0.25">
      <c r="A21" s="1">
        <v>2016</v>
      </c>
      <c r="B21" s="1">
        <v>1096.7196739126373</v>
      </c>
      <c r="C21" s="1">
        <v>40137.9</v>
      </c>
      <c r="D21" s="1">
        <f t="shared" si="3"/>
        <v>59075.600683623205</v>
      </c>
      <c r="E21" s="2">
        <f>5871/N21</f>
        <v>0.59022820951040511</v>
      </c>
      <c r="F21" s="1">
        <v>1550.65</v>
      </c>
      <c r="G21" s="1">
        <v>285386</v>
      </c>
      <c r="H21" s="1">
        <f>0.55+0.11+26.57+26.48+0.57+1+2.45+0.1</f>
        <v>57.830000000000005</v>
      </c>
      <c r="I21" s="1">
        <f t="shared" si="2"/>
        <v>0.68305296745373323</v>
      </c>
      <c r="J21" s="2">
        <f>25605.4/S21</f>
        <v>0.43574388427994049</v>
      </c>
      <c r="K21" s="2">
        <f>28084.7/S21</f>
        <v>0.47793575834928742</v>
      </c>
      <c r="L21" s="1">
        <f>362.3/1000</f>
        <v>0.36230000000000001</v>
      </c>
      <c r="M21" s="1">
        <f>47419+61314</f>
        <v>108733</v>
      </c>
      <c r="N21" s="1">
        <f>5871+4076</f>
        <v>9947</v>
      </c>
      <c r="O21" s="1">
        <v>40939.199999999997</v>
      </c>
      <c r="P21" s="1">
        <v>10203.42</v>
      </c>
      <c r="Q21" s="1">
        <v>98.61</v>
      </c>
      <c r="R21" s="1">
        <v>5390.75</v>
      </c>
      <c r="S21" s="3">
        <v>58762.5</v>
      </c>
    </row>
    <row r="22" spans="1:19" x14ac:dyDescent="0.25">
      <c r="A22" s="1">
        <v>2017</v>
      </c>
      <c r="B22" s="1">
        <v>1101.7965216666666</v>
      </c>
      <c r="C22" s="1">
        <v>40097.699999999997</v>
      </c>
      <c r="D22" s="1">
        <f t="shared" si="3"/>
        <v>62974.315410753545</v>
      </c>
      <c r="E22" s="2">
        <f>6062/N22</f>
        <v>0.60583649810113926</v>
      </c>
      <c r="F22" s="1">
        <v>1736.35</v>
      </c>
      <c r="G22" s="1">
        <v>327006</v>
      </c>
      <c r="H22" s="1">
        <f>0.57+0.11+27.06+26.97+0.58+1.03+2.49+0.09</f>
        <v>58.9</v>
      </c>
      <c r="I22" s="1">
        <f t="shared" si="2"/>
        <v>0.63634920912015314</v>
      </c>
      <c r="J22" s="2">
        <f>26956.8/S22</f>
        <v>0.4278035488422065</v>
      </c>
      <c r="K22" s="2">
        <f>30940.7/S22</f>
        <v>0.49102791368641896</v>
      </c>
      <c r="L22" s="1">
        <f>371.2/1000</f>
        <v>0.37119999999999997</v>
      </c>
      <c r="M22" s="1">
        <f>50907+61678</f>
        <v>112585</v>
      </c>
      <c r="N22" s="1">
        <f>6062+3944</f>
        <v>10006</v>
      </c>
      <c r="O22" s="1">
        <v>38164.71</v>
      </c>
      <c r="P22" s="1">
        <v>11487.18</v>
      </c>
      <c r="Q22" s="1">
        <v>131.06</v>
      </c>
      <c r="R22" s="1">
        <v>5430.16</v>
      </c>
      <c r="S22" s="3">
        <v>63012.1</v>
      </c>
    </row>
    <row r="23" spans="1:19" x14ac:dyDescent="0.25">
      <c r="A23" s="1">
        <v>2018</v>
      </c>
      <c r="B23" s="1">
        <v>1220.0263825466668</v>
      </c>
      <c r="C23" s="1">
        <v>40580.5</v>
      </c>
      <c r="D23" s="1">
        <f t="shared" si="3"/>
        <v>66337.115556882636</v>
      </c>
      <c r="E23" s="2">
        <f>6147/N23</f>
        <v>0.61182442520155267</v>
      </c>
      <c r="F23" s="1">
        <v>1910.26</v>
      </c>
      <c r="G23" s="1">
        <v>354019</v>
      </c>
      <c r="H23" s="1">
        <f>0.63+0.11+27.56+27.49+0.61+1.12+2.62+0.07</f>
        <v>60.209999999999987</v>
      </c>
      <c r="I23" s="1">
        <f t="shared" si="2"/>
        <v>0.60886976379205071</v>
      </c>
      <c r="J23" s="2">
        <f>27637.9/S23</f>
        <v>0.41467901195668649</v>
      </c>
      <c r="K23" s="2">
        <f>33737/S23</f>
        <v>0.50618989960824567</v>
      </c>
      <c r="L23" s="1">
        <f>396.6/1000</f>
        <v>0.39660000000000001</v>
      </c>
      <c r="M23" s="1">
        <f>53298+62138</f>
        <v>115436</v>
      </c>
      <c r="N23" s="1">
        <f>6147+3900</f>
        <v>10047</v>
      </c>
      <c r="O23" s="1">
        <v>42319.48</v>
      </c>
      <c r="P23" s="1">
        <v>13035.48</v>
      </c>
      <c r="Q23" s="1">
        <v>156.33000000000001</v>
      </c>
      <c r="R23" s="1">
        <v>6083.87</v>
      </c>
      <c r="S23" s="3">
        <v>66648.899999999994</v>
      </c>
    </row>
    <row r="24" spans="1:19" x14ac:dyDescent="0.25">
      <c r="A24" s="1">
        <v>2019</v>
      </c>
      <c r="B24" s="1">
        <v>1244.7052187999998</v>
      </c>
      <c r="C24" s="1">
        <v>41390</v>
      </c>
      <c r="D24" s="1">
        <f t="shared" si="3"/>
        <v>70050.148957298908</v>
      </c>
      <c r="E24" s="2">
        <f>6194/N24</f>
        <v>0.61509433962264148</v>
      </c>
      <c r="F24" s="1">
        <v>2092.39</v>
      </c>
      <c r="G24" s="1">
        <v>309533</v>
      </c>
      <c r="H24" s="1">
        <f>0.66+0.11+28.03+27.99+0.64+1.16+2.65+0.04</f>
        <v>61.279999999999994</v>
      </c>
      <c r="I24" s="1">
        <f t="shared" si="2"/>
        <v>0.58675512648762063</v>
      </c>
      <c r="J24" s="2">
        <f>28287.9/S24</f>
        <v>0.40101643736576864</v>
      </c>
      <c r="K24" s="2">
        <f>36775.6/S24</f>
        <v>0.5213402229924653</v>
      </c>
      <c r="L24" s="1">
        <f>416.8/1000</f>
        <v>0.4168</v>
      </c>
      <c r="M24" s="1">
        <f>56657+62852</f>
        <v>119509</v>
      </c>
      <c r="N24" s="1">
        <f>6194+3876</f>
        <v>10070</v>
      </c>
      <c r="O24" s="1">
        <v>43132.99</v>
      </c>
      <c r="P24" s="1">
        <v>13632.1</v>
      </c>
      <c r="Q24" s="1">
        <v>189.98</v>
      </c>
      <c r="R24" s="1">
        <v>6219</v>
      </c>
      <c r="S24" s="3">
        <v>70540.5</v>
      </c>
    </row>
    <row r="25" spans="1:19" x14ac:dyDescent="0.25">
      <c r="A25" s="1">
        <v>2020</v>
      </c>
      <c r="B25" s="1">
        <v>1268.6754209999999</v>
      </c>
      <c r="C25" s="1">
        <v>41826.800000000003</v>
      </c>
      <c r="D25" s="1">
        <f t="shared" si="3"/>
        <v>71941.957697983278</v>
      </c>
      <c r="E25" s="2">
        <f>6409/N25</f>
        <v>0.63049680275454989</v>
      </c>
      <c r="F25" s="1">
        <v>2267.94</v>
      </c>
      <c r="G25" s="1">
        <v>317024</v>
      </c>
      <c r="H25" s="1">
        <f>0.69+0.11+28.68+28.66+0.75+1.23+2.66+0.02</f>
        <v>62.800000000000004</v>
      </c>
      <c r="I25" s="1">
        <f t="shared" si="2"/>
        <v>0.57195914069657727</v>
      </c>
      <c r="J25" s="2">
        <f>28612.2/S25</f>
        <v>0.39125654665043963</v>
      </c>
      <c r="K25" s="2">
        <f>39153.1/S25</f>
        <v>0.53539772183401935</v>
      </c>
      <c r="L25" s="1">
        <f>436.7/1000</f>
        <v>0.43669999999999998</v>
      </c>
      <c r="M25" s="1">
        <f>54799+61872</f>
        <v>116671</v>
      </c>
      <c r="N25" s="1">
        <v>10165</v>
      </c>
      <c r="O25" s="1">
        <v>37061.9</v>
      </c>
      <c r="P25" s="1">
        <v>14232.4</v>
      </c>
      <c r="Q25" s="1">
        <v>205.9</v>
      </c>
      <c r="R25" s="1">
        <v>6940</v>
      </c>
      <c r="S25" s="3">
        <v>73129</v>
      </c>
    </row>
    <row r="26" spans="1:19" x14ac:dyDescent="0.25">
      <c r="E26" s="2"/>
      <c r="J26" s="2"/>
      <c r="K26" s="2"/>
    </row>
    <row r="27" spans="1:19" x14ac:dyDescent="0.25">
      <c r="E27" s="2"/>
      <c r="J27" s="2"/>
      <c r="K27" s="2"/>
    </row>
    <row r="28" spans="1:19" x14ac:dyDescent="0.25">
      <c r="E28" s="2"/>
      <c r="J28" s="2"/>
      <c r="K28" s="2"/>
    </row>
    <row r="29" spans="1:19" x14ac:dyDescent="0.25">
      <c r="E29" s="2"/>
      <c r="J29" s="2"/>
      <c r="K29" s="2"/>
    </row>
    <row r="30" spans="1:19" x14ac:dyDescent="0.25">
      <c r="E30" s="2"/>
      <c r="J30" s="2"/>
      <c r="K30" s="2"/>
    </row>
    <row r="31" spans="1:19" x14ac:dyDescent="0.25">
      <c r="E31" s="2"/>
      <c r="J31" s="2"/>
      <c r="K31" s="2"/>
    </row>
    <row r="32" spans="1:19" x14ac:dyDescent="0.25">
      <c r="G32" s="2"/>
      <c r="J32" s="2"/>
      <c r="K32" s="2"/>
    </row>
    <row r="33" spans="5:11" x14ac:dyDescent="0.25">
      <c r="E33" s="2"/>
      <c r="J33" s="2"/>
      <c r="K33" s="2"/>
    </row>
    <row r="34" spans="5:11" x14ac:dyDescent="0.25">
      <c r="E34" s="2"/>
      <c r="J34" s="2"/>
      <c r="K34" s="2"/>
    </row>
    <row r="35" spans="5:11" x14ac:dyDescent="0.25">
      <c r="E35" s="2"/>
      <c r="J35" s="2"/>
      <c r="K35" s="2"/>
    </row>
    <row r="36" spans="5:11" x14ac:dyDescent="0.25">
      <c r="E36" s="2"/>
      <c r="J36" s="2"/>
      <c r="K36" s="2"/>
    </row>
    <row r="37" spans="5:11" x14ac:dyDescent="0.25">
      <c r="E37" s="2"/>
      <c r="J37" s="2"/>
      <c r="K37" s="2"/>
    </row>
    <row r="38" spans="5:11" x14ac:dyDescent="0.25">
      <c r="E38" s="2"/>
      <c r="J38" s="2"/>
      <c r="K38" s="2"/>
    </row>
    <row r="39" spans="5:11" x14ac:dyDescent="0.25">
      <c r="E39" s="2"/>
      <c r="J39" s="2"/>
      <c r="K39" s="2"/>
    </row>
    <row r="40" spans="5:11" x14ac:dyDescent="0.25">
      <c r="E40" s="2"/>
      <c r="J40" s="2"/>
      <c r="K40" s="2"/>
    </row>
    <row r="41" spans="5:11" x14ac:dyDescent="0.25">
      <c r="E41" s="2"/>
      <c r="J41" s="2"/>
      <c r="K41" s="2"/>
    </row>
    <row r="42" spans="5:11" x14ac:dyDescent="0.25">
      <c r="E42" s="2"/>
      <c r="J42" s="2"/>
      <c r="K42" s="2"/>
    </row>
    <row r="43" spans="5:11" x14ac:dyDescent="0.25">
      <c r="E43" s="2"/>
      <c r="J43" s="2"/>
      <c r="K43" s="2"/>
    </row>
    <row r="44" spans="5:11" x14ac:dyDescent="0.25">
      <c r="E44" s="2"/>
      <c r="J44" s="2"/>
      <c r="K44" s="2"/>
    </row>
    <row r="45" spans="5:11" x14ac:dyDescent="0.25">
      <c r="E45" s="2"/>
      <c r="J45" s="2"/>
      <c r="K45" s="2"/>
    </row>
    <row r="46" spans="5:11" x14ac:dyDescent="0.25">
      <c r="E46" s="2"/>
      <c r="J46" s="2"/>
      <c r="K46" s="2"/>
    </row>
    <row r="47" spans="5:11" x14ac:dyDescent="0.25">
      <c r="E47" s="2"/>
      <c r="J47" s="2"/>
      <c r="K47" s="2"/>
    </row>
    <row r="48" spans="5:11" x14ac:dyDescent="0.25">
      <c r="E48" s="2"/>
      <c r="J48" s="2"/>
      <c r="K48" s="2"/>
    </row>
    <row r="49" spans="5:11" x14ac:dyDescent="0.25">
      <c r="E49" s="2"/>
      <c r="J49" s="2"/>
      <c r="K49" s="2"/>
    </row>
    <row r="50" spans="5:11" x14ac:dyDescent="0.25">
      <c r="E50" s="2"/>
      <c r="J50" s="2"/>
      <c r="K50" s="2"/>
    </row>
    <row r="51" spans="5:11" x14ac:dyDescent="0.25">
      <c r="E51" s="2"/>
      <c r="J51" s="2"/>
      <c r="K51" s="2"/>
    </row>
    <row r="52" spans="5:11" x14ac:dyDescent="0.25">
      <c r="E52" s="2"/>
    </row>
    <row r="53" spans="5:11" x14ac:dyDescent="0.25">
      <c r="E5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2021-12-31T07:58:36Z</dcterms:created>
  <dcterms:modified xsi:type="dcterms:W3CDTF">2022-01-16T12:28:08Z</dcterms:modified>
</cp:coreProperties>
</file>