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240" yWindow="105" windowWidth="14805" windowHeight="6300" firstSheet="1" activeTab="1"/>
  </bookViews>
  <sheets>
    <sheet name="2010年发电量比例" sheetId="1" r:id="rId1"/>
    <sheet name="装机容趋势" sheetId="10" r:id="rId2"/>
    <sheet name="电力历史数据" sheetId="12" r:id="rId3"/>
    <sheet name="IO计算" sheetId="11" r:id="rId4"/>
    <sheet name="markup" sheetId="7" r:id="rId5"/>
    <sheet name="发电量-产量转化" sheetId="6" r:id="rId6"/>
    <sheet name="整合数据" sheetId="4" r:id="rId7"/>
    <sheet name="整合数据 (2)" sheetId="8" r:id="rId8"/>
    <sheet name="整合数据 (3)" sheetId="9" r:id="rId9"/>
    <sheet name="整合数据 (4)" sheetId="15" r:id="rId10"/>
    <sheet name="电力技术投入—Sue 2006" sheetId="2" r:id="rId11"/>
  </sheets>
  <calcPr calcId="152511"/>
</workbook>
</file>

<file path=xl/calcChain.xml><?xml version="1.0" encoding="utf-8"?>
<calcChain xmlns="http://schemas.openxmlformats.org/spreadsheetml/2006/main">
  <c r="G64" i="10" l="1"/>
  <c r="G53" i="10"/>
  <c r="J24" i="10" l="1"/>
  <c r="H21" i="10" l="1"/>
  <c r="J21" i="15" l="1"/>
  <c r="I21" i="15"/>
  <c r="H21" i="15"/>
  <c r="G21" i="15"/>
  <c r="F21" i="15"/>
  <c r="B3" i="15" l="1"/>
  <c r="B4" i="15"/>
  <c r="B5" i="15"/>
  <c r="B7" i="15"/>
  <c r="B8" i="15"/>
  <c r="B9" i="15"/>
  <c r="B10" i="15"/>
  <c r="M10" i="15" s="1"/>
  <c r="B11" i="15"/>
  <c r="B12" i="15"/>
  <c r="B13" i="15"/>
  <c r="B2" i="15"/>
  <c r="M3" i="15"/>
  <c r="M5" i="15"/>
  <c r="M11" i="15"/>
  <c r="M7" i="15"/>
  <c r="M13" i="15"/>
  <c r="M9" i="15"/>
  <c r="H19" i="9"/>
  <c r="M4" i="15"/>
  <c r="M19" i="9"/>
  <c r="K22" i="9" s="1"/>
  <c r="B18" i="9" s="1"/>
  <c r="C16" i="15"/>
  <c r="C15" i="15"/>
  <c r="C25" i="15" s="1"/>
  <c r="D15" i="15"/>
  <c r="D25" i="15" s="1"/>
  <c r="E16" i="15"/>
  <c r="E15" i="15"/>
  <c r="E25" i="15" s="1"/>
  <c r="E15" i="4"/>
  <c r="C47" i="15"/>
  <c r="B47" i="15"/>
  <c r="D16" i="15"/>
  <c r="M12" i="15"/>
  <c r="M8" i="15"/>
  <c r="C21" i="15" l="1"/>
  <c r="Q32" i="15"/>
  <c r="R32" i="15"/>
  <c r="S32" i="15"/>
  <c r="T32" i="15"/>
  <c r="R36" i="15" s="1"/>
  <c r="U32" i="15"/>
  <c r="V32" i="15"/>
  <c r="W32" i="15"/>
  <c r="P32" i="15"/>
  <c r="P33" i="15"/>
  <c r="R33" i="15" s="1"/>
  <c r="B11" i="1"/>
  <c r="F38" i="15"/>
  <c r="H38" i="15" s="1"/>
  <c r="F37" i="15"/>
  <c r="H37" i="15" s="1"/>
  <c r="F36" i="15"/>
  <c r="H36" i="15" s="1"/>
  <c r="F35" i="15"/>
  <c r="H35" i="15" s="1"/>
  <c r="F34" i="15"/>
  <c r="H34" i="15" s="1"/>
  <c r="F33" i="15"/>
  <c r="H33" i="15" s="1"/>
  <c r="F32" i="15"/>
  <c r="H32" i="15" s="1"/>
  <c r="F31" i="15"/>
  <c r="H31" i="15" s="1"/>
  <c r="F30" i="15"/>
  <c r="H30" i="15" s="1"/>
  <c r="J18" i="4"/>
  <c r="J21" i="4"/>
  <c r="J15" i="4" s="1"/>
  <c r="H38" i="4"/>
  <c r="D15" i="4"/>
  <c r="C21" i="4"/>
  <c r="I21" i="4" s="1"/>
  <c r="E16" i="8"/>
  <c r="I40" i="8"/>
  <c r="H40" i="8"/>
  <c r="G40" i="8"/>
  <c r="F40" i="8"/>
  <c r="E40" i="8"/>
  <c r="D40" i="8"/>
  <c r="C40" i="8"/>
  <c r="B40" i="8"/>
  <c r="R39" i="15" l="1"/>
  <c r="R35" i="15"/>
  <c r="P36" i="15"/>
  <c r="P37" i="15"/>
  <c r="P38" i="15"/>
  <c r="R38" i="15"/>
  <c r="P35" i="15"/>
  <c r="P39" i="15"/>
  <c r="R37" i="15"/>
  <c r="J16" i="4"/>
  <c r="J40" i="8"/>
  <c r="C41" i="8"/>
  <c r="C42" i="8" s="1"/>
  <c r="G41" i="8"/>
  <c r="G42" i="8" s="1"/>
  <c r="D41" i="8"/>
  <c r="D42" i="8" s="1"/>
  <c r="H41" i="8"/>
  <c r="H42" i="8" s="1"/>
  <c r="F41" i="8"/>
  <c r="F42" i="8" s="1"/>
  <c r="E41" i="8"/>
  <c r="E42" i="8" s="1"/>
  <c r="I41" i="8"/>
  <c r="I42" i="8" s="1"/>
  <c r="B41" i="8"/>
  <c r="B42" i="8" s="1"/>
  <c r="A29" i="12"/>
  <c r="A28" i="12" s="1"/>
  <c r="A27" i="12" s="1"/>
  <c r="A26" i="12" s="1"/>
  <c r="A25" i="12" s="1"/>
  <c r="A24" i="12" s="1"/>
  <c r="A23" i="12" s="1"/>
  <c r="B23" i="12"/>
  <c r="J19" i="15" l="1"/>
  <c r="J6" i="15"/>
  <c r="J15" i="15"/>
  <c r="J16" i="15"/>
  <c r="H19" i="15"/>
  <c r="H16" i="15"/>
  <c r="H6" i="15"/>
  <c r="H25" i="15" s="1"/>
  <c r="H18" i="15" s="1"/>
  <c r="H15" i="15"/>
  <c r="I19" i="15"/>
  <c r="I15" i="15"/>
  <c r="I6" i="15"/>
  <c r="I16" i="15"/>
  <c r="F14" i="15"/>
  <c r="F19" i="15"/>
  <c r="F6" i="15"/>
  <c r="G6" i="15"/>
  <c r="G14" i="15"/>
  <c r="G19" i="15"/>
  <c r="F15" i="15"/>
  <c r="F16" i="15"/>
  <c r="G15" i="15"/>
  <c r="G16" i="15"/>
  <c r="E24" i="12"/>
  <c r="B24" i="12" s="1"/>
  <c r="E25" i="12"/>
  <c r="B25" i="12" s="1"/>
  <c r="E26" i="12"/>
  <c r="B26" i="12" s="1"/>
  <c r="E27" i="12"/>
  <c r="B27" i="12" s="1"/>
  <c r="E28" i="12"/>
  <c r="B28" i="12" s="1"/>
  <c r="E29" i="12"/>
  <c r="B29" i="12" s="1"/>
  <c r="E23" i="12"/>
  <c r="I14" i="10"/>
  <c r="B15" i="15" l="1"/>
  <c r="B6" i="15"/>
  <c r="K19" i="15"/>
  <c r="B19" i="15" s="1"/>
  <c r="B14" i="15"/>
  <c r="K16" i="15"/>
  <c r="B16" i="15" s="1"/>
  <c r="M16" i="15" s="1"/>
  <c r="J25" i="15"/>
  <c r="J18" i="15" s="1"/>
  <c r="F25" i="15"/>
  <c r="F18" i="15" s="1"/>
  <c r="I25" i="15"/>
  <c r="I18" i="15" s="1"/>
  <c r="G25" i="15"/>
  <c r="G18" i="15" s="1"/>
  <c r="M14" i="15"/>
  <c r="M15" i="15"/>
  <c r="B67" i="11"/>
  <c r="C67" i="11"/>
  <c r="D67" i="11"/>
  <c r="E67" i="11"/>
  <c r="F67" i="11"/>
  <c r="G67" i="11"/>
  <c r="H67" i="11"/>
  <c r="B68" i="11"/>
  <c r="C68" i="11"/>
  <c r="D68" i="11"/>
  <c r="E68" i="11"/>
  <c r="F68" i="11"/>
  <c r="G68" i="11"/>
  <c r="H68" i="11"/>
  <c r="I68" i="11"/>
  <c r="B69" i="11"/>
  <c r="C69" i="11"/>
  <c r="D69" i="11"/>
  <c r="E69" i="11"/>
  <c r="F69" i="11"/>
  <c r="G69" i="11"/>
  <c r="H69" i="11"/>
  <c r="I69" i="11"/>
  <c r="B70" i="11"/>
  <c r="C70" i="11"/>
  <c r="D70" i="11"/>
  <c r="E70" i="11"/>
  <c r="F70" i="11"/>
  <c r="G70" i="11"/>
  <c r="H70" i="11"/>
  <c r="I70" i="11"/>
  <c r="B71" i="11"/>
  <c r="C71" i="11"/>
  <c r="D71" i="11"/>
  <c r="E71" i="11"/>
  <c r="F71" i="11"/>
  <c r="G71" i="11"/>
  <c r="H71" i="11"/>
  <c r="I71" i="11"/>
  <c r="B72" i="11"/>
  <c r="C72" i="11"/>
  <c r="D72" i="11"/>
  <c r="E72" i="11"/>
  <c r="F72" i="11"/>
  <c r="G72" i="11"/>
  <c r="H72" i="11"/>
  <c r="I72" i="11"/>
  <c r="B73" i="11"/>
  <c r="C73" i="11"/>
  <c r="D73" i="11"/>
  <c r="E73" i="11"/>
  <c r="F73" i="11"/>
  <c r="G73" i="11"/>
  <c r="H73" i="11"/>
  <c r="I73" i="11"/>
  <c r="B74" i="11"/>
  <c r="C74" i="11"/>
  <c r="D74" i="11"/>
  <c r="E74" i="11"/>
  <c r="F74" i="11"/>
  <c r="G74" i="11"/>
  <c r="H74" i="11"/>
  <c r="I74" i="11"/>
  <c r="C66" i="11"/>
  <c r="D66" i="11"/>
  <c r="E66" i="11"/>
  <c r="F66" i="11"/>
  <c r="G66" i="11"/>
  <c r="H66" i="11"/>
  <c r="I66" i="11"/>
  <c r="B66" i="11"/>
  <c r="P40" i="11"/>
  <c r="B24" i="1"/>
  <c r="K18" i="15" l="1"/>
  <c r="K17" i="15"/>
  <c r="B18" i="15"/>
  <c r="M6" i="15"/>
  <c r="B78" i="11" a="1"/>
  <c r="B78" i="11" s="1"/>
  <c r="K20" i="15" l="1"/>
  <c r="M20" i="15"/>
  <c r="E84" i="11"/>
  <c r="E83" i="11"/>
  <c r="E82" i="11"/>
  <c r="E81" i="11"/>
  <c r="E80" i="11"/>
  <c r="E79" i="11"/>
  <c r="E78" i="11"/>
  <c r="D84" i="11"/>
  <c r="D83" i="11"/>
  <c r="D82" i="11"/>
  <c r="D81" i="11"/>
  <c r="D80" i="11"/>
  <c r="D79" i="11"/>
  <c r="D78" i="11"/>
  <c r="G84" i="11"/>
  <c r="C84" i="11"/>
  <c r="G83" i="11"/>
  <c r="C83" i="11"/>
  <c r="G82" i="11"/>
  <c r="C82" i="11"/>
  <c r="G81" i="11"/>
  <c r="C81" i="11"/>
  <c r="G80" i="11"/>
  <c r="C80" i="11"/>
  <c r="G79" i="11"/>
  <c r="C79" i="11"/>
  <c r="G78" i="11"/>
  <c r="C78" i="11"/>
  <c r="I84" i="11"/>
  <c r="I83" i="11"/>
  <c r="I82" i="11"/>
  <c r="I81" i="11"/>
  <c r="I80" i="11"/>
  <c r="I79" i="11"/>
  <c r="I78" i="11"/>
  <c r="H84" i="11"/>
  <c r="H83" i="11"/>
  <c r="H82" i="11"/>
  <c r="H81" i="11"/>
  <c r="H80" i="11"/>
  <c r="H79" i="11"/>
  <c r="H78" i="11"/>
  <c r="F84" i="11"/>
  <c r="B84" i="11"/>
  <c r="F83" i="11"/>
  <c r="B83" i="11"/>
  <c r="F82" i="11"/>
  <c r="B82" i="11"/>
  <c r="F81" i="11"/>
  <c r="B81" i="11"/>
  <c r="F80" i="11"/>
  <c r="B80" i="11"/>
  <c r="F79" i="11"/>
  <c r="B79" i="11"/>
  <c r="F78" i="11"/>
  <c r="G29" i="11"/>
  <c r="H29" i="11"/>
  <c r="I29" i="11"/>
  <c r="J29" i="11"/>
  <c r="K29" i="11"/>
  <c r="L29" i="11"/>
  <c r="M29" i="11"/>
  <c r="G30" i="11"/>
  <c r="H30" i="11"/>
  <c r="I30" i="11"/>
  <c r="J30" i="11"/>
  <c r="K30" i="11"/>
  <c r="L30" i="11"/>
  <c r="M30" i="11"/>
  <c r="G31" i="11"/>
  <c r="H31" i="11"/>
  <c r="I31" i="11"/>
  <c r="J31" i="11"/>
  <c r="K31" i="11"/>
  <c r="L31" i="11"/>
  <c r="M31" i="11"/>
  <c r="G32" i="11"/>
  <c r="H32" i="11"/>
  <c r="I32" i="11"/>
  <c r="J32" i="11"/>
  <c r="K32" i="11"/>
  <c r="L32" i="11"/>
  <c r="M32" i="11"/>
  <c r="G33" i="11"/>
  <c r="H33" i="11"/>
  <c r="I33" i="11"/>
  <c r="J33" i="11"/>
  <c r="K33" i="11"/>
  <c r="L33" i="11"/>
  <c r="M33" i="11"/>
  <c r="G34" i="11"/>
  <c r="H34" i="11"/>
  <c r="I34" i="11"/>
  <c r="J34" i="11"/>
  <c r="K34" i="11"/>
  <c r="L34" i="11"/>
  <c r="M34" i="11"/>
  <c r="G35" i="11"/>
  <c r="H35" i="11"/>
  <c r="I35" i="11"/>
  <c r="J35" i="11"/>
  <c r="K35" i="11"/>
  <c r="L35" i="11"/>
  <c r="M35" i="11"/>
  <c r="G36" i="11"/>
  <c r="H36" i="11"/>
  <c r="I36" i="11"/>
  <c r="J36" i="11"/>
  <c r="K36" i="11"/>
  <c r="L36" i="11"/>
  <c r="M36" i="11"/>
  <c r="G37" i="11"/>
  <c r="H37" i="11"/>
  <c r="I37" i="11"/>
  <c r="J37" i="11"/>
  <c r="K37" i="11"/>
  <c r="L37" i="11"/>
  <c r="M37" i="11"/>
  <c r="H28" i="11"/>
  <c r="I28" i="11"/>
  <c r="J28" i="11"/>
  <c r="K28" i="11"/>
  <c r="L28" i="11"/>
  <c r="M28" i="11"/>
  <c r="G28" i="11"/>
  <c r="B41" i="11"/>
  <c r="B56" i="11" s="1"/>
  <c r="C41" i="11"/>
  <c r="C56" i="11" s="1"/>
  <c r="D41" i="11"/>
  <c r="D56" i="11" s="1"/>
  <c r="E41" i="11"/>
  <c r="E56" i="11" s="1"/>
  <c r="F41" i="11"/>
  <c r="F56" i="11" s="1"/>
  <c r="G41" i="11"/>
  <c r="G56" i="11" s="1"/>
  <c r="H41" i="11"/>
  <c r="H56" i="11" s="1"/>
  <c r="I41" i="11"/>
  <c r="B42" i="11"/>
  <c r="B57" i="11" s="1"/>
  <c r="C42" i="11"/>
  <c r="C57" i="11" s="1"/>
  <c r="D42" i="11"/>
  <c r="D57" i="11" s="1"/>
  <c r="E42" i="11"/>
  <c r="E57" i="11" s="1"/>
  <c r="F42" i="11"/>
  <c r="F57" i="11" s="1"/>
  <c r="G42" i="11"/>
  <c r="G57" i="11" s="1"/>
  <c r="H42" i="11"/>
  <c r="H57" i="11" s="1"/>
  <c r="I42" i="11"/>
  <c r="I57" i="11" s="1"/>
  <c r="B43" i="11"/>
  <c r="B58" i="11" s="1"/>
  <c r="C43" i="11"/>
  <c r="C58" i="11" s="1"/>
  <c r="D43" i="11"/>
  <c r="D58" i="11" s="1"/>
  <c r="E43" i="11"/>
  <c r="E58" i="11" s="1"/>
  <c r="F43" i="11"/>
  <c r="F58" i="11" s="1"/>
  <c r="G43" i="11"/>
  <c r="G58" i="11" s="1"/>
  <c r="H43" i="11"/>
  <c r="H58" i="11" s="1"/>
  <c r="I43" i="11"/>
  <c r="I58" i="11" s="1"/>
  <c r="B44" i="11"/>
  <c r="B59" i="11" s="1"/>
  <c r="C44" i="11"/>
  <c r="C59" i="11" s="1"/>
  <c r="D44" i="11"/>
  <c r="D59" i="11" s="1"/>
  <c r="E44" i="11"/>
  <c r="E59" i="11" s="1"/>
  <c r="F44" i="11"/>
  <c r="F59" i="11" s="1"/>
  <c r="G44" i="11"/>
  <c r="G59" i="11" s="1"/>
  <c r="H44" i="11"/>
  <c r="H59" i="11" s="1"/>
  <c r="I44" i="11"/>
  <c r="I59" i="11" s="1"/>
  <c r="B45" i="11"/>
  <c r="B60" i="11" s="1"/>
  <c r="C45" i="11"/>
  <c r="C60" i="11" s="1"/>
  <c r="D45" i="11"/>
  <c r="D60" i="11" s="1"/>
  <c r="E45" i="11"/>
  <c r="E60" i="11" s="1"/>
  <c r="F45" i="11"/>
  <c r="F60" i="11" s="1"/>
  <c r="G45" i="11"/>
  <c r="G60" i="11" s="1"/>
  <c r="H45" i="11"/>
  <c r="H60" i="11" s="1"/>
  <c r="I45" i="11"/>
  <c r="I60" i="11" s="1"/>
  <c r="B46" i="11"/>
  <c r="B61" i="11" s="1"/>
  <c r="C46" i="11"/>
  <c r="C61" i="11" s="1"/>
  <c r="D46" i="11"/>
  <c r="D61" i="11" s="1"/>
  <c r="E46" i="11"/>
  <c r="E61" i="11" s="1"/>
  <c r="F46" i="11"/>
  <c r="F61" i="11" s="1"/>
  <c r="G46" i="11"/>
  <c r="G61" i="11" s="1"/>
  <c r="H46" i="11"/>
  <c r="H61" i="11" s="1"/>
  <c r="I46" i="11"/>
  <c r="I61" i="11" s="1"/>
  <c r="B47" i="11"/>
  <c r="B62" i="11" s="1"/>
  <c r="C47" i="11"/>
  <c r="C62" i="11" s="1"/>
  <c r="D47" i="11"/>
  <c r="D62" i="11" s="1"/>
  <c r="E47" i="11"/>
  <c r="E62" i="11" s="1"/>
  <c r="F47" i="11"/>
  <c r="F62" i="11" s="1"/>
  <c r="G47" i="11"/>
  <c r="G62" i="11" s="1"/>
  <c r="H47" i="11"/>
  <c r="H62" i="11" s="1"/>
  <c r="I47" i="11"/>
  <c r="I62" i="11" s="1"/>
  <c r="B48" i="11"/>
  <c r="B63" i="11" s="1"/>
  <c r="C48" i="11"/>
  <c r="C63" i="11" s="1"/>
  <c r="D48" i="11"/>
  <c r="D63" i="11" s="1"/>
  <c r="E48" i="11"/>
  <c r="E63" i="11" s="1"/>
  <c r="F48" i="11"/>
  <c r="F63" i="11" s="1"/>
  <c r="G48" i="11"/>
  <c r="G63" i="11" s="1"/>
  <c r="H48" i="11"/>
  <c r="H63" i="11" s="1"/>
  <c r="I48" i="11"/>
  <c r="I63" i="11" s="1"/>
  <c r="C40" i="11"/>
  <c r="C55" i="11" s="1"/>
  <c r="D40" i="11"/>
  <c r="D55" i="11" s="1"/>
  <c r="E40" i="11"/>
  <c r="E55" i="11" s="1"/>
  <c r="F40" i="11"/>
  <c r="F55" i="11" s="1"/>
  <c r="G40" i="11"/>
  <c r="G55" i="11" s="1"/>
  <c r="H40" i="11"/>
  <c r="H55" i="11" s="1"/>
  <c r="I40" i="11"/>
  <c r="I55" i="11" s="1"/>
  <c r="B40" i="11"/>
  <c r="B55" i="11" s="1"/>
  <c r="E17" i="15" l="1"/>
  <c r="H17" i="15"/>
  <c r="B17" i="15"/>
  <c r="I17" i="15"/>
  <c r="D17" i="15"/>
  <c r="G17" i="15"/>
  <c r="C17" i="15"/>
  <c r="J17" i="15"/>
  <c r="F17" i="15"/>
  <c r="I56" i="11"/>
  <c r="I67" i="11"/>
  <c r="B87" i="11" s="1" a="1"/>
  <c r="I70" i="10"/>
  <c r="H70" i="10"/>
  <c r="G70" i="10"/>
  <c r="F70" i="10"/>
  <c r="E70" i="10"/>
  <c r="D70" i="10"/>
  <c r="C70" i="10"/>
  <c r="B70" i="10"/>
  <c r="I69" i="10"/>
  <c r="H69" i="10"/>
  <c r="G69" i="10"/>
  <c r="F69" i="10"/>
  <c r="E69" i="10"/>
  <c r="D69" i="10"/>
  <c r="C69" i="10"/>
  <c r="B69" i="10"/>
  <c r="I68" i="10"/>
  <c r="H68" i="10"/>
  <c r="G68" i="10"/>
  <c r="F68" i="10"/>
  <c r="E68" i="10"/>
  <c r="D68" i="10"/>
  <c r="C68" i="10"/>
  <c r="B68" i="10"/>
  <c r="I67" i="10"/>
  <c r="H67" i="10"/>
  <c r="G67" i="10"/>
  <c r="F67" i="10"/>
  <c r="E67" i="10"/>
  <c r="D67" i="10"/>
  <c r="C67" i="10"/>
  <c r="B67" i="10"/>
  <c r="I66" i="10"/>
  <c r="H66" i="10"/>
  <c r="G66" i="10"/>
  <c r="F66" i="10"/>
  <c r="E66" i="10"/>
  <c r="D66" i="10"/>
  <c r="C66" i="10"/>
  <c r="B66" i="10"/>
  <c r="I65" i="10"/>
  <c r="H65" i="10"/>
  <c r="G65" i="10"/>
  <c r="F65" i="10"/>
  <c r="E65" i="10"/>
  <c r="D65" i="10"/>
  <c r="C65" i="10"/>
  <c r="B65" i="10"/>
  <c r="I64" i="10"/>
  <c r="H64" i="10"/>
  <c r="F64" i="10"/>
  <c r="E64" i="10"/>
  <c r="D64" i="10"/>
  <c r="C64" i="10"/>
  <c r="B64" i="10"/>
  <c r="I63" i="10"/>
  <c r="H63" i="10"/>
  <c r="G63" i="10"/>
  <c r="F63" i="10"/>
  <c r="E63" i="10"/>
  <c r="D63" i="10"/>
  <c r="C63" i="10"/>
  <c r="B63" i="10"/>
  <c r="I62" i="10"/>
  <c r="H62" i="10"/>
  <c r="G62" i="10"/>
  <c r="F62" i="10"/>
  <c r="E62" i="10"/>
  <c r="D62" i="10"/>
  <c r="C62" i="10"/>
  <c r="B62" i="10"/>
  <c r="B51" i="10"/>
  <c r="B15" i="10"/>
  <c r="C15" i="10"/>
  <c r="D15" i="10"/>
  <c r="E15" i="10"/>
  <c r="F15" i="10"/>
  <c r="G15" i="10"/>
  <c r="H15" i="10"/>
  <c r="I15" i="10"/>
  <c r="B16" i="10"/>
  <c r="C16" i="10"/>
  <c r="D16" i="10"/>
  <c r="E16" i="10"/>
  <c r="F16" i="10"/>
  <c r="G16" i="10"/>
  <c r="H16" i="10"/>
  <c r="I16" i="10"/>
  <c r="B17" i="10"/>
  <c r="C17" i="10"/>
  <c r="D17" i="10"/>
  <c r="E17" i="10"/>
  <c r="F17" i="10"/>
  <c r="G17" i="10"/>
  <c r="H17" i="10"/>
  <c r="I17" i="10"/>
  <c r="B18" i="10"/>
  <c r="C18" i="10"/>
  <c r="D18" i="10"/>
  <c r="E18" i="10"/>
  <c r="F18" i="10"/>
  <c r="G18" i="10"/>
  <c r="H18" i="10"/>
  <c r="I18" i="10"/>
  <c r="B19" i="10"/>
  <c r="C19" i="10"/>
  <c r="D19" i="10"/>
  <c r="E19" i="10"/>
  <c r="F19" i="10"/>
  <c r="G19" i="10"/>
  <c r="H19" i="10"/>
  <c r="I19" i="10"/>
  <c r="B20" i="10"/>
  <c r="C20" i="10"/>
  <c r="D20" i="10"/>
  <c r="E20" i="10"/>
  <c r="F20" i="10"/>
  <c r="G20" i="10"/>
  <c r="H20" i="10"/>
  <c r="I20" i="10"/>
  <c r="B21" i="10"/>
  <c r="C21" i="10"/>
  <c r="D21" i="10"/>
  <c r="E21" i="10"/>
  <c r="F21" i="10"/>
  <c r="G21" i="10"/>
  <c r="I21" i="10"/>
  <c r="H14" i="10"/>
  <c r="G14" i="10"/>
  <c r="F14" i="10"/>
  <c r="E14" i="10"/>
  <c r="D14" i="10"/>
  <c r="C14" i="10"/>
  <c r="B14" i="10"/>
  <c r="B13" i="10"/>
  <c r="B3" i="10"/>
  <c r="M17" i="15" l="1"/>
  <c r="B87" i="11"/>
  <c r="G93" i="11"/>
  <c r="F92" i="11"/>
  <c r="E91" i="11"/>
  <c r="E87" i="11"/>
  <c r="E92" i="11"/>
  <c r="E88" i="11"/>
  <c r="F94" i="11"/>
  <c r="D92" i="11"/>
  <c r="B90" i="11"/>
  <c r="G87" i="11"/>
  <c r="C93" i="11"/>
  <c r="B88" i="11"/>
  <c r="H91" i="11"/>
  <c r="F95" i="11"/>
  <c r="D93" i="11"/>
  <c r="B91" i="11"/>
  <c r="G88" i="11"/>
  <c r="H94" i="11"/>
  <c r="D90" i="11"/>
  <c r="D95" i="11"/>
  <c r="D91" i="11"/>
  <c r="D87" i="11"/>
  <c r="B94" i="11"/>
  <c r="G91" i="11"/>
  <c r="E89" i="11"/>
  <c r="C87" i="11"/>
  <c r="B92" i="11"/>
  <c r="H95" i="11"/>
  <c r="G90" i="11"/>
  <c r="B95" i="11"/>
  <c r="G92" i="11"/>
  <c r="E90" i="11"/>
  <c r="C88" i="11"/>
  <c r="C89" i="11"/>
  <c r="C94" i="11"/>
  <c r="C90" i="11"/>
  <c r="G95" i="11"/>
  <c r="E93" i="11"/>
  <c r="C91" i="11"/>
  <c r="H88" i="11"/>
  <c r="E95" i="11"/>
  <c r="H90" i="11"/>
  <c r="G94" i="11"/>
  <c r="B89" i="11"/>
  <c r="I89" i="11" s="1"/>
  <c r="E94" i="11"/>
  <c r="C92" i="11"/>
  <c r="H89" i="11"/>
  <c r="F87" i="11"/>
  <c r="F88" i="11"/>
  <c r="B93" i="11"/>
  <c r="F89" i="11"/>
  <c r="C95" i="11"/>
  <c r="H92" i="11"/>
  <c r="F90" i="11"/>
  <c r="D88" i="11"/>
  <c r="D94" i="11"/>
  <c r="G89" i="11"/>
  <c r="F93" i="11"/>
  <c r="H87" i="11"/>
  <c r="H93" i="11"/>
  <c r="F91" i="11"/>
  <c r="D89" i="11"/>
  <c r="F52" i="10"/>
  <c r="G52" i="10"/>
  <c r="H52" i="10"/>
  <c r="I52" i="10"/>
  <c r="F53" i="10"/>
  <c r="H53" i="10"/>
  <c r="I53" i="10"/>
  <c r="F54" i="10"/>
  <c r="G54" i="10"/>
  <c r="H54" i="10"/>
  <c r="I54" i="10"/>
  <c r="F55" i="10"/>
  <c r="G55" i="10"/>
  <c r="H55" i="10"/>
  <c r="I55" i="10"/>
  <c r="F56" i="10"/>
  <c r="G56" i="10"/>
  <c r="H56" i="10"/>
  <c r="I56" i="10"/>
  <c r="F57" i="10"/>
  <c r="G57" i="10"/>
  <c r="H57" i="10"/>
  <c r="I57" i="10"/>
  <c r="F58" i="10"/>
  <c r="G58" i="10"/>
  <c r="H58" i="10"/>
  <c r="I58" i="10"/>
  <c r="F59" i="10"/>
  <c r="G59" i="10"/>
  <c r="H59" i="10"/>
  <c r="I59" i="10"/>
  <c r="C51" i="10"/>
  <c r="D51" i="10"/>
  <c r="E51" i="10"/>
  <c r="F51" i="10"/>
  <c r="G51" i="10"/>
  <c r="H51" i="10"/>
  <c r="I51" i="10"/>
  <c r="H37" i="10"/>
  <c r="H48" i="10" s="1"/>
  <c r="B4" i="10"/>
  <c r="B5" i="10"/>
  <c r="B6" i="10"/>
  <c r="B7" i="10"/>
  <c r="B8" i="10"/>
  <c r="B9" i="10"/>
  <c r="B10" i="10"/>
  <c r="C4" i="10"/>
  <c r="C53" i="10" s="1"/>
  <c r="C5" i="10"/>
  <c r="C54" i="10" s="1"/>
  <c r="C6" i="10"/>
  <c r="C55" i="10" s="1"/>
  <c r="C7" i="10"/>
  <c r="C56" i="10" s="1"/>
  <c r="C8" i="10"/>
  <c r="C57" i="10" s="1"/>
  <c r="C9" i="10"/>
  <c r="C58" i="10" s="1"/>
  <c r="C10" i="10"/>
  <c r="C59" i="10" s="1"/>
  <c r="C3" i="10"/>
  <c r="D4" i="10"/>
  <c r="D53" i="10" s="1"/>
  <c r="D5" i="10"/>
  <c r="D54" i="10" s="1"/>
  <c r="D6" i="10"/>
  <c r="D55" i="10" s="1"/>
  <c r="D7" i="10"/>
  <c r="D56" i="10" s="1"/>
  <c r="D8" i="10"/>
  <c r="D57" i="10" s="1"/>
  <c r="D9" i="10"/>
  <c r="D58" i="10" s="1"/>
  <c r="D10" i="10"/>
  <c r="D59" i="10" s="1"/>
  <c r="D3" i="10"/>
  <c r="D52" i="10" s="1"/>
  <c r="E4" i="10"/>
  <c r="E53" i="10" s="1"/>
  <c r="E5" i="10"/>
  <c r="E54" i="10" s="1"/>
  <c r="E6" i="10"/>
  <c r="E55" i="10" s="1"/>
  <c r="E7" i="10"/>
  <c r="E56" i="10" s="1"/>
  <c r="E8" i="10"/>
  <c r="E57" i="10" s="1"/>
  <c r="E9" i="10"/>
  <c r="E58" i="10" s="1"/>
  <c r="E10" i="10"/>
  <c r="E59" i="10" s="1"/>
  <c r="E3" i="10"/>
  <c r="E52" i="10" s="1"/>
  <c r="I91" i="11" l="1"/>
  <c r="I88" i="11"/>
  <c r="I92" i="11"/>
  <c r="I94" i="11"/>
  <c r="I93" i="11"/>
  <c r="I95" i="11"/>
  <c r="I90" i="11"/>
  <c r="C52" i="10"/>
  <c r="C37" i="10"/>
  <c r="C41" i="10" s="1"/>
  <c r="D37" i="10"/>
  <c r="D41" i="10" s="1"/>
  <c r="E37" i="10"/>
  <c r="E41" i="10" s="1"/>
  <c r="F37" i="10"/>
  <c r="G37" i="10"/>
  <c r="G41" i="10" s="1"/>
  <c r="I37" i="10"/>
  <c r="E42" i="10" l="1"/>
  <c r="F42" i="10"/>
  <c r="G42" i="10"/>
  <c r="H42" i="10"/>
  <c r="I42" i="10"/>
  <c r="E43" i="10"/>
  <c r="F43" i="10"/>
  <c r="G43" i="10"/>
  <c r="H43" i="10"/>
  <c r="I43" i="10"/>
  <c r="E44" i="10"/>
  <c r="F44" i="10"/>
  <c r="G44" i="10"/>
  <c r="H44" i="10"/>
  <c r="I44" i="10"/>
  <c r="E45" i="10"/>
  <c r="F45" i="10"/>
  <c r="G45" i="10"/>
  <c r="H45" i="10"/>
  <c r="I45" i="10"/>
  <c r="E46" i="10"/>
  <c r="F46" i="10"/>
  <c r="G46" i="10"/>
  <c r="H46" i="10"/>
  <c r="I46" i="10"/>
  <c r="E47" i="10"/>
  <c r="F47" i="10"/>
  <c r="G47" i="10"/>
  <c r="H47" i="10"/>
  <c r="I47" i="10"/>
  <c r="E48" i="10"/>
  <c r="F48" i="10"/>
  <c r="G48" i="10"/>
  <c r="I48" i="10"/>
  <c r="F41" i="10"/>
  <c r="H41" i="10"/>
  <c r="I41" i="10"/>
  <c r="B40" i="10"/>
  <c r="B37" i="10" s="1"/>
  <c r="B41" i="10" s="1"/>
  <c r="B23" i="1"/>
  <c r="B2" i="10"/>
  <c r="B52" i="10" l="1"/>
  <c r="B54" i="10"/>
  <c r="B55" i="10"/>
  <c r="B56" i="10"/>
  <c r="B58" i="10"/>
  <c r="B57" i="10"/>
  <c r="B59" i="10"/>
  <c r="B53" i="10"/>
  <c r="C16" i="9"/>
  <c r="I15" i="9"/>
  <c r="J15" i="9"/>
  <c r="I16" i="9"/>
  <c r="J16" i="9"/>
  <c r="I17" i="9"/>
  <c r="J17" i="9"/>
  <c r="H17" i="9"/>
  <c r="H16" i="9"/>
  <c r="H15" i="9"/>
  <c r="F49" i="9"/>
  <c r="E49" i="9"/>
  <c r="D49" i="9"/>
  <c r="C49" i="9"/>
  <c r="B49" i="9"/>
  <c r="F48" i="9"/>
  <c r="E48" i="9"/>
  <c r="D48" i="9"/>
  <c r="C48" i="9"/>
  <c r="B48" i="9"/>
  <c r="F47" i="9"/>
  <c r="E47" i="9"/>
  <c r="D47" i="9"/>
  <c r="C47" i="9"/>
  <c r="B47" i="9"/>
  <c r="F40" i="9"/>
  <c r="H40" i="9" s="1"/>
  <c r="F39" i="9"/>
  <c r="H39" i="9" s="1"/>
  <c r="F38" i="9"/>
  <c r="H38" i="9" s="1"/>
  <c r="F37" i="9"/>
  <c r="H37" i="9" s="1"/>
  <c r="F36" i="9"/>
  <c r="H36" i="9" s="1"/>
  <c r="F35" i="9"/>
  <c r="H35" i="9" s="1"/>
  <c r="F34" i="9"/>
  <c r="H34" i="9" s="1"/>
  <c r="F33" i="9"/>
  <c r="H33" i="9" s="1"/>
  <c r="F32" i="9"/>
  <c r="H32" i="9" s="1"/>
  <c r="E16" i="9"/>
  <c r="D16" i="9"/>
  <c r="E15" i="9"/>
  <c r="D15" i="9"/>
  <c r="C15" i="9"/>
  <c r="B14" i="9"/>
  <c r="B13" i="9"/>
  <c r="B12" i="9"/>
  <c r="B11" i="9"/>
  <c r="B10" i="9"/>
  <c r="B9" i="9"/>
  <c r="B8" i="9"/>
  <c r="B7" i="9"/>
  <c r="B6" i="9"/>
  <c r="B5" i="9"/>
  <c r="B4" i="9"/>
  <c r="B3" i="9"/>
  <c r="C23" i="9" l="1"/>
  <c r="B9" i="1"/>
  <c r="K3" i="8"/>
  <c r="K4" i="8"/>
  <c r="K5" i="8"/>
  <c r="K8" i="8"/>
  <c r="K9" i="8"/>
  <c r="K10" i="8"/>
  <c r="K11" i="8"/>
  <c r="K12" i="8"/>
  <c r="K13" i="8"/>
  <c r="K2" i="8"/>
  <c r="I19" i="8"/>
  <c r="I18" i="8"/>
  <c r="I6" i="8"/>
  <c r="I15" i="8"/>
  <c r="I16" i="8"/>
  <c r="H19" i="8"/>
  <c r="G19" i="8"/>
  <c r="H18" i="8"/>
  <c r="H6" i="8"/>
  <c r="H15" i="8"/>
  <c r="H16" i="8"/>
  <c r="G18" i="8"/>
  <c r="G6" i="8"/>
  <c r="G15" i="8"/>
  <c r="G16" i="8"/>
  <c r="M7" i="8"/>
  <c r="G23" i="9" l="1"/>
  <c r="G17" i="9" s="1"/>
  <c r="J23" i="9"/>
  <c r="J19" i="9" s="1"/>
  <c r="F23" i="9"/>
  <c r="I23" i="9"/>
  <c r="I19" i="9" s="1"/>
  <c r="H23" i="9"/>
  <c r="C18" i="9" l="1"/>
  <c r="C21" i="9" s="1"/>
  <c r="I18" i="9"/>
  <c r="J18" i="9"/>
  <c r="D18" i="9"/>
  <c r="D21" i="9" s="1"/>
  <c r="H18" i="9"/>
  <c r="E18" i="9"/>
  <c r="E21" i="9" s="1"/>
  <c r="F15" i="9"/>
  <c r="F18" i="9" s="1"/>
  <c r="F17" i="9"/>
  <c r="F16" i="9"/>
  <c r="G16" i="9"/>
  <c r="G15" i="9"/>
  <c r="G18" i="9" s="1"/>
  <c r="B15" i="9" l="1"/>
  <c r="J21" i="9"/>
  <c r="F21" i="9"/>
  <c r="G21" i="9"/>
  <c r="H21" i="9"/>
  <c r="B16" i="9"/>
  <c r="I21" i="9"/>
  <c r="J30" i="8"/>
  <c r="B31" i="8" s="1"/>
  <c r="B4" i="6"/>
  <c r="B12" i="1"/>
  <c r="F21" i="4"/>
  <c r="F16" i="4" s="1"/>
  <c r="I31" i="8" l="1"/>
  <c r="F31" i="8"/>
  <c r="B21" i="9"/>
  <c r="E31" i="8"/>
  <c r="D31" i="8"/>
  <c r="H31" i="8"/>
  <c r="C31" i="8"/>
  <c r="G31" i="8"/>
  <c r="J30" i="1"/>
  <c r="E32" i="1" s="1"/>
  <c r="F16" i="8" l="1"/>
  <c r="F14" i="8"/>
  <c r="F7" i="8"/>
  <c r="K7" i="8" s="1"/>
  <c r="F6" i="8"/>
  <c r="F15" i="8"/>
  <c r="E18" i="8"/>
  <c r="E6" i="8"/>
  <c r="E14" i="8"/>
  <c r="K14" i="8" s="1"/>
  <c r="E15" i="8"/>
  <c r="K15" i="8" s="1"/>
  <c r="E35" i="1"/>
  <c r="E34" i="1"/>
  <c r="J33" i="1"/>
  <c r="D31" i="1"/>
  <c r="E31" i="1"/>
  <c r="B27" i="1"/>
  <c r="C27" i="1"/>
  <c r="D27" i="1"/>
  <c r="E27" i="1"/>
  <c r="F27" i="1"/>
  <c r="G27" i="1"/>
  <c r="H27" i="1"/>
  <c r="I27" i="1"/>
  <c r="L21" i="1"/>
  <c r="K21" i="1"/>
  <c r="K22" i="1" s="1"/>
  <c r="K23" i="1" s="1"/>
  <c r="C26" i="1"/>
  <c r="D26" i="1"/>
  <c r="E26" i="1"/>
  <c r="F26" i="1"/>
  <c r="G26" i="1"/>
  <c r="H26" i="1"/>
  <c r="I26" i="1"/>
  <c r="B25" i="1"/>
  <c r="B26" i="1" s="1"/>
  <c r="C25" i="1"/>
  <c r="D25" i="1"/>
  <c r="E25" i="1"/>
  <c r="F25" i="1"/>
  <c r="G25" i="1"/>
  <c r="H25" i="1"/>
  <c r="K6" i="8" l="1"/>
  <c r="K16" i="8"/>
  <c r="C24" i="1"/>
  <c r="D24" i="1"/>
  <c r="E24" i="1"/>
  <c r="F24" i="1"/>
  <c r="G24" i="1"/>
  <c r="H24" i="1"/>
  <c r="I24" i="1"/>
  <c r="C23" i="1"/>
  <c r="D23" i="1"/>
  <c r="E23" i="1"/>
  <c r="F23" i="1"/>
  <c r="G23" i="1"/>
  <c r="I23" i="1"/>
  <c r="H23" i="1"/>
  <c r="C4" i="6" l="1"/>
  <c r="D4" i="6"/>
  <c r="E4" i="6"/>
  <c r="F4" i="6"/>
  <c r="G4" i="6"/>
  <c r="H4" i="6"/>
  <c r="I4" i="6"/>
  <c r="K20" i="4"/>
  <c r="B3" i="4" l="1"/>
  <c r="B4" i="4"/>
  <c r="B5" i="4"/>
  <c r="B6" i="4"/>
  <c r="B7" i="4"/>
  <c r="B8" i="4"/>
  <c r="B9" i="4"/>
  <c r="B10" i="4"/>
  <c r="B11" i="4"/>
  <c r="B12" i="4"/>
  <c r="B13" i="4"/>
  <c r="B14" i="4"/>
  <c r="B2" i="4"/>
  <c r="C45" i="4"/>
  <c r="D45" i="4"/>
  <c r="E45" i="4"/>
  <c r="F45" i="4"/>
  <c r="C46" i="4"/>
  <c r="D46" i="4"/>
  <c r="E46" i="4"/>
  <c r="F46" i="4"/>
  <c r="C47" i="4"/>
  <c r="D47" i="4"/>
  <c r="E47" i="4"/>
  <c r="F47" i="4"/>
  <c r="B46" i="4"/>
  <c r="B47" i="4"/>
  <c r="B45" i="4"/>
  <c r="N3" i="4" l="1"/>
  <c r="N4" i="4"/>
  <c r="E16" i="4" l="1"/>
  <c r="F30" i="4"/>
  <c r="H30" i="4" s="1"/>
  <c r="F31" i="4"/>
  <c r="H31" i="4" s="1"/>
  <c r="F32" i="4"/>
  <c r="H32" i="4" s="1"/>
  <c r="F33" i="4"/>
  <c r="H33" i="4" s="1"/>
  <c r="F34" i="4"/>
  <c r="H34" i="4" s="1"/>
  <c r="F35" i="4"/>
  <c r="H35" i="4" s="1"/>
  <c r="F36" i="4"/>
  <c r="H36" i="4" s="1"/>
  <c r="F37" i="4"/>
  <c r="H37" i="4" s="1"/>
  <c r="F38" i="4"/>
  <c r="C16" i="4"/>
  <c r="C15" i="4"/>
  <c r="E17" i="4" l="1"/>
  <c r="E19" i="4" s="1"/>
  <c r="C17" i="4"/>
  <c r="C19" i="4"/>
  <c r="D26" i="2"/>
  <c r="E26" i="2"/>
  <c r="F26" i="2"/>
  <c r="G26" i="2"/>
  <c r="H26" i="2"/>
  <c r="I26" i="2"/>
  <c r="J26" i="2"/>
  <c r="D27" i="2"/>
  <c r="E27" i="2"/>
  <c r="F27" i="2"/>
  <c r="G27" i="2"/>
  <c r="H27" i="2"/>
  <c r="I27" i="2"/>
  <c r="J27" i="2"/>
  <c r="D28" i="2"/>
  <c r="E28" i="2"/>
  <c r="F28" i="2"/>
  <c r="G28" i="2"/>
  <c r="H28" i="2"/>
  <c r="I28" i="2"/>
  <c r="J28" i="2"/>
  <c r="D29" i="2"/>
  <c r="E29" i="2"/>
  <c r="F29" i="2"/>
  <c r="G29" i="2"/>
  <c r="H29" i="2"/>
  <c r="I29" i="2"/>
  <c r="J29" i="2"/>
  <c r="D30" i="2"/>
  <c r="E30" i="2"/>
  <c r="F30" i="2"/>
  <c r="G30" i="2"/>
  <c r="H30" i="2"/>
  <c r="I30" i="2"/>
  <c r="J30" i="2"/>
  <c r="D31" i="2"/>
  <c r="E31" i="2"/>
  <c r="F31" i="2"/>
  <c r="G31" i="2"/>
  <c r="H31" i="2"/>
  <c r="I31" i="2"/>
  <c r="J31" i="2"/>
  <c r="D32" i="2"/>
  <c r="E32" i="2"/>
  <c r="F32" i="2"/>
  <c r="G32" i="2"/>
  <c r="H32" i="2"/>
  <c r="I32" i="2"/>
  <c r="J32" i="2"/>
  <c r="D33" i="2"/>
  <c r="E33" i="2"/>
  <c r="F33" i="2"/>
  <c r="G33" i="2"/>
  <c r="H33" i="2"/>
  <c r="I33" i="2"/>
  <c r="J33" i="2"/>
  <c r="D34" i="2"/>
  <c r="E34" i="2"/>
  <c r="F34" i="2"/>
  <c r="G34" i="2"/>
  <c r="H34" i="2"/>
  <c r="I34" i="2"/>
  <c r="J34" i="2"/>
  <c r="D35" i="2"/>
  <c r="E35" i="2"/>
  <c r="F35" i="2"/>
  <c r="G35" i="2"/>
  <c r="H35" i="2"/>
  <c r="I35" i="2"/>
  <c r="J35" i="2"/>
  <c r="D36" i="2"/>
  <c r="E36" i="2"/>
  <c r="F36" i="2"/>
  <c r="G36" i="2"/>
  <c r="H36" i="2"/>
  <c r="I36" i="2"/>
  <c r="J36" i="2"/>
  <c r="D37" i="2"/>
  <c r="E37" i="2"/>
  <c r="F37" i="2"/>
  <c r="G37" i="2"/>
  <c r="H37" i="2"/>
  <c r="I37" i="2"/>
  <c r="J37" i="2"/>
  <c r="D38" i="2"/>
  <c r="E38" i="2"/>
  <c r="F38" i="2"/>
  <c r="G38" i="2"/>
  <c r="H38" i="2"/>
  <c r="I38" i="2"/>
  <c r="J38" i="2"/>
  <c r="D39" i="2"/>
  <c r="E39" i="2"/>
  <c r="F39" i="2"/>
  <c r="G39" i="2"/>
  <c r="H39" i="2"/>
  <c r="I39" i="2"/>
  <c r="J39" i="2"/>
  <c r="D40" i="2"/>
  <c r="E40" i="2"/>
  <c r="F40" i="2"/>
  <c r="G40" i="2"/>
  <c r="H40" i="2"/>
  <c r="I40" i="2"/>
  <c r="J40" i="2"/>
  <c r="G25" i="2"/>
  <c r="H25" i="2"/>
  <c r="I25" i="2"/>
  <c r="I42" i="2" s="1"/>
  <c r="J25" i="2"/>
  <c r="F25" i="2"/>
  <c r="E25" i="2"/>
  <c r="D25" i="2"/>
  <c r="D42" i="2" s="1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25" i="2"/>
  <c r="C42" i="2" s="1"/>
  <c r="H42" i="2" l="1"/>
  <c r="F42" i="2"/>
  <c r="G42" i="2"/>
  <c r="E42" i="2"/>
  <c r="J42" i="2"/>
  <c r="D16" i="4"/>
  <c r="C4" i="1"/>
  <c r="D4" i="1"/>
  <c r="E4" i="1"/>
  <c r="F4" i="1"/>
  <c r="G4" i="1"/>
  <c r="H4" i="1"/>
  <c r="I4" i="1"/>
  <c r="B4" i="1"/>
  <c r="J4" i="1" l="1"/>
  <c r="B13" i="1"/>
  <c r="H21" i="4" s="1"/>
  <c r="D17" i="4"/>
  <c r="D19" i="4" s="1"/>
  <c r="G21" i="4"/>
  <c r="C5" i="1"/>
  <c r="G5" i="1"/>
  <c r="D5" i="1"/>
  <c r="H5" i="1"/>
  <c r="E5" i="1"/>
  <c r="I5" i="1"/>
  <c r="F5" i="1"/>
  <c r="B5" i="1"/>
  <c r="B14" i="1" l="1"/>
  <c r="B15" i="1"/>
  <c r="H15" i="4"/>
  <c r="H16" i="4"/>
  <c r="H18" i="4"/>
  <c r="G15" i="4"/>
  <c r="G16" i="4"/>
  <c r="G18" i="4"/>
  <c r="F18" i="4"/>
  <c r="F15" i="4"/>
  <c r="J17" i="4" l="1"/>
  <c r="J19" i="4" s="1"/>
  <c r="I15" i="4"/>
  <c r="B15" i="4" s="1"/>
  <c r="I18" i="4"/>
  <c r="I16" i="4"/>
  <c r="F17" i="4"/>
  <c r="F19" i="4" s="1"/>
  <c r="H17" i="4"/>
  <c r="H19" i="4" s="1"/>
  <c r="G17" i="4"/>
  <c r="G19" i="4" s="1"/>
  <c r="B16" i="4" l="1"/>
  <c r="B17" i="4"/>
  <c r="B19" i="4" s="1"/>
  <c r="I17" i="4"/>
  <c r="I19" i="4" s="1"/>
  <c r="H23" i="15" l="1"/>
  <c r="J23" i="15"/>
  <c r="G23" i="15"/>
  <c r="F23" i="15"/>
  <c r="I23" i="15"/>
  <c r="K23" i="15" l="1"/>
  <c r="B25" i="15" l="1"/>
  <c r="P4" i="15"/>
  <c r="M2" i="15" l="1"/>
  <c r="P3" i="15"/>
</calcChain>
</file>

<file path=xl/sharedStrings.xml><?xml version="1.0" encoding="utf-8"?>
<sst xmlns="http://schemas.openxmlformats.org/spreadsheetml/2006/main" count="924" uniqueCount="278">
  <si>
    <t>发电量（亿KWh）</t>
    <phoneticPr fontId="2" type="noConversion"/>
  </si>
  <si>
    <t>煤电</t>
    <phoneticPr fontId="2" type="noConversion"/>
  </si>
  <si>
    <t>油电</t>
    <phoneticPr fontId="2" type="noConversion"/>
  </si>
  <si>
    <t>气电</t>
    <phoneticPr fontId="2" type="noConversion"/>
  </si>
  <si>
    <t>水电</t>
    <phoneticPr fontId="2" type="noConversion"/>
  </si>
  <si>
    <t>核电</t>
    <phoneticPr fontId="2" type="noConversion"/>
  </si>
  <si>
    <t>风电</t>
    <phoneticPr fontId="2" type="noConversion"/>
  </si>
  <si>
    <t>太阳能</t>
    <phoneticPr fontId="2" type="noConversion"/>
  </si>
  <si>
    <t>生物质能</t>
    <phoneticPr fontId="2" type="noConversion"/>
  </si>
  <si>
    <t>单位发电成本RMB/kwh</t>
    <phoneticPr fontId="2" type="noConversion"/>
  </si>
  <si>
    <t>发电成本</t>
    <phoneticPr fontId="2" type="noConversion"/>
  </si>
  <si>
    <t>T_D</t>
    <phoneticPr fontId="2" type="noConversion"/>
  </si>
  <si>
    <t>Coal_Elec</t>
  </si>
  <si>
    <t>Oil_Elec</t>
  </si>
  <si>
    <t>Gas_Elec</t>
  </si>
  <si>
    <t>Water_Elec</t>
  </si>
  <si>
    <t>Nuclear_Elec</t>
  </si>
  <si>
    <t>Wind_Elec</t>
  </si>
  <si>
    <t>Solar_Elec</t>
  </si>
  <si>
    <t>Biomass_Elec</t>
  </si>
  <si>
    <t>Agri</t>
  </si>
  <si>
    <t>Coal</t>
  </si>
  <si>
    <t>Oilgas</t>
  </si>
  <si>
    <t>Mining</t>
  </si>
  <si>
    <t>OM</t>
  </si>
  <si>
    <t>roil</t>
    <phoneticPr fontId="2" type="noConversion"/>
  </si>
  <si>
    <t>EII</t>
  </si>
  <si>
    <t>Elecutil</t>
  </si>
  <si>
    <t>gas</t>
    <phoneticPr fontId="2" type="noConversion"/>
  </si>
  <si>
    <t>Waterutil</t>
  </si>
  <si>
    <t>Construction</t>
  </si>
  <si>
    <t>Transport</t>
  </si>
  <si>
    <t>Services</t>
  </si>
  <si>
    <t>labor</t>
  </si>
  <si>
    <t>capital</t>
  </si>
  <si>
    <t>tax</t>
  </si>
  <si>
    <t>ST</t>
    <phoneticPr fontId="2" type="noConversion"/>
  </si>
  <si>
    <t>CC</t>
    <phoneticPr fontId="2" type="noConversion"/>
  </si>
  <si>
    <t>coal</t>
    <phoneticPr fontId="2" type="noConversion"/>
  </si>
  <si>
    <t>oil</t>
    <phoneticPr fontId="2" type="noConversion"/>
  </si>
  <si>
    <t>IC</t>
    <phoneticPr fontId="2" type="noConversion"/>
  </si>
  <si>
    <t>GT</t>
    <phoneticPr fontId="2" type="noConversion"/>
  </si>
  <si>
    <t>ST</t>
    <phoneticPr fontId="2" type="noConversion"/>
  </si>
  <si>
    <t>CT</t>
    <phoneticPr fontId="2" type="noConversion"/>
  </si>
  <si>
    <t>water</t>
    <phoneticPr fontId="2" type="noConversion"/>
  </si>
  <si>
    <t>nuclear</t>
    <phoneticPr fontId="2" type="noConversion"/>
  </si>
  <si>
    <t>wind</t>
    <phoneticPr fontId="2" type="noConversion"/>
  </si>
  <si>
    <t>solar</t>
    <phoneticPr fontId="2" type="noConversion"/>
  </si>
  <si>
    <t>bio</t>
    <phoneticPr fontId="2" type="noConversion"/>
  </si>
  <si>
    <t>natural resource</t>
    <phoneticPr fontId="2" type="noConversion"/>
  </si>
  <si>
    <t>T_D</t>
    <phoneticPr fontId="2" type="noConversion"/>
  </si>
  <si>
    <t>T_D</t>
  </si>
  <si>
    <t>roil</t>
    <phoneticPr fontId="2" type="noConversion"/>
  </si>
  <si>
    <t>gas</t>
    <phoneticPr fontId="2" type="noConversion"/>
  </si>
  <si>
    <t>来源：</t>
    <phoneticPr fontId="2" type="noConversion"/>
  </si>
  <si>
    <t>Projected</t>
  </si>
  <si>
    <t>Costs of</t>
  </si>
  <si>
    <t>Generating</t>
  </si>
  <si>
    <t>Electricity</t>
  </si>
  <si>
    <t>IEA，2010</t>
    <phoneticPr fontId="2" type="noConversion"/>
  </si>
  <si>
    <t xml:space="preserve">technology </t>
    <phoneticPr fontId="2" type="noConversion"/>
  </si>
  <si>
    <t>details</t>
    <phoneticPr fontId="2" type="noConversion"/>
  </si>
  <si>
    <t>投资成本</t>
    <phoneticPr fontId="2" type="noConversion"/>
  </si>
  <si>
    <t>运营成本</t>
    <phoneticPr fontId="2" type="noConversion"/>
  </si>
  <si>
    <t>燃料成本</t>
    <phoneticPr fontId="2" type="noConversion"/>
  </si>
  <si>
    <t>总成本</t>
    <phoneticPr fontId="2" type="noConversion"/>
  </si>
  <si>
    <t>USD/MWh</t>
    <phoneticPr fontId="2" type="noConversion"/>
  </si>
  <si>
    <t>nuclear</t>
    <phoneticPr fontId="2" type="noConversion"/>
  </si>
  <si>
    <t>P。92</t>
    <phoneticPr fontId="2" type="noConversion"/>
  </si>
  <si>
    <t>hybro</t>
    <phoneticPr fontId="2" type="noConversion"/>
  </si>
  <si>
    <t>solar</t>
    <phoneticPr fontId="2" type="noConversion"/>
  </si>
  <si>
    <t>来源：</t>
    <phoneticPr fontId="2" type="noConversion"/>
  </si>
  <si>
    <t>Cai，2011</t>
    <phoneticPr fontId="2" type="noConversion"/>
  </si>
  <si>
    <t>电力行业总产值</t>
    <phoneticPr fontId="2" type="noConversion"/>
  </si>
  <si>
    <t>不含税</t>
    <phoneticPr fontId="2" type="noConversion"/>
  </si>
  <si>
    <t>化石能源发电成本</t>
    <phoneticPr fontId="2" type="noConversion"/>
  </si>
  <si>
    <t>非化石能源发电成本/化石能源发电成本</t>
    <phoneticPr fontId="2" type="noConversion"/>
  </si>
  <si>
    <t>按发电成本的比例换算</t>
    <phoneticPr fontId="2" type="noConversion"/>
  </si>
  <si>
    <t>非化石能源成本构成</t>
    <phoneticPr fontId="2" type="noConversion"/>
  </si>
  <si>
    <t>来源：</t>
    <phoneticPr fontId="2" type="noConversion"/>
  </si>
  <si>
    <t>Sue Wing 2006</t>
    <phoneticPr fontId="2" type="noConversion"/>
  </si>
  <si>
    <t>Total</t>
    <phoneticPr fontId="2" type="noConversion"/>
  </si>
  <si>
    <t>分配原则：</t>
    <phoneticPr fontId="2" type="noConversion"/>
  </si>
  <si>
    <t>化石能源</t>
    <phoneticPr fontId="2" type="noConversion"/>
  </si>
  <si>
    <t>Coal</t>
    <phoneticPr fontId="2" type="noConversion"/>
  </si>
  <si>
    <t>roil</t>
    <phoneticPr fontId="2" type="noConversion"/>
  </si>
  <si>
    <t>gs</t>
    <phoneticPr fontId="2" type="noConversion"/>
  </si>
  <si>
    <t>——》</t>
    <phoneticPr fontId="2" type="noConversion"/>
  </si>
  <si>
    <t>labor &amp; capital</t>
    <phoneticPr fontId="2" type="noConversion"/>
  </si>
  <si>
    <t>按照IEA中成本结构分配</t>
    <phoneticPr fontId="2" type="noConversion"/>
  </si>
  <si>
    <t>资本投入</t>
    <phoneticPr fontId="2" type="noConversion"/>
  </si>
  <si>
    <t>劳动力投入</t>
    <phoneticPr fontId="2" type="noConversion"/>
  </si>
  <si>
    <t>中间的燃油投入</t>
    <phoneticPr fontId="2" type="noConversion"/>
  </si>
  <si>
    <t>非化石能源</t>
    <phoneticPr fontId="2" type="noConversion"/>
  </si>
  <si>
    <t>总投入</t>
    <phoneticPr fontId="2" type="noConversion"/>
  </si>
  <si>
    <t>化石能源发电总投入</t>
    <phoneticPr fontId="2" type="noConversion"/>
  </si>
  <si>
    <t>2010年各类型发电量</t>
    <phoneticPr fontId="2" type="noConversion"/>
  </si>
  <si>
    <t>——》</t>
    <phoneticPr fontId="2" type="noConversion"/>
  </si>
  <si>
    <t>*平均发电成本——》</t>
    <phoneticPr fontId="2" type="noConversion"/>
  </si>
  <si>
    <t>各类型发电成本的结构</t>
    <phoneticPr fontId="2" type="noConversion"/>
  </si>
  <si>
    <t>已估算的化石能源发电投入</t>
    <phoneticPr fontId="2" type="noConversion"/>
  </si>
  <si>
    <t>匹配各类型发电成本比例——》</t>
    <phoneticPr fontId="2" type="noConversion"/>
  </si>
  <si>
    <t>非化石能源发电投入</t>
    <phoneticPr fontId="2" type="noConversion"/>
  </si>
  <si>
    <t>Agri</t>
    <phoneticPr fontId="2" type="noConversion"/>
  </si>
  <si>
    <t>labor &amp; capital &amp; natural resource</t>
    <phoneticPr fontId="2" type="noConversion"/>
  </si>
  <si>
    <t>按照Sue Wing中成本结构分配</t>
    <phoneticPr fontId="2" type="noConversion"/>
  </si>
  <si>
    <t>电力运输</t>
    <phoneticPr fontId="2" type="noConversion"/>
  </si>
  <si>
    <t>电力行业所有类型的总投入</t>
    <phoneticPr fontId="2" type="noConversion"/>
  </si>
  <si>
    <t>减去</t>
    <phoneticPr fontId="2" type="noConversion"/>
  </si>
  <si>
    <t>发电投入</t>
    <phoneticPr fontId="2" type="noConversion"/>
  </si>
  <si>
    <t>电力行业税率</t>
    <phoneticPr fontId="2" type="noConversion"/>
  </si>
  <si>
    <t>2010年产值（十亿元）</t>
    <phoneticPr fontId="2" type="noConversion"/>
  </si>
  <si>
    <t>单位产值发电量（亿KWh/十亿元）</t>
    <phoneticPr fontId="2" type="noConversion"/>
  </si>
  <si>
    <t>电力政策</t>
    <phoneticPr fontId="2" type="noConversion"/>
  </si>
  <si>
    <t>2030年</t>
    <phoneticPr fontId="2" type="noConversion"/>
  </si>
  <si>
    <t>中美气候变化联合声明</t>
    <phoneticPr fontId="2" type="noConversion"/>
  </si>
  <si>
    <t>电力行业可再生能源比重</t>
    <phoneticPr fontId="2" type="noConversion"/>
  </si>
  <si>
    <t>相关报告</t>
    <phoneticPr fontId="2" type="noConversion"/>
  </si>
  <si>
    <t>http://news.xinhuanet.com/energy/2014-11/25/c_127247854.htm</t>
    <phoneticPr fontId="2" type="noConversion"/>
  </si>
  <si>
    <t>IEA</t>
    <phoneticPr fontId="2" type="noConversion"/>
  </si>
  <si>
    <t>http://www.cet.com.cn/nypd/dl/1670213.shtml</t>
    <phoneticPr fontId="2" type="noConversion"/>
  </si>
  <si>
    <t>非化石能源占一次能源消费</t>
    <phoneticPr fontId="2" type="noConversion"/>
  </si>
  <si>
    <t>使用时间（小时）</t>
    <phoneticPr fontId="2" type="noConversion"/>
  </si>
  <si>
    <t>装机容量（GW）</t>
    <phoneticPr fontId="2" type="noConversion"/>
  </si>
  <si>
    <t>2010年</t>
    <phoneticPr fontId="2" type="noConversion"/>
  </si>
  <si>
    <t>2020年</t>
    <phoneticPr fontId="2" type="noConversion"/>
  </si>
  <si>
    <t>配额比例</t>
    <phoneticPr fontId="2" type="noConversion"/>
  </si>
  <si>
    <t>预计产值（十亿元）</t>
    <phoneticPr fontId="2" type="noConversion"/>
  </si>
  <si>
    <t>配额系数</t>
    <phoneticPr fontId="2" type="noConversion"/>
  </si>
  <si>
    <t>Wind</t>
    <phoneticPr fontId="2" type="noConversion"/>
  </si>
  <si>
    <t>Solar PV</t>
    <phoneticPr fontId="2" type="noConversion"/>
  </si>
  <si>
    <t>Bioelectricity</t>
    <phoneticPr fontId="2" type="noConversion"/>
  </si>
  <si>
    <t>NGCC</t>
    <phoneticPr fontId="2" type="noConversion"/>
  </si>
  <si>
    <t>IGCC</t>
    <phoneticPr fontId="2" type="noConversion"/>
  </si>
  <si>
    <t>Coal</t>
    <phoneticPr fontId="2" type="noConversion"/>
  </si>
  <si>
    <t>Costs(yuan/KWh)</t>
    <phoneticPr fontId="2" type="noConversion"/>
  </si>
  <si>
    <t>0.5-0.55</t>
    <phoneticPr fontId="2" type="noConversion"/>
  </si>
  <si>
    <t>1-1.15</t>
    <phoneticPr fontId="2" type="noConversion"/>
  </si>
  <si>
    <t>2020-2050</t>
    <phoneticPr fontId="2" type="noConversion"/>
  </si>
  <si>
    <t>Markup</t>
    <phoneticPr fontId="2" type="noConversion"/>
  </si>
  <si>
    <t>serv</t>
  </si>
  <si>
    <t>othr</t>
  </si>
  <si>
    <t>fuel</t>
  </si>
  <si>
    <t>nuclear</t>
    <phoneticPr fontId="2" type="noConversion"/>
  </si>
  <si>
    <t>发电量比例</t>
    <phoneticPr fontId="2" type="noConversion"/>
  </si>
  <si>
    <t>产值不含税</t>
    <phoneticPr fontId="2" type="noConversion"/>
  </si>
  <si>
    <t>resource</t>
    <phoneticPr fontId="2" type="noConversion"/>
  </si>
  <si>
    <t>hybro</t>
    <phoneticPr fontId="2" type="noConversion"/>
  </si>
  <si>
    <t>EPPA 6</t>
    <phoneticPr fontId="2" type="noConversion"/>
  </si>
  <si>
    <t>land</t>
    <phoneticPr fontId="2" type="noConversion"/>
  </si>
  <si>
    <t>fix factor</t>
    <phoneticPr fontId="2" type="noConversion"/>
  </si>
  <si>
    <t>ff_e</t>
    <phoneticPr fontId="2" type="noConversion"/>
  </si>
  <si>
    <t>subsidy</t>
    <phoneticPr fontId="2" type="noConversion"/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</si>
  <si>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</si>
  <si>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</si>
  <si>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</si>
  <si>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</si>
  <si>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</si>
  <si>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</si>
  <si>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</si>
  <si>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</si>
  <si>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</si>
  <si>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hydro_Elec</t>
  </si>
  <si>
    <t>source：</t>
    <phoneticPr fontId="2" type="noConversion"/>
  </si>
  <si>
    <t>[1].</t>
  </si>
  <si>
    <t>中国2050高比例可再生能源发展情景暨途径研究-摘要报告.</t>
  </si>
  <si>
    <t>发电量（GWh）</t>
    <phoneticPr fontId="2" type="noConversion"/>
  </si>
  <si>
    <t>2011年电力供给统计基本数据</t>
    <phoneticPr fontId="2" type="noConversion"/>
  </si>
  <si>
    <t>2010年平均</t>
    <phoneticPr fontId="2" type="noConversion"/>
  </si>
  <si>
    <t>产出变化（相比2010年）</t>
    <phoneticPr fontId="2" type="noConversion"/>
  </si>
  <si>
    <t>Dai, H., et al., Green growth: The economic impacts of large-scale renewable energy development in China. APPLIED ENERGY, 2016. 162: p. 435-449.</t>
  </si>
  <si>
    <t>化学储能</t>
  </si>
  <si>
    <t>燃油发电</t>
  </si>
  <si>
    <t>天然气发电</t>
  </si>
  <si>
    <t>海洋能发电</t>
    <phoneticPr fontId="2" type="noConversion"/>
  </si>
  <si>
    <t>地热能发电</t>
    <phoneticPr fontId="2" type="noConversion"/>
  </si>
  <si>
    <t>木质生物能发电</t>
    <phoneticPr fontId="2" type="noConversion"/>
  </si>
  <si>
    <t>秸秆发电</t>
    <phoneticPr fontId="2" type="noConversion"/>
  </si>
  <si>
    <t>沼气发电</t>
    <phoneticPr fontId="2" type="noConversion"/>
  </si>
  <si>
    <t>垃圾发电</t>
    <phoneticPr fontId="2" type="noConversion"/>
  </si>
  <si>
    <t>太阳能发电</t>
    <phoneticPr fontId="2" type="noConversion"/>
  </si>
  <si>
    <t>风电</t>
    <phoneticPr fontId="2" type="noConversion"/>
  </si>
  <si>
    <t>核电</t>
    <phoneticPr fontId="2" type="noConversion"/>
  </si>
  <si>
    <t>煤电</t>
    <phoneticPr fontId="2" type="noConversion"/>
  </si>
  <si>
    <t>抽水蓄能</t>
    <phoneticPr fontId="2" type="noConversion"/>
  </si>
  <si>
    <t>高比例情景</t>
    <phoneticPr fontId="2" type="noConversion"/>
  </si>
  <si>
    <t>参照情景参照情景</t>
    <phoneticPr fontId="2" type="noConversion"/>
  </si>
  <si>
    <t>高比例情景</t>
    <phoneticPr fontId="2" type="noConversion"/>
  </si>
  <si>
    <t>参考情景</t>
    <phoneticPr fontId="2" type="noConversion"/>
  </si>
  <si>
    <t>h_ff</t>
    <phoneticPr fontId="2" type="noConversion"/>
  </si>
  <si>
    <t>n_ff</t>
    <phoneticPr fontId="2" type="noConversion"/>
  </si>
  <si>
    <t>source:</t>
    <phoneticPr fontId="2" type="noConversion"/>
  </si>
  <si>
    <t>EPPA 6</t>
    <phoneticPr fontId="2" type="noConversion"/>
  </si>
  <si>
    <t>核电和水电的固定要素趋势</t>
    <phoneticPr fontId="2" type="noConversion"/>
  </si>
  <si>
    <t>Ovji</t>
    <phoneticPr fontId="2" type="noConversion"/>
  </si>
  <si>
    <t>油电</t>
  </si>
  <si>
    <t>气电</t>
  </si>
  <si>
    <t>水电</t>
  </si>
  <si>
    <t>核电</t>
  </si>
  <si>
    <t>风电</t>
  </si>
  <si>
    <t>生物质</t>
  </si>
  <si>
    <t>太阳能</t>
  </si>
  <si>
    <t>农林牧渔业</t>
  </si>
  <si>
    <t>煤炭开采和洗选业</t>
  </si>
  <si>
    <t xml:space="preserve">石油、天然气和核燃料开采加工业
</t>
  </si>
  <si>
    <t>其他采矿业</t>
  </si>
  <si>
    <t>消费品工业</t>
  </si>
  <si>
    <t>原材料工业</t>
  </si>
  <si>
    <t>装备制造业</t>
  </si>
  <si>
    <t>电力、热力、燃气和水的生产供应业</t>
  </si>
  <si>
    <t>建筑业</t>
  </si>
  <si>
    <t>第三产业</t>
  </si>
  <si>
    <t xml:space="preserve">完全消耗系数矩阵，即（I-A)^(-1)-I </t>
  </si>
  <si>
    <t>γ（jobs/万元）-2011年单位产值劳动力</t>
    <phoneticPr fontId="2" type="noConversion"/>
  </si>
  <si>
    <t>行业中类</t>
  </si>
  <si>
    <t>合  计</t>
  </si>
  <si>
    <t>未  上</t>
  </si>
  <si>
    <t>小  学</t>
  </si>
  <si>
    <t>初  中</t>
  </si>
  <si>
    <t>高  中</t>
  </si>
  <si>
    <t>大  学</t>
  </si>
  <si>
    <t>研究生</t>
  </si>
  <si>
    <t>过  学</t>
  </si>
  <si>
    <t>专  科</t>
  </si>
  <si>
    <t>本  科</t>
  </si>
  <si>
    <t>煤电</t>
  </si>
  <si>
    <t>发电量变化（GWh）</t>
    <phoneticPr fontId="2" type="noConversion"/>
  </si>
  <si>
    <t>装机容量变化（GW）</t>
    <phoneticPr fontId="2" type="noConversion"/>
  </si>
  <si>
    <t>θ—IO（2011）产值成本转化系数</t>
    <phoneticPr fontId="2" type="noConversion"/>
  </si>
  <si>
    <t>分劳动力种类</t>
    <phoneticPr fontId="2" type="noConversion"/>
  </si>
  <si>
    <t>unlettered</t>
  </si>
  <si>
    <t>elementary school</t>
  </si>
  <si>
    <t>middle school</t>
  </si>
  <si>
    <t>high school</t>
  </si>
  <si>
    <t>junior college</t>
  </si>
  <si>
    <t>regular college</t>
  </si>
  <si>
    <t>postgraduate</t>
  </si>
  <si>
    <t>单位产值就业量(人/亿元）</t>
  </si>
  <si>
    <t>单位产值就业量(人/亿元）</t>
    <phoneticPr fontId="2" type="noConversion"/>
  </si>
  <si>
    <t>产值变化（亿元）</t>
    <phoneticPr fontId="2" type="noConversion"/>
  </si>
  <si>
    <t>就业量变动（人）</t>
    <phoneticPr fontId="2" type="noConversion"/>
  </si>
  <si>
    <t>2010年电力行业产值（十亿元）</t>
    <phoneticPr fontId="2" type="noConversion"/>
  </si>
  <si>
    <t>2010年装机容量（百万千瓦时）</t>
    <phoneticPr fontId="2" type="noConversion"/>
  </si>
  <si>
    <t>转化系数</t>
    <phoneticPr fontId="2" type="noConversion"/>
  </si>
  <si>
    <t>年份</t>
    <phoneticPr fontId="2" type="noConversion"/>
  </si>
  <si>
    <t>nuclear</t>
    <phoneticPr fontId="2" type="noConversion"/>
  </si>
  <si>
    <t>hydro</t>
    <phoneticPr fontId="2" type="noConversion"/>
  </si>
  <si>
    <t>wind</t>
    <phoneticPr fontId="2" type="noConversion"/>
  </si>
  <si>
    <t>biomass</t>
    <phoneticPr fontId="2" type="noConversion"/>
  </si>
  <si>
    <t>发电量：</t>
    <phoneticPr fontId="2" type="noConversion"/>
  </si>
  <si>
    <t>亿KWh</t>
    <phoneticPr fontId="2" type="noConversion"/>
  </si>
  <si>
    <t>装机容量：</t>
    <phoneticPr fontId="2" type="noConversion"/>
  </si>
  <si>
    <t>垃圾</t>
    <phoneticPr fontId="2" type="noConversion"/>
  </si>
  <si>
    <t>生物质</t>
    <phoneticPr fontId="2" type="noConversion"/>
  </si>
  <si>
    <t>万KW</t>
    <phoneticPr fontId="2" type="noConversion"/>
  </si>
  <si>
    <t>gas</t>
    <phoneticPr fontId="2" type="noConversion"/>
  </si>
  <si>
    <t>Yt</t>
    <phoneticPr fontId="2" type="noConversion"/>
  </si>
  <si>
    <t>Yt-1</t>
    <phoneticPr fontId="2" type="noConversion"/>
  </si>
  <si>
    <t>Yt-1^2</t>
    <phoneticPr fontId="2" type="noConversion"/>
  </si>
  <si>
    <t>Yt*</t>
    <phoneticPr fontId="2" type="noConversion"/>
  </si>
  <si>
    <t>成本比例</t>
    <phoneticPr fontId="2" type="noConversion"/>
  </si>
  <si>
    <t>化石能源发电量</t>
    <phoneticPr fontId="2" type="noConversion"/>
  </si>
  <si>
    <t>非化石能源发电量/化石能源发电量</t>
    <phoneticPr fontId="2" type="noConversion"/>
  </si>
  <si>
    <t>EPPA 6</t>
    <phoneticPr fontId="2" type="noConversion"/>
  </si>
  <si>
    <t>mkup</t>
    <phoneticPr fontId="2" type="noConversion"/>
  </si>
  <si>
    <t>化石能源发电成本</t>
    <phoneticPr fontId="2" type="noConversion"/>
  </si>
  <si>
    <t>非化石能源发电成本/化石能源发电成本</t>
    <phoneticPr fontId="2" type="noConversion"/>
  </si>
  <si>
    <t>成本</t>
    <phoneticPr fontId="2" type="noConversion"/>
  </si>
  <si>
    <t>补贴</t>
    <phoneticPr fontId="2" type="noConversion"/>
  </si>
  <si>
    <t>税</t>
    <phoneticPr fontId="2" type="noConversion"/>
  </si>
  <si>
    <t>补贴</t>
    <phoneticPr fontId="2" type="noConversion"/>
  </si>
  <si>
    <t>按发电量的比例换算</t>
    <phoneticPr fontId="2" type="noConversion"/>
  </si>
  <si>
    <t>来源：</t>
    <phoneticPr fontId="2" type="noConversion"/>
  </si>
  <si>
    <t>2015年国民经济和社会发展统计公报</t>
    <phoneticPr fontId="2" type="noConversion"/>
  </si>
  <si>
    <t>http://www.stats.gov.cn/tjsj/zxfb/201602/t20160229_1323991.html</t>
  </si>
  <si>
    <t>中国电力统计年鉴</t>
    <phoneticPr fontId="2" type="noConversion"/>
  </si>
  <si>
    <t>2015年前：</t>
    <phoneticPr fontId="2" type="noConversion"/>
  </si>
  <si>
    <t>十二五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</si>
</sst>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%"/>
    <numFmt numFmtId="177" formatCode="0.00_);[Red]\(0.00\)"/>
    <numFmt numFmtId="178" formatCode="0_);[Red]\(0\)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Times New Roman"/>
      <family val="1"/>
    </font>
    <font>
      <b/>
      <sz val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" fillId="0" borderId="0"/>
    <xf numFmtId="0" fontId="5" fillId="0" borderId="0">
      <alignment vertical="center"/>
    </xf>
    <xf numFmtId="0" fontId="6" fillId="0" borderId="0">
      <alignment vertical="center"/>
    </xf>
  </cellStyleXfs>
  <cellXfs count="41">
    <xf numFmtId="0" fontId="0" fillId="0" borderId="0" xfId="0"/>
    <xf numFmtId="176" fontId="0" fillId="0" borderId="0" xfId="1" applyNumberFormat="1" applyFont="1" applyAlignment="1"/>
    <xf numFmtId="9" fontId="0" fillId="0" borderId="0" xfId="1" applyFont="1" applyAlignment="1"/>
    <xf numFmtId="0" fontId="0" fillId="0" borderId="0" xfId="1" applyNumberFormat="1" applyFont="1" applyAlignmen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wrapText="1"/>
    </xf>
    <xf numFmtId="0" fontId="0" fillId="5" borderId="0" xfId="0" applyFill="1"/>
    <xf numFmtId="177" fontId="0" fillId="0" borderId="0" xfId="0" applyNumberFormat="1"/>
    <xf numFmtId="0" fontId="3" fillId="0" borderId="0" xfId="0" applyFont="1"/>
    <xf numFmtId="9" fontId="0" fillId="0" borderId="0" xfId="0" applyNumberFormat="1"/>
    <xf numFmtId="0" fontId="4" fillId="0" borderId="0" xfId="2"/>
    <xf numFmtId="0" fontId="1" fillId="0" borderId="0" xfId="3"/>
    <xf numFmtId="0" fontId="0" fillId="0" borderId="0" xfId="0" quotePrefix="1"/>
    <xf numFmtId="178" fontId="0" fillId="0" borderId="0" xfId="0" applyNumberFormat="1"/>
    <xf numFmtId="0" fontId="5" fillId="0" borderId="0" xfId="4" applyBorder="1" applyAlignment="1">
      <alignment horizontal="right" vertical="top"/>
    </xf>
    <xf numFmtId="0" fontId="0" fillId="0" borderId="0" xfId="0" applyNumberFormat="1"/>
    <xf numFmtId="0" fontId="1" fillId="6" borderId="0" xfId="3" applyFill="1"/>
    <xf numFmtId="0" fontId="1" fillId="3" borderId="0" xfId="3" applyFill="1"/>
    <xf numFmtId="0" fontId="7" fillId="7" borderId="3" xfId="5" applyFont="1" applyFill="1" applyBorder="1" applyAlignment="1">
      <alignment horizontal="center" vertical="center" wrapText="1"/>
    </xf>
    <xf numFmtId="0" fontId="7" fillId="7" borderId="7" xfId="5" applyFont="1" applyFill="1" applyBorder="1" applyAlignment="1">
      <alignment horizontal="center" vertical="center" wrapText="1"/>
    </xf>
    <xf numFmtId="0" fontId="8" fillId="8" borderId="10" xfId="5" applyFont="1" applyFill="1" applyBorder="1" applyAlignment="1">
      <alignment horizontal="left" vertical="center"/>
    </xf>
    <xf numFmtId="10" fontId="6" fillId="9" borderId="0" xfId="5" applyNumberFormat="1" applyFill="1">
      <alignment vertical="center"/>
    </xf>
    <xf numFmtId="176" fontId="6" fillId="9" borderId="0" xfId="5" applyNumberFormat="1" applyFill="1">
      <alignment vertical="center"/>
    </xf>
    <xf numFmtId="0" fontId="9" fillId="8" borderId="10" xfId="5" applyFont="1" applyFill="1" applyBorder="1" applyAlignment="1">
      <alignment horizontal="left" vertical="center"/>
    </xf>
    <xf numFmtId="0" fontId="7" fillId="7" borderId="1" xfId="5" applyFont="1" applyFill="1" applyBorder="1" applyAlignment="1">
      <alignment horizontal="center" vertical="center" wrapText="1"/>
    </xf>
    <xf numFmtId="0" fontId="7" fillId="7" borderId="2" xfId="5" applyFont="1" applyFill="1" applyBorder="1" applyAlignment="1">
      <alignment horizontal="center" vertical="center" wrapText="1"/>
    </xf>
    <xf numFmtId="0" fontId="7" fillId="7" borderId="4" xfId="5" applyFont="1" applyFill="1" applyBorder="1" applyAlignment="1">
      <alignment horizontal="center" vertical="center" wrapText="1"/>
    </xf>
    <xf numFmtId="0" fontId="7" fillId="7" borderId="5" xfId="5" applyFont="1" applyFill="1" applyBorder="1" applyAlignment="1">
      <alignment horizontal="center" vertical="center" wrapText="1"/>
    </xf>
    <xf numFmtId="0" fontId="7" fillId="7" borderId="6" xfId="5" applyFont="1" applyFill="1" applyBorder="1" applyAlignment="1">
      <alignment horizontal="center" vertical="center" wrapText="1"/>
    </xf>
    <xf numFmtId="0" fontId="7" fillId="7" borderId="8" xfId="5" applyFont="1" applyFill="1" applyBorder="1" applyAlignment="1">
      <alignment horizontal="center" vertical="center" wrapText="1"/>
    </xf>
    <xf numFmtId="0" fontId="7" fillId="7" borderId="9" xfId="5" applyFont="1" applyFill="1" applyBorder="1" applyAlignment="1">
      <alignment horizontal="center" vertical="center" wrapText="1"/>
    </xf>
    <xf numFmtId="0" fontId="0" fillId="0" borderId="0" xfId="3" applyFont="1"/>
    <xf numFmtId="0" fontId="6" fillId="9" borderId="0" xfId="5" applyNumberFormat="1" applyFill="1">
      <alignment vertical="center"/>
    </xf>
    <xf numFmtId="0" fontId="1" fillId="0" borderId="0" xfId="3" applyFill="1"/>
    <xf numFmtId="0" fontId="0" fillId="0" borderId="0" xfId="3" applyFont="1" applyFill="1"/>
    <xf numFmtId="0" fontId="0" fillId="0" borderId="0" xfId="0" applyFill="1"/>
    <xf numFmtId="0" fontId="0" fillId="2" borderId="0" xfId="0" applyFill="1"/>
    <xf numFmtId="0" fontId="10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6">
    <cellStyle name="百分比" xfId="1" builtinId="5"/>
    <cellStyle name="常规" xfId="0" builtinId="0"/>
    <cellStyle name="常规 2" xfId="4"/>
    <cellStyle name="常规 2 2" xfId="5"/>
    <cellStyle name="常规 3" xfId="3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IO计算!$B$86</c:f>
              <c:strCache>
                <c:ptCount val="1"/>
                <c:pt idx="0">
                  <c:v>unlettered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IO计算!$A$87:$A$95</c:f>
              <c:strCach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strCache>
            </c:strRef>
          </c:cat>
          <c:val>
            <c:numRef>
              <c:f>IO计算!$B$87:$B$95</c:f>
              <c:numCache>
                <c:formatCode>General</c:formatCode>
                <c:ptCount val="9"/>
                <c:pt idx="0">
                  <c:v>0</c:v>
                </c:pt>
                <c:pt idx="1">
                  <c:v>596.77207246168098</c:v>
                </c:pt>
                <c:pt idx="2">
                  <c:v>5787.046669759482</c:v>
                </c:pt>
                <c:pt idx="3">
                  <c:v>14024.860162301671</c:v>
                </c:pt>
                <c:pt idx="4">
                  <c:v>28857.374770799506</c:v>
                </c:pt>
                <c:pt idx="5">
                  <c:v>47192.956796150516</c:v>
                </c:pt>
                <c:pt idx="6">
                  <c:v>61198.81642427067</c:v>
                </c:pt>
                <c:pt idx="7">
                  <c:v>71986.070924165921</c:v>
                </c:pt>
                <c:pt idx="8">
                  <c:v>72267.595112709561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IO计算!$C$86</c:f>
              <c:strCache>
                <c:ptCount val="1"/>
                <c:pt idx="0">
                  <c:v>elementary school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IO计算!$A$87:$A$95</c:f>
              <c:strCach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strCache>
            </c:strRef>
          </c:cat>
          <c:val>
            <c:numRef>
              <c:f>IO计算!$C$87:$C$95</c:f>
              <c:numCache>
                <c:formatCode>General</c:formatCode>
                <c:ptCount val="9"/>
                <c:pt idx="0">
                  <c:v>0</c:v>
                </c:pt>
                <c:pt idx="1">
                  <c:v>6003.0710979849555</c:v>
                </c:pt>
                <c:pt idx="2">
                  <c:v>58365.505742453002</c:v>
                </c:pt>
                <c:pt idx="3">
                  <c:v>139267.11803068247</c:v>
                </c:pt>
                <c:pt idx="4">
                  <c:v>285585.00008210895</c:v>
                </c:pt>
                <c:pt idx="5">
                  <c:v>467431.96923561592</c:v>
                </c:pt>
                <c:pt idx="6">
                  <c:v>606265.48294077173</c:v>
                </c:pt>
                <c:pt idx="7">
                  <c:v>712942.3185081681</c:v>
                </c:pt>
                <c:pt idx="8">
                  <c:v>716063.30404135131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IO计算!$D$86</c:f>
              <c:strCache>
                <c:ptCount val="1"/>
                <c:pt idx="0">
                  <c:v>middle school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IO计算!$A$87:$A$95</c:f>
              <c:strCach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strCache>
            </c:strRef>
          </c:cat>
          <c:val>
            <c:numRef>
              <c:f>IO计算!$D$87:$D$95</c:f>
              <c:numCache>
                <c:formatCode>General</c:formatCode>
                <c:ptCount val="9"/>
                <c:pt idx="0">
                  <c:v>0</c:v>
                </c:pt>
                <c:pt idx="1">
                  <c:v>21642.885418759164</c:v>
                </c:pt>
                <c:pt idx="2">
                  <c:v>206381.62370542553</c:v>
                </c:pt>
                <c:pt idx="3">
                  <c:v>490023.75860729371</c:v>
                </c:pt>
                <c:pt idx="4">
                  <c:v>1003177.8525992258</c:v>
                </c:pt>
                <c:pt idx="5">
                  <c:v>1643087.4065020953</c:v>
                </c:pt>
                <c:pt idx="6">
                  <c:v>2131025.4331764448</c:v>
                </c:pt>
                <c:pt idx="7">
                  <c:v>2504727.4242321379</c:v>
                </c:pt>
                <c:pt idx="8">
                  <c:v>2516006.4429974337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IO计算!$E$86</c:f>
              <c:strCache>
                <c:ptCount val="1"/>
                <c:pt idx="0">
                  <c:v>high school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IO计算!$A$87:$A$95</c:f>
              <c:strCach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strCache>
            </c:strRef>
          </c:cat>
          <c:val>
            <c:numRef>
              <c:f>IO计算!$E$87:$E$95</c:f>
              <c:numCache>
                <c:formatCode>General</c:formatCode>
                <c:ptCount val="9"/>
                <c:pt idx="0">
                  <c:v>0</c:v>
                </c:pt>
                <c:pt idx="1">
                  <c:v>11866.955945323609</c:v>
                </c:pt>
                <c:pt idx="2">
                  <c:v>103094.00080654316</c:v>
                </c:pt>
                <c:pt idx="3">
                  <c:v>238987.93262079268</c:v>
                </c:pt>
                <c:pt idx="4">
                  <c:v>484939.34999988548</c:v>
                </c:pt>
                <c:pt idx="5">
                  <c:v>795602.81543087144</c:v>
                </c:pt>
                <c:pt idx="6">
                  <c:v>1031255.7970686647</c:v>
                </c:pt>
                <c:pt idx="7">
                  <c:v>1210571.6904031157</c:v>
                </c:pt>
                <c:pt idx="8">
                  <c:v>1215343.1745914025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IO计算!$F$86</c:f>
              <c:strCache>
                <c:ptCount val="1"/>
                <c:pt idx="0">
                  <c:v>junior college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IO计算!$A$87:$A$95</c:f>
              <c:strCach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strCache>
            </c:strRef>
          </c:cat>
          <c:val>
            <c:numRef>
              <c:f>IO计算!$F$87:$F$95</c:f>
              <c:numCache>
                <c:formatCode>General</c:formatCode>
                <c:ptCount val="9"/>
                <c:pt idx="0">
                  <c:v>0</c:v>
                </c:pt>
                <c:pt idx="1">
                  <c:v>6105.9964928237641</c:v>
                </c:pt>
                <c:pt idx="2">
                  <c:v>51671.140141515723</c:v>
                </c:pt>
                <c:pt idx="3">
                  <c:v>118139.50261478061</c:v>
                </c:pt>
                <c:pt idx="4">
                  <c:v>238537.53522711765</c:v>
                </c:pt>
                <c:pt idx="5">
                  <c:v>391407.64726135362</c:v>
                </c:pt>
                <c:pt idx="6">
                  <c:v>507201.91366413218</c:v>
                </c:pt>
                <c:pt idx="7">
                  <c:v>595346.30951955216</c:v>
                </c:pt>
                <c:pt idx="8">
                  <c:v>597481.31817228987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IO计算!$G$86</c:f>
              <c:strCache>
                <c:ptCount val="1"/>
                <c:pt idx="0">
                  <c:v>regular college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IO计算!$A$87:$A$95</c:f>
              <c:strCach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strCache>
            </c:strRef>
          </c:cat>
          <c:val>
            <c:numRef>
              <c:f>IO计算!$G$87:$G$95</c:f>
              <c:numCache>
                <c:formatCode>General</c:formatCode>
                <c:ptCount val="9"/>
                <c:pt idx="0">
                  <c:v>0</c:v>
                </c:pt>
                <c:pt idx="1">
                  <c:v>3739.1842768065885</c:v>
                </c:pt>
                <c:pt idx="2">
                  <c:v>30962.512214683771</c:v>
                </c:pt>
                <c:pt idx="3">
                  <c:v>72577.386928979526</c:v>
                </c:pt>
                <c:pt idx="4">
                  <c:v>147361.65928134407</c:v>
                </c:pt>
                <c:pt idx="5">
                  <c:v>241504.82345711548</c:v>
                </c:pt>
                <c:pt idx="6">
                  <c:v>312823.87897361163</c:v>
                </c:pt>
                <c:pt idx="7">
                  <c:v>367171.56293345377</c:v>
                </c:pt>
                <c:pt idx="8">
                  <c:v>368121.10554533644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IO计算!$H$86</c:f>
              <c:strCache>
                <c:ptCount val="1"/>
                <c:pt idx="0">
                  <c:v>postgraduate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IO计算!$A$87:$A$95</c:f>
              <c:strCach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strCache>
            </c:strRef>
          </c:cat>
          <c:val>
            <c:numRef>
              <c:f>IO计算!$H$87:$H$95</c:f>
              <c:numCache>
                <c:formatCode>General</c:formatCode>
                <c:ptCount val="9"/>
                <c:pt idx="0">
                  <c:v>0</c:v>
                </c:pt>
                <c:pt idx="1">
                  <c:v>360.07366038207516</c:v>
                </c:pt>
                <c:pt idx="2">
                  <c:v>2998.3111557959942</c:v>
                </c:pt>
                <c:pt idx="3">
                  <c:v>7308.4016334298867</c:v>
                </c:pt>
                <c:pt idx="4">
                  <c:v>14984.768731969085</c:v>
                </c:pt>
                <c:pt idx="5">
                  <c:v>24515.737716888936</c:v>
                </c:pt>
                <c:pt idx="6">
                  <c:v>31749.619882208826</c:v>
                </c:pt>
                <c:pt idx="7">
                  <c:v>37275.811864391333</c:v>
                </c:pt>
                <c:pt idx="8">
                  <c:v>37345.090276746727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743136"/>
        <c:axId val="568743920"/>
      </c:lineChart>
      <c:catAx>
        <c:axId val="56874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743920"/>
        <c:crosses val="autoZero"/>
        <c:auto val="1"/>
        <c:lblAlgn val="ctr"/>
        <c:lblOffset val="100"/>
        <c:noMultiLvlLbl val="0"/>
      </c:catAx>
      <c:valAx>
        <c:axId val="5687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74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78</xdr:row>
      <xdr:rowOff>157162</xdr:rowOff>
    </xdr:from>
    <xdr:to>
      <xdr:col>18</xdr:col>
      <xdr:colOff>76200</xdr:colOff>
      <xdr:row>94</xdr:row>
      <xdr:rowOff>157162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et.com.cn/nypd/dl/1670213.shtml" TargetMode="External"/><Relationship Id="rId1" Type="http://schemas.openxmlformats.org/officeDocument/2006/relationships/hyperlink" Target="http://news.xinhuanet.com/energy/2014-11/25/c_127247854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9" sqref="D9:E15"/>
    </sheetView>
  </sheetViews>
  <sheetFormatPr defaultRowHeight="13.5" x14ac:dyDescent="0.15"/>
  <cols>
    <col min="1" max="1" width="20.75" bestFit="1" customWidth="1"/>
  </cols>
  <sheetData>
    <row r="1" spans="1:12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15">
      <c r="A2" t="s">
        <v>0</v>
      </c>
      <c r="B2">
        <v>33066</v>
      </c>
      <c r="C2">
        <v>162</v>
      </c>
      <c r="D2">
        <v>777</v>
      </c>
      <c r="E2">
        <v>6867</v>
      </c>
      <c r="F2">
        <v>747</v>
      </c>
      <c r="G2">
        <v>494</v>
      </c>
      <c r="H2">
        <v>1</v>
      </c>
      <c r="I2">
        <v>161</v>
      </c>
    </row>
    <row r="3" spans="1:12" x14ac:dyDescent="0.15">
      <c r="A3" t="s">
        <v>9</v>
      </c>
      <c r="B3">
        <v>0.39150000000000001</v>
      </c>
      <c r="C3">
        <v>0.34176188325756901</v>
      </c>
      <c r="D3">
        <v>0.457509465096818</v>
      </c>
      <c r="E3">
        <v>0.33531557330818101</v>
      </c>
      <c r="F3">
        <v>0.48706971254449699</v>
      </c>
      <c r="G3">
        <v>1.0325940561749201</v>
      </c>
      <c r="H3">
        <v>6.4444578308681502</v>
      </c>
      <c r="I3">
        <v>0.64627855735249895</v>
      </c>
      <c r="K3" t="s">
        <v>71</v>
      </c>
      <c r="L3" t="s">
        <v>72</v>
      </c>
    </row>
    <row r="4" spans="1:12" x14ac:dyDescent="0.15">
      <c r="A4" t="s">
        <v>10</v>
      </c>
      <c r="B4">
        <f>B3*B2</f>
        <v>12945.339</v>
      </c>
      <c r="C4">
        <f t="shared" ref="C4:I4" si="0">C3*C2</f>
        <v>55.36542508772618</v>
      </c>
      <c r="D4">
        <f t="shared" si="0"/>
        <v>355.4848543802276</v>
      </c>
      <c r="E4">
        <f t="shared" si="0"/>
        <v>2302.612041907279</v>
      </c>
      <c r="F4">
        <f t="shared" si="0"/>
        <v>363.84107527073922</v>
      </c>
      <c r="G4">
        <f t="shared" si="0"/>
        <v>510.10146375041052</v>
      </c>
      <c r="H4">
        <f t="shared" si="0"/>
        <v>6.4444578308681502</v>
      </c>
      <c r="I4">
        <f t="shared" si="0"/>
        <v>104.05084773375233</v>
      </c>
      <c r="J4">
        <f>SUM(B4:I4)</f>
        <v>16643.239165961004</v>
      </c>
    </row>
    <row r="5" spans="1:12" x14ac:dyDescent="0.15">
      <c r="B5" s="1">
        <f>B4/$J4</f>
        <v>0.7778136738235425</v>
      </c>
      <c r="C5" s="1">
        <f t="shared" ref="C5:I5" si="1">C4/$J4</f>
        <v>3.326601542863144E-3</v>
      </c>
      <c r="D5" s="1">
        <f t="shared" si="1"/>
        <v>2.135911470330069E-2</v>
      </c>
      <c r="E5" s="1">
        <f t="shared" si="1"/>
        <v>0.1383511958787815</v>
      </c>
      <c r="F5" s="1">
        <f t="shared" si="1"/>
        <v>2.1861193704100119E-2</v>
      </c>
      <c r="G5" s="1">
        <f t="shared" si="1"/>
        <v>3.0649169831896514E-2</v>
      </c>
      <c r="H5" s="1">
        <f t="shared" si="1"/>
        <v>3.872117540705928E-4</v>
      </c>
      <c r="I5" s="1">
        <f t="shared" si="1"/>
        <v>6.2518387614448664E-3</v>
      </c>
    </row>
    <row r="9" spans="1:12" x14ac:dyDescent="0.15">
      <c r="A9" t="s">
        <v>75</v>
      </c>
      <c r="B9">
        <f>SUM(B4:D4)</f>
        <v>13356.189279467953</v>
      </c>
    </row>
    <row r="10" spans="1:12" x14ac:dyDescent="0.15">
      <c r="A10" t="s">
        <v>76</v>
      </c>
    </row>
    <row r="11" spans="1:12" x14ac:dyDescent="0.15">
      <c r="A11" t="s">
        <v>4</v>
      </c>
      <c r="B11">
        <f>E4/B9</f>
        <v>0.17240037511650211</v>
      </c>
    </row>
    <row r="12" spans="1:12" x14ac:dyDescent="0.15">
      <c r="A12" t="s">
        <v>5</v>
      </c>
      <c r="B12">
        <f>F4/B9</f>
        <v>2.7241383575632654E-2</v>
      </c>
    </row>
    <row r="13" spans="1:12" x14ac:dyDescent="0.15">
      <c r="A13" t="s">
        <v>6</v>
      </c>
      <c r="B13">
        <f>G4/B9</f>
        <v>3.8192140967526815E-2</v>
      </c>
    </row>
    <row r="14" spans="1:12" x14ac:dyDescent="0.15">
      <c r="A14" t="s">
        <v>7</v>
      </c>
      <c r="B14">
        <f>H4/B9</f>
        <v>4.8250722537864979E-4</v>
      </c>
    </row>
    <row r="15" spans="1:12" x14ac:dyDescent="0.15">
      <c r="A15" t="s">
        <v>8</v>
      </c>
      <c r="B15">
        <f>I4/B9</f>
        <v>7.7904592063326328E-3</v>
      </c>
    </row>
    <row r="18" spans="1:12" x14ac:dyDescent="0.15">
      <c r="A18" t="s">
        <v>124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12" x14ac:dyDescent="0.15">
      <c r="A19" t="s">
        <v>0</v>
      </c>
      <c r="B19">
        <v>33066</v>
      </c>
      <c r="C19">
        <v>162</v>
      </c>
      <c r="D19">
        <v>777</v>
      </c>
      <c r="E19">
        <v>6867</v>
      </c>
      <c r="F19">
        <v>747</v>
      </c>
      <c r="G19">
        <v>494</v>
      </c>
      <c r="H19">
        <v>1</v>
      </c>
      <c r="I19">
        <v>161</v>
      </c>
    </row>
    <row r="20" spans="1:12" x14ac:dyDescent="0.15">
      <c r="A20" t="s">
        <v>125</v>
      </c>
    </row>
    <row r="21" spans="1:12" x14ac:dyDescent="0.15">
      <c r="A21" t="s">
        <v>122</v>
      </c>
      <c r="B21" s="12">
        <v>4941</v>
      </c>
      <c r="C21" s="12">
        <v>4014</v>
      </c>
      <c r="D21" s="12">
        <v>4014</v>
      </c>
      <c r="E21" s="12">
        <v>3450</v>
      </c>
      <c r="F21" s="12">
        <v>7292</v>
      </c>
      <c r="G21" s="12">
        <v>2100</v>
      </c>
      <c r="H21" s="12">
        <v>1233</v>
      </c>
      <c r="I21" s="12">
        <v>6000</v>
      </c>
      <c r="K21">
        <f>SUM(B24:D24)</f>
        <v>1674.3093488691552</v>
      </c>
      <c r="L21">
        <f>SUM(E24:I24)</f>
        <v>1096.8205538661527</v>
      </c>
    </row>
    <row r="22" spans="1:12" x14ac:dyDescent="0.15">
      <c r="A22" t="s">
        <v>123</v>
      </c>
      <c r="B22">
        <v>1170</v>
      </c>
      <c r="C22">
        <v>0</v>
      </c>
      <c r="D22">
        <v>50</v>
      </c>
      <c r="E22" s="4">
        <v>360</v>
      </c>
      <c r="F22" s="4">
        <v>80</v>
      </c>
      <c r="G22" s="4">
        <v>180</v>
      </c>
      <c r="H22" s="4">
        <v>25</v>
      </c>
      <c r="I22" s="4">
        <v>10</v>
      </c>
      <c r="K22">
        <f>K21/L21</f>
        <v>1.5265116458361652</v>
      </c>
      <c r="L22">
        <v>1</v>
      </c>
    </row>
    <row r="23" spans="1:12" x14ac:dyDescent="0.15">
      <c r="A23" t="s">
        <v>0</v>
      </c>
      <c r="B23">
        <f>B21*B22/100</f>
        <v>57809.7</v>
      </c>
      <c r="C23">
        <f t="shared" ref="C23:G23" si="2">C21*C22/100</f>
        <v>0</v>
      </c>
      <c r="D23">
        <f t="shared" si="2"/>
        <v>2007</v>
      </c>
      <c r="E23">
        <f t="shared" si="2"/>
        <v>12420</v>
      </c>
      <c r="F23">
        <f t="shared" si="2"/>
        <v>5833.6</v>
      </c>
      <c r="G23">
        <f t="shared" si="2"/>
        <v>3780</v>
      </c>
      <c r="H23">
        <f>H21*H22/100</f>
        <v>308.25</v>
      </c>
      <c r="I23">
        <f>I21*I22/100</f>
        <v>600</v>
      </c>
      <c r="K23">
        <f>1/K22</f>
        <v>0.65508835306149138</v>
      </c>
    </row>
    <row r="24" spans="1:12" x14ac:dyDescent="0.15">
      <c r="A24" t="s">
        <v>127</v>
      </c>
      <c r="B24">
        <f>B23/'发电量-产量转化'!B4</f>
        <v>1658.0451837619187</v>
      </c>
      <c r="C24">
        <f>C23/'发电量-产量转化'!C4</f>
        <v>0</v>
      </c>
      <c r="D24">
        <f>D23/'发电量-产量转化'!D4</f>
        <v>16.264165107236597</v>
      </c>
      <c r="E24">
        <f>E23/'发电量-产量转化'!E4</f>
        <v>343.7795710270359</v>
      </c>
      <c r="F24">
        <f>F23/'发电量-产量转化'!F4</f>
        <v>234.54842283679972</v>
      </c>
      <c r="G24">
        <f>G23/'发电量-产量转化'!G4</f>
        <v>322.20046733141891</v>
      </c>
      <c r="H24">
        <f>H23/'发电量-产量转化'!H4</f>
        <v>163.98125913874614</v>
      </c>
      <c r="I24">
        <f>I23/'发电量-产量转化'!I4</f>
        <v>32.310833532152159</v>
      </c>
    </row>
    <row r="25" spans="1:12" x14ac:dyDescent="0.15">
      <c r="A25" t="s">
        <v>126</v>
      </c>
      <c r="B25">
        <f t="shared" ref="B25:G25" si="3">$I25/$I24*B24</f>
        <v>51.315456845519506</v>
      </c>
      <c r="C25">
        <f t="shared" si="3"/>
        <v>0</v>
      </c>
      <c r="D25">
        <f t="shared" si="3"/>
        <v>0.50336569284269017</v>
      </c>
      <c r="E25">
        <f t="shared" si="3"/>
        <v>10.639761759316565</v>
      </c>
      <c r="F25">
        <f t="shared" si="3"/>
        <v>7.2591263423583028</v>
      </c>
      <c r="G25">
        <f t="shared" si="3"/>
        <v>9.9719020560333345</v>
      </c>
      <c r="H25">
        <f>$I25/$I24*H24</f>
        <v>5.0751169565331757</v>
      </c>
      <c r="I25">
        <v>1</v>
      </c>
    </row>
    <row r="26" spans="1:12" x14ac:dyDescent="0.15">
      <c r="A26" t="s">
        <v>128</v>
      </c>
      <c r="B26">
        <f>1/B25</f>
        <v>1.9487305803598486E-2</v>
      </c>
      <c r="C26" t="e">
        <f t="shared" ref="C26:I26" si="4">1/C25</f>
        <v>#DIV/0!</v>
      </c>
      <c r="D26">
        <f t="shared" si="4"/>
        <v>1.9866272457954659</v>
      </c>
      <c r="E26">
        <f t="shared" si="4"/>
        <v>9.398706687434645E-2</v>
      </c>
      <c r="F26">
        <f t="shared" si="4"/>
        <v>0.13775762438033634</v>
      </c>
      <c r="G26">
        <f t="shared" si="4"/>
        <v>0.10028177115868948</v>
      </c>
      <c r="H26">
        <f t="shared" si="4"/>
        <v>0.19703979407069711</v>
      </c>
      <c r="I26">
        <f t="shared" si="4"/>
        <v>1</v>
      </c>
    </row>
    <row r="27" spans="1:12" x14ac:dyDescent="0.15">
      <c r="B27">
        <f t="shared" ref="B27:I27" si="5">B24/$J30</f>
        <v>3.9220465612345802E-2</v>
      </c>
      <c r="C27">
        <f t="shared" si="5"/>
        <v>0</v>
      </c>
      <c r="D27">
        <f t="shared" si="5"/>
        <v>3.8472300667620571E-4</v>
      </c>
      <c r="E27">
        <f t="shared" si="5"/>
        <v>8.131982756405344E-3</v>
      </c>
      <c r="F27">
        <f t="shared" si="5"/>
        <v>5.5481590262992245E-3</v>
      </c>
      <c r="G27">
        <f t="shared" si="5"/>
        <v>7.6215367789809318E-3</v>
      </c>
      <c r="H27">
        <f t="shared" si="5"/>
        <v>3.8789180162920435E-3</v>
      </c>
      <c r="I27">
        <f t="shared" si="5"/>
        <v>7.6430120714730126E-4</v>
      </c>
    </row>
    <row r="30" spans="1:12" x14ac:dyDescent="0.15">
      <c r="B30">
        <v>33066</v>
      </c>
      <c r="C30">
        <v>162</v>
      </c>
      <c r="D30">
        <v>777</v>
      </c>
      <c r="E30">
        <v>6867</v>
      </c>
      <c r="F30">
        <v>747</v>
      </c>
      <c r="G30">
        <v>494</v>
      </c>
      <c r="H30">
        <v>1</v>
      </c>
      <c r="I30">
        <v>161</v>
      </c>
      <c r="J30">
        <f>SUM(B30:I30)</f>
        <v>42275</v>
      </c>
    </row>
    <row r="31" spans="1:12" x14ac:dyDescent="0.15">
      <c r="D31">
        <f>SUM(B30:D30)</f>
        <v>34005</v>
      </c>
      <c r="E31">
        <f>SUM(E30:I30)</f>
        <v>8270</v>
      </c>
    </row>
    <row r="32" spans="1:12" x14ac:dyDescent="0.15">
      <c r="E32">
        <f>E31/J30</f>
        <v>0.19562389118864576</v>
      </c>
    </row>
    <row r="33" spans="2:10" x14ac:dyDescent="0.15">
      <c r="B33">
        <v>57809.7</v>
      </c>
      <c r="C33">
        <v>0</v>
      </c>
      <c r="D33">
        <v>2007</v>
      </c>
      <c r="E33">
        <v>12420</v>
      </c>
      <c r="F33">
        <v>5833.6</v>
      </c>
      <c r="G33">
        <v>3780</v>
      </c>
      <c r="H33">
        <v>308.25</v>
      </c>
      <c r="I33">
        <v>600</v>
      </c>
      <c r="J33">
        <f>SUM(B33:I33)</f>
        <v>82758.55</v>
      </c>
    </row>
    <row r="34" spans="2:10" x14ac:dyDescent="0.15">
      <c r="E34">
        <f>SUM(E33:I33)</f>
        <v>22941.85</v>
      </c>
    </row>
    <row r="35" spans="2:10" x14ac:dyDescent="0.15">
      <c r="E35">
        <f>E34/J33</f>
        <v>0.27721425762051172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topLeftCell="A49" workbookViewId="0">
      <selection activeCell="I66" sqref="I66"/>
    </sheetView>
  </sheetViews>
  <sheetFormatPr defaultRowHeight="13.5" x14ac:dyDescent="0.15"/>
  <cols>
    <col min="1" max="1" width="23.75" bestFit="1" customWidth="1"/>
    <col min="2" max="2" width="10.5" bestFit="1" customWidth="1"/>
    <col min="3" max="4" width="9.5" bestFit="1" customWidth="1"/>
    <col min="5" max="5" width="11.625" bestFit="1" customWidth="1"/>
    <col min="6" max="6" width="13.875" bestFit="1" customWidth="1"/>
    <col min="7" max="7" width="10.5" bestFit="1" customWidth="1"/>
    <col min="8" max="8" width="11.625" bestFit="1" customWidth="1"/>
    <col min="9" max="9" width="13.875" bestFit="1" customWidth="1"/>
    <col min="13" max="14" width="11.625" bestFit="1" customWidth="1"/>
    <col min="15" max="15" width="12.75" bestFit="1" customWidth="1"/>
    <col min="16" max="16" width="11.625" bestFit="1" customWidth="1"/>
    <col min="17" max="18" width="12.75" bestFit="1" customWidth="1"/>
    <col min="19" max="19" width="11.625" bestFit="1" customWidth="1"/>
    <col min="20" max="21" width="12.75" bestFit="1" customWidth="1"/>
  </cols>
  <sheetData>
    <row r="1" spans="1:12" x14ac:dyDescent="0.15">
      <c r="A1" t="s">
        <v>123</v>
      </c>
      <c r="B1" s="8" t="s">
        <v>12</v>
      </c>
      <c r="C1" s="8" t="s">
        <v>13</v>
      </c>
      <c r="D1" s="8" t="s">
        <v>14</v>
      </c>
      <c r="E1" s="8" t="s">
        <v>162</v>
      </c>
      <c r="F1" s="8" t="s">
        <v>16</v>
      </c>
      <c r="G1" s="8" t="s">
        <v>17</v>
      </c>
      <c r="H1" s="8" t="s">
        <v>18</v>
      </c>
      <c r="I1" s="8" t="s">
        <v>19</v>
      </c>
      <c r="K1" s="8" t="s">
        <v>163</v>
      </c>
      <c r="L1" s="8" t="s">
        <v>167</v>
      </c>
    </row>
    <row r="2" spans="1:12" x14ac:dyDescent="0.15">
      <c r="A2" s="13" t="s">
        <v>153</v>
      </c>
      <c r="B2">
        <f>709.67-C2-D2-I2</f>
        <v>671.04</v>
      </c>
      <c r="C2">
        <v>8.7799999999999994</v>
      </c>
      <c r="D2">
        <v>26.44</v>
      </c>
      <c r="E2">
        <v>216</v>
      </c>
      <c r="F2">
        <v>10.82</v>
      </c>
      <c r="G2">
        <v>29.58</v>
      </c>
      <c r="H2">
        <v>0.26</v>
      </c>
      <c r="I2">
        <v>3.41</v>
      </c>
      <c r="K2" s="8" t="s">
        <v>163</v>
      </c>
      <c r="L2" t="s">
        <v>165</v>
      </c>
    </row>
    <row r="3" spans="1:12" x14ac:dyDescent="0.15">
      <c r="A3" s="13" t="s">
        <v>154</v>
      </c>
      <c r="B3" s="13">
        <f t="shared" ref="B3:B10" si="0">AA30/1000</f>
        <v>822.495</v>
      </c>
      <c r="C3" s="13">
        <f t="shared" ref="C3:D10" si="1">Y30/1000</f>
        <v>1.1659999999999999</v>
      </c>
      <c r="D3" s="13">
        <f t="shared" si="1"/>
        <v>94.272999999999996</v>
      </c>
      <c r="E3">
        <f t="shared" ref="E3:E10" si="2">(N30+W30)/1000</f>
        <v>305.589</v>
      </c>
      <c r="F3">
        <v>42.79</v>
      </c>
      <c r="G3">
        <v>114.88</v>
      </c>
      <c r="H3">
        <v>42.024999999999999</v>
      </c>
      <c r="I3">
        <v>29.1</v>
      </c>
      <c r="K3" t="s">
        <v>187</v>
      </c>
    </row>
    <row r="4" spans="1:12" x14ac:dyDescent="0.15">
      <c r="A4" s="13" t="s">
        <v>155</v>
      </c>
      <c r="B4" s="13">
        <f t="shared" si="0"/>
        <v>1083.3879999999999</v>
      </c>
      <c r="C4" s="13">
        <f t="shared" si="1"/>
        <v>1.139</v>
      </c>
      <c r="D4" s="13">
        <f t="shared" si="1"/>
        <v>110.355</v>
      </c>
      <c r="E4">
        <f t="shared" si="2"/>
        <v>364.01100000000002</v>
      </c>
      <c r="F4">
        <v>50.5</v>
      </c>
      <c r="G4">
        <v>317.08800000000002</v>
      </c>
      <c r="H4">
        <v>157.02500000000001</v>
      </c>
      <c r="I4">
        <v>60.9</v>
      </c>
    </row>
    <row r="5" spans="1:12" x14ac:dyDescent="0.15">
      <c r="A5" s="13" t="s">
        <v>156</v>
      </c>
      <c r="B5" s="13">
        <f t="shared" si="0"/>
        <v>1079.8779999999999</v>
      </c>
      <c r="C5" s="13">
        <f t="shared" si="1"/>
        <v>1.0980000000000001</v>
      </c>
      <c r="D5" s="13">
        <f t="shared" si="1"/>
        <v>125.90900000000001</v>
      </c>
      <c r="E5">
        <f t="shared" si="2"/>
        <v>467.41199999999998</v>
      </c>
      <c r="F5">
        <v>64</v>
      </c>
      <c r="G5">
        <v>632.17600000000004</v>
      </c>
      <c r="H5">
        <v>500.23500000000001</v>
      </c>
      <c r="I5">
        <v>70.671999999999997</v>
      </c>
    </row>
    <row r="6" spans="1:12" x14ac:dyDescent="0.15">
      <c r="A6" s="13" t="s">
        <v>157</v>
      </c>
      <c r="B6" s="13">
        <f t="shared" si="0"/>
        <v>1052.1500000000001</v>
      </c>
      <c r="C6" s="13">
        <f t="shared" si="1"/>
        <v>1.012</v>
      </c>
      <c r="D6" s="13">
        <f t="shared" si="1"/>
        <v>130.119</v>
      </c>
      <c r="E6">
        <f t="shared" si="2"/>
        <v>522.06299999999999</v>
      </c>
      <c r="F6">
        <v>66</v>
      </c>
      <c r="G6">
        <v>1103.944</v>
      </c>
      <c r="H6">
        <v>1048.8579999999999</v>
      </c>
      <c r="I6">
        <v>87.6</v>
      </c>
    </row>
    <row r="7" spans="1:12" x14ac:dyDescent="0.15">
      <c r="A7" s="13" t="s">
        <v>158</v>
      </c>
      <c r="B7" s="13">
        <f t="shared" si="0"/>
        <v>1037.588</v>
      </c>
      <c r="C7" s="13">
        <f t="shared" si="1"/>
        <v>0.86199999999999999</v>
      </c>
      <c r="D7" s="13">
        <f t="shared" si="1"/>
        <v>156.81800000000001</v>
      </c>
      <c r="E7">
        <f t="shared" si="2"/>
        <v>554.30799999999999</v>
      </c>
      <c r="F7">
        <v>69</v>
      </c>
      <c r="G7">
        <v>1663.348</v>
      </c>
      <c r="H7">
        <v>1657.0550000000001</v>
      </c>
      <c r="I7">
        <v>119.33499999999999</v>
      </c>
    </row>
    <row r="8" spans="1:12" x14ac:dyDescent="0.15">
      <c r="A8" s="13" t="s">
        <v>159</v>
      </c>
      <c r="B8" s="13">
        <f t="shared" si="0"/>
        <v>972.29899999999998</v>
      </c>
      <c r="C8" s="13">
        <f t="shared" si="1"/>
        <v>0.82399999999999995</v>
      </c>
      <c r="D8" s="13">
        <f t="shared" si="1"/>
        <v>173.119</v>
      </c>
      <c r="E8">
        <f t="shared" si="2"/>
        <v>579.41499999999996</v>
      </c>
      <c r="F8">
        <v>78</v>
      </c>
      <c r="G8">
        <v>2092.248</v>
      </c>
      <c r="H8">
        <v>2206.3330000000001</v>
      </c>
      <c r="I8">
        <v>150.4</v>
      </c>
    </row>
    <row r="9" spans="1:12" x14ac:dyDescent="0.15">
      <c r="A9" s="13" t="s">
        <v>160</v>
      </c>
      <c r="B9" s="13">
        <f t="shared" si="0"/>
        <v>928.53399999999999</v>
      </c>
      <c r="C9" s="13">
        <f t="shared" si="1"/>
        <v>0.82399999999999995</v>
      </c>
      <c r="D9" s="13">
        <f t="shared" si="1"/>
        <v>191.75</v>
      </c>
      <c r="E9">
        <f t="shared" si="2"/>
        <v>635.66399999999999</v>
      </c>
      <c r="F9">
        <v>85</v>
      </c>
      <c r="G9">
        <v>2287.63</v>
      </c>
      <c r="H9">
        <v>2678.2</v>
      </c>
      <c r="I9">
        <v>192.774</v>
      </c>
    </row>
    <row r="10" spans="1:12" x14ac:dyDescent="0.15">
      <c r="A10" s="13" t="s">
        <v>161</v>
      </c>
      <c r="B10" s="13">
        <f t="shared" si="0"/>
        <v>886.69100000000003</v>
      </c>
      <c r="C10" s="13">
        <f t="shared" si="1"/>
        <v>0.82399999999999995</v>
      </c>
      <c r="D10" s="13">
        <f t="shared" si="1"/>
        <v>219.834</v>
      </c>
      <c r="E10">
        <f t="shared" si="2"/>
        <v>696.35299999999995</v>
      </c>
      <c r="F10">
        <v>100</v>
      </c>
      <c r="G10">
        <v>2396.5909999999999</v>
      </c>
      <c r="H10">
        <v>2696.1640000000002</v>
      </c>
      <c r="I10">
        <v>214.1</v>
      </c>
    </row>
    <row r="11" spans="1:12" x14ac:dyDescent="0.15">
      <c r="A11" s="13"/>
      <c r="B11" s="13"/>
      <c r="C11" s="13"/>
      <c r="D11" s="13"/>
    </row>
    <row r="12" spans="1:12" x14ac:dyDescent="0.15">
      <c r="A12" t="s">
        <v>123</v>
      </c>
      <c r="B12" s="8" t="s">
        <v>12</v>
      </c>
      <c r="C12" s="8" t="s">
        <v>13</v>
      </c>
      <c r="D12" s="8" t="s">
        <v>14</v>
      </c>
      <c r="E12" s="8" t="s">
        <v>162</v>
      </c>
      <c r="F12" s="8" t="s">
        <v>16</v>
      </c>
      <c r="G12" s="8" t="s">
        <v>17</v>
      </c>
      <c r="H12" s="8" t="s">
        <v>18</v>
      </c>
      <c r="I12" s="8" t="s">
        <v>19</v>
      </c>
      <c r="K12" s="8" t="s">
        <v>163</v>
      </c>
      <c r="L12" s="8" t="s">
        <v>167</v>
      </c>
    </row>
    <row r="13" spans="1:12" x14ac:dyDescent="0.15">
      <c r="A13" s="13" t="s">
        <v>153</v>
      </c>
      <c r="B13">
        <f>709.67-C13-D13-I13</f>
        <v>671.04</v>
      </c>
      <c r="C13">
        <v>8.7799999999999994</v>
      </c>
      <c r="D13">
        <v>26.44</v>
      </c>
      <c r="E13">
        <v>216</v>
      </c>
      <c r="F13">
        <v>10.82</v>
      </c>
      <c r="G13">
        <v>29.58</v>
      </c>
      <c r="H13">
        <v>0.26</v>
      </c>
      <c r="I13">
        <v>3.41</v>
      </c>
      <c r="K13" s="8" t="s">
        <v>163</v>
      </c>
      <c r="L13" t="s">
        <v>165</v>
      </c>
    </row>
    <row r="14" spans="1:12" x14ac:dyDescent="0.15">
      <c r="A14" s="13" t="s">
        <v>154</v>
      </c>
      <c r="B14" s="13">
        <f>AA41/1000</f>
        <v>822.495</v>
      </c>
      <c r="C14" s="13">
        <f>Y41/1000</f>
        <v>1.1659999999999999</v>
      </c>
      <c r="D14" s="13">
        <f>Z41/1000</f>
        <v>70.704999999999998</v>
      </c>
      <c r="E14">
        <f>(N41+W41)/1000</f>
        <v>305.589</v>
      </c>
      <c r="F14">
        <f>X41/1000</f>
        <v>39.9</v>
      </c>
      <c r="G14">
        <f>V41/1000</f>
        <v>105.325</v>
      </c>
      <c r="H14">
        <f>U41/1000</f>
        <v>42.04</v>
      </c>
      <c r="I14">
        <f>SUM(Q41:T41)/1000</f>
        <v>31.001000000000001</v>
      </c>
      <c r="K14" t="s">
        <v>188</v>
      </c>
    </row>
    <row r="15" spans="1:12" x14ac:dyDescent="0.15">
      <c r="A15" s="13" t="s">
        <v>155</v>
      </c>
      <c r="B15" s="13">
        <f t="shared" ref="B15:B21" si="3">AA42/1000</f>
        <v>901.89599999999996</v>
      </c>
      <c r="C15" s="13">
        <f t="shared" ref="C15:D15" si="4">Y42/1000</f>
        <v>1.139</v>
      </c>
      <c r="D15" s="13">
        <f t="shared" si="4"/>
        <v>127.80200000000001</v>
      </c>
      <c r="E15">
        <f t="shared" ref="E15:E21" si="5">(N42+W42)/1000</f>
        <v>360.161</v>
      </c>
      <c r="F15">
        <f t="shared" ref="F15:F21" si="6">X42/1000</f>
        <v>64.28</v>
      </c>
      <c r="G15">
        <f t="shared" ref="G15:G21" si="7">V42/1000</f>
        <v>249.39</v>
      </c>
      <c r="H15">
        <f t="shared" ref="H15:H20" si="8">U42/1000</f>
        <v>104.527</v>
      </c>
      <c r="I15">
        <f t="shared" ref="I15:I21" si="9">SUM(Q42:T42)/1000</f>
        <v>58.006</v>
      </c>
    </row>
    <row r="16" spans="1:12" x14ac:dyDescent="0.15">
      <c r="A16" s="13" t="s">
        <v>156</v>
      </c>
      <c r="B16" s="13">
        <f t="shared" si="3"/>
        <v>1037.9469999999999</v>
      </c>
      <c r="C16" s="13">
        <f t="shared" ref="C16:D16" si="10">Y43/1000</f>
        <v>1.427</v>
      </c>
      <c r="D16" s="13">
        <f t="shared" si="10"/>
        <v>132.523</v>
      </c>
      <c r="E16">
        <f t="shared" si="5"/>
        <v>427.78899999999999</v>
      </c>
      <c r="F16">
        <f t="shared" si="6"/>
        <v>82.76</v>
      </c>
      <c r="G16">
        <f t="shared" si="7"/>
        <v>434.54300000000001</v>
      </c>
      <c r="H16">
        <f t="shared" si="8"/>
        <v>171.71799999999999</v>
      </c>
      <c r="I16">
        <f t="shared" si="9"/>
        <v>61.195</v>
      </c>
    </row>
    <row r="17" spans="1:27" x14ac:dyDescent="0.15">
      <c r="A17" s="13" t="s">
        <v>157</v>
      </c>
      <c r="B17" s="13">
        <f t="shared" si="3"/>
        <v>1121.798</v>
      </c>
      <c r="C17" s="13">
        <f t="shared" ref="C17:D17" si="11">Y44/1000</f>
        <v>1.3160000000000001</v>
      </c>
      <c r="D17" s="13">
        <f t="shared" si="11"/>
        <v>136.101</v>
      </c>
      <c r="E17">
        <f t="shared" si="5"/>
        <v>497.26299999999998</v>
      </c>
      <c r="F17">
        <f t="shared" si="6"/>
        <v>112.86</v>
      </c>
      <c r="G17">
        <f t="shared" si="7"/>
        <v>592.471</v>
      </c>
      <c r="H17">
        <f t="shared" si="8"/>
        <v>309.923</v>
      </c>
      <c r="I17">
        <f t="shared" si="9"/>
        <v>68.602999999999994</v>
      </c>
    </row>
    <row r="18" spans="1:27" x14ac:dyDescent="0.15">
      <c r="A18" s="13" t="s">
        <v>158</v>
      </c>
      <c r="B18" s="13">
        <f t="shared" si="3"/>
        <v>1138.1220000000001</v>
      </c>
      <c r="C18" s="13">
        <f t="shared" ref="C18:D18" si="12">Y45/1000</f>
        <v>1.121</v>
      </c>
      <c r="D18" s="13">
        <f t="shared" si="12"/>
        <v>150.29499999999999</v>
      </c>
      <c r="E18">
        <f t="shared" si="5"/>
        <v>530.61400000000003</v>
      </c>
      <c r="F18">
        <f t="shared" si="6"/>
        <v>152.51</v>
      </c>
      <c r="G18">
        <f t="shared" si="7"/>
        <v>733.471</v>
      </c>
      <c r="H18">
        <f t="shared" si="8"/>
        <v>535.92200000000003</v>
      </c>
      <c r="I18">
        <f t="shared" si="9"/>
        <v>83.512</v>
      </c>
    </row>
    <row r="19" spans="1:27" x14ac:dyDescent="0.15">
      <c r="A19" s="13" t="s">
        <v>159</v>
      </c>
      <c r="B19" s="13">
        <f t="shared" si="3"/>
        <v>1083.434</v>
      </c>
      <c r="C19" s="13">
        <f t="shared" ref="C19:D19" si="13">Y46/1000</f>
        <v>1.071</v>
      </c>
      <c r="D19" s="13">
        <f t="shared" si="13"/>
        <v>167.339</v>
      </c>
      <c r="E19">
        <f t="shared" si="5"/>
        <v>567.65700000000004</v>
      </c>
      <c r="F19">
        <f t="shared" si="6"/>
        <v>201.3</v>
      </c>
      <c r="G19">
        <f t="shared" si="7"/>
        <v>847.44399999999996</v>
      </c>
      <c r="H19">
        <f t="shared" si="8"/>
        <v>777.15700000000004</v>
      </c>
      <c r="I19">
        <f t="shared" si="9"/>
        <v>101.65</v>
      </c>
    </row>
    <row r="20" spans="1:27" x14ac:dyDescent="0.15">
      <c r="A20" s="13" t="s">
        <v>160</v>
      </c>
      <c r="B20" s="13">
        <f t="shared" si="3"/>
        <v>1025.3800000000001</v>
      </c>
      <c r="C20" s="13">
        <f t="shared" ref="C20:D20" si="14">Y47/1000</f>
        <v>1.071</v>
      </c>
      <c r="D20" s="13">
        <f t="shared" si="14"/>
        <v>188.81299999999999</v>
      </c>
      <c r="E20">
        <f t="shared" si="5"/>
        <v>626.93200000000002</v>
      </c>
      <c r="F20">
        <f t="shared" si="6"/>
        <v>254.2</v>
      </c>
      <c r="G20">
        <f t="shared" si="7"/>
        <v>904.39</v>
      </c>
      <c r="H20">
        <f t="shared" si="8"/>
        <v>949.59299999999996</v>
      </c>
      <c r="I20">
        <f t="shared" si="9"/>
        <v>114.453</v>
      </c>
    </row>
    <row r="21" spans="1:27" x14ac:dyDescent="0.15">
      <c r="A21" s="13" t="s">
        <v>161</v>
      </c>
      <c r="B21" s="13">
        <f t="shared" si="3"/>
        <v>954.274</v>
      </c>
      <c r="C21" s="13">
        <f t="shared" ref="C21:D21" si="15">Y48/1000</f>
        <v>1.071</v>
      </c>
      <c r="D21" s="13">
        <f t="shared" si="15"/>
        <v>224.876</v>
      </c>
      <c r="E21">
        <f t="shared" si="5"/>
        <v>692.05799999999999</v>
      </c>
      <c r="F21">
        <f t="shared" si="6"/>
        <v>300</v>
      </c>
      <c r="G21">
        <f t="shared" si="7"/>
        <v>934.30899999999997</v>
      </c>
      <c r="H21">
        <f>U48/1000</f>
        <v>1027.0050000000001</v>
      </c>
      <c r="I21">
        <f t="shared" si="9"/>
        <v>124.95099999999999</v>
      </c>
    </row>
    <row r="23" spans="1:27" x14ac:dyDescent="0.15">
      <c r="A23" t="s">
        <v>123</v>
      </c>
      <c r="B23" s="8" t="s">
        <v>12</v>
      </c>
      <c r="C23" s="8" t="s">
        <v>13</v>
      </c>
      <c r="D23" s="8" t="s">
        <v>14</v>
      </c>
      <c r="E23" s="8" t="s">
        <v>162</v>
      </c>
      <c r="F23" s="8" t="s">
        <v>16</v>
      </c>
      <c r="G23" s="8" t="s">
        <v>17</v>
      </c>
      <c r="H23" s="8" t="s">
        <v>18</v>
      </c>
      <c r="I23" s="8" t="s">
        <v>19</v>
      </c>
      <c r="K23" s="8" t="s">
        <v>163</v>
      </c>
      <c r="L23" s="8" t="s">
        <v>164</v>
      </c>
      <c r="M23" t="s">
        <v>170</v>
      </c>
    </row>
    <row r="24" spans="1:27" x14ac:dyDescent="0.15">
      <c r="A24" s="13" t="s">
        <v>153</v>
      </c>
      <c r="B24">
        <v>700</v>
      </c>
      <c r="C24">
        <v>1.1399999999999999</v>
      </c>
      <c r="D24">
        <v>30.5</v>
      </c>
      <c r="E24">
        <v>260.3</v>
      </c>
      <c r="F24">
        <v>11.9</v>
      </c>
      <c r="G24">
        <v>48.4</v>
      </c>
      <c r="H24">
        <v>3.8</v>
      </c>
      <c r="I24">
        <v>5.8</v>
      </c>
      <c r="J24">
        <f>H25/H24</f>
        <v>11.059210526315789</v>
      </c>
      <c r="K24" s="8" t="s">
        <v>163</v>
      </c>
      <c r="L24" t="s">
        <v>165</v>
      </c>
    </row>
    <row r="25" spans="1:27" x14ac:dyDescent="0.15">
      <c r="A25" s="13" t="s">
        <v>154</v>
      </c>
      <c r="B25" s="13"/>
      <c r="C25" s="13"/>
      <c r="D25" s="13"/>
      <c r="E25">
        <v>267.09899999999999</v>
      </c>
      <c r="F25">
        <v>42.79</v>
      </c>
      <c r="G25">
        <v>114.88</v>
      </c>
      <c r="H25">
        <v>42.024999999999999</v>
      </c>
      <c r="I25">
        <v>29.1</v>
      </c>
    </row>
    <row r="26" spans="1:27" x14ac:dyDescent="0.15">
      <c r="A26" s="13" t="s">
        <v>155</v>
      </c>
      <c r="B26" s="13"/>
      <c r="C26" s="13"/>
      <c r="D26" s="13"/>
      <c r="E26">
        <v>313.97300000000001</v>
      </c>
      <c r="F26">
        <v>50.5</v>
      </c>
      <c r="G26">
        <v>317.08800000000002</v>
      </c>
      <c r="H26">
        <v>157.02500000000001</v>
      </c>
      <c r="I26">
        <v>60.9</v>
      </c>
    </row>
    <row r="27" spans="1:27" x14ac:dyDescent="0.15">
      <c r="A27" s="13" t="s">
        <v>156</v>
      </c>
      <c r="B27" s="13"/>
      <c r="C27" s="13"/>
      <c r="D27" s="13"/>
      <c r="E27">
        <v>402.363</v>
      </c>
      <c r="F27">
        <v>64</v>
      </c>
      <c r="G27">
        <v>632.17600000000004</v>
      </c>
      <c r="H27">
        <v>500.23500000000001</v>
      </c>
      <c r="I27">
        <v>70.671999999999997</v>
      </c>
    </row>
    <row r="28" spans="1:27" x14ac:dyDescent="0.15">
      <c r="A28" s="13" t="s">
        <v>157</v>
      </c>
      <c r="B28" s="13"/>
      <c r="C28" s="13"/>
      <c r="D28" s="13"/>
      <c r="E28">
        <v>440.75200000000001</v>
      </c>
      <c r="F28">
        <v>66</v>
      </c>
      <c r="G28">
        <v>1103.944</v>
      </c>
      <c r="H28">
        <v>1048.8579999999999</v>
      </c>
      <c r="I28">
        <v>87.6</v>
      </c>
      <c r="K28" t="s">
        <v>185</v>
      </c>
      <c r="M28" t="s">
        <v>171</v>
      </c>
      <c r="N28" t="s">
        <v>184</v>
      </c>
      <c r="O28" t="s">
        <v>174</v>
      </c>
      <c r="P28" t="s">
        <v>175</v>
      </c>
      <c r="Q28" t="s">
        <v>176</v>
      </c>
      <c r="R28" t="s">
        <v>177</v>
      </c>
      <c r="S28" t="s">
        <v>178</v>
      </c>
      <c r="T28" t="s">
        <v>179</v>
      </c>
      <c r="U28" t="s">
        <v>180</v>
      </c>
      <c r="V28" t="s">
        <v>181</v>
      </c>
      <c r="W28" t="s">
        <v>4</v>
      </c>
      <c r="X28" t="s">
        <v>182</v>
      </c>
      <c r="Y28" t="s">
        <v>172</v>
      </c>
      <c r="Z28" t="s">
        <v>173</v>
      </c>
      <c r="AA28" t="s">
        <v>183</v>
      </c>
    </row>
    <row r="29" spans="1:27" x14ac:dyDescent="0.15">
      <c r="A29" s="13" t="s">
        <v>158</v>
      </c>
      <c r="B29" s="13"/>
      <c r="C29" s="13"/>
      <c r="D29" s="13"/>
      <c r="E29">
        <v>460.8</v>
      </c>
      <c r="F29">
        <v>69</v>
      </c>
      <c r="G29">
        <v>1663.348</v>
      </c>
      <c r="H29">
        <v>1657.0550000000001</v>
      </c>
      <c r="I29">
        <v>119.33499999999999</v>
      </c>
      <c r="L29">
        <v>2011</v>
      </c>
      <c r="M29" s="14"/>
      <c r="N29" s="14">
        <v>29608</v>
      </c>
      <c r="O29" s="14"/>
      <c r="P29" s="14"/>
      <c r="Q29" s="14"/>
      <c r="R29" s="14">
        <v>3402</v>
      </c>
      <c r="S29" s="14">
        <v>382</v>
      </c>
      <c r="T29" s="14">
        <v>2011</v>
      </c>
      <c r="U29" s="14">
        <v>3763</v>
      </c>
      <c r="V29" s="14">
        <v>48350</v>
      </c>
      <c r="W29" s="14">
        <v>230670</v>
      </c>
      <c r="X29" s="14">
        <v>12570</v>
      </c>
      <c r="Y29" s="14">
        <v>1224</v>
      </c>
      <c r="Z29" s="14">
        <v>32649</v>
      </c>
      <c r="AA29" s="14">
        <v>749062</v>
      </c>
    </row>
    <row r="30" spans="1:27" x14ac:dyDescent="0.15">
      <c r="A30" s="13" t="s">
        <v>159</v>
      </c>
      <c r="B30" s="13"/>
      <c r="C30" s="13"/>
      <c r="D30" s="13"/>
      <c r="E30">
        <v>471.88099999999997</v>
      </c>
      <c r="F30">
        <v>78</v>
      </c>
      <c r="G30">
        <v>2092.248</v>
      </c>
      <c r="H30">
        <v>2206.3330000000001</v>
      </c>
      <c r="I30">
        <v>150.4</v>
      </c>
      <c r="L30">
        <v>2015</v>
      </c>
      <c r="M30" s="14"/>
      <c r="N30" s="14">
        <v>38490</v>
      </c>
      <c r="O30" s="14"/>
      <c r="P30" s="14"/>
      <c r="Q30" s="14">
        <v>1100</v>
      </c>
      <c r="R30" s="14">
        <v>6738</v>
      </c>
      <c r="S30" s="14">
        <v>16192</v>
      </c>
      <c r="T30" s="14">
        <v>5040</v>
      </c>
      <c r="U30" s="14">
        <v>42025</v>
      </c>
      <c r="V30" s="14">
        <v>114880</v>
      </c>
      <c r="W30" s="14">
        <v>267099</v>
      </c>
      <c r="X30" s="14">
        <v>42790</v>
      </c>
      <c r="Y30" s="14">
        <v>1166</v>
      </c>
      <c r="Z30" s="14">
        <v>94273</v>
      </c>
      <c r="AA30" s="14">
        <v>822495</v>
      </c>
    </row>
    <row r="31" spans="1:27" x14ac:dyDescent="0.15">
      <c r="A31" s="13" t="s">
        <v>160</v>
      </c>
      <c r="B31" s="13"/>
      <c r="C31" s="13"/>
      <c r="D31" s="13"/>
      <c r="E31">
        <v>512</v>
      </c>
      <c r="F31">
        <v>85</v>
      </c>
      <c r="G31">
        <v>2287.63</v>
      </c>
      <c r="H31">
        <v>2678.2</v>
      </c>
      <c r="I31">
        <v>192.774</v>
      </c>
      <c r="L31">
        <v>2020</v>
      </c>
      <c r="M31" s="14"/>
      <c r="N31" s="14">
        <v>50038</v>
      </c>
      <c r="O31" s="14"/>
      <c r="P31" s="14"/>
      <c r="Q31" s="14">
        <v>1980</v>
      </c>
      <c r="R31" s="14">
        <v>11250</v>
      </c>
      <c r="S31" s="14">
        <v>39306</v>
      </c>
      <c r="T31" s="14">
        <v>8400</v>
      </c>
      <c r="U31" s="14">
        <v>157025</v>
      </c>
      <c r="V31" s="14">
        <v>317088</v>
      </c>
      <c r="W31" s="14">
        <v>313973</v>
      </c>
      <c r="X31" s="14">
        <v>50500</v>
      </c>
      <c r="Y31" s="14">
        <v>1139</v>
      </c>
      <c r="Z31" s="14">
        <v>110355</v>
      </c>
      <c r="AA31" s="14">
        <v>1083388</v>
      </c>
    </row>
    <row r="32" spans="1:27" x14ac:dyDescent="0.15">
      <c r="A32" s="13" t="s">
        <v>161</v>
      </c>
      <c r="B32" s="13"/>
      <c r="C32" s="13"/>
      <c r="D32" s="13"/>
      <c r="E32">
        <v>554.14</v>
      </c>
      <c r="F32">
        <v>100</v>
      </c>
      <c r="G32">
        <v>2396.5909999999999</v>
      </c>
      <c r="H32">
        <v>2696.1640000000002</v>
      </c>
      <c r="I32">
        <v>214.1</v>
      </c>
      <c r="L32">
        <v>2025</v>
      </c>
      <c r="M32" s="14"/>
      <c r="N32" s="14">
        <v>65049</v>
      </c>
      <c r="O32" s="14"/>
      <c r="P32" s="14"/>
      <c r="Q32" s="14">
        <v>3221</v>
      </c>
      <c r="R32" s="14">
        <v>15573</v>
      </c>
      <c r="S32" s="14">
        <v>39304</v>
      </c>
      <c r="T32" s="14">
        <v>12574</v>
      </c>
      <c r="U32" s="14">
        <v>500235</v>
      </c>
      <c r="V32" s="14">
        <v>632176</v>
      </c>
      <c r="W32" s="14">
        <v>402363</v>
      </c>
      <c r="X32" s="14">
        <v>64000</v>
      </c>
      <c r="Y32" s="14">
        <v>1098</v>
      </c>
      <c r="Z32" s="14">
        <v>125909</v>
      </c>
      <c r="AA32" s="14">
        <v>1079878</v>
      </c>
    </row>
    <row r="33" spans="1:27" x14ac:dyDescent="0.15">
      <c r="L33">
        <v>2030</v>
      </c>
      <c r="M33" s="14"/>
      <c r="N33" s="14">
        <v>81311</v>
      </c>
      <c r="O33" s="14"/>
      <c r="P33" s="14"/>
      <c r="Q33" s="14">
        <v>4955</v>
      </c>
      <c r="R33" s="14">
        <v>24431</v>
      </c>
      <c r="S33" s="14">
        <v>39304</v>
      </c>
      <c r="T33" s="14">
        <v>18899</v>
      </c>
      <c r="U33" s="14">
        <v>1048858</v>
      </c>
      <c r="V33" s="14">
        <v>1103944</v>
      </c>
      <c r="W33" s="14">
        <v>440752</v>
      </c>
      <c r="X33" s="14">
        <v>66000</v>
      </c>
      <c r="Y33" s="14">
        <v>1012</v>
      </c>
      <c r="Z33" s="14">
        <v>130119</v>
      </c>
      <c r="AA33" s="14">
        <v>1052150</v>
      </c>
    </row>
    <row r="34" spans="1:27" x14ac:dyDescent="0.15">
      <c r="L34">
        <v>2035</v>
      </c>
      <c r="M34" s="14"/>
      <c r="N34" s="14">
        <v>93508</v>
      </c>
      <c r="O34" s="14">
        <v>1000</v>
      </c>
      <c r="P34" s="14">
        <v>3750</v>
      </c>
      <c r="Q34" s="14">
        <v>8200</v>
      </c>
      <c r="R34" s="14">
        <v>38345</v>
      </c>
      <c r="S34" s="14">
        <v>39306</v>
      </c>
      <c r="T34" s="14">
        <v>33484</v>
      </c>
      <c r="U34" s="14">
        <v>1657055</v>
      </c>
      <c r="V34" s="14">
        <v>1663348</v>
      </c>
      <c r="W34" s="14">
        <v>460800</v>
      </c>
      <c r="X34" s="14">
        <v>69000</v>
      </c>
      <c r="Y34" s="14">
        <v>862</v>
      </c>
      <c r="Z34" s="14">
        <v>156818</v>
      </c>
      <c r="AA34" s="14">
        <v>1037588</v>
      </c>
    </row>
    <row r="35" spans="1:27" x14ac:dyDescent="0.15">
      <c r="B35" s="8" t="s">
        <v>12</v>
      </c>
      <c r="C35" s="8" t="s">
        <v>13</v>
      </c>
      <c r="D35" s="8" t="s">
        <v>14</v>
      </c>
      <c r="E35" s="8" t="s">
        <v>162</v>
      </c>
      <c r="F35" s="8" t="s">
        <v>16</v>
      </c>
      <c r="G35" s="8" t="s">
        <v>17</v>
      </c>
      <c r="H35" s="8" t="s">
        <v>18</v>
      </c>
      <c r="I35" s="8" t="s">
        <v>19</v>
      </c>
      <c r="L35">
        <v>2040</v>
      </c>
      <c r="M35" s="14">
        <v>47179</v>
      </c>
      <c r="N35" s="14">
        <v>107534</v>
      </c>
      <c r="O35" s="14">
        <v>1000</v>
      </c>
      <c r="P35" s="14">
        <v>11250</v>
      </c>
      <c r="Q35" s="14">
        <v>12329</v>
      </c>
      <c r="R35" s="14">
        <v>50110</v>
      </c>
      <c r="S35" s="14">
        <v>33730</v>
      </c>
      <c r="T35" s="14">
        <v>54215</v>
      </c>
      <c r="U35" s="14">
        <v>2206333</v>
      </c>
      <c r="V35" s="14">
        <v>2092248</v>
      </c>
      <c r="W35" s="14">
        <v>471881</v>
      </c>
      <c r="X35" s="14">
        <v>78000</v>
      </c>
      <c r="Y35" s="14">
        <v>824</v>
      </c>
      <c r="Z35" s="14">
        <v>173119</v>
      </c>
      <c r="AA35" s="14">
        <v>972299</v>
      </c>
    </row>
    <row r="36" spans="1:27" x14ac:dyDescent="0.15">
      <c r="A36" t="s">
        <v>122</v>
      </c>
      <c r="B36" s="12">
        <v>4941</v>
      </c>
      <c r="C36" s="12">
        <v>4014</v>
      </c>
      <c r="D36" s="12">
        <v>4014</v>
      </c>
      <c r="E36" s="12">
        <v>3450</v>
      </c>
      <c r="F36" s="12">
        <v>7292</v>
      </c>
      <c r="G36" s="12">
        <v>2100</v>
      </c>
      <c r="H36" s="12">
        <v>1233</v>
      </c>
      <c r="I36" s="12">
        <v>6000</v>
      </c>
      <c r="L36">
        <v>2045</v>
      </c>
      <c r="M36" s="14">
        <v>106061</v>
      </c>
      <c r="N36" s="14">
        <v>123664</v>
      </c>
      <c r="O36" s="14">
        <v>1000</v>
      </c>
      <c r="P36" s="14">
        <v>11250</v>
      </c>
      <c r="Q36" s="14">
        <v>27465</v>
      </c>
      <c r="R36" s="14">
        <v>58084</v>
      </c>
      <c r="S36" s="14">
        <v>34681</v>
      </c>
      <c r="T36" s="14">
        <v>72544</v>
      </c>
      <c r="U36" s="14">
        <v>2678300</v>
      </c>
      <c r="V36" s="14">
        <v>2287630</v>
      </c>
      <c r="W36" s="14">
        <v>512000</v>
      </c>
      <c r="X36" s="14">
        <v>85000</v>
      </c>
      <c r="Y36" s="14">
        <v>824</v>
      </c>
      <c r="Z36" s="14">
        <v>191750</v>
      </c>
      <c r="AA36" s="14">
        <v>928534</v>
      </c>
    </row>
    <row r="37" spans="1:27" x14ac:dyDescent="0.15">
      <c r="A37" t="s">
        <v>168</v>
      </c>
      <c r="B37">
        <f t="shared" ref="B37:G37" si="16">B40/B24</f>
        <v>4723.7142857142853</v>
      </c>
      <c r="C37">
        <f t="shared" si="16"/>
        <v>14210.526315789475</v>
      </c>
      <c r="D37">
        <f t="shared" si="16"/>
        <v>2547.5409836065573</v>
      </c>
      <c r="E37">
        <f t="shared" si="16"/>
        <v>2638.109873223204</v>
      </c>
      <c r="F37">
        <f t="shared" si="16"/>
        <v>6277.3109243697481</v>
      </c>
      <c r="G37">
        <f t="shared" si="16"/>
        <v>1020.6611570247934</v>
      </c>
      <c r="H37">
        <f>H40/H24</f>
        <v>26.315789473684212</v>
      </c>
      <c r="I37">
        <f>I40/I24</f>
        <v>2775.8620689655172</v>
      </c>
      <c r="L37">
        <v>2050</v>
      </c>
      <c r="M37" s="14">
        <v>158525</v>
      </c>
      <c r="N37" s="14">
        <v>142213</v>
      </c>
      <c r="O37" s="14">
        <v>1000</v>
      </c>
      <c r="P37" s="14">
        <v>11250</v>
      </c>
      <c r="Q37" s="14">
        <v>32854</v>
      </c>
      <c r="R37" s="14">
        <v>61047</v>
      </c>
      <c r="S37" s="14">
        <v>39306</v>
      </c>
      <c r="T37" s="14">
        <v>80857</v>
      </c>
      <c r="U37" s="14">
        <v>2696164</v>
      </c>
      <c r="V37" s="14">
        <v>2396591</v>
      </c>
      <c r="W37" s="14">
        <v>554140</v>
      </c>
      <c r="X37" s="14">
        <v>100000</v>
      </c>
      <c r="Y37" s="14">
        <v>824</v>
      </c>
      <c r="Z37" s="14">
        <v>219834</v>
      </c>
      <c r="AA37" s="14">
        <v>886691</v>
      </c>
    </row>
    <row r="38" spans="1:27" x14ac:dyDescent="0.15">
      <c r="M38" s="14"/>
      <c r="N38" s="14"/>
      <c r="O38" s="14"/>
      <c r="P38" s="14"/>
      <c r="Q38" s="14"/>
      <c r="R38" s="14"/>
      <c r="S38" s="14"/>
      <c r="T38" s="14"/>
      <c r="U38" s="14"/>
    </row>
    <row r="39" spans="1:27" x14ac:dyDescent="0.15">
      <c r="A39" t="s">
        <v>166</v>
      </c>
      <c r="B39" s="8" t="s">
        <v>12</v>
      </c>
      <c r="C39" s="8" t="s">
        <v>13</v>
      </c>
      <c r="D39" s="8" t="s">
        <v>14</v>
      </c>
      <c r="E39" s="8" t="s">
        <v>162</v>
      </c>
      <c r="F39" s="8" t="s">
        <v>16</v>
      </c>
      <c r="G39" s="8" t="s">
        <v>17</v>
      </c>
      <c r="H39" s="8" t="s">
        <v>18</v>
      </c>
      <c r="I39" s="8" t="s">
        <v>19</v>
      </c>
      <c r="K39" t="s">
        <v>186</v>
      </c>
      <c r="L39" s="15"/>
      <c r="M39" t="s">
        <v>171</v>
      </c>
      <c r="N39" t="s">
        <v>184</v>
      </c>
      <c r="O39" t="s">
        <v>174</v>
      </c>
      <c r="P39" t="s">
        <v>175</v>
      </c>
      <c r="Q39" t="s">
        <v>176</v>
      </c>
      <c r="R39" t="s">
        <v>177</v>
      </c>
      <c r="S39" t="s">
        <v>178</v>
      </c>
      <c r="T39" t="s">
        <v>179</v>
      </c>
      <c r="U39" t="s">
        <v>180</v>
      </c>
      <c r="V39" t="s">
        <v>181</v>
      </c>
      <c r="W39" t="s">
        <v>4</v>
      </c>
      <c r="X39" t="s">
        <v>182</v>
      </c>
      <c r="Y39" t="s">
        <v>172</v>
      </c>
      <c r="Z39" t="s">
        <v>173</v>
      </c>
      <c r="AA39" t="s">
        <v>183</v>
      </c>
    </row>
    <row r="40" spans="1:27" x14ac:dyDescent="0.15">
      <c r="A40" s="13" t="s">
        <v>153</v>
      </c>
      <c r="B40">
        <f>3416600-C40-D40-I40</f>
        <v>3306600</v>
      </c>
      <c r="C40">
        <v>16200</v>
      </c>
      <c r="D40">
        <v>77700</v>
      </c>
      <c r="E40">
        <v>686700</v>
      </c>
      <c r="F40">
        <v>74700</v>
      </c>
      <c r="G40">
        <v>49400</v>
      </c>
      <c r="H40">
        <v>100</v>
      </c>
      <c r="I40">
        <v>16100</v>
      </c>
      <c r="L40" s="16">
        <v>2011</v>
      </c>
      <c r="M40" s="14"/>
      <c r="N40" s="16">
        <v>29608</v>
      </c>
      <c r="O40" s="14"/>
      <c r="P40" s="14"/>
      <c r="Q40" s="14"/>
      <c r="R40" s="16">
        <v>3402</v>
      </c>
      <c r="S40" s="16">
        <v>382</v>
      </c>
      <c r="T40" s="16">
        <v>2011</v>
      </c>
      <c r="U40" s="16">
        <v>3763</v>
      </c>
      <c r="V40" s="16">
        <v>48350</v>
      </c>
      <c r="W40" s="16">
        <v>230670</v>
      </c>
      <c r="X40" s="16">
        <v>11920</v>
      </c>
      <c r="Y40" s="16">
        <v>1224</v>
      </c>
      <c r="Z40" s="16">
        <v>32649</v>
      </c>
      <c r="AA40" s="16">
        <v>749062</v>
      </c>
    </row>
    <row r="41" spans="1:27" x14ac:dyDescent="0.15">
      <c r="A41" s="13" t="s">
        <v>154</v>
      </c>
      <c r="B41">
        <f t="shared" ref="B41:I41" si="17">B3*B$37</f>
        <v>3885231.381428571</v>
      </c>
      <c r="C41">
        <f t="shared" si="17"/>
        <v>16569.473684210527</v>
      </c>
      <c r="D41">
        <f t="shared" si="17"/>
        <v>240164.33114754097</v>
      </c>
      <c r="E41">
        <f t="shared" si="17"/>
        <v>806177.35804840573</v>
      </c>
      <c r="F41">
        <f t="shared" si="17"/>
        <v>268606.13445378153</v>
      </c>
      <c r="G41">
        <f t="shared" si="17"/>
        <v>117253.55371900825</v>
      </c>
      <c r="H41">
        <f t="shared" si="17"/>
        <v>1105.921052631579</v>
      </c>
      <c r="I41">
        <f t="shared" si="17"/>
        <v>80777.586206896551</v>
      </c>
      <c r="L41" s="16">
        <v>2015</v>
      </c>
      <c r="M41" s="14"/>
      <c r="N41" s="16">
        <v>38490</v>
      </c>
      <c r="O41" s="14"/>
      <c r="P41" s="14"/>
      <c r="Q41" s="16">
        <v>1751</v>
      </c>
      <c r="R41" s="16">
        <v>5799</v>
      </c>
      <c r="S41" s="16">
        <v>19251</v>
      </c>
      <c r="T41" s="16">
        <v>4200</v>
      </c>
      <c r="U41" s="16">
        <v>42040</v>
      </c>
      <c r="V41" s="16">
        <v>105325</v>
      </c>
      <c r="W41" s="16">
        <v>267099</v>
      </c>
      <c r="X41" s="16">
        <v>39900</v>
      </c>
      <c r="Y41" s="16">
        <v>1166</v>
      </c>
      <c r="Z41" s="16">
        <v>70705</v>
      </c>
      <c r="AA41" s="16">
        <v>822495</v>
      </c>
    </row>
    <row r="42" spans="1:27" x14ac:dyDescent="0.15">
      <c r="A42" s="13" t="s">
        <v>155</v>
      </c>
      <c r="E42">
        <f t="shared" ref="E42:I48" si="18">E4*E$37</f>
        <v>960301.01306185173</v>
      </c>
      <c r="F42">
        <f t="shared" si="18"/>
        <v>317004.2016806723</v>
      </c>
      <c r="G42">
        <f t="shared" si="18"/>
        <v>323639.40495867771</v>
      </c>
      <c r="H42">
        <f t="shared" si="18"/>
        <v>4132.2368421052633</v>
      </c>
      <c r="I42">
        <f t="shared" si="18"/>
        <v>169050</v>
      </c>
      <c r="L42" s="16">
        <v>2020</v>
      </c>
      <c r="M42" s="14"/>
      <c r="N42" s="16">
        <v>46188</v>
      </c>
      <c r="O42" s="14"/>
      <c r="P42" s="16">
        <v>500</v>
      </c>
      <c r="Q42" s="16">
        <v>2013</v>
      </c>
      <c r="R42" s="16">
        <v>9687</v>
      </c>
      <c r="S42" s="16">
        <v>39306</v>
      </c>
      <c r="T42" s="16">
        <v>7000</v>
      </c>
      <c r="U42" s="16">
        <v>104527</v>
      </c>
      <c r="V42" s="16">
        <v>249390</v>
      </c>
      <c r="W42" s="16">
        <v>313973</v>
      </c>
      <c r="X42" s="16">
        <v>64280</v>
      </c>
      <c r="Y42" s="16">
        <v>1139</v>
      </c>
      <c r="Z42" s="16">
        <v>127802</v>
      </c>
      <c r="AA42" s="16">
        <v>901896</v>
      </c>
    </row>
    <row r="43" spans="1:27" x14ac:dyDescent="0.15">
      <c r="A43" s="13" t="s">
        <v>156</v>
      </c>
      <c r="E43">
        <f t="shared" si="18"/>
        <v>1233084.2120630043</v>
      </c>
      <c r="F43">
        <f t="shared" si="18"/>
        <v>401747.89915966388</v>
      </c>
      <c r="G43">
        <f t="shared" si="18"/>
        <v>645237.48760330584</v>
      </c>
      <c r="H43">
        <f t="shared" si="18"/>
        <v>13164.078947368422</v>
      </c>
      <c r="I43">
        <f t="shared" si="18"/>
        <v>196175.72413793101</v>
      </c>
      <c r="L43" s="16">
        <v>2025</v>
      </c>
      <c r="M43" s="14"/>
      <c r="N43" s="16">
        <v>55426</v>
      </c>
      <c r="O43" s="14"/>
      <c r="P43" s="16">
        <v>2300</v>
      </c>
      <c r="Q43" s="16">
        <v>2478</v>
      </c>
      <c r="R43" s="16">
        <v>10740</v>
      </c>
      <c r="S43" s="16">
        <v>39306</v>
      </c>
      <c r="T43" s="16">
        <v>8671</v>
      </c>
      <c r="U43" s="16">
        <v>171718</v>
      </c>
      <c r="V43" s="16">
        <v>434543</v>
      </c>
      <c r="W43" s="16">
        <v>372363</v>
      </c>
      <c r="X43" s="16">
        <v>82760</v>
      </c>
      <c r="Y43" s="16">
        <v>1427</v>
      </c>
      <c r="Z43" s="16">
        <v>132523</v>
      </c>
      <c r="AA43" s="16">
        <v>1037947</v>
      </c>
    </row>
    <row r="44" spans="1:27" x14ac:dyDescent="0.15">
      <c r="A44" s="13" t="s">
        <v>157</v>
      </c>
      <c r="E44">
        <f t="shared" si="18"/>
        <v>1377259.5547445256</v>
      </c>
      <c r="F44">
        <f t="shared" si="18"/>
        <v>414302.52100840339</v>
      </c>
      <c r="G44">
        <f t="shared" si="18"/>
        <v>1126752.7603305785</v>
      </c>
      <c r="H44">
        <f t="shared" si="18"/>
        <v>27601.526315789473</v>
      </c>
      <c r="I44">
        <f t="shared" si="18"/>
        <v>243165.5172413793</v>
      </c>
      <c r="L44" s="16">
        <v>2030</v>
      </c>
      <c r="M44" s="14"/>
      <c r="N44" s="16">
        <v>66511</v>
      </c>
      <c r="O44" s="14"/>
      <c r="P44" s="16">
        <v>2500</v>
      </c>
      <c r="Q44" s="16">
        <v>3812</v>
      </c>
      <c r="R44" s="16">
        <v>14371</v>
      </c>
      <c r="S44" s="16">
        <v>39303</v>
      </c>
      <c r="T44" s="16">
        <v>11117</v>
      </c>
      <c r="U44" s="16">
        <v>309923</v>
      </c>
      <c r="V44" s="16">
        <v>592471</v>
      </c>
      <c r="W44" s="16">
        <v>430752</v>
      </c>
      <c r="X44" s="16">
        <v>112860</v>
      </c>
      <c r="Y44" s="16">
        <v>1316</v>
      </c>
      <c r="Z44" s="16">
        <v>136101</v>
      </c>
      <c r="AA44" s="16">
        <v>1121798</v>
      </c>
    </row>
    <row r="45" spans="1:27" x14ac:dyDescent="0.15">
      <c r="A45" s="13" t="s">
        <v>158</v>
      </c>
      <c r="E45">
        <f t="shared" si="18"/>
        <v>1462325.4076066078</v>
      </c>
      <c r="F45">
        <f t="shared" si="18"/>
        <v>433134.45378151262</v>
      </c>
      <c r="G45">
        <f t="shared" si="18"/>
        <v>1697714.694214876</v>
      </c>
      <c r="H45">
        <f t="shared" si="18"/>
        <v>43606.710526315794</v>
      </c>
      <c r="I45">
        <f t="shared" si="18"/>
        <v>331257.5</v>
      </c>
      <c r="L45" s="16">
        <v>2035</v>
      </c>
      <c r="M45" s="14"/>
      <c r="N45" s="16">
        <v>79814</v>
      </c>
      <c r="O45" s="16">
        <v>1000</v>
      </c>
      <c r="P45" s="16">
        <v>4000</v>
      </c>
      <c r="Q45" s="16">
        <v>6308</v>
      </c>
      <c r="R45" s="16">
        <v>20727</v>
      </c>
      <c r="S45" s="16">
        <v>39306</v>
      </c>
      <c r="T45" s="16">
        <v>17171</v>
      </c>
      <c r="U45" s="16">
        <v>535922</v>
      </c>
      <c r="V45" s="16">
        <v>733471</v>
      </c>
      <c r="W45" s="16">
        <v>450800</v>
      </c>
      <c r="X45" s="16">
        <v>152510</v>
      </c>
      <c r="Y45" s="16">
        <v>1121</v>
      </c>
      <c r="Z45" s="16">
        <v>150295</v>
      </c>
      <c r="AA45" s="16">
        <v>1138122</v>
      </c>
    </row>
    <row r="46" spans="1:27" x14ac:dyDescent="0.15">
      <c r="A46" s="13" t="s">
        <v>159</v>
      </c>
      <c r="E46">
        <f t="shared" si="18"/>
        <v>1528560.4321936227</v>
      </c>
      <c r="F46">
        <f t="shared" si="18"/>
        <v>489630.25210084033</v>
      </c>
      <c r="G46">
        <f t="shared" si="18"/>
        <v>2135476.26446281</v>
      </c>
      <c r="H46">
        <f t="shared" si="18"/>
        <v>58061.394736842114</v>
      </c>
      <c r="I46">
        <f t="shared" si="18"/>
        <v>417489.6551724138</v>
      </c>
      <c r="L46" s="16">
        <v>2040</v>
      </c>
      <c r="M46" s="16">
        <v>45758</v>
      </c>
      <c r="N46" s="16">
        <v>95776</v>
      </c>
      <c r="O46" s="16">
        <v>1000</v>
      </c>
      <c r="P46" s="16">
        <v>4500</v>
      </c>
      <c r="Q46" s="16">
        <v>9484</v>
      </c>
      <c r="R46" s="16">
        <v>27086</v>
      </c>
      <c r="S46" s="16">
        <v>39263</v>
      </c>
      <c r="T46" s="16">
        <v>25817</v>
      </c>
      <c r="U46" s="16">
        <v>777157</v>
      </c>
      <c r="V46" s="16">
        <v>847444</v>
      </c>
      <c r="W46" s="16">
        <v>471881</v>
      </c>
      <c r="X46" s="16">
        <v>201300</v>
      </c>
      <c r="Y46" s="16">
        <v>1071</v>
      </c>
      <c r="Z46" s="16">
        <v>167339</v>
      </c>
      <c r="AA46" s="16">
        <v>1083434</v>
      </c>
    </row>
    <row r="47" spans="1:27" x14ac:dyDescent="0.15">
      <c r="A47" s="13" t="s">
        <v>160</v>
      </c>
      <c r="E47">
        <f t="shared" si="18"/>
        <v>1676951.4744525547</v>
      </c>
      <c r="F47">
        <f t="shared" si="18"/>
        <v>533571.42857142864</v>
      </c>
      <c r="G47">
        <f t="shared" si="18"/>
        <v>2334895.0826446284</v>
      </c>
      <c r="H47">
        <f t="shared" si="18"/>
        <v>70478.947368421053</v>
      </c>
      <c r="I47">
        <f t="shared" si="18"/>
        <v>535114.03448275861</v>
      </c>
      <c r="L47" s="16">
        <v>2045</v>
      </c>
      <c r="M47" s="16">
        <v>45988</v>
      </c>
      <c r="N47" s="16">
        <v>114932</v>
      </c>
      <c r="O47" s="16">
        <v>1000</v>
      </c>
      <c r="P47" s="16">
        <v>4500</v>
      </c>
      <c r="Q47" s="16">
        <v>12690</v>
      </c>
      <c r="R47" s="16">
        <v>31397</v>
      </c>
      <c r="S47" s="16">
        <v>35821</v>
      </c>
      <c r="T47" s="16">
        <v>34545</v>
      </c>
      <c r="U47" s="16">
        <v>949593</v>
      </c>
      <c r="V47" s="16">
        <v>904390</v>
      </c>
      <c r="W47" s="16">
        <v>512000</v>
      </c>
      <c r="X47" s="16">
        <v>254200</v>
      </c>
      <c r="Y47" s="16">
        <v>1071</v>
      </c>
      <c r="Z47" s="16">
        <v>188813</v>
      </c>
      <c r="AA47" s="16">
        <v>1025380</v>
      </c>
    </row>
    <row r="48" spans="1:27" x14ac:dyDescent="0.15">
      <c r="A48" s="13" t="s">
        <v>161</v>
      </c>
      <c r="E48">
        <f t="shared" si="18"/>
        <v>1837055.7245485976</v>
      </c>
      <c r="F48">
        <f t="shared" si="18"/>
        <v>627731.09243697487</v>
      </c>
      <c r="G48">
        <f t="shared" si="18"/>
        <v>2446107.3429752067</v>
      </c>
      <c r="H48">
        <f t="shared" si="18"/>
        <v>70951.68421052632</v>
      </c>
      <c r="I48">
        <f t="shared" si="18"/>
        <v>594312.06896551722</v>
      </c>
      <c r="L48" s="16">
        <v>2050</v>
      </c>
      <c r="M48" s="16">
        <v>47362</v>
      </c>
      <c r="N48" s="16">
        <v>137918</v>
      </c>
      <c r="O48" s="16">
        <v>1000</v>
      </c>
      <c r="P48" s="16">
        <v>4500</v>
      </c>
      <c r="Q48" s="16">
        <v>14144</v>
      </c>
      <c r="R48" s="16">
        <v>32998</v>
      </c>
      <c r="S48" s="16">
        <v>39306</v>
      </c>
      <c r="T48" s="16">
        <v>38503</v>
      </c>
      <c r="U48" s="16">
        <v>1027005</v>
      </c>
      <c r="V48" s="16">
        <v>934309</v>
      </c>
      <c r="W48" s="16">
        <v>554140</v>
      </c>
      <c r="X48" s="16">
        <v>300000</v>
      </c>
      <c r="Y48" s="16">
        <v>1071</v>
      </c>
      <c r="Z48" s="16">
        <v>224876</v>
      </c>
      <c r="AA48" s="16">
        <v>954274</v>
      </c>
    </row>
    <row r="50" spans="1:27" x14ac:dyDescent="0.15">
      <c r="A50" t="s">
        <v>169</v>
      </c>
      <c r="B50" s="8" t="s">
        <v>12</v>
      </c>
      <c r="C50" s="8" t="s">
        <v>13</v>
      </c>
      <c r="D50" s="8" t="s">
        <v>14</v>
      </c>
      <c r="E50" s="8" t="s">
        <v>162</v>
      </c>
      <c r="F50" s="8" t="s">
        <v>16</v>
      </c>
      <c r="G50" s="8" t="s">
        <v>17</v>
      </c>
      <c r="H50" s="8" t="s">
        <v>18</v>
      </c>
      <c r="I50" s="8" t="s">
        <v>19</v>
      </c>
    </row>
    <row r="51" spans="1:27" x14ac:dyDescent="0.15">
      <c r="A51" s="13" t="s">
        <v>153</v>
      </c>
      <c r="B51">
        <f t="shared" ref="B51:C59" si="19">B2/B$2</f>
        <v>1</v>
      </c>
      <c r="C51">
        <f t="shared" si="19"/>
        <v>1</v>
      </c>
      <c r="D51">
        <f t="shared" ref="D51:I51" si="20">D2/D$2</f>
        <v>1</v>
      </c>
      <c r="E51">
        <f t="shared" si="20"/>
        <v>1</v>
      </c>
      <c r="F51">
        <f t="shared" si="20"/>
        <v>1</v>
      </c>
      <c r="G51">
        <f t="shared" si="20"/>
        <v>1</v>
      </c>
      <c r="H51">
        <f t="shared" si="20"/>
        <v>1</v>
      </c>
      <c r="I51">
        <f t="shared" si="20"/>
        <v>1</v>
      </c>
      <c r="L51" s="16"/>
      <c r="M51" s="14"/>
      <c r="N51" s="16"/>
      <c r="O51" s="14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15">
      <c r="A52" s="13" t="s">
        <v>154</v>
      </c>
      <c r="B52">
        <f t="shared" si="19"/>
        <v>1.2257018955650931</v>
      </c>
      <c r="C52">
        <f t="shared" si="19"/>
        <v>0.13280182232346241</v>
      </c>
      <c r="D52">
        <f t="shared" ref="D52:I52" si="21">D3/D$2</f>
        <v>3.5655446293494704</v>
      </c>
      <c r="E52">
        <f t="shared" si="21"/>
        <v>1.4147638888888889</v>
      </c>
      <c r="F52">
        <f t="shared" si="21"/>
        <v>3.9547134935304991</v>
      </c>
      <c r="G52">
        <f t="shared" si="21"/>
        <v>3.8837052062204194</v>
      </c>
      <c r="H52">
        <f t="shared" si="21"/>
        <v>161.63461538461539</v>
      </c>
      <c r="I52">
        <f t="shared" si="21"/>
        <v>8.5337243401759526</v>
      </c>
      <c r="L52" s="16"/>
      <c r="M52" s="14"/>
      <c r="N52" s="16"/>
      <c r="O52" s="14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15">
      <c r="A53" s="13" t="s">
        <v>155</v>
      </c>
      <c r="B53">
        <f t="shared" si="19"/>
        <v>1.6144909394372913</v>
      </c>
      <c r="C53">
        <f t="shared" si="19"/>
        <v>0.12972665148063783</v>
      </c>
      <c r="D53">
        <f t="shared" ref="D53:I53" si="22">D4/D$2</f>
        <v>4.173789712556732</v>
      </c>
      <c r="E53">
        <f t="shared" si="22"/>
        <v>1.6852361111111112</v>
      </c>
      <c r="F53">
        <f t="shared" si="22"/>
        <v>4.6672828096118302</v>
      </c>
      <c r="G53">
        <f>G4/G$2</f>
        <v>10.719675456389453</v>
      </c>
      <c r="H53">
        <f t="shared" si="22"/>
        <v>603.94230769230774</v>
      </c>
      <c r="I53">
        <f t="shared" si="22"/>
        <v>17.859237536656892</v>
      </c>
      <c r="L53" s="16"/>
      <c r="M53" s="14"/>
      <c r="N53" s="16"/>
      <c r="O53" s="14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15">
      <c r="A54" s="13" t="s">
        <v>156</v>
      </c>
      <c r="B54">
        <f t="shared" si="19"/>
        <v>1.6092602527420123</v>
      </c>
      <c r="C54">
        <f t="shared" si="19"/>
        <v>0.12505694760820046</v>
      </c>
      <c r="D54">
        <f t="shared" ref="D54:I54" si="23">D5/D$2</f>
        <v>4.7620650529500752</v>
      </c>
      <c r="E54">
        <f t="shared" si="23"/>
        <v>2.1639444444444442</v>
      </c>
      <c r="F54">
        <f t="shared" si="23"/>
        <v>5.9149722735674679</v>
      </c>
      <c r="G54">
        <f t="shared" si="23"/>
        <v>21.371737660581477</v>
      </c>
      <c r="H54">
        <f t="shared" si="23"/>
        <v>1923.9807692307693</v>
      </c>
      <c r="I54">
        <f t="shared" si="23"/>
        <v>20.724926686217007</v>
      </c>
      <c r="L54" s="16"/>
      <c r="M54" s="14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15">
      <c r="A55" s="13" t="s">
        <v>157</v>
      </c>
      <c r="B55">
        <f t="shared" si="19"/>
        <v>1.5679393180734384</v>
      </c>
      <c r="C55">
        <f t="shared" si="19"/>
        <v>0.11526195899772211</v>
      </c>
      <c r="D55">
        <f t="shared" ref="D55:I55" si="24">D6/D$2</f>
        <v>4.921293494704992</v>
      </c>
      <c r="E55">
        <f t="shared" si="24"/>
        <v>2.4169583333333331</v>
      </c>
      <c r="F55">
        <f t="shared" si="24"/>
        <v>6.0998151571164509</v>
      </c>
      <c r="G55">
        <f t="shared" si="24"/>
        <v>37.320622041920217</v>
      </c>
      <c r="H55">
        <f t="shared" si="24"/>
        <v>4034.0692307692302</v>
      </c>
      <c r="I55">
        <f t="shared" si="24"/>
        <v>25.689149560117301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15">
      <c r="A56" s="13" t="s">
        <v>158</v>
      </c>
      <c r="B56">
        <f t="shared" si="19"/>
        <v>1.5462386742966143</v>
      </c>
      <c r="C56">
        <f t="shared" si="19"/>
        <v>9.8177676537585426E-2</v>
      </c>
      <c r="D56">
        <f t="shared" ref="D56:I56" si="25">D7/D$2</f>
        <v>5.9310892586989414</v>
      </c>
      <c r="E56">
        <f t="shared" si="25"/>
        <v>2.5662407407407408</v>
      </c>
      <c r="F56">
        <f t="shared" si="25"/>
        <v>6.3770794824399255</v>
      </c>
      <c r="G56">
        <f t="shared" si="25"/>
        <v>56.232183908045975</v>
      </c>
      <c r="H56">
        <f t="shared" si="25"/>
        <v>6373.2884615384619</v>
      </c>
      <c r="I56">
        <f t="shared" si="25"/>
        <v>34.995601173020525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15">
      <c r="A57" s="13" t="s">
        <v>159</v>
      </c>
      <c r="B57">
        <f t="shared" si="19"/>
        <v>1.4489434310920364</v>
      </c>
      <c r="C57">
        <f t="shared" si="19"/>
        <v>9.3849658314350798E-2</v>
      </c>
      <c r="D57">
        <f t="shared" ref="D57:I57" si="26">D8/D$2</f>
        <v>6.547617246596066</v>
      </c>
      <c r="E57">
        <f t="shared" si="26"/>
        <v>2.6824768518518516</v>
      </c>
      <c r="F57">
        <f t="shared" si="26"/>
        <v>7.208872458410351</v>
      </c>
      <c r="G57">
        <f t="shared" si="26"/>
        <v>70.731845841785002</v>
      </c>
      <c r="H57">
        <f t="shared" si="26"/>
        <v>8485.8961538461535</v>
      </c>
      <c r="I57">
        <f t="shared" si="26"/>
        <v>44.105571847507328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15">
      <c r="A58" s="13" t="s">
        <v>160</v>
      </c>
      <c r="B58">
        <f t="shared" si="19"/>
        <v>1.3837237720553173</v>
      </c>
      <c r="C58">
        <f t="shared" si="19"/>
        <v>9.3849658314350798E-2</v>
      </c>
      <c r="D58">
        <f t="shared" ref="D58:I58" si="27">D9/D$2</f>
        <v>7.2522692889561267</v>
      </c>
      <c r="E58">
        <f t="shared" si="27"/>
        <v>2.9428888888888887</v>
      </c>
      <c r="F58">
        <f t="shared" si="27"/>
        <v>7.8558225508317925</v>
      </c>
      <c r="G58">
        <f t="shared" si="27"/>
        <v>77.337052062204194</v>
      </c>
      <c r="H58">
        <f t="shared" si="27"/>
        <v>10300.76923076923</v>
      </c>
      <c r="I58">
        <f t="shared" si="27"/>
        <v>56.531964809384164</v>
      </c>
    </row>
    <row r="59" spans="1:27" x14ac:dyDescent="0.15">
      <c r="A59" s="13" t="s">
        <v>161</v>
      </c>
      <c r="B59">
        <f t="shared" si="19"/>
        <v>1.3213683237958991</v>
      </c>
      <c r="C59">
        <f t="shared" si="19"/>
        <v>9.3849658314350798E-2</v>
      </c>
      <c r="D59">
        <f t="shared" ref="D59:I59" si="28">D10/D$2</f>
        <v>8.3144478063540088</v>
      </c>
      <c r="E59">
        <f t="shared" si="28"/>
        <v>3.2238564814814814</v>
      </c>
      <c r="F59">
        <f t="shared" si="28"/>
        <v>9.2421441774491679</v>
      </c>
      <c r="G59">
        <f t="shared" si="28"/>
        <v>81.020655848546312</v>
      </c>
      <c r="H59">
        <f t="shared" si="28"/>
        <v>10369.861538461539</v>
      </c>
      <c r="I59">
        <f t="shared" si="28"/>
        <v>62.785923753665685</v>
      </c>
    </row>
    <row r="61" spans="1:27" x14ac:dyDescent="0.15">
      <c r="A61" t="s">
        <v>169</v>
      </c>
      <c r="B61" s="8" t="s">
        <v>12</v>
      </c>
      <c r="C61" s="8" t="s">
        <v>13</v>
      </c>
      <c r="D61" s="8" t="s">
        <v>14</v>
      </c>
      <c r="E61" s="8" t="s">
        <v>162</v>
      </c>
      <c r="F61" s="8" t="s">
        <v>16</v>
      </c>
      <c r="G61" s="8" t="s">
        <v>17</v>
      </c>
      <c r="H61" s="8" t="s">
        <v>18</v>
      </c>
      <c r="I61" s="8" t="s">
        <v>19</v>
      </c>
    </row>
    <row r="62" spans="1:27" x14ac:dyDescent="0.15">
      <c r="A62" s="13" t="s">
        <v>153</v>
      </c>
      <c r="B62">
        <f t="shared" ref="B62:C70" si="29">B13/B$2</f>
        <v>1</v>
      </c>
      <c r="C62">
        <f t="shared" si="29"/>
        <v>1</v>
      </c>
      <c r="D62">
        <f t="shared" ref="D62:I62" si="30">D13/D$2</f>
        <v>1</v>
      </c>
      <c r="E62">
        <f t="shared" si="30"/>
        <v>1</v>
      </c>
      <c r="F62">
        <f t="shared" si="30"/>
        <v>1</v>
      </c>
      <c r="G62">
        <f t="shared" si="30"/>
        <v>1</v>
      </c>
      <c r="H62">
        <f t="shared" si="30"/>
        <v>1</v>
      </c>
      <c r="I62">
        <f t="shared" si="30"/>
        <v>1</v>
      </c>
    </row>
    <row r="63" spans="1:27" x14ac:dyDescent="0.15">
      <c r="A63" s="13" t="s">
        <v>154</v>
      </c>
      <c r="B63">
        <f t="shared" si="29"/>
        <v>1.2257018955650931</v>
      </c>
      <c r="C63">
        <f t="shared" si="29"/>
        <v>0.13280182232346241</v>
      </c>
      <c r="D63">
        <f t="shared" ref="D63:I63" si="31">D14/D$2</f>
        <v>2.674167927382753</v>
      </c>
      <c r="E63">
        <f t="shared" si="31"/>
        <v>1.4147638888888889</v>
      </c>
      <c r="F63">
        <f t="shared" si="31"/>
        <v>3.6876155268022179</v>
      </c>
      <c r="G63">
        <f t="shared" si="31"/>
        <v>3.5606828938471944</v>
      </c>
      <c r="H63">
        <f t="shared" si="31"/>
        <v>161.69230769230768</v>
      </c>
      <c r="I63">
        <f t="shared" si="31"/>
        <v>9.0912023460410563</v>
      </c>
    </row>
    <row r="64" spans="1:27" x14ac:dyDescent="0.15">
      <c r="A64" s="13" t="s">
        <v>155</v>
      </c>
      <c r="B64">
        <f t="shared" si="29"/>
        <v>1.344027181688126</v>
      </c>
      <c r="C64">
        <f t="shared" si="29"/>
        <v>0.12972665148063783</v>
      </c>
      <c r="D64">
        <f t="shared" ref="D64:I64" si="32">D15/D$2</f>
        <v>4.8336611195158854</v>
      </c>
      <c r="E64">
        <f t="shared" si="32"/>
        <v>1.6674120370370371</v>
      </c>
      <c r="F64">
        <f t="shared" si="32"/>
        <v>5.9408502772643255</v>
      </c>
      <c r="G64">
        <f>G15/G$2</f>
        <v>8.431034482758621</v>
      </c>
      <c r="H64">
        <f t="shared" si="32"/>
        <v>402.02692307692308</v>
      </c>
      <c r="I64">
        <f t="shared" si="32"/>
        <v>17.010557184750734</v>
      </c>
    </row>
    <row r="65" spans="1:9" x14ac:dyDescent="0.15">
      <c r="A65" s="13" t="s">
        <v>156</v>
      </c>
      <c r="B65">
        <f t="shared" si="29"/>
        <v>1.5467736647591797</v>
      </c>
      <c r="C65">
        <f t="shared" si="29"/>
        <v>0.16252847380410024</v>
      </c>
      <c r="D65">
        <f t="shared" ref="D65:I65" si="33">D16/D$2</f>
        <v>5.0122163388804841</v>
      </c>
      <c r="E65">
        <f t="shared" si="33"/>
        <v>1.9805046296296296</v>
      </c>
      <c r="F65">
        <f t="shared" si="33"/>
        <v>7.648798521256932</v>
      </c>
      <c r="G65">
        <f t="shared" si="33"/>
        <v>14.690432724814064</v>
      </c>
      <c r="H65">
        <f t="shared" si="33"/>
        <v>660.45384615384614</v>
      </c>
      <c r="I65">
        <f t="shared" si="33"/>
        <v>17.94574780058651</v>
      </c>
    </row>
    <row r="66" spans="1:9" x14ac:dyDescent="0.15">
      <c r="A66" s="13" t="s">
        <v>157</v>
      </c>
      <c r="B66">
        <f t="shared" si="29"/>
        <v>1.6717304482594184</v>
      </c>
      <c r="C66">
        <f t="shared" si="29"/>
        <v>0.14988610478359909</v>
      </c>
      <c r="D66">
        <f t="shared" ref="D66:I66" si="34">D17/D$2</f>
        <v>5.1475416036308621</v>
      </c>
      <c r="E66">
        <f t="shared" si="34"/>
        <v>2.3021435185185184</v>
      </c>
      <c r="F66">
        <f t="shared" si="34"/>
        <v>10.43068391866913</v>
      </c>
      <c r="G66">
        <f t="shared" si="34"/>
        <v>20.029445571331983</v>
      </c>
      <c r="H66">
        <f t="shared" si="34"/>
        <v>1192.0115384615385</v>
      </c>
      <c r="I66">
        <f t="shared" si="34"/>
        <v>20.118181818181817</v>
      </c>
    </row>
    <row r="67" spans="1:9" x14ac:dyDescent="0.15">
      <c r="A67" s="13" t="s">
        <v>158</v>
      </c>
      <c r="B67">
        <f t="shared" si="29"/>
        <v>1.6960568669527898</v>
      </c>
      <c r="C67">
        <f t="shared" si="29"/>
        <v>0.12767653758542141</v>
      </c>
      <c r="D67">
        <f t="shared" ref="D67:I67" si="35">D18/D$2</f>
        <v>5.6843797276853243</v>
      </c>
      <c r="E67">
        <f t="shared" si="35"/>
        <v>2.4565462962962963</v>
      </c>
      <c r="F67">
        <f t="shared" si="35"/>
        <v>14.095194085027725</v>
      </c>
      <c r="G67">
        <f t="shared" si="35"/>
        <v>24.796179851250848</v>
      </c>
      <c r="H67">
        <f t="shared" si="35"/>
        <v>2061.2384615384617</v>
      </c>
      <c r="I67">
        <f t="shared" si="35"/>
        <v>24.490322580645159</v>
      </c>
    </row>
    <row r="68" spans="1:9" x14ac:dyDescent="0.15">
      <c r="A68" s="13" t="s">
        <v>159</v>
      </c>
      <c r="B68">
        <f t="shared" si="29"/>
        <v>1.6145594897472579</v>
      </c>
      <c r="C68">
        <f t="shared" si="29"/>
        <v>0.12198177676537586</v>
      </c>
      <c r="D68">
        <f t="shared" ref="D68:I68" si="36">D19/D$2</f>
        <v>6.3290090771558241</v>
      </c>
      <c r="E68">
        <f t="shared" si="36"/>
        <v>2.6280416666666668</v>
      </c>
      <c r="F68">
        <f t="shared" si="36"/>
        <v>18.604436229205177</v>
      </c>
      <c r="G68">
        <f t="shared" si="36"/>
        <v>28.64922244759973</v>
      </c>
      <c r="H68">
        <f t="shared" si="36"/>
        <v>2989.0653846153846</v>
      </c>
      <c r="I68">
        <f t="shared" si="36"/>
        <v>29.809384164222873</v>
      </c>
    </row>
    <row r="69" spans="1:9" x14ac:dyDescent="0.15">
      <c r="A69" s="13" t="s">
        <v>160</v>
      </c>
      <c r="B69">
        <f t="shared" si="29"/>
        <v>1.5280460181211257</v>
      </c>
      <c r="C69">
        <f t="shared" si="29"/>
        <v>0.12198177676537586</v>
      </c>
      <c r="D69">
        <f t="shared" ref="D69:I69" si="37">D20/D$2</f>
        <v>7.1411875945537053</v>
      </c>
      <c r="E69">
        <f t="shared" si="37"/>
        <v>2.902462962962963</v>
      </c>
      <c r="F69">
        <f t="shared" si="37"/>
        <v>23.493530499075785</v>
      </c>
      <c r="G69">
        <f t="shared" si="37"/>
        <v>30.574374577417174</v>
      </c>
      <c r="H69">
        <f t="shared" si="37"/>
        <v>3652.2807692307688</v>
      </c>
      <c r="I69">
        <f t="shared" si="37"/>
        <v>33.563929618768327</v>
      </c>
    </row>
    <row r="70" spans="1:9" x14ac:dyDescent="0.15">
      <c r="A70" s="13" t="s">
        <v>161</v>
      </c>
      <c r="B70">
        <f t="shared" si="29"/>
        <v>1.4220821411540296</v>
      </c>
      <c r="C70">
        <f t="shared" si="29"/>
        <v>0.12198177676537586</v>
      </c>
      <c r="D70">
        <f t="shared" ref="D70:I70" si="38">D21/D$2</f>
        <v>8.5051437216338872</v>
      </c>
      <c r="E70">
        <f t="shared" si="38"/>
        <v>3.2039722222222222</v>
      </c>
      <c r="F70">
        <f t="shared" si="38"/>
        <v>27.726432532347506</v>
      </c>
      <c r="G70">
        <f t="shared" si="38"/>
        <v>31.585835023664639</v>
      </c>
      <c r="H70">
        <f t="shared" si="38"/>
        <v>3950.0192307692309</v>
      </c>
      <c r="I70">
        <f t="shared" si="38"/>
        <v>36.642521994134896</v>
      </c>
    </row>
    <row r="76" spans="1:9" x14ac:dyDescent="0.15">
      <c r="A76" t="s">
        <v>193</v>
      </c>
      <c r="B76" t="s">
        <v>189</v>
      </c>
      <c r="C76" t="s">
        <v>190</v>
      </c>
      <c r="E76" t="s">
        <v>191</v>
      </c>
      <c r="F76" t="s">
        <v>192</v>
      </c>
    </row>
    <row r="77" spans="1:9" x14ac:dyDescent="0.15">
      <c r="A77">
        <v>2007</v>
      </c>
      <c r="B77">
        <v>1</v>
      </c>
      <c r="C77">
        <v>1</v>
      </c>
    </row>
    <row r="78" spans="1:9" x14ac:dyDescent="0.15">
      <c r="A78">
        <v>2010</v>
      </c>
      <c r="B78">
        <v>1.0184</v>
      </c>
      <c r="C78">
        <v>1.1200000000000001</v>
      </c>
    </row>
    <row r="79" spans="1:9" x14ac:dyDescent="0.15">
      <c r="A79">
        <v>2015</v>
      </c>
      <c r="B79">
        <v>1.0499000000000001</v>
      </c>
      <c r="C79">
        <v>1.35</v>
      </c>
    </row>
    <row r="80" spans="1:9" x14ac:dyDescent="0.15">
      <c r="A80">
        <v>2020</v>
      </c>
      <c r="B80">
        <v>1.0823</v>
      </c>
      <c r="C80">
        <v>1.62</v>
      </c>
    </row>
    <row r="81" spans="1:3" x14ac:dyDescent="0.15">
      <c r="A81">
        <v>2025</v>
      </c>
      <c r="B81">
        <v>1.1156999999999999</v>
      </c>
      <c r="C81">
        <v>1.96</v>
      </c>
    </row>
    <row r="82" spans="1:3" x14ac:dyDescent="0.15">
      <c r="A82">
        <v>2030</v>
      </c>
      <c r="B82">
        <v>1.1500999999999999</v>
      </c>
      <c r="C82">
        <v>2.36</v>
      </c>
    </row>
    <row r="83" spans="1:3" x14ac:dyDescent="0.15">
      <c r="A83">
        <v>2035</v>
      </c>
      <c r="B83">
        <v>1.1856</v>
      </c>
      <c r="C83">
        <v>2.84</v>
      </c>
    </row>
    <row r="84" spans="1:3" x14ac:dyDescent="0.15">
      <c r="A84">
        <v>2040</v>
      </c>
      <c r="B84">
        <v>1.2222</v>
      </c>
      <c r="C84">
        <v>3.42</v>
      </c>
    </row>
    <row r="85" spans="1:3" x14ac:dyDescent="0.15">
      <c r="A85">
        <v>2045</v>
      </c>
      <c r="B85">
        <v>1.26</v>
      </c>
      <c r="C85">
        <v>4.13</v>
      </c>
    </row>
    <row r="86" spans="1:3" x14ac:dyDescent="0.15">
      <c r="A86">
        <v>2050</v>
      </c>
      <c r="B86">
        <v>1.2988999999999999</v>
      </c>
      <c r="C86">
        <v>4.97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activeCell="T8" sqref="T8"/>
    </sheetView>
  </sheetViews>
  <sheetFormatPr defaultRowHeight="13.5" x14ac:dyDescent="0.15"/>
  <sheetData>
    <row r="1" spans="1:23" x14ac:dyDescent="0.15">
      <c r="A1" t="s">
        <v>272</v>
      </c>
      <c r="B1" s="9">
        <v>2015</v>
      </c>
      <c r="C1" s="9" t="s">
        <v>273</v>
      </c>
      <c r="J1" t="s">
        <v>276</v>
      </c>
      <c r="K1" t="s">
        <v>275</v>
      </c>
    </row>
    <row r="2" spans="1:23" x14ac:dyDescent="0.15">
      <c r="B2" s="38"/>
      <c r="C2" s="38" t="s">
        <v>274</v>
      </c>
    </row>
    <row r="3" spans="1:23" x14ac:dyDescent="0.15">
      <c r="A3" t="s">
        <v>249</v>
      </c>
      <c r="B3" t="s">
        <v>250</v>
      </c>
      <c r="M3" t="s">
        <v>251</v>
      </c>
      <c r="N3" t="s">
        <v>254</v>
      </c>
    </row>
    <row r="4" spans="1:23" x14ac:dyDescent="0.15">
      <c r="A4" t="s">
        <v>244</v>
      </c>
      <c r="B4" t="s">
        <v>38</v>
      </c>
      <c r="C4" t="s">
        <v>39</v>
      </c>
      <c r="D4" t="s">
        <v>255</v>
      </c>
      <c r="E4" t="s">
        <v>245</v>
      </c>
      <c r="F4" t="s">
        <v>246</v>
      </c>
      <c r="G4" t="s">
        <v>247</v>
      </c>
      <c r="H4" t="s">
        <v>47</v>
      </c>
      <c r="I4" t="s">
        <v>248</v>
      </c>
      <c r="J4" t="s">
        <v>252</v>
      </c>
      <c r="K4" t="s">
        <v>253</v>
      </c>
      <c r="M4" t="s">
        <v>244</v>
      </c>
      <c r="N4" t="s">
        <v>38</v>
      </c>
      <c r="O4" t="s">
        <v>39</v>
      </c>
      <c r="P4" t="s">
        <v>255</v>
      </c>
      <c r="Q4" t="s">
        <v>245</v>
      </c>
      <c r="R4" t="s">
        <v>246</v>
      </c>
      <c r="S4" t="s">
        <v>247</v>
      </c>
      <c r="T4" t="s">
        <v>47</v>
      </c>
      <c r="U4" t="s">
        <v>248</v>
      </c>
      <c r="V4" t="s">
        <v>252</v>
      </c>
      <c r="W4" t="s">
        <v>253</v>
      </c>
    </row>
    <row r="5" spans="1:23" x14ac:dyDescent="0.15">
      <c r="M5">
        <v>2020</v>
      </c>
      <c r="N5">
        <v>11.7</v>
      </c>
      <c r="P5">
        <v>5000</v>
      </c>
      <c r="Q5">
        <v>8000</v>
      </c>
      <c r="R5">
        <v>36000</v>
      </c>
      <c r="S5">
        <v>18000</v>
      </c>
      <c r="T5">
        <v>2500</v>
      </c>
      <c r="U5">
        <v>1000</v>
      </c>
    </row>
    <row r="6" spans="1:23" x14ac:dyDescent="0.15">
      <c r="M6" t="s">
        <v>277</v>
      </c>
      <c r="N6">
        <v>92800</v>
      </c>
      <c r="P6">
        <v>4000</v>
      </c>
      <c r="Q6">
        <v>4300</v>
      </c>
      <c r="R6">
        <v>30100</v>
      </c>
      <c r="S6">
        <v>10000</v>
      </c>
      <c r="T6">
        <v>500</v>
      </c>
      <c r="U6">
        <v>500</v>
      </c>
    </row>
    <row r="7" spans="1:23" s="9" customFormat="1" x14ac:dyDescent="0.15">
      <c r="A7" s="9">
        <v>2015</v>
      </c>
      <c r="B7" s="9">
        <v>37649</v>
      </c>
      <c r="D7" s="9">
        <v>1658</v>
      </c>
      <c r="E7" s="9">
        <v>1695</v>
      </c>
      <c r="F7" s="9">
        <v>11143</v>
      </c>
      <c r="G7" s="9">
        <v>1851</v>
      </c>
      <c r="H7" s="9">
        <v>383</v>
      </c>
      <c r="M7" s="9">
        <v>2015</v>
      </c>
      <c r="N7" s="9">
        <v>88419</v>
      </c>
      <c r="P7" s="9">
        <v>6637</v>
      </c>
      <c r="Q7" s="9">
        <v>2717</v>
      </c>
      <c r="R7" s="9">
        <v>31937</v>
      </c>
      <c r="S7" s="9">
        <v>12830</v>
      </c>
      <c r="T7" s="9">
        <v>4158</v>
      </c>
    </row>
    <row r="8" spans="1:23" x14ac:dyDescent="0.15">
      <c r="A8">
        <v>2014</v>
      </c>
      <c r="B8">
        <v>39449</v>
      </c>
      <c r="C8">
        <v>44</v>
      </c>
      <c r="D8">
        <v>1322</v>
      </c>
      <c r="E8">
        <v>1332</v>
      </c>
      <c r="F8">
        <v>10601</v>
      </c>
      <c r="G8">
        <v>1598</v>
      </c>
      <c r="H8">
        <v>135</v>
      </c>
      <c r="J8">
        <v>245</v>
      </c>
      <c r="K8">
        <v>216</v>
      </c>
      <c r="M8">
        <v>2014</v>
      </c>
      <c r="N8">
        <v>83106</v>
      </c>
      <c r="O8">
        <v>270</v>
      </c>
      <c r="P8">
        <v>5666</v>
      </c>
      <c r="Q8">
        <v>2008</v>
      </c>
      <c r="R8">
        <v>30486</v>
      </c>
      <c r="S8">
        <v>9657</v>
      </c>
      <c r="T8">
        <v>2486</v>
      </c>
      <c r="V8">
        <v>469</v>
      </c>
      <c r="W8">
        <v>512</v>
      </c>
    </row>
    <row r="9" spans="1:23" x14ac:dyDescent="0.15">
      <c r="A9">
        <v>2013</v>
      </c>
      <c r="B9">
        <v>39776</v>
      </c>
      <c r="C9">
        <v>52</v>
      </c>
      <c r="D9">
        <v>1156</v>
      </c>
      <c r="E9">
        <v>1115</v>
      </c>
      <c r="F9">
        <v>8921</v>
      </c>
      <c r="G9">
        <v>1383</v>
      </c>
      <c r="H9">
        <v>84</v>
      </c>
      <c r="J9">
        <v>176</v>
      </c>
      <c r="K9">
        <v>207</v>
      </c>
      <c r="M9">
        <v>2013</v>
      </c>
      <c r="N9">
        <v>79450</v>
      </c>
      <c r="O9">
        <v>293</v>
      </c>
      <c r="P9">
        <v>4252</v>
      </c>
      <c r="Q9">
        <v>1466</v>
      </c>
      <c r="R9">
        <v>28044</v>
      </c>
      <c r="S9">
        <v>7652</v>
      </c>
      <c r="T9">
        <v>1589</v>
      </c>
      <c r="V9">
        <v>359</v>
      </c>
      <c r="W9">
        <v>509</v>
      </c>
    </row>
    <row r="10" spans="1:23" x14ac:dyDescent="0.15">
      <c r="A10">
        <v>2012</v>
      </c>
      <c r="B10">
        <v>37104</v>
      </c>
      <c r="C10">
        <v>54</v>
      </c>
      <c r="D10">
        <v>1092</v>
      </c>
      <c r="E10">
        <v>983</v>
      </c>
      <c r="F10">
        <v>8556</v>
      </c>
      <c r="G10">
        <v>1030</v>
      </c>
      <c r="H10">
        <v>36</v>
      </c>
      <c r="J10">
        <v>120</v>
      </c>
      <c r="K10">
        <v>196</v>
      </c>
      <c r="M10">
        <v>2012</v>
      </c>
      <c r="N10">
        <v>75382</v>
      </c>
      <c r="O10">
        <v>301</v>
      </c>
      <c r="P10">
        <v>3717</v>
      </c>
      <c r="Q10">
        <v>1257</v>
      </c>
      <c r="R10">
        <v>24947</v>
      </c>
      <c r="S10">
        <v>6142</v>
      </c>
      <c r="T10">
        <v>341</v>
      </c>
      <c r="V10">
        <v>251</v>
      </c>
      <c r="W10">
        <v>518</v>
      </c>
    </row>
    <row r="11" spans="1:23" x14ac:dyDescent="0.15">
      <c r="A11">
        <v>2011</v>
      </c>
      <c r="B11">
        <v>36961</v>
      </c>
      <c r="C11">
        <v>59</v>
      </c>
      <c r="D11">
        <v>1088</v>
      </c>
      <c r="E11">
        <v>872</v>
      </c>
      <c r="F11">
        <v>6681</v>
      </c>
      <c r="G11">
        <v>741</v>
      </c>
      <c r="H11">
        <v>6</v>
      </c>
      <c r="J11">
        <v>97</v>
      </c>
      <c r="K11">
        <v>135</v>
      </c>
      <c r="M11">
        <v>2011</v>
      </c>
      <c r="N11">
        <v>70929</v>
      </c>
      <c r="O11">
        <v>328</v>
      </c>
      <c r="P11">
        <v>3415</v>
      </c>
      <c r="Q11">
        <v>1257</v>
      </c>
      <c r="R11">
        <v>23298</v>
      </c>
      <c r="S11">
        <v>4623</v>
      </c>
      <c r="T11">
        <v>212</v>
      </c>
      <c r="V11">
        <v>210</v>
      </c>
      <c r="W11">
        <v>349</v>
      </c>
    </row>
    <row r="12" spans="1:23" x14ac:dyDescent="0.15">
      <c r="A12">
        <v>2010</v>
      </c>
      <c r="B12">
        <v>32162.69</v>
      </c>
      <c r="C12">
        <v>161.88999999999999</v>
      </c>
      <c r="D12">
        <v>776.27</v>
      </c>
      <c r="E12">
        <v>747.42</v>
      </c>
      <c r="F12">
        <v>6867.36</v>
      </c>
      <c r="G12">
        <v>494</v>
      </c>
      <c r="H12">
        <v>2.65</v>
      </c>
      <c r="J12">
        <v>86.84</v>
      </c>
      <c r="K12">
        <v>74.25</v>
      </c>
      <c r="M12">
        <v>2010</v>
      </c>
      <c r="N12">
        <v>64660.639999999999</v>
      </c>
      <c r="O12">
        <v>877.99</v>
      </c>
      <c r="P12">
        <v>2642.4</v>
      </c>
      <c r="Q12">
        <v>1082.4000000000001</v>
      </c>
      <c r="R12">
        <v>21605.72</v>
      </c>
      <c r="S12">
        <v>2957.55</v>
      </c>
      <c r="T12">
        <v>25.62</v>
      </c>
      <c r="V12">
        <v>170.94</v>
      </c>
      <c r="W12">
        <v>170.45</v>
      </c>
    </row>
    <row r="13" spans="1:23" x14ac:dyDescent="0.15">
      <c r="A13">
        <v>2009</v>
      </c>
      <c r="B13">
        <v>28347.71</v>
      </c>
      <c r="C13">
        <v>170.76</v>
      </c>
      <c r="D13">
        <v>565.59</v>
      </c>
      <c r="E13">
        <v>700.5</v>
      </c>
      <c r="F13">
        <v>5716.82</v>
      </c>
      <c r="G13">
        <v>276.14999999999998</v>
      </c>
      <c r="H13">
        <v>1.52</v>
      </c>
      <c r="J13">
        <v>67.48</v>
      </c>
      <c r="K13">
        <v>52.17</v>
      </c>
      <c r="M13">
        <v>2009</v>
      </c>
      <c r="N13">
        <v>59215.17</v>
      </c>
      <c r="O13">
        <v>823</v>
      </c>
      <c r="P13">
        <v>2402.96</v>
      </c>
      <c r="Q13">
        <v>907.82</v>
      </c>
      <c r="R13">
        <v>19629.02</v>
      </c>
      <c r="S13">
        <v>1759.94</v>
      </c>
      <c r="T13">
        <v>2.5</v>
      </c>
      <c r="V13">
        <v>130.29</v>
      </c>
      <c r="W13">
        <v>108.8</v>
      </c>
    </row>
    <row r="14" spans="1:23" x14ac:dyDescent="0.15">
      <c r="A14">
        <v>2008</v>
      </c>
      <c r="B14" s="39">
        <v>28030</v>
      </c>
      <c r="C14" s="39"/>
      <c r="D14" s="39"/>
      <c r="E14">
        <v>692.19</v>
      </c>
      <c r="F14">
        <v>5655.48</v>
      </c>
      <c r="G14">
        <v>130.79</v>
      </c>
      <c r="M14">
        <v>2008</v>
      </c>
      <c r="N14" s="39">
        <v>60286</v>
      </c>
      <c r="O14" s="39"/>
      <c r="P14" s="39"/>
      <c r="Q14">
        <v>907.82</v>
      </c>
      <c r="R14">
        <v>17260.39</v>
      </c>
      <c r="S14">
        <v>838.77</v>
      </c>
    </row>
    <row r="15" spans="1:23" x14ac:dyDescent="0.15">
      <c r="A15">
        <v>2007</v>
      </c>
      <c r="B15" s="39">
        <v>27207</v>
      </c>
      <c r="C15" s="39"/>
      <c r="D15" s="39"/>
      <c r="E15">
        <v>629</v>
      </c>
      <c r="F15">
        <v>4714</v>
      </c>
      <c r="G15">
        <v>57.1</v>
      </c>
      <c r="M15">
        <v>2007</v>
      </c>
      <c r="N15" s="39">
        <v>55607</v>
      </c>
      <c r="O15" s="39"/>
      <c r="P15" s="39"/>
      <c r="Q15">
        <v>885</v>
      </c>
      <c r="R15">
        <v>14823</v>
      </c>
      <c r="S15">
        <v>420</v>
      </c>
    </row>
    <row r="16" spans="1:23" x14ac:dyDescent="0.15">
      <c r="A16">
        <v>2006</v>
      </c>
      <c r="B16" s="39">
        <v>23742</v>
      </c>
      <c r="C16" s="39"/>
      <c r="D16" s="39"/>
      <c r="E16">
        <v>548</v>
      </c>
      <c r="F16">
        <v>4148</v>
      </c>
      <c r="G16">
        <v>28.4</v>
      </c>
      <c r="M16">
        <v>2006</v>
      </c>
      <c r="N16" s="39">
        <v>48382.2</v>
      </c>
      <c r="O16" s="39"/>
      <c r="P16" s="39"/>
      <c r="Q16">
        <v>684.6</v>
      </c>
      <c r="R16">
        <v>13029.2</v>
      </c>
      <c r="S16">
        <v>207.2</v>
      </c>
    </row>
    <row r="17" spans="1:21" x14ac:dyDescent="0.15">
      <c r="A17">
        <v>2005</v>
      </c>
      <c r="B17" s="39"/>
      <c r="C17" s="39"/>
      <c r="D17" s="39"/>
      <c r="M17">
        <v>2005</v>
      </c>
      <c r="N17" s="39"/>
      <c r="O17" s="39"/>
      <c r="P17" s="39"/>
    </row>
    <row r="18" spans="1:21" x14ac:dyDescent="0.15">
      <c r="A18">
        <v>2004</v>
      </c>
      <c r="B18" s="39"/>
      <c r="C18" s="39"/>
      <c r="D18" s="39"/>
      <c r="M18">
        <v>2004</v>
      </c>
      <c r="N18" s="39"/>
      <c r="O18" s="39"/>
      <c r="P18" s="39"/>
    </row>
    <row r="19" spans="1:21" x14ac:dyDescent="0.15">
      <c r="A19">
        <v>2003</v>
      </c>
      <c r="B19" s="39"/>
      <c r="C19" s="39"/>
      <c r="D19" s="39"/>
      <c r="M19">
        <v>2003</v>
      </c>
      <c r="N19" s="39"/>
      <c r="O19" s="39"/>
      <c r="P19" s="39"/>
    </row>
    <row r="22" spans="1:21" x14ac:dyDescent="0.15">
      <c r="A22" t="s">
        <v>259</v>
      </c>
      <c r="B22" t="s">
        <v>259</v>
      </c>
      <c r="C22" t="s">
        <v>256</v>
      </c>
      <c r="D22" t="s">
        <v>257</v>
      </c>
      <c r="E22" t="s">
        <v>258</v>
      </c>
    </row>
    <row r="23" spans="1:21" x14ac:dyDescent="0.15">
      <c r="A23" t="e">
        <f>#REF!+#REF!*电力历史数据!A24+#REF!*电力历史数据!A24^2</f>
        <v>#REF!</v>
      </c>
      <c r="B23" t="e">
        <f>#REF!+#REF!*电力历史数据!D23+#REF!*电力历史数据!D23^2</f>
        <v>#REF!</v>
      </c>
      <c r="C23">
        <v>1115</v>
      </c>
      <c r="D23">
        <v>983</v>
      </c>
      <c r="E23">
        <f>D23^2</f>
        <v>966289</v>
      </c>
    </row>
    <row r="24" spans="1:21" x14ac:dyDescent="0.15">
      <c r="A24" t="e">
        <f>#REF!+#REF!*电力历史数据!A25+#REF!*电力历史数据!A25^2</f>
        <v>#REF!</v>
      </c>
      <c r="B24" t="e">
        <f>#REF!+#REF!*电力历史数据!D24+#REF!*电力历史数据!E24</f>
        <v>#REF!</v>
      </c>
      <c r="C24">
        <v>983</v>
      </c>
      <c r="D24">
        <v>872</v>
      </c>
      <c r="E24">
        <f t="shared" ref="E24:E29" si="0">D24^2</f>
        <v>760384</v>
      </c>
    </row>
    <row r="25" spans="1:21" x14ac:dyDescent="0.15">
      <c r="A25" t="e">
        <f>#REF!+#REF!*电力历史数据!A26+#REF!*电力历史数据!A26^2</f>
        <v>#REF!</v>
      </c>
      <c r="B25" t="e">
        <f>#REF!+#REF!*电力历史数据!D25+#REF!*电力历史数据!E25</f>
        <v>#REF!</v>
      </c>
      <c r="C25">
        <v>872</v>
      </c>
      <c r="D25">
        <v>747.42</v>
      </c>
      <c r="E25">
        <f t="shared" si="0"/>
        <v>558636.65639999998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x14ac:dyDescent="0.15">
      <c r="A26" t="e">
        <f>#REF!+#REF!*电力历史数据!A27+#REF!*电力历史数据!A27^2</f>
        <v>#REF!</v>
      </c>
      <c r="B26" t="e">
        <f>#REF!+#REF!*电力历史数据!D26+#REF!*电力历史数据!E26</f>
        <v>#REF!</v>
      </c>
      <c r="C26">
        <v>747.42</v>
      </c>
      <c r="D26">
        <v>700.5</v>
      </c>
      <c r="E26">
        <f t="shared" si="0"/>
        <v>490700.25</v>
      </c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x14ac:dyDescent="0.15">
      <c r="A27" t="e">
        <f>#REF!+#REF!*电力历史数据!A28+#REF!*电力历史数据!A28^2</f>
        <v>#REF!</v>
      </c>
      <c r="B27" t="e">
        <f>#REF!+#REF!*电力历史数据!D27+#REF!*电力历史数据!E27</f>
        <v>#REF!</v>
      </c>
      <c r="C27">
        <v>700.5</v>
      </c>
      <c r="D27">
        <v>692.19</v>
      </c>
      <c r="E27">
        <f t="shared" si="0"/>
        <v>479126.99610000005</v>
      </c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15">
      <c r="A28" t="e">
        <f>#REF!+#REF!*电力历史数据!A29+#REF!*电力历史数据!A29^2</f>
        <v>#REF!</v>
      </c>
      <c r="B28" t="e">
        <f>#REF!+#REF!*电力历史数据!D28+#REF!*电力历史数据!E28</f>
        <v>#REF!</v>
      </c>
      <c r="C28">
        <v>692.19</v>
      </c>
      <c r="D28">
        <v>629</v>
      </c>
      <c r="E28">
        <f t="shared" si="0"/>
        <v>395641</v>
      </c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x14ac:dyDescent="0.15">
      <c r="A29" t="e">
        <f>#REF!+#REF!*电力历史数据!A30+#REF!*电力历史数据!A30^2</f>
        <v>#REF!</v>
      </c>
      <c r="B29" t="e">
        <f>#REF!+#REF!*电力历史数据!D29+#REF!*电力历史数据!E29</f>
        <v>#REF!</v>
      </c>
      <c r="C29">
        <v>629</v>
      </c>
      <c r="D29">
        <v>548</v>
      </c>
      <c r="E29">
        <f t="shared" si="0"/>
        <v>300304</v>
      </c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x14ac:dyDescent="0.15">
      <c r="A30">
        <v>548</v>
      </c>
      <c r="C30">
        <v>548</v>
      </c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x14ac:dyDescent="0.15"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x14ac:dyDescent="0.15">
      <c r="L32" s="39"/>
      <c r="M32" s="39"/>
      <c r="N32" s="39"/>
    </row>
    <row r="33" spans="12:14" x14ac:dyDescent="0.15">
      <c r="L33" s="39"/>
      <c r="M33" s="39"/>
      <c r="N33" s="39"/>
    </row>
    <row r="34" spans="12:14" x14ac:dyDescent="0.15">
      <c r="L34" s="39"/>
      <c r="M34" s="39"/>
      <c r="N34" s="39"/>
    </row>
    <row r="35" spans="12:14" x14ac:dyDescent="0.15">
      <c r="L35" s="39"/>
      <c r="M35" s="39"/>
      <c r="N35" s="39"/>
    </row>
    <row r="36" spans="12:14" x14ac:dyDescent="0.15">
      <c r="L36" s="39"/>
      <c r="M36" s="39"/>
      <c r="N36" s="39"/>
    </row>
    <row r="37" spans="12:14" x14ac:dyDescent="0.15">
      <c r="L37" s="39"/>
      <c r="M37" s="39"/>
      <c r="N37" s="39"/>
    </row>
  </sheetData>
  <mergeCells count="18">
    <mergeCell ref="B19:D19"/>
    <mergeCell ref="N14:P14"/>
    <mergeCell ref="N15:P15"/>
    <mergeCell ref="N16:P16"/>
    <mergeCell ref="N17:P17"/>
    <mergeCell ref="N18:P18"/>
    <mergeCell ref="N19:P19"/>
    <mergeCell ref="B14:D14"/>
    <mergeCell ref="B15:D15"/>
    <mergeCell ref="B16:D16"/>
    <mergeCell ref="B17:D17"/>
    <mergeCell ref="B18:D18"/>
    <mergeCell ref="L37:N37"/>
    <mergeCell ref="L32:N32"/>
    <mergeCell ref="L33:N33"/>
    <mergeCell ref="L34:N34"/>
    <mergeCell ref="L35:N35"/>
    <mergeCell ref="L36:N3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workbookViewId="0">
      <selection activeCell="A88" activeCellId="1" sqref="I88:I95 A88:A95"/>
    </sheetView>
  </sheetViews>
  <sheetFormatPr defaultRowHeight="13.5" x14ac:dyDescent="0.15"/>
  <cols>
    <col min="1" max="1" width="36.75" bestFit="1" customWidth="1"/>
    <col min="15" max="15" width="30" bestFit="1" customWidth="1"/>
  </cols>
  <sheetData>
    <row r="1" spans="1:20" x14ac:dyDescent="0.15">
      <c r="A1" s="12" t="s">
        <v>212</v>
      </c>
      <c r="B1" s="12"/>
      <c r="C1" s="12"/>
      <c r="D1" s="12"/>
      <c r="E1" s="12"/>
      <c r="F1" s="12"/>
      <c r="G1" s="12"/>
      <c r="H1" s="12"/>
      <c r="I1" s="12"/>
      <c r="J1" s="12"/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</row>
    <row r="2" spans="1:20" x14ac:dyDescent="0.15">
      <c r="A2" s="17" t="s">
        <v>194</v>
      </c>
      <c r="B2" s="32" t="s">
        <v>1</v>
      </c>
      <c r="C2" s="12" t="s">
        <v>195</v>
      </c>
      <c r="D2" s="12" t="s">
        <v>196</v>
      </c>
      <c r="E2" s="12" t="s">
        <v>197</v>
      </c>
      <c r="F2" s="18" t="s">
        <v>198</v>
      </c>
      <c r="G2" s="18" t="s">
        <v>199</v>
      </c>
      <c r="H2" s="18" t="s">
        <v>200</v>
      </c>
      <c r="I2" s="18" t="s">
        <v>201</v>
      </c>
      <c r="J2" t="s">
        <v>230</v>
      </c>
      <c r="K2">
        <v>1.5727145285385307E-2</v>
      </c>
      <c r="L2">
        <v>7.926622211877385E-5</v>
      </c>
      <c r="M2">
        <v>1.528162177299085E-5</v>
      </c>
      <c r="N2">
        <v>1.0146010409521714E-4</v>
      </c>
      <c r="O2">
        <v>2.8816219529101189E-4</v>
      </c>
      <c r="P2">
        <v>1.0292762995514241E-4</v>
      </c>
      <c r="Q2">
        <v>8.1068657577207316E-5</v>
      </c>
      <c r="R2">
        <v>1.246430622947142E-5</v>
      </c>
      <c r="S2">
        <v>2.3871040292059372E-4</v>
      </c>
      <c r="T2">
        <v>3.3312207884359342E-4</v>
      </c>
    </row>
    <row r="3" spans="1:20" x14ac:dyDescent="0.15">
      <c r="A3" s="12" t="s">
        <v>202</v>
      </c>
      <c r="B3" s="12">
        <v>1.5897410882373477E-2</v>
      </c>
      <c r="C3" s="12">
        <v>1.3246044344532141E-2</v>
      </c>
      <c r="D3" s="12">
        <v>1.4083576191332405E-2</v>
      </c>
      <c r="E3" s="12">
        <v>1.5726146186922182E-2</v>
      </c>
      <c r="F3" s="18">
        <v>1.3233344057781033E-2</v>
      </c>
      <c r="G3" s="18">
        <v>1.8967243561258864E-2</v>
      </c>
      <c r="H3" s="18">
        <v>2.2357333306673631E-2</v>
      </c>
      <c r="I3" s="18">
        <v>1.9265042994478117E-2</v>
      </c>
      <c r="J3" t="s">
        <v>231</v>
      </c>
      <c r="K3">
        <v>9.3375683152982072E-2</v>
      </c>
      <c r="L3">
        <v>1.690301548125281E-3</v>
      </c>
      <c r="M3">
        <v>2.844574528236996E-4</v>
      </c>
      <c r="N3">
        <v>1.7738085209086502E-3</v>
      </c>
      <c r="O3">
        <v>4.7906764635494582E-3</v>
      </c>
      <c r="P3">
        <v>1.7290037257133544E-3</v>
      </c>
      <c r="Q3">
        <v>1.694589261270543E-3</v>
      </c>
      <c r="R3">
        <v>2.6872992241976134E-4</v>
      </c>
      <c r="S3">
        <v>4.2859350357823426E-3</v>
      </c>
      <c r="T3">
        <v>4.2087332584969453E-3</v>
      </c>
    </row>
    <row r="4" spans="1:20" x14ac:dyDescent="0.15">
      <c r="A4" s="12" t="s">
        <v>203</v>
      </c>
      <c r="B4" s="12">
        <v>0.2997510146054766</v>
      </c>
      <c r="C4" s="12">
        <v>0.11648162961893845</v>
      </c>
      <c r="D4" s="12">
        <v>0.11997579071826296</v>
      </c>
      <c r="E4" s="12">
        <v>0.13702316516641649</v>
      </c>
      <c r="F4" s="18">
        <v>9.7777543890602212E-2</v>
      </c>
      <c r="G4" s="18">
        <v>9.7658332679080875E-2</v>
      </c>
      <c r="H4" s="18">
        <v>6.721363772943087E-2</v>
      </c>
      <c r="I4" s="18">
        <v>0.10899713643352946</v>
      </c>
      <c r="J4" t="s">
        <v>232</v>
      </c>
      <c r="K4">
        <v>0.12592176509241909</v>
      </c>
      <c r="L4">
        <v>7.082511216196883E-3</v>
      </c>
      <c r="M4">
        <v>2.2950528914763972E-3</v>
      </c>
      <c r="N4">
        <v>5.3610420724435415E-3</v>
      </c>
      <c r="O4">
        <v>1.8675297690975645E-2</v>
      </c>
      <c r="P4">
        <v>6.4405961902580158E-3</v>
      </c>
      <c r="Q4">
        <v>9.4165429369824968E-3</v>
      </c>
      <c r="R4">
        <v>1.8246626561514735E-3</v>
      </c>
      <c r="S4">
        <v>1.2998275543745252E-2</v>
      </c>
      <c r="T4">
        <v>1.9252063452774436E-2</v>
      </c>
    </row>
    <row r="5" spans="1:20" x14ac:dyDescent="0.15">
      <c r="A5" s="12" t="s">
        <v>204</v>
      </c>
      <c r="B5" s="12">
        <v>0.14990120164157622</v>
      </c>
      <c r="C5" s="12">
        <v>0.3601601260140071</v>
      </c>
      <c r="D5" s="12">
        <v>0.30600159772438579</v>
      </c>
      <c r="E5" s="12">
        <v>0.1325230684047671</v>
      </c>
      <c r="F5" s="18">
        <v>0.40760650715155528</v>
      </c>
      <c r="G5" s="18">
        <v>0.13244911244470045</v>
      </c>
      <c r="H5" s="18">
        <v>0.13918701275440615</v>
      </c>
      <c r="I5" s="18">
        <v>0.12926358050965003</v>
      </c>
      <c r="J5" t="s">
        <v>233</v>
      </c>
      <c r="K5">
        <v>1.4574212786891479E-2</v>
      </c>
      <c r="L5">
        <v>2.6317195960354066E-3</v>
      </c>
      <c r="M5">
        <v>4.2214280917479028E-3</v>
      </c>
      <c r="N5">
        <v>1.9916775330959314E-3</v>
      </c>
      <c r="O5">
        <v>4.802944514455028E-3</v>
      </c>
      <c r="P5">
        <v>2.5660192328433745E-3</v>
      </c>
      <c r="Q5">
        <v>4.6609481810746638E-3</v>
      </c>
      <c r="R5">
        <v>2.1325661124352879E-3</v>
      </c>
      <c r="S5">
        <v>2.682333654107041E-3</v>
      </c>
      <c r="T5">
        <v>1.1396618295316288E-2</v>
      </c>
    </row>
    <row r="6" spans="1:20" x14ac:dyDescent="0.15">
      <c r="A6" s="12" t="s">
        <v>205</v>
      </c>
      <c r="B6" s="12">
        <v>1.1611287011015556E-2</v>
      </c>
      <c r="C6" s="12">
        <v>1.0565354885291679E-2</v>
      </c>
      <c r="D6" s="12">
        <v>1.0816440173393314E-2</v>
      </c>
      <c r="E6" s="12">
        <v>1.3207022013303026E-2</v>
      </c>
      <c r="F6" s="18">
        <v>1.0703772524857566E-2</v>
      </c>
      <c r="G6" s="18">
        <v>1.6416612508983977E-2</v>
      </c>
      <c r="H6" s="18">
        <v>1.8304830569774659E-2</v>
      </c>
      <c r="I6" s="18">
        <v>1.5817460473103041E-2</v>
      </c>
      <c r="J6" t="s">
        <v>234</v>
      </c>
      <c r="K6">
        <v>1.2422445799576934E-3</v>
      </c>
      <c r="L6">
        <v>9.2934581578505186E-4</v>
      </c>
      <c r="M6">
        <v>2.322737982042712E-3</v>
      </c>
      <c r="N6">
        <v>6.1612607027237314E-4</v>
      </c>
      <c r="O6">
        <v>1.2770560196771698E-3</v>
      </c>
      <c r="P6">
        <v>8.586704110946083E-4</v>
      </c>
      <c r="Q6">
        <v>1.6618667380036494E-3</v>
      </c>
      <c r="R6">
        <v>1.4192932640857969E-3</v>
      </c>
      <c r="S6">
        <v>8.3144423351429815E-4</v>
      </c>
      <c r="T6">
        <v>7.3033008581429061E-3</v>
      </c>
    </row>
    <row r="7" spans="1:20" x14ac:dyDescent="0.15">
      <c r="A7" s="12" t="s">
        <v>206</v>
      </c>
      <c r="B7" s="12">
        <v>6.4255458066006979E-2</v>
      </c>
      <c r="C7" s="12">
        <v>5.8541587813819886E-2</v>
      </c>
      <c r="D7" s="12">
        <v>6.264889362665331E-2</v>
      </c>
      <c r="E7" s="12">
        <v>6.8946074278360345E-2</v>
      </c>
      <c r="F7" s="18">
        <v>5.9180250055217543E-2</v>
      </c>
      <c r="G7" s="18">
        <v>8.5627506551498561E-2</v>
      </c>
      <c r="H7" s="18">
        <v>0.10364114198342521</v>
      </c>
      <c r="I7" s="18">
        <v>8.0174813667125686E-2</v>
      </c>
      <c r="J7" t="s">
        <v>235</v>
      </c>
      <c r="K7">
        <v>2.3865442790969567E-4</v>
      </c>
      <c r="L7">
        <v>3.2627435414545383E-4</v>
      </c>
      <c r="M7">
        <v>1.6127250529397608E-3</v>
      </c>
      <c r="N7">
        <v>2.4667705720744375E-4</v>
      </c>
      <c r="O7">
        <v>5.0790144336954166E-4</v>
      </c>
      <c r="P7">
        <v>3.4937915118669579E-4</v>
      </c>
      <c r="Q7">
        <v>9.2545128384836082E-4</v>
      </c>
      <c r="R7">
        <v>7.3920224452028943E-4</v>
      </c>
      <c r="S7">
        <v>4.2465053147846898E-4</v>
      </c>
      <c r="T7">
        <v>5.0851107716628824E-3</v>
      </c>
    </row>
    <row r="8" spans="1:20" x14ac:dyDescent="0.15">
      <c r="A8" s="12" t="s">
        <v>207</v>
      </c>
      <c r="B8" s="12">
        <v>0.15506932565991788</v>
      </c>
      <c r="C8" s="12">
        <v>0.14077050707030347</v>
      </c>
      <c r="D8" s="12">
        <v>0.14334291594285228</v>
      </c>
      <c r="E8" s="12">
        <v>0.1754874870090723</v>
      </c>
      <c r="F8" s="18">
        <v>0.14265291039849867</v>
      </c>
      <c r="G8" s="18">
        <v>0.2174679195437933</v>
      </c>
      <c r="H8" s="18">
        <v>0.24052759797123804</v>
      </c>
      <c r="I8" s="18">
        <v>0.21016334831386202</v>
      </c>
      <c r="J8" t="s">
        <v>236</v>
      </c>
      <c r="K8">
        <v>2.0903136536416606E-5</v>
      </c>
      <c r="L8">
        <v>1.2963470738334397E-5</v>
      </c>
      <c r="M8">
        <v>1.4664874705919471E-4</v>
      </c>
      <c r="N8">
        <v>1.712792994390908E-5</v>
      </c>
      <c r="O8">
        <v>3.6468112552840885E-5</v>
      </c>
      <c r="P8">
        <v>2.2403468546080351E-5</v>
      </c>
      <c r="Q8">
        <v>1.0197590540500637E-4</v>
      </c>
      <c r="R8">
        <v>4.9571286714498433E-5</v>
      </c>
      <c r="S8">
        <v>2.3091105721866719E-5</v>
      </c>
      <c r="T8">
        <v>5.5723203712075033E-4</v>
      </c>
    </row>
    <row r="9" spans="1:20" x14ac:dyDescent="0.15">
      <c r="A9" s="12" t="s">
        <v>208</v>
      </c>
      <c r="B9" s="12">
        <v>0.30945617810128073</v>
      </c>
      <c r="C9" s="12">
        <v>0.2927970872311712</v>
      </c>
      <c r="D9" s="12">
        <v>0.29737811155031674</v>
      </c>
      <c r="E9" s="12">
        <v>0.41621675512481021</v>
      </c>
      <c r="F9" s="18">
        <v>0.29705592858215424</v>
      </c>
      <c r="G9" s="18">
        <v>0.53764079897766981</v>
      </c>
      <c r="H9" s="18">
        <v>0.58290079094925562</v>
      </c>
      <c r="I9" s="18">
        <v>0.52301212658072227</v>
      </c>
    </row>
    <row r="10" spans="1:20" x14ac:dyDescent="0.15">
      <c r="A10" s="12" t="s">
        <v>209</v>
      </c>
      <c r="B10" s="12">
        <v>0.7371558673879649</v>
      </c>
      <c r="C10" s="12">
        <v>0.61707733943829779</v>
      </c>
      <c r="D10" s="12">
        <v>0.63679354087764328</v>
      </c>
      <c r="E10" s="12">
        <v>0.72763468704921552</v>
      </c>
      <c r="F10" s="18">
        <v>0.51074036322635008</v>
      </c>
      <c r="G10" s="18">
        <v>0.4961911347537698</v>
      </c>
      <c r="H10" s="18">
        <v>0.31910970435660518</v>
      </c>
      <c r="I10" s="18">
        <v>0.56182505975045804</v>
      </c>
    </row>
    <row r="11" spans="1:20" x14ac:dyDescent="0.15">
      <c r="A11" s="12" t="s">
        <v>210</v>
      </c>
      <c r="B11" s="12">
        <v>1.1830064883833202E-3</v>
      </c>
      <c r="C11" s="12">
        <v>1.0713980568646112E-3</v>
      </c>
      <c r="D11" s="12">
        <v>1.1400867700136095E-3</v>
      </c>
      <c r="E11" s="12">
        <v>1.0535844791627897E-3</v>
      </c>
      <c r="F11" s="18">
        <v>1.0880330885417854E-3</v>
      </c>
      <c r="G11" s="18">
        <v>1.2345936999585087E-3</v>
      </c>
      <c r="H11" s="18">
        <v>1.5645662822046707E-3</v>
      </c>
      <c r="I11" s="18">
        <v>1.1295379490435849E-3</v>
      </c>
    </row>
    <row r="12" spans="1:20" x14ac:dyDescent="0.15">
      <c r="A12" s="12" t="s">
        <v>211</v>
      </c>
      <c r="B12" s="12">
        <v>0.22014490727124772</v>
      </c>
      <c r="C12" s="12">
        <v>0.16041811966699138</v>
      </c>
      <c r="D12" s="12">
        <v>0.21624950524506698</v>
      </c>
      <c r="E12" s="12">
        <v>0.21912815156160176</v>
      </c>
      <c r="F12" s="18">
        <v>0.19541650205462105</v>
      </c>
      <c r="G12" s="18">
        <v>0.27387473350410807</v>
      </c>
      <c r="H12" s="18">
        <v>0.35892198727491886</v>
      </c>
      <c r="I12" s="18">
        <v>0.23918272022403592</v>
      </c>
    </row>
    <row r="13" spans="1:20" ht="14.25" thickBot="1" x14ac:dyDescent="0.2"/>
    <row r="14" spans="1:20" x14ac:dyDescent="0.15">
      <c r="E14" s="25" t="s">
        <v>214</v>
      </c>
      <c r="F14" s="26" t="s">
        <v>215</v>
      </c>
      <c r="G14" s="19" t="s">
        <v>216</v>
      </c>
      <c r="H14" s="27" t="s">
        <v>217</v>
      </c>
      <c r="I14" s="27" t="s">
        <v>218</v>
      </c>
      <c r="J14" s="27" t="s">
        <v>219</v>
      </c>
      <c r="K14" s="19" t="s">
        <v>220</v>
      </c>
      <c r="L14" s="19" t="s">
        <v>220</v>
      </c>
      <c r="M14" s="19" t="s">
        <v>221</v>
      </c>
    </row>
    <row r="15" spans="1:20" x14ac:dyDescent="0.15">
      <c r="A15" s="12"/>
      <c r="B15" s="12" t="s">
        <v>213</v>
      </c>
      <c r="E15" s="28"/>
      <c r="F15" s="29"/>
      <c r="G15" s="20" t="s">
        <v>222</v>
      </c>
      <c r="H15" s="30"/>
      <c r="I15" s="30"/>
      <c r="J15" s="30"/>
      <c r="K15" s="20" t="s">
        <v>223</v>
      </c>
      <c r="L15" s="20" t="s">
        <v>224</v>
      </c>
      <c r="M15" s="31"/>
    </row>
    <row r="16" spans="1:20" x14ac:dyDescent="0.15">
      <c r="A16" s="12" t="s">
        <v>202</v>
      </c>
      <c r="B16" s="12">
        <v>0.25110060846208176</v>
      </c>
      <c r="E16" s="21" t="s">
        <v>202</v>
      </c>
      <c r="F16" s="22"/>
      <c r="G16" s="23">
        <v>6.2632844188269796E-2</v>
      </c>
      <c r="H16" s="23">
        <v>0.37186561882458585</v>
      </c>
      <c r="I16" s="23">
        <v>0.50147933078957196</v>
      </c>
      <c r="J16" s="23">
        <v>5.8041328040399007E-2</v>
      </c>
      <c r="K16" s="23">
        <v>4.9471986052366836E-3</v>
      </c>
      <c r="L16" s="23">
        <v>9.504334910671251E-4</v>
      </c>
      <c r="M16" s="23">
        <v>8.3246060869554401E-5</v>
      </c>
    </row>
    <row r="17" spans="1:13" x14ac:dyDescent="0.15">
      <c r="A17" s="12" t="s">
        <v>203</v>
      </c>
      <c r="B17" s="12">
        <v>1.2752382223145184E-2</v>
      </c>
      <c r="E17" s="21" t="s">
        <v>203</v>
      </c>
      <c r="F17" s="22"/>
      <c r="G17" s="23">
        <v>6.215797231587686E-3</v>
      </c>
      <c r="H17" s="23">
        <v>0.13254790505396202</v>
      </c>
      <c r="I17" s="23">
        <v>0.55538730664317304</v>
      </c>
      <c r="J17" s="23">
        <v>0.2063708215441438</v>
      </c>
      <c r="K17" s="23">
        <v>7.2876251630720229E-2</v>
      </c>
      <c r="L17" s="23">
        <v>2.5585365027192788E-2</v>
      </c>
      <c r="M17" s="23">
        <v>1.0165528692204734E-3</v>
      </c>
    </row>
    <row r="18" spans="1:13" x14ac:dyDescent="0.15">
      <c r="A18" s="12" t="s">
        <v>204</v>
      </c>
      <c r="B18" s="12">
        <v>1.0898331839862658E-2</v>
      </c>
      <c r="E18" s="24" t="s">
        <v>204</v>
      </c>
      <c r="F18" s="22"/>
      <c r="G18" s="23">
        <v>1.4021982444226465E-3</v>
      </c>
      <c r="H18" s="23">
        <v>2.6101008576674464E-2</v>
      </c>
      <c r="I18" s="23">
        <v>0.21058753992806661</v>
      </c>
      <c r="J18" s="23">
        <v>0.38734626122387383</v>
      </c>
      <c r="K18" s="23">
        <v>0.21312784526773812</v>
      </c>
      <c r="L18" s="23">
        <v>0.14797907392037024</v>
      </c>
      <c r="M18" s="23">
        <v>1.3456072838854097E-2</v>
      </c>
    </row>
    <row r="19" spans="1:13" x14ac:dyDescent="0.15">
      <c r="A19" s="12" t="s">
        <v>205</v>
      </c>
      <c r="B19" s="12">
        <v>1.0107919287967067E-2</v>
      </c>
      <c r="E19" s="21" t="s">
        <v>205</v>
      </c>
      <c r="F19" s="22"/>
      <c r="G19" s="23">
        <v>1.0037684433828031E-2</v>
      </c>
      <c r="H19" s="23">
        <v>0.1754870087872856</v>
      </c>
      <c r="I19" s="23">
        <v>0.53038037994877674</v>
      </c>
      <c r="J19" s="23">
        <v>0.19704129765528661</v>
      </c>
      <c r="K19" s="23">
        <v>6.0954787302846598E-2</v>
      </c>
      <c r="L19" s="23">
        <v>2.4404335865750283E-2</v>
      </c>
      <c r="M19" s="23">
        <v>1.6945060062261239E-3</v>
      </c>
    </row>
    <row r="20" spans="1:13" x14ac:dyDescent="0.15">
      <c r="A20" s="12" t="s">
        <v>206</v>
      </c>
      <c r="B20" s="12">
        <v>3.0378506439870695E-2</v>
      </c>
      <c r="E20" s="21" t="s">
        <v>206</v>
      </c>
      <c r="F20" s="22"/>
      <c r="G20" s="23">
        <v>9.485726227567574E-3</v>
      </c>
      <c r="H20" s="23">
        <v>0.15769953908141671</v>
      </c>
      <c r="I20" s="23">
        <v>0.61475364919405617</v>
      </c>
      <c r="J20" s="23">
        <v>0.15810337891237919</v>
      </c>
      <c r="K20" s="23">
        <v>4.2038143718648384E-2</v>
      </c>
      <c r="L20" s="23">
        <v>1.6719105146753999E-2</v>
      </c>
      <c r="M20" s="23">
        <v>1.2004577191779844E-3</v>
      </c>
    </row>
    <row r="21" spans="1:13" x14ac:dyDescent="0.15">
      <c r="A21" s="12" t="s">
        <v>207</v>
      </c>
      <c r="B21" s="12">
        <v>1.2068999809597272E-2</v>
      </c>
      <c r="E21" s="21" t="s">
        <v>207</v>
      </c>
      <c r="F21" s="22"/>
      <c r="G21" s="23">
        <v>8.5282651072124752E-3</v>
      </c>
      <c r="H21" s="23">
        <v>0.14325990164805955</v>
      </c>
      <c r="I21" s="23">
        <v>0.53364788233209282</v>
      </c>
      <c r="J21" s="23">
        <v>0.21261241804004963</v>
      </c>
      <c r="K21" s="23">
        <v>7.1146774765195819E-2</v>
      </c>
      <c r="L21" s="23">
        <v>2.8948475987949671E-2</v>
      </c>
      <c r="M21" s="23">
        <v>1.8562821194400142E-3</v>
      </c>
    </row>
    <row r="22" spans="1:13" x14ac:dyDescent="0.15">
      <c r="A22" s="12" t="s">
        <v>208</v>
      </c>
      <c r="B22" s="12">
        <v>1.8542442964161927E-2</v>
      </c>
      <c r="E22" s="21" t="s">
        <v>208</v>
      </c>
      <c r="F22" s="22"/>
      <c r="G22" s="23">
        <v>4.3720591582184446E-3</v>
      </c>
      <c r="H22" s="23">
        <v>9.138975185447655E-2</v>
      </c>
      <c r="I22" s="23">
        <v>0.50783723348549081</v>
      </c>
      <c r="J22" s="23">
        <v>0.25136645640939292</v>
      </c>
      <c r="K22" s="23">
        <v>8.9625015496374305E-2</v>
      </c>
      <c r="L22" s="23">
        <v>4.9909889739827441E-2</v>
      </c>
      <c r="M22" s="23">
        <v>5.4995938562195507E-3</v>
      </c>
    </row>
    <row r="23" spans="1:13" x14ac:dyDescent="0.15">
      <c r="A23" s="12" t="s">
        <v>209</v>
      </c>
      <c r="B23" s="12">
        <v>6.4464897925565791E-3</v>
      </c>
      <c r="E23" s="21" t="s">
        <v>209</v>
      </c>
      <c r="F23" s="22"/>
      <c r="G23" s="23">
        <v>1.9335028256561107E-3</v>
      </c>
      <c r="H23" s="23">
        <v>4.1686240274521114E-2</v>
      </c>
      <c r="I23" s="23">
        <v>0.28304747465175778</v>
      </c>
      <c r="J23" s="23">
        <v>0.33081043809262667</v>
      </c>
      <c r="K23" s="23">
        <v>0.22016528525719217</v>
      </c>
      <c r="L23" s="23">
        <v>0.11466740323917168</v>
      </c>
      <c r="M23" s="23">
        <v>7.6896556590744592E-3</v>
      </c>
    </row>
    <row r="24" spans="1:13" x14ac:dyDescent="0.15">
      <c r="A24" s="12" t="s">
        <v>210</v>
      </c>
      <c r="B24" s="12">
        <v>2.1484440507269862E-2</v>
      </c>
      <c r="E24" s="21" t="s">
        <v>210</v>
      </c>
      <c r="F24" s="22"/>
      <c r="G24" s="23">
        <v>1.1110850330955529E-2</v>
      </c>
      <c r="H24" s="23">
        <v>0.19949018613410371</v>
      </c>
      <c r="I24" s="23">
        <v>0.60500879877914071</v>
      </c>
      <c r="J24" s="23">
        <v>0.12485005849695729</v>
      </c>
      <c r="K24" s="23">
        <v>3.8699831779792249E-2</v>
      </c>
      <c r="L24" s="23">
        <v>1.9765491744352225E-2</v>
      </c>
      <c r="M24" s="23">
        <v>1.0747827346983133E-3</v>
      </c>
    </row>
    <row r="25" spans="1:13" ht="14.25" thickBot="1" x14ac:dyDescent="0.2">
      <c r="A25" s="12" t="s">
        <v>211</v>
      </c>
      <c r="B25" s="12">
        <v>4.8136180752357802E-2</v>
      </c>
      <c r="E25" s="21" t="s">
        <v>211</v>
      </c>
      <c r="F25" s="22"/>
      <c r="G25" s="23">
        <v>6.9204094225376713E-3</v>
      </c>
      <c r="H25" s="23">
        <v>8.7433884298990502E-2</v>
      </c>
      <c r="I25" s="23">
        <v>0.39994995763828711</v>
      </c>
      <c r="J25" s="23">
        <v>0.23675784237946754</v>
      </c>
      <c r="K25" s="23">
        <v>0.15172165186339959</v>
      </c>
      <c r="L25" s="23">
        <v>0.10564009633053001</v>
      </c>
      <c r="M25" s="23">
        <v>1.1576158066787549E-2</v>
      </c>
    </row>
    <row r="26" spans="1:13" x14ac:dyDescent="0.15">
      <c r="E26" s="25" t="s">
        <v>214</v>
      </c>
      <c r="F26" s="26" t="s">
        <v>215</v>
      </c>
      <c r="G26" s="19" t="s">
        <v>216</v>
      </c>
      <c r="H26" s="27" t="s">
        <v>217</v>
      </c>
      <c r="I26" s="27" t="s">
        <v>218</v>
      </c>
      <c r="J26" s="27" t="s">
        <v>219</v>
      </c>
      <c r="K26" s="19" t="s">
        <v>220</v>
      </c>
      <c r="L26" s="19" t="s">
        <v>220</v>
      </c>
      <c r="M26" s="19" t="s">
        <v>221</v>
      </c>
    </row>
    <row r="27" spans="1:13" x14ac:dyDescent="0.15">
      <c r="A27" s="12"/>
      <c r="B27" s="12" t="s">
        <v>213</v>
      </c>
      <c r="E27" s="28"/>
      <c r="F27" s="29"/>
      <c r="G27" s="20" t="s">
        <v>222</v>
      </c>
      <c r="H27" s="30"/>
      <c r="I27" s="30"/>
      <c r="J27" s="30"/>
      <c r="K27" s="20" t="s">
        <v>223</v>
      </c>
      <c r="L27" s="20" t="s">
        <v>224</v>
      </c>
      <c r="M27" s="31"/>
    </row>
    <row r="28" spans="1:13" x14ac:dyDescent="0.15">
      <c r="A28" s="12"/>
      <c r="B28" s="32" t="s">
        <v>229</v>
      </c>
      <c r="E28" s="21" t="s">
        <v>202</v>
      </c>
      <c r="F28" s="22"/>
      <c r="G28" s="33">
        <f>$B16*G16</f>
        <v>1.5727145285385307E-2</v>
      </c>
      <c r="H28" s="33">
        <f t="shared" ref="H28:M28" si="0">$B16*H16</f>
        <v>9.3375683152982072E-2</v>
      </c>
      <c r="I28" s="33">
        <f t="shared" si="0"/>
        <v>0.12592176509241909</v>
      </c>
      <c r="J28" s="33">
        <f t="shared" si="0"/>
        <v>1.4574212786891479E-2</v>
      </c>
      <c r="K28" s="33">
        <f t="shared" si="0"/>
        <v>1.2422445799576934E-3</v>
      </c>
      <c r="L28" s="33">
        <f t="shared" si="0"/>
        <v>2.3865442790969567E-4</v>
      </c>
      <c r="M28" s="33">
        <f t="shared" si="0"/>
        <v>2.0903136536416606E-5</v>
      </c>
    </row>
    <row r="29" spans="1:13" x14ac:dyDescent="0.15">
      <c r="A29" s="12"/>
      <c r="B29" s="12"/>
      <c r="E29" s="21" t="s">
        <v>203</v>
      </c>
      <c r="F29" s="22"/>
      <c r="G29" s="33">
        <f t="shared" ref="G29:M29" si="1">$B17*G17</f>
        <v>7.926622211877385E-5</v>
      </c>
      <c r="H29" s="33">
        <f t="shared" si="1"/>
        <v>1.690301548125281E-3</v>
      </c>
      <c r="I29" s="33">
        <f t="shared" si="1"/>
        <v>7.082511216196883E-3</v>
      </c>
      <c r="J29" s="33">
        <f t="shared" si="1"/>
        <v>2.6317195960354066E-3</v>
      </c>
      <c r="K29" s="33">
        <f t="shared" si="1"/>
        <v>9.2934581578505186E-4</v>
      </c>
      <c r="L29" s="33">
        <f t="shared" si="1"/>
        <v>3.2627435414545383E-4</v>
      </c>
      <c r="M29" s="33">
        <f t="shared" si="1"/>
        <v>1.2963470738334397E-5</v>
      </c>
    </row>
    <row r="30" spans="1:13" x14ac:dyDescent="0.15">
      <c r="A30" s="12"/>
      <c r="B30" s="12"/>
      <c r="E30" s="24" t="s">
        <v>204</v>
      </c>
      <c r="F30" s="22"/>
      <c r="G30" s="33">
        <f t="shared" ref="G30:M30" si="2">$B18*G18</f>
        <v>1.528162177299085E-5</v>
      </c>
      <c r="H30" s="33">
        <f t="shared" si="2"/>
        <v>2.844574528236996E-4</v>
      </c>
      <c r="I30" s="33">
        <f t="shared" si="2"/>
        <v>2.2950528914763972E-3</v>
      </c>
      <c r="J30" s="33">
        <f t="shared" si="2"/>
        <v>4.2214280917479028E-3</v>
      </c>
      <c r="K30" s="33">
        <f t="shared" si="2"/>
        <v>2.322737982042712E-3</v>
      </c>
      <c r="L30" s="33">
        <f t="shared" si="2"/>
        <v>1.6127250529397608E-3</v>
      </c>
      <c r="M30" s="33">
        <f t="shared" si="2"/>
        <v>1.4664874705919471E-4</v>
      </c>
    </row>
    <row r="31" spans="1:13" x14ac:dyDescent="0.15">
      <c r="A31" s="12"/>
      <c r="B31" s="12"/>
      <c r="E31" s="21" t="s">
        <v>205</v>
      </c>
      <c r="F31" s="22"/>
      <c r="G31" s="33">
        <f t="shared" ref="G31:M31" si="3">$B19*G19</f>
        <v>1.0146010409521714E-4</v>
      </c>
      <c r="H31" s="33">
        <f t="shared" si="3"/>
        <v>1.7738085209086502E-3</v>
      </c>
      <c r="I31" s="33">
        <f t="shared" si="3"/>
        <v>5.3610420724435415E-3</v>
      </c>
      <c r="J31" s="33">
        <f t="shared" si="3"/>
        <v>1.9916775330959314E-3</v>
      </c>
      <c r="K31" s="33">
        <f t="shared" si="3"/>
        <v>6.1612607027237314E-4</v>
      </c>
      <c r="L31" s="33">
        <f t="shared" si="3"/>
        <v>2.4667705720744375E-4</v>
      </c>
      <c r="M31" s="33">
        <f t="shared" si="3"/>
        <v>1.712792994390908E-5</v>
      </c>
    </row>
    <row r="32" spans="1:13" x14ac:dyDescent="0.15">
      <c r="A32" s="12"/>
      <c r="B32" s="12"/>
      <c r="E32" s="21" t="s">
        <v>206</v>
      </c>
      <c r="F32" s="22"/>
      <c r="G32" s="33">
        <f t="shared" ref="G32:M32" si="4">$B20*G20</f>
        <v>2.8816219529101189E-4</v>
      </c>
      <c r="H32" s="33">
        <f t="shared" si="4"/>
        <v>4.7906764635494582E-3</v>
      </c>
      <c r="I32" s="33">
        <f t="shared" si="4"/>
        <v>1.8675297690975645E-2</v>
      </c>
      <c r="J32" s="33">
        <f t="shared" si="4"/>
        <v>4.802944514455028E-3</v>
      </c>
      <c r="K32" s="33">
        <f t="shared" si="4"/>
        <v>1.2770560196771698E-3</v>
      </c>
      <c r="L32" s="33">
        <f t="shared" si="4"/>
        <v>5.0790144336954166E-4</v>
      </c>
      <c r="M32" s="33">
        <f t="shared" si="4"/>
        <v>3.6468112552840885E-5</v>
      </c>
    </row>
    <row r="33" spans="1:16" x14ac:dyDescent="0.15">
      <c r="A33" s="12"/>
      <c r="B33" s="12"/>
      <c r="E33" s="21" t="s">
        <v>207</v>
      </c>
      <c r="F33" s="22"/>
      <c r="G33" s="33">
        <f t="shared" ref="G33:M33" si="5">$B21*G21</f>
        <v>1.0292762995514241E-4</v>
      </c>
      <c r="H33" s="33">
        <f t="shared" si="5"/>
        <v>1.7290037257133544E-3</v>
      </c>
      <c r="I33" s="33">
        <f t="shared" si="5"/>
        <v>6.4405961902580158E-3</v>
      </c>
      <c r="J33" s="33">
        <f t="shared" si="5"/>
        <v>2.5660192328433745E-3</v>
      </c>
      <c r="K33" s="33">
        <f t="shared" si="5"/>
        <v>8.586704110946083E-4</v>
      </c>
      <c r="L33" s="33">
        <f t="shared" si="5"/>
        <v>3.4937915118669579E-4</v>
      </c>
      <c r="M33" s="33">
        <f t="shared" si="5"/>
        <v>2.2403468546080351E-5</v>
      </c>
    </row>
    <row r="34" spans="1:16" x14ac:dyDescent="0.15">
      <c r="A34" s="12"/>
      <c r="B34" s="12"/>
      <c r="E34" s="21" t="s">
        <v>208</v>
      </c>
      <c r="F34" s="22"/>
      <c r="G34" s="33">
        <f t="shared" ref="G34:M34" si="6">$B22*G22</f>
        <v>8.1068657577207316E-5</v>
      </c>
      <c r="H34" s="33">
        <f t="shared" si="6"/>
        <v>1.694589261270543E-3</v>
      </c>
      <c r="I34" s="33">
        <f t="shared" si="6"/>
        <v>9.4165429369824968E-3</v>
      </c>
      <c r="J34" s="33">
        <f t="shared" si="6"/>
        <v>4.6609481810746638E-3</v>
      </c>
      <c r="K34" s="33">
        <f t="shared" si="6"/>
        <v>1.6618667380036494E-3</v>
      </c>
      <c r="L34" s="33">
        <f t="shared" si="6"/>
        <v>9.2545128384836082E-4</v>
      </c>
      <c r="M34" s="33">
        <f t="shared" si="6"/>
        <v>1.0197590540500637E-4</v>
      </c>
    </row>
    <row r="35" spans="1:16" x14ac:dyDescent="0.15">
      <c r="A35" s="12"/>
      <c r="B35" s="12"/>
      <c r="E35" s="21" t="s">
        <v>209</v>
      </c>
      <c r="F35" s="22"/>
      <c r="G35" s="33">
        <f t="shared" ref="G35:M35" si="7">$B23*G23</f>
        <v>1.246430622947142E-5</v>
      </c>
      <c r="H35" s="33">
        <f t="shared" si="7"/>
        <v>2.6872992241976134E-4</v>
      </c>
      <c r="I35" s="33">
        <f t="shared" si="7"/>
        <v>1.8246626561514735E-3</v>
      </c>
      <c r="J35" s="33">
        <f t="shared" si="7"/>
        <v>2.1325661124352879E-3</v>
      </c>
      <c r="K35" s="33">
        <f t="shared" si="7"/>
        <v>1.4192932640857969E-3</v>
      </c>
      <c r="L35" s="33">
        <f t="shared" si="7"/>
        <v>7.3920224452028943E-4</v>
      </c>
      <c r="M35" s="33">
        <f t="shared" si="7"/>
        <v>4.9571286714498433E-5</v>
      </c>
    </row>
    <row r="36" spans="1:16" x14ac:dyDescent="0.15">
      <c r="A36" s="12"/>
      <c r="B36" s="12"/>
      <c r="E36" s="21" t="s">
        <v>210</v>
      </c>
      <c r="F36" s="22"/>
      <c r="G36" s="33">
        <f t="shared" ref="G36:M36" si="8">$B24*G24</f>
        <v>2.3871040292059372E-4</v>
      </c>
      <c r="H36" s="33">
        <f t="shared" si="8"/>
        <v>4.2859350357823426E-3</v>
      </c>
      <c r="I36" s="33">
        <f t="shared" si="8"/>
        <v>1.2998275543745252E-2</v>
      </c>
      <c r="J36" s="33">
        <f t="shared" si="8"/>
        <v>2.682333654107041E-3</v>
      </c>
      <c r="K36" s="33">
        <f t="shared" si="8"/>
        <v>8.3144423351429815E-4</v>
      </c>
      <c r="L36" s="33">
        <f t="shared" si="8"/>
        <v>4.2465053147846898E-4</v>
      </c>
      <c r="M36" s="33">
        <f t="shared" si="8"/>
        <v>2.3091105721866719E-5</v>
      </c>
    </row>
    <row r="37" spans="1:16" x14ac:dyDescent="0.15">
      <c r="A37" s="12"/>
      <c r="B37" s="12"/>
      <c r="E37" s="21" t="s">
        <v>211</v>
      </c>
      <c r="F37" s="22"/>
      <c r="G37" s="33">
        <f t="shared" ref="G37:M37" si="9">$B25*G25</f>
        <v>3.3312207884359342E-4</v>
      </c>
      <c r="H37" s="33">
        <f t="shared" si="9"/>
        <v>4.2087332584969453E-3</v>
      </c>
      <c r="I37" s="33">
        <f t="shared" si="9"/>
        <v>1.9252063452774436E-2</v>
      </c>
      <c r="J37" s="33">
        <f t="shared" si="9"/>
        <v>1.1396618295316288E-2</v>
      </c>
      <c r="K37" s="33">
        <f t="shared" si="9"/>
        <v>7.3033008581429061E-3</v>
      </c>
      <c r="L37" s="33">
        <f t="shared" si="9"/>
        <v>5.0851107716628824E-3</v>
      </c>
      <c r="M37" s="33">
        <f t="shared" si="9"/>
        <v>5.5723203712075033E-4</v>
      </c>
    </row>
    <row r="38" spans="1:16" x14ac:dyDescent="0.15">
      <c r="O38" t="s">
        <v>241</v>
      </c>
      <c r="P38">
        <v>4225.7058258286552</v>
      </c>
    </row>
    <row r="39" spans="1:16" x14ac:dyDescent="0.15">
      <c r="A39" t="s">
        <v>227</v>
      </c>
      <c r="B39" s="8" t="s">
        <v>12</v>
      </c>
      <c r="C39" s="8" t="s">
        <v>13</v>
      </c>
      <c r="D39" s="8" t="s">
        <v>14</v>
      </c>
      <c r="E39" s="8" t="s">
        <v>162</v>
      </c>
      <c r="F39" s="8" t="s">
        <v>16</v>
      </c>
      <c r="G39" s="8" t="s">
        <v>17</v>
      </c>
      <c r="H39" s="8" t="s">
        <v>18</v>
      </c>
      <c r="I39" s="8" t="s">
        <v>19</v>
      </c>
      <c r="O39" t="s">
        <v>242</v>
      </c>
      <c r="P39">
        <v>966.33</v>
      </c>
    </row>
    <row r="40" spans="1:16" x14ac:dyDescent="0.15">
      <c r="A40" s="13" t="s">
        <v>153</v>
      </c>
      <c r="B40">
        <f>装机容趋势!B2-装机容趋势!B13</f>
        <v>0</v>
      </c>
      <c r="C40">
        <f>装机容趋势!C2-装机容趋势!C13</f>
        <v>0</v>
      </c>
      <c r="D40">
        <f>装机容趋势!D2-装机容趋势!D13</f>
        <v>0</v>
      </c>
      <c r="E40">
        <f>装机容趋势!E2-装机容趋势!E13</f>
        <v>0</v>
      </c>
      <c r="F40">
        <f>装机容趋势!F2-装机容趋势!F13</f>
        <v>0</v>
      </c>
      <c r="G40">
        <f>装机容趋势!G2-装机容趋势!G13</f>
        <v>0</v>
      </c>
      <c r="H40">
        <f>装机容趋势!H2-装机容趋势!H13</f>
        <v>0</v>
      </c>
      <c r="I40">
        <f>装机容趋势!I2-装机容趋势!I13</f>
        <v>0</v>
      </c>
      <c r="O40" t="s">
        <v>243</v>
      </c>
      <c r="P40">
        <f>P38/P39</f>
        <v>4.3729428102497643</v>
      </c>
    </row>
    <row r="41" spans="1:16" x14ac:dyDescent="0.15">
      <c r="A41" s="13" t="s">
        <v>154</v>
      </c>
      <c r="B41">
        <f>装机容趋势!B3-装机容趋势!B14</f>
        <v>0</v>
      </c>
      <c r="C41">
        <f>装机容趋势!C3-装机容趋势!C14</f>
        <v>0</v>
      </c>
      <c r="D41">
        <f>装机容趋势!D3-装机容趋势!D14</f>
        <v>23.567999999999998</v>
      </c>
      <c r="E41">
        <f>装机容趋势!E3-装机容趋势!E14</f>
        <v>0</v>
      </c>
      <c r="F41">
        <f>装机容趋势!F3-装机容趋势!F14</f>
        <v>2.8900000000000006</v>
      </c>
      <c r="G41">
        <f>装机容趋势!G3-装机容趋势!G14</f>
        <v>9.5549999999999926</v>
      </c>
      <c r="H41">
        <f>装机容趋势!H3-装机容趋势!H14</f>
        <v>-1.5000000000000568E-2</v>
      </c>
      <c r="I41">
        <f>装机容趋势!I3-装机容趋势!I14</f>
        <v>-1.9009999999999998</v>
      </c>
    </row>
    <row r="42" spans="1:16" x14ac:dyDescent="0.15">
      <c r="A42" s="13" t="s">
        <v>155</v>
      </c>
      <c r="B42">
        <f>装机容趋势!B4-装机容趋势!B15</f>
        <v>181.49199999999996</v>
      </c>
      <c r="C42">
        <f>装机容趋势!C4-装机容趋势!C15</f>
        <v>0</v>
      </c>
      <c r="D42">
        <f>装机容趋势!D4-装机容趋势!D15</f>
        <v>-17.447000000000003</v>
      </c>
      <c r="E42">
        <f>装机容趋势!E4-装机容趋势!E15</f>
        <v>3.8500000000000227</v>
      </c>
      <c r="F42">
        <f>装机容趋势!F4-装机容趋势!F15</f>
        <v>-13.780000000000001</v>
      </c>
      <c r="G42">
        <f>装机容趋势!G4-装机容趋势!G15</f>
        <v>67.698000000000036</v>
      </c>
      <c r="H42">
        <f>装机容趋势!H4-装机容趋势!H15</f>
        <v>52.498000000000005</v>
      </c>
      <c r="I42">
        <f>装机容趋势!I4-装机容趋势!I15</f>
        <v>2.8939999999999984</v>
      </c>
    </row>
    <row r="43" spans="1:16" x14ac:dyDescent="0.15">
      <c r="A43" s="13" t="s">
        <v>156</v>
      </c>
      <c r="B43">
        <f>装机容趋势!B5-装机容趋势!B16</f>
        <v>41.93100000000004</v>
      </c>
      <c r="C43">
        <f>装机容趋势!C5-装机容趋势!C16</f>
        <v>-0.32899999999999996</v>
      </c>
      <c r="D43">
        <f>装机容趋势!D5-装机容趋势!D16</f>
        <v>-6.6139999999999901</v>
      </c>
      <c r="E43">
        <f>装机容趋势!E5-装机容趋势!E16</f>
        <v>39.62299999999999</v>
      </c>
      <c r="F43">
        <f>装机容趋势!F5-装机容趋势!F16</f>
        <v>-18.760000000000005</v>
      </c>
      <c r="G43">
        <f>装机容趋势!G5-装机容趋势!G16</f>
        <v>197.63300000000004</v>
      </c>
      <c r="H43">
        <f>装机容趋势!H5-装机容趋势!H16</f>
        <v>328.51700000000005</v>
      </c>
      <c r="I43">
        <f>装机容趋势!I5-装机容趋势!I16</f>
        <v>9.4769999999999968</v>
      </c>
    </row>
    <row r="44" spans="1:16" x14ac:dyDescent="0.15">
      <c r="A44" s="13" t="s">
        <v>157</v>
      </c>
      <c r="B44">
        <f>装机容趋势!B6-装机容趋势!B17</f>
        <v>-69.647999999999911</v>
      </c>
      <c r="C44">
        <f>装机容趋势!C6-装机容趋势!C17</f>
        <v>-0.30400000000000005</v>
      </c>
      <c r="D44">
        <f>装机容趋势!D6-装机容趋势!D17</f>
        <v>-5.9819999999999993</v>
      </c>
      <c r="E44">
        <f>装机容趋势!E6-装机容趋势!E17</f>
        <v>24.800000000000011</v>
      </c>
      <c r="F44">
        <f>装机容趋势!F6-装机容趋势!F17</f>
        <v>-46.86</v>
      </c>
      <c r="G44">
        <f>装机容趋势!G6-装机容趋势!G17</f>
        <v>511.47299999999996</v>
      </c>
      <c r="H44">
        <f>装机容趋势!H6-装机容趋势!H17</f>
        <v>738.93499999999995</v>
      </c>
      <c r="I44">
        <f>装机容趋势!I6-装机容趋势!I17</f>
        <v>18.997</v>
      </c>
    </row>
    <row r="45" spans="1:16" x14ac:dyDescent="0.15">
      <c r="A45" s="13" t="s">
        <v>158</v>
      </c>
      <c r="B45">
        <f>装机容趋势!B7-装机容趋势!B18</f>
        <v>-100.53400000000011</v>
      </c>
      <c r="C45">
        <f>装机容趋势!C7-装机容趋势!C18</f>
        <v>-0.25900000000000001</v>
      </c>
      <c r="D45">
        <f>装机容趋势!D7-装机容趋势!D18</f>
        <v>6.5230000000000246</v>
      </c>
      <c r="E45">
        <f>装机容趋势!E7-装机容趋势!E18</f>
        <v>23.69399999999996</v>
      </c>
      <c r="F45">
        <f>装机容趋势!F7-装机容趋势!F18</f>
        <v>-83.509999999999991</v>
      </c>
      <c r="G45">
        <f>装机容趋势!G7-装机容趋势!G18</f>
        <v>929.87699999999995</v>
      </c>
      <c r="H45">
        <f>装机容趋势!H7-装机容趋势!H18</f>
        <v>1121.133</v>
      </c>
      <c r="I45">
        <f>装机容趋势!I7-装机容趋势!I18</f>
        <v>35.822999999999993</v>
      </c>
    </row>
    <row r="46" spans="1:16" x14ac:dyDescent="0.15">
      <c r="A46" s="13" t="s">
        <v>159</v>
      </c>
      <c r="B46">
        <f>装机容趋势!B8-装机容趋势!B19</f>
        <v>-111.13499999999999</v>
      </c>
      <c r="C46">
        <f>装机容趋势!C8-装机容趋势!C19</f>
        <v>-0.247</v>
      </c>
      <c r="D46">
        <f>装机容趋势!D8-装机容趋势!D19</f>
        <v>5.7800000000000011</v>
      </c>
      <c r="E46">
        <f>装机容趋势!E8-装机容趋势!E19</f>
        <v>11.757999999999925</v>
      </c>
      <c r="F46">
        <f>装机容趋势!F8-装机容趋势!F19</f>
        <v>-123.30000000000001</v>
      </c>
      <c r="G46">
        <f>装机容趋势!G8-装机容趋势!G19</f>
        <v>1244.8040000000001</v>
      </c>
      <c r="H46">
        <f>装机容趋势!H8-装机容趋势!H19</f>
        <v>1429.1759999999999</v>
      </c>
      <c r="I46">
        <f>装机容趋势!I8-装机容趋势!I19</f>
        <v>48.75</v>
      </c>
    </row>
    <row r="47" spans="1:16" x14ac:dyDescent="0.15">
      <c r="A47" s="13" t="s">
        <v>160</v>
      </c>
      <c r="B47">
        <f>装机容趋势!B9-装机容趋势!B20</f>
        <v>-96.846000000000117</v>
      </c>
      <c r="C47">
        <f>装机容趋势!C9-装机容趋势!C20</f>
        <v>-0.247</v>
      </c>
      <c r="D47">
        <f>装机容趋势!D9-装机容趋势!D20</f>
        <v>2.9370000000000118</v>
      </c>
      <c r="E47">
        <f>装机容趋势!E9-装机容趋势!E20</f>
        <v>8.7319999999999709</v>
      </c>
      <c r="F47">
        <f>装机容趋势!F9-装机容趋势!F20</f>
        <v>-169.2</v>
      </c>
      <c r="G47">
        <f>装机容趋势!G9-装机容趋势!G20</f>
        <v>1383.2400000000002</v>
      </c>
      <c r="H47">
        <f>装机容趋势!H9-装机容趋势!H20</f>
        <v>1728.607</v>
      </c>
      <c r="I47">
        <f>装机容趋势!I9-装机容趋势!I20</f>
        <v>78.320999999999998</v>
      </c>
    </row>
    <row r="48" spans="1:16" x14ac:dyDescent="0.15">
      <c r="A48" s="13" t="s">
        <v>161</v>
      </c>
      <c r="B48">
        <f>装机容趋势!B10-装机容趋势!B21</f>
        <v>-67.58299999999997</v>
      </c>
      <c r="C48">
        <f>装机容趋势!C10-装机容趋势!C21</f>
        <v>-0.247</v>
      </c>
      <c r="D48">
        <f>装机容趋势!D10-装机容趋势!D21</f>
        <v>-5.0420000000000016</v>
      </c>
      <c r="E48">
        <f>装机容趋势!E10-装机容趋势!E21</f>
        <v>4.2949999999999591</v>
      </c>
      <c r="F48">
        <f>装机容趋势!F10-装机容趋势!F21</f>
        <v>-200</v>
      </c>
      <c r="G48">
        <f>装机容趋势!G10-装机容趋势!G21</f>
        <v>1462.2819999999999</v>
      </c>
      <c r="H48">
        <f>装机容趋势!H10-装机容趋势!H21</f>
        <v>1669.1590000000001</v>
      </c>
      <c r="I48">
        <f>装机容趋势!I10-装机容趋势!I21</f>
        <v>89.149000000000001</v>
      </c>
    </row>
    <row r="50" spans="1:9" x14ac:dyDescent="0.15">
      <c r="A50" t="s">
        <v>122</v>
      </c>
      <c r="B50" s="12">
        <v>4941</v>
      </c>
      <c r="C50" s="12">
        <v>4014</v>
      </c>
      <c r="D50" s="12">
        <v>4014</v>
      </c>
      <c r="E50" s="12">
        <v>3450</v>
      </c>
      <c r="F50" s="12">
        <v>7292</v>
      </c>
      <c r="G50" s="12">
        <v>2100</v>
      </c>
      <c r="H50" s="12">
        <v>1233</v>
      </c>
      <c r="I50" s="12">
        <v>6000</v>
      </c>
    </row>
    <row r="51" spans="1:9" x14ac:dyDescent="0.15">
      <c r="A51" t="s">
        <v>9</v>
      </c>
      <c r="B51">
        <v>0.39150000000000001</v>
      </c>
      <c r="C51">
        <v>0.34176188325756901</v>
      </c>
      <c r="D51">
        <v>0.457509465096818</v>
      </c>
      <c r="E51">
        <v>0.33531557330818101</v>
      </c>
      <c r="F51">
        <v>0.48706971254449699</v>
      </c>
      <c r="G51">
        <v>1.0325940561749201</v>
      </c>
      <c r="H51">
        <v>6.4444578308681502</v>
      </c>
      <c r="I51">
        <v>0.64627855735249895</v>
      </c>
    </row>
    <row r="52" spans="1:9" x14ac:dyDescent="0.15">
      <c r="A52" s="32" t="s">
        <v>228</v>
      </c>
      <c r="B52" s="12">
        <v>3.535137845526255</v>
      </c>
    </row>
    <row r="54" spans="1:9" x14ac:dyDescent="0.15">
      <c r="A54" t="s">
        <v>226</v>
      </c>
      <c r="B54" s="8" t="s">
        <v>12</v>
      </c>
      <c r="C54" s="8" t="s">
        <v>13</v>
      </c>
      <c r="D54" s="8" t="s">
        <v>14</v>
      </c>
      <c r="E54" s="8" t="s">
        <v>162</v>
      </c>
      <c r="F54" s="8" t="s">
        <v>16</v>
      </c>
      <c r="G54" s="8" t="s">
        <v>17</v>
      </c>
      <c r="H54" s="8" t="s">
        <v>18</v>
      </c>
      <c r="I54" s="8" t="s">
        <v>19</v>
      </c>
    </row>
    <row r="55" spans="1:9" x14ac:dyDescent="0.15">
      <c r="A55" s="13" t="s">
        <v>153</v>
      </c>
      <c r="B55">
        <f>B40*B$50</f>
        <v>0</v>
      </c>
      <c r="C55">
        <f t="shared" ref="C55:I55" si="10">C40*C$50</f>
        <v>0</v>
      </c>
      <c r="D55">
        <f t="shared" si="10"/>
        <v>0</v>
      </c>
      <c r="E55">
        <f t="shared" si="10"/>
        <v>0</v>
      </c>
      <c r="F55">
        <f t="shared" si="10"/>
        <v>0</v>
      </c>
      <c r="G55">
        <f t="shared" si="10"/>
        <v>0</v>
      </c>
      <c r="H55">
        <f t="shared" si="10"/>
        <v>0</v>
      </c>
      <c r="I55">
        <f t="shared" si="10"/>
        <v>0</v>
      </c>
    </row>
    <row r="56" spans="1:9" x14ac:dyDescent="0.15">
      <c r="A56" s="13" t="s">
        <v>154</v>
      </c>
      <c r="B56">
        <f t="shared" ref="B56:I56" si="11">B41*B$50</f>
        <v>0</v>
      </c>
      <c r="C56">
        <f t="shared" si="11"/>
        <v>0</v>
      </c>
      <c r="D56">
        <f t="shared" si="11"/>
        <v>94601.95199999999</v>
      </c>
      <c r="E56">
        <f t="shared" si="11"/>
        <v>0</v>
      </c>
      <c r="F56">
        <f t="shared" si="11"/>
        <v>21073.880000000005</v>
      </c>
      <c r="G56">
        <f t="shared" si="11"/>
        <v>20065.499999999985</v>
      </c>
      <c r="H56">
        <f t="shared" si="11"/>
        <v>-18.495000000000701</v>
      </c>
      <c r="I56">
        <f t="shared" si="11"/>
        <v>-11405.999999999998</v>
      </c>
    </row>
    <row r="57" spans="1:9" x14ac:dyDescent="0.15">
      <c r="A57" s="13" t="s">
        <v>155</v>
      </c>
      <c r="B57">
        <f t="shared" ref="B57:I57" si="12">B42*B$50</f>
        <v>896751.97199999983</v>
      </c>
      <c r="C57">
        <f t="shared" si="12"/>
        <v>0</v>
      </c>
      <c r="D57">
        <f t="shared" si="12"/>
        <v>-70032.258000000016</v>
      </c>
      <c r="E57">
        <f t="shared" si="12"/>
        <v>13282.500000000078</v>
      </c>
      <c r="F57">
        <f t="shared" si="12"/>
        <v>-100483.76000000001</v>
      </c>
      <c r="G57">
        <f t="shared" si="12"/>
        <v>142165.80000000008</v>
      </c>
      <c r="H57">
        <f t="shared" si="12"/>
        <v>64730.034000000007</v>
      </c>
      <c r="I57">
        <f t="shared" si="12"/>
        <v>17363.999999999989</v>
      </c>
    </row>
    <row r="58" spans="1:9" x14ac:dyDescent="0.15">
      <c r="A58" s="13" t="s">
        <v>156</v>
      </c>
      <c r="B58">
        <f t="shared" ref="B58:I58" si="13">B43*B$50</f>
        <v>207181.0710000002</v>
      </c>
      <c r="C58">
        <f t="shared" si="13"/>
        <v>-1320.6059999999998</v>
      </c>
      <c r="D58">
        <f t="shared" si="13"/>
        <v>-26548.595999999961</v>
      </c>
      <c r="E58">
        <f t="shared" si="13"/>
        <v>136699.34999999998</v>
      </c>
      <c r="F58">
        <f t="shared" si="13"/>
        <v>-136797.92000000004</v>
      </c>
      <c r="G58">
        <f t="shared" si="13"/>
        <v>415029.3000000001</v>
      </c>
      <c r="H58">
        <f t="shared" si="13"/>
        <v>405061.46100000007</v>
      </c>
      <c r="I58">
        <f t="shared" si="13"/>
        <v>56861.999999999978</v>
      </c>
    </row>
    <row r="59" spans="1:9" x14ac:dyDescent="0.15">
      <c r="A59" s="13" t="s">
        <v>157</v>
      </c>
      <c r="B59">
        <f t="shared" ref="B59:I59" si="14">B44*B$50</f>
        <v>-344130.76799999957</v>
      </c>
      <c r="C59">
        <f t="shared" si="14"/>
        <v>-1220.2560000000001</v>
      </c>
      <c r="D59">
        <f t="shared" si="14"/>
        <v>-24011.747999999996</v>
      </c>
      <c r="E59">
        <f t="shared" si="14"/>
        <v>85560.000000000044</v>
      </c>
      <c r="F59">
        <f t="shared" si="14"/>
        <v>-341703.12</v>
      </c>
      <c r="G59">
        <f t="shared" si="14"/>
        <v>1074093.2999999998</v>
      </c>
      <c r="H59">
        <f t="shared" si="14"/>
        <v>911106.85499999998</v>
      </c>
      <c r="I59">
        <f t="shared" si="14"/>
        <v>113982</v>
      </c>
    </row>
    <row r="60" spans="1:9" x14ac:dyDescent="0.15">
      <c r="A60" s="13" t="s">
        <v>158</v>
      </c>
      <c r="B60">
        <f t="shared" ref="B60:I60" si="15">B45*B$50</f>
        <v>-496738.49400000053</v>
      </c>
      <c r="C60">
        <f t="shared" si="15"/>
        <v>-1039.626</v>
      </c>
      <c r="D60">
        <f t="shared" si="15"/>
        <v>26183.322000000098</v>
      </c>
      <c r="E60">
        <f t="shared" si="15"/>
        <v>81744.299999999857</v>
      </c>
      <c r="F60">
        <f t="shared" si="15"/>
        <v>-608954.91999999993</v>
      </c>
      <c r="G60">
        <f t="shared" si="15"/>
        <v>1952741.7</v>
      </c>
      <c r="H60">
        <f t="shared" si="15"/>
        <v>1382356.9890000001</v>
      </c>
      <c r="I60">
        <f t="shared" si="15"/>
        <v>214937.99999999997</v>
      </c>
    </row>
    <row r="61" spans="1:9" x14ac:dyDescent="0.15">
      <c r="A61" s="13" t="s">
        <v>159</v>
      </c>
      <c r="B61">
        <f t="shared" ref="B61:I61" si="16">B46*B$50</f>
        <v>-549118.03499999992</v>
      </c>
      <c r="C61">
        <f t="shared" si="16"/>
        <v>-991.45799999999997</v>
      </c>
      <c r="D61">
        <f t="shared" si="16"/>
        <v>23200.920000000006</v>
      </c>
      <c r="E61">
        <f t="shared" si="16"/>
        <v>40565.099999999737</v>
      </c>
      <c r="F61">
        <f t="shared" si="16"/>
        <v>-899103.60000000009</v>
      </c>
      <c r="G61">
        <f t="shared" si="16"/>
        <v>2614088.4000000004</v>
      </c>
      <c r="H61">
        <f t="shared" si="16"/>
        <v>1762174.0079999999</v>
      </c>
      <c r="I61">
        <f t="shared" si="16"/>
        <v>292500</v>
      </c>
    </row>
    <row r="62" spans="1:9" x14ac:dyDescent="0.15">
      <c r="A62" s="13" t="s">
        <v>160</v>
      </c>
      <c r="B62">
        <f t="shared" ref="B62:I62" si="17">B47*B$50</f>
        <v>-478516.08600000059</v>
      </c>
      <c r="C62">
        <f t="shared" si="17"/>
        <v>-991.45799999999997</v>
      </c>
      <c r="D62">
        <f t="shared" si="17"/>
        <v>11789.118000000048</v>
      </c>
      <c r="E62">
        <f t="shared" si="17"/>
        <v>30125.3999999999</v>
      </c>
      <c r="F62">
        <f t="shared" si="17"/>
        <v>-1233806.3999999999</v>
      </c>
      <c r="G62">
        <f t="shared" si="17"/>
        <v>2904804.0000000005</v>
      </c>
      <c r="H62">
        <f t="shared" si="17"/>
        <v>2131372.4309999999</v>
      </c>
      <c r="I62">
        <f t="shared" si="17"/>
        <v>469926</v>
      </c>
    </row>
    <row r="63" spans="1:9" x14ac:dyDescent="0.15">
      <c r="A63" s="13" t="s">
        <v>161</v>
      </c>
      <c r="B63">
        <f t="shared" ref="B63:I63" si="18">B48*B$50</f>
        <v>-333927.60299999983</v>
      </c>
      <c r="C63">
        <f t="shared" si="18"/>
        <v>-991.45799999999997</v>
      </c>
      <c r="D63">
        <f t="shared" si="18"/>
        <v>-20238.588000000007</v>
      </c>
      <c r="E63">
        <f t="shared" si="18"/>
        <v>14817.749999999858</v>
      </c>
      <c r="F63">
        <f t="shared" si="18"/>
        <v>-1458400</v>
      </c>
      <c r="G63">
        <f t="shared" si="18"/>
        <v>3070792.1999999997</v>
      </c>
      <c r="H63">
        <f t="shared" si="18"/>
        <v>2058073.047</v>
      </c>
      <c r="I63">
        <f t="shared" si="18"/>
        <v>534894</v>
      </c>
    </row>
    <row r="65" spans="1:18" x14ac:dyDescent="0.15">
      <c r="A65" t="s">
        <v>239</v>
      </c>
      <c r="B65" s="8" t="s">
        <v>12</v>
      </c>
      <c r="C65" s="8" t="s">
        <v>13</v>
      </c>
      <c r="D65" s="8" t="s">
        <v>14</v>
      </c>
      <c r="E65" s="8" t="s">
        <v>162</v>
      </c>
      <c r="F65" s="8" t="s">
        <v>16</v>
      </c>
      <c r="G65" s="8" t="s">
        <v>17</v>
      </c>
      <c r="H65" s="8" t="s">
        <v>18</v>
      </c>
      <c r="I65" s="8" t="s">
        <v>19</v>
      </c>
      <c r="K65" t="s">
        <v>237</v>
      </c>
      <c r="L65" t="s">
        <v>230</v>
      </c>
      <c r="M65" t="s">
        <v>231</v>
      </c>
      <c r="N65" t="s">
        <v>232</v>
      </c>
      <c r="O65" t="s">
        <v>233</v>
      </c>
      <c r="P65" t="s">
        <v>234</v>
      </c>
      <c r="Q65" t="s">
        <v>235</v>
      </c>
      <c r="R65" t="s">
        <v>236</v>
      </c>
    </row>
    <row r="66" spans="1:18" x14ac:dyDescent="0.15">
      <c r="A66" s="13" t="s">
        <v>153</v>
      </c>
      <c r="B66">
        <f>B40*$P$40</f>
        <v>0</v>
      </c>
      <c r="C66">
        <f t="shared" ref="C66:I66" si="19">C40*$P$40</f>
        <v>0</v>
      </c>
      <c r="D66">
        <f t="shared" si="19"/>
        <v>0</v>
      </c>
      <c r="E66">
        <f t="shared" si="19"/>
        <v>0</v>
      </c>
      <c r="F66">
        <f t="shared" si="19"/>
        <v>0</v>
      </c>
      <c r="G66">
        <f t="shared" si="19"/>
        <v>0</v>
      </c>
      <c r="H66">
        <f t="shared" si="19"/>
        <v>0</v>
      </c>
      <c r="I66">
        <f t="shared" si="19"/>
        <v>0</v>
      </c>
      <c r="K66" t="s">
        <v>225</v>
      </c>
      <c r="L66">
        <v>4.1961960751301373</v>
      </c>
      <c r="M66">
        <v>42.843789089753706</v>
      </c>
      <c r="N66">
        <v>152.42517400974199</v>
      </c>
      <c r="O66">
        <v>79.094757517680165</v>
      </c>
      <c r="P66">
        <v>40.381506966156039</v>
      </c>
      <c r="Q66">
        <v>23.842796396067932</v>
      </c>
      <c r="R66">
        <v>2.2301513687655494</v>
      </c>
    </row>
    <row r="67" spans="1:18" x14ac:dyDescent="0.15">
      <c r="A67" s="13" t="s">
        <v>154</v>
      </c>
      <c r="B67">
        <f t="shared" ref="B67:I67" si="20">B41*$P$40</f>
        <v>0</v>
      </c>
      <c r="C67">
        <f t="shared" si="20"/>
        <v>0</v>
      </c>
      <c r="D67">
        <f t="shared" si="20"/>
        <v>103.06151615196643</v>
      </c>
      <c r="E67">
        <f t="shared" si="20"/>
        <v>0</v>
      </c>
      <c r="F67">
        <f t="shared" si="20"/>
        <v>12.637804721621821</v>
      </c>
      <c r="G67">
        <f t="shared" si="20"/>
        <v>41.783468551936465</v>
      </c>
      <c r="H67">
        <f t="shared" si="20"/>
        <v>-6.5594142153748952E-2</v>
      </c>
      <c r="I67">
        <f t="shared" si="20"/>
        <v>-8.3129642822848009</v>
      </c>
      <c r="K67" t="s">
        <v>195</v>
      </c>
      <c r="L67">
        <v>3.4061264163961504</v>
      </c>
      <c r="M67">
        <v>34.205321685532631</v>
      </c>
      <c r="N67">
        <v>123.61503621459366</v>
      </c>
      <c r="O67">
        <v>71.951905347165848</v>
      </c>
      <c r="P67">
        <v>36.982861433871278</v>
      </c>
      <c r="Q67">
        <v>22.468405944564957</v>
      </c>
      <c r="R67">
        <v>2.0993595395792739</v>
      </c>
    </row>
    <row r="68" spans="1:18" x14ac:dyDescent="0.15">
      <c r="A68" s="13" t="s">
        <v>155</v>
      </c>
      <c r="B68">
        <f t="shared" ref="B68:I68" si="21">B42*$P$40</f>
        <v>793.65413651785002</v>
      </c>
      <c r="C68">
        <f t="shared" si="21"/>
        <v>0</v>
      </c>
      <c r="D68">
        <f t="shared" si="21"/>
        <v>-76.294733210427651</v>
      </c>
      <c r="E68">
        <f t="shared" si="21"/>
        <v>16.835829819461694</v>
      </c>
      <c r="F68">
        <f t="shared" si="21"/>
        <v>-60.25915192524176</v>
      </c>
      <c r="G68">
        <f t="shared" si="21"/>
        <v>296.0394823682887</v>
      </c>
      <c r="H68">
        <f t="shared" si="21"/>
        <v>229.57075165249213</v>
      </c>
      <c r="I68">
        <f t="shared" si="21"/>
        <v>12.65529649286281</v>
      </c>
      <c r="K68" t="s">
        <v>196</v>
      </c>
      <c r="L68">
        <v>3.7393997303102835</v>
      </c>
      <c r="M68">
        <v>37.621426134673172</v>
      </c>
      <c r="N68">
        <v>136.16911983807492</v>
      </c>
      <c r="O68">
        <v>77.146655714689203</v>
      </c>
      <c r="P68">
        <v>40.277932281370639</v>
      </c>
      <c r="Q68">
        <v>24.666362285456177</v>
      </c>
      <c r="R68">
        <v>2.3482532867893773</v>
      </c>
    </row>
    <row r="69" spans="1:18" x14ac:dyDescent="0.15">
      <c r="A69" s="13" t="s">
        <v>156</v>
      </c>
      <c r="B69">
        <f t="shared" ref="B69:I69" si="22">B43*$P$40</f>
        <v>183.36186497658304</v>
      </c>
      <c r="C69">
        <f t="shared" si="22"/>
        <v>-1.4386981845721722</v>
      </c>
      <c r="D69">
        <f t="shared" si="22"/>
        <v>-28.922643746991898</v>
      </c>
      <c r="E69">
        <f t="shared" si="22"/>
        <v>173.26911297052638</v>
      </c>
      <c r="F69">
        <f t="shared" si="22"/>
        <v>-82.036407120285602</v>
      </c>
      <c r="G69">
        <f t="shared" si="22"/>
        <v>864.23780641809185</v>
      </c>
      <c r="H69">
        <f t="shared" si="22"/>
        <v>1436.5860531948219</v>
      </c>
      <c r="I69">
        <f t="shared" si="22"/>
        <v>41.442379012737</v>
      </c>
      <c r="K69" t="s">
        <v>197</v>
      </c>
      <c r="L69">
        <v>4.1554353310618772</v>
      </c>
      <c r="M69">
        <v>42.225120591721129</v>
      </c>
      <c r="N69">
        <v>152.2289019018975</v>
      </c>
      <c r="O69">
        <v>79.488316883309125</v>
      </c>
      <c r="P69">
        <v>40.272236972020387</v>
      </c>
      <c r="Q69">
        <v>23.995667342049586</v>
      </c>
      <c r="R69">
        <v>2.2885485691064296</v>
      </c>
    </row>
    <row r="70" spans="1:18" x14ac:dyDescent="0.15">
      <c r="A70" s="13" t="s">
        <v>157</v>
      </c>
      <c r="B70">
        <f t="shared" ref="B70:I70" si="23">B44*$P$40</f>
        <v>-304.56672084827517</v>
      </c>
      <c r="C70">
        <f t="shared" si="23"/>
        <v>-1.3293746143159286</v>
      </c>
      <c r="D70">
        <f t="shared" si="23"/>
        <v>-26.158943890914088</v>
      </c>
      <c r="E70">
        <f t="shared" si="23"/>
        <v>108.4489816941942</v>
      </c>
      <c r="F70">
        <f t="shared" si="23"/>
        <v>-204.91610008830395</v>
      </c>
      <c r="G70">
        <f t="shared" si="23"/>
        <v>2236.6421779868774</v>
      </c>
      <c r="H70">
        <f t="shared" si="23"/>
        <v>3231.3204954919092</v>
      </c>
      <c r="I70">
        <f t="shared" si="23"/>
        <v>83.072794566314769</v>
      </c>
      <c r="K70" t="s">
        <v>198</v>
      </c>
      <c r="L70">
        <v>3.5072973808510621</v>
      </c>
      <c r="M70">
        <v>35.337982472516664</v>
      </c>
      <c r="N70">
        <v>128.81199264347981</v>
      </c>
      <c r="O70">
        <v>75.462338736501437</v>
      </c>
      <c r="P70">
        <v>39.053823884587146</v>
      </c>
      <c r="Q70">
        <v>24.215835959747622</v>
      </c>
      <c r="R70">
        <v>2.3138464743993006</v>
      </c>
    </row>
    <row r="71" spans="1:18" x14ac:dyDescent="0.15">
      <c r="A71" s="13" t="s">
        <v>158</v>
      </c>
      <c r="B71">
        <f t="shared" ref="B71:I71" si="24">B45*$P$40</f>
        <v>-439.62943248565028</v>
      </c>
      <c r="C71">
        <f t="shared" si="24"/>
        <v>-1.132592187854689</v>
      </c>
      <c r="D71">
        <f t="shared" si="24"/>
        <v>28.524705951259321</v>
      </c>
      <c r="E71">
        <f t="shared" si="24"/>
        <v>103.61250694605774</v>
      </c>
      <c r="F71">
        <f t="shared" si="24"/>
        <v>-365.1844540839578</v>
      </c>
      <c r="G71">
        <f t="shared" si="24"/>
        <v>4066.2989415666198</v>
      </c>
      <c r="H71">
        <f t="shared" si="24"/>
        <v>4902.6504916837494</v>
      </c>
      <c r="I71">
        <f t="shared" si="24"/>
        <v>156.65193029157729</v>
      </c>
      <c r="K71" t="s">
        <v>199</v>
      </c>
      <c r="L71">
        <v>4.9808826552175125</v>
      </c>
      <c r="M71">
        <v>49.915427611376067</v>
      </c>
      <c r="N71">
        <v>177.28585561840708</v>
      </c>
      <c r="O71">
        <v>87.831877147704162</v>
      </c>
      <c r="P71">
        <v>43.271081641507372</v>
      </c>
      <c r="Q71">
        <v>26.310663174184359</v>
      </c>
      <c r="R71">
        <v>2.6142537810436464</v>
      </c>
    </row>
    <row r="72" spans="1:18" x14ac:dyDescent="0.15">
      <c r="A72" s="13" t="s">
        <v>159</v>
      </c>
      <c r="B72">
        <f t="shared" ref="B72:I72" si="25">B46*$P$40</f>
        <v>-485.9869992171075</v>
      </c>
      <c r="C72">
        <f t="shared" si="25"/>
        <v>-1.0801168741316918</v>
      </c>
      <c r="D72">
        <f t="shared" si="25"/>
        <v>25.275609443243642</v>
      </c>
      <c r="E72">
        <f t="shared" si="25"/>
        <v>51.417061562916395</v>
      </c>
      <c r="F72">
        <f t="shared" si="25"/>
        <v>-539.18384850379596</v>
      </c>
      <c r="G72">
        <f t="shared" si="25"/>
        <v>5443.4567019701481</v>
      </c>
      <c r="H72">
        <f t="shared" si="25"/>
        <v>6249.7049137815166</v>
      </c>
      <c r="I72">
        <f t="shared" si="25"/>
        <v>213.18096199967601</v>
      </c>
      <c r="K72" t="s">
        <v>200</v>
      </c>
      <c r="L72">
        <v>5.8672219062974706</v>
      </c>
      <c r="M72">
        <v>57.765332083543413</v>
      </c>
      <c r="N72">
        <v>201.95064473430992</v>
      </c>
      <c r="O72">
        <v>97.338208612616341</v>
      </c>
      <c r="P72">
        <v>48.079303064703403</v>
      </c>
      <c r="Q72">
        <v>29.940816933327834</v>
      </c>
      <c r="R72">
        <v>3.0653150687461865</v>
      </c>
    </row>
    <row r="73" spans="1:18" x14ac:dyDescent="0.15">
      <c r="A73" s="13" t="s">
        <v>160</v>
      </c>
      <c r="B73">
        <f t="shared" ref="B73:I73" si="26">B47*$P$40</f>
        <v>-423.50201940144916</v>
      </c>
      <c r="C73">
        <f t="shared" si="26"/>
        <v>-1.0801168741316918</v>
      </c>
      <c r="D73">
        <f t="shared" si="26"/>
        <v>12.84333303370361</v>
      </c>
      <c r="E73">
        <f t="shared" si="26"/>
        <v>38.184536619100811</v>
      </c>
      <c r="F73">
        <f t="shared" si="26"/>
        <v>-739.90192349426002</v>
      </c>
      <c r="G73">
        <f t="shared" si="26"/>
        <v>6048.8294128498846</v>
      </c>
      <c r="H73">
        <f t="shared" si="26"/>
        <v>7559.0995523974143</v>
      </c>
      <c r="I73">
        <f t="shared" si="26"/>
        <v>342.4932538415718</v>
      </c>
      <c r="K73" t="s">
        <v>201</v>
      </c>
      <c r="L73">
        <v>4.8928841335549293</v>
      </c>
      <c r="M73">
        <v>48.441838527772802</v>
      </c>
      <c r="N73">
        <v>169.99742562476575</v>
      </c>
      <c r="O73">
        <v>84.339267682746154</v>
      </c>
      <c r="P73">
        <v>41.324011762558648</v>
      </c>
      <c r="Q73">
        <v>24.827515483634691</v>
      </c>
      <c r="R73">
        <v>2.4316653856288291</v>
      </c>
    </row>
    <row r="74" spans="1:18" x14ac:dyDescent="0.15">
      <c r="A74" s="13" t="s">
        <v>161</v>
      </c>
      <c r="B74">
        <f t="shared" ref="B74:I74" si="27">B48*$P$40</f>
        <v>-295.5365939451097</v>
      </c>
      <c r="C74">
        <f t="shared" si="27"/>
        <v>-1.0801168741316918</v>
      </c>
      <c r="D74">
        <f t="shared" si="27"/>
        <v>-22.048377649279317</v>
      </c>
      <c r="E74">
        <f t="shared" si="27"/>
        <v>18.781789370022558</v>
      </c>
      <c r="F74">
        <f t="shared" si="27"/>
        <v>-874.58856204995288</v>
      </c>
      <c r="G74">
        <f t="shared" si="27"/>
        <v>6394.4755584576451</v>
      </c>
      <c r="H74">
        <f t="shared" si="27"/>
        <v>7299.1368482136868</v>
      </c>
      <c r="I74">
        <f t="shared" si="27"/>
        <v>389.84347859095624</v>
      </c>
    </row>
    <row r="77" spans="1:18" x14ac:dyDescent="0.15">
      <c r="A77" t="s">
        <v>238</v>
      </c>
      <c r="B77" s="32" t="s">
        <v>1</v>
      </c>
      <c r="C77" s="12" t="s">
        <v>195</v>
      </c>
      <c r="D77" s="12" t="s">
        <v>196</v>
      </c>
      <c r="E77" s="12" t="s">
        <v>197</v>
      </c>
      <c r="F77" s="34" t="s">
        <v>198</v>
      </c>
      <c r="G77" s="34" t="s">
        <v>199</v>
      </c>
      <c r="H77" s="34" t="s">
        <v>200</v>
      </c>
      <c r="I77" s="34" t="s">
        <v>201</v>
      </c>
    </row>
    <row r="78" spans="1:18" x14ac:dyDescent="0.15">
      <c r="A78" t="s">
        <v>230</v>
      </c>
      <c r="B78" s="32">
        <f t="array" ref="B78:I84">MMULT(K2:T8,B3:I12)*10000</f>
        <v>4.1961960751301373</v>
      </c>
      <c r="C78" s="32">
        <v>3.4061264163961504</v>
      </c>
      <c r="D78" s="32">
        <v>3.7393997303102835</v>
      </c>
      <c r="E78" s="32">
        <v>4.1554353310618772</v>
      </c>
      <c r="F78" s="35">
        <v>3.5072973808510621</v>
      </c>
      <c r="G78" s="35">
        <v>4.9808826552175125</v>
      </c>
      <c r="H78" s="35">
        <v>5.8672219062974706</v>
      </c>
      <c r="I78" s="35">
        <v>4.8928841335549293</v>
      </c>
    </row>
    <row r="79" spans="1:18" x14ac:dyDescent="0.15">
      <c r="A79" t="s">
        <v>231</v>
      </c>
      <c r="B79" s="12">
        <v>42.843789089753706</v>
      </c>
      <c r="C79" s="12">
        <v>34.205321685532631</v>
      </c>
      <c r="D79" s="12">
        <v>37.621426134673172</v>
      </c>
      <c r="E79" s="12">
        <v>42.225120591721129</v>
      </c>
      <c r="F79" s="34">
        <v>35.337982472516664</v>
      </c>
      <c r="G79" s="34">
        <v>49.915427611376067</v>
      </c>
      <c r="H79" s="34">
        <v>57.765332083543413</v>
      </c>
      <c r="I79" s="34">
        <v>48.441838527772802</v>
      </c>
    </row>
    <row r="80" spans="1:18" x14ac:dyDescent="0.15">
      <c r="A80" t="s">
        <v>232</v>
      </c>
      <c r="B80" s="12">
        <v>152.42517400974199</v>
      </c>
      <c r="C80" s="12">
        <v>123.61503621459366</v>
      </c>
      <c r="D80" s="12">
        <v>136.16911983807492</v>
      </c>
      <c r="E80" s="12">
        <v>152.2289019018975</v>
      </c>
      <c r="F80" s="34">
        <v>128.81199264347981</v>
      </c>
      <c r="G80" s="34">
        <v>177.28585561840708</v>
      </c>
      <c r="H80" s="34">
        <v>201.95064473430992</v>
      </c>
      <c r="I80" s="34">
        <v>169.99742562476575</v>
      </c>
    </row>
    <row r="81" spans="1:9" x14ac:dyDescent="0.15">
      <c r="A81" t="s">
        <v>233</v>
      </c>
      <c r="B81" s="12">
        <v>79.094757517680165</v>
      </c>
      <c r="C81" s="12">
        <v>71.951905347165848</v>
      </c>
      <c r="D81" s="12">
        <v>77.146655714689203</v>
      </c>
      <c r="E81" s="12">
        <v>79.488316883309125</v>
      </c>
      <c r="F81" s="34">
        <v>75.462338736501437</v>
      </c>
      <c r="G81" s="34">
        <v>87.831877147704162</v>
      </c>
      <c r="H81" s="34">
        <v>97.338208612616341</v>
      </c>
      <c r="I81" s="34">
        <v>84.339267682746154</v>
      </c>
    </row>
    <row r="82" spans="1:9" x14ac:dyDescent="0.15">
      <c r="A82" t="s">
        <v>234</v>
      </c>
      <c r="B82" s="12">
        <v>40.381506966156039</v>
      </c>
      <c r="C82" s="12">
        <v>36.982861433871278</v>
      </c>
      <c r="D82" s="12">
        <v>40.277932281370639</v>
      </c>
      <c r="E82" s="12">
        <v>40.272236972020387</v>
      </c>
      <c r="F82" s="34">
        <v>39.053823884587146</v>
      </c>
      <c r="G82" s="34">
        <v>43.271081641507372</v>
      </c>
      <c r="H82" s="34">
        <v>48.079303064703403</v>
      </c>
      <c r="I82" s="34">
        <v>41.324011762558648</v>
      </c>
    </row>
    <row r="83" spans="1:9" x14ac:dyDescent="0.15">
      <c r="A83" t="s">
        <v>235</v>
      </c>
      <c r="B83" s="12">
        <v>23.842796396067932</v>
      </c>
      <c r="C83" s="12">
        <v>22.468405944564957</v>
      </c>
      <c r="D83" s="12">
        <v>24.666362285456177</v>
      </c>
      <c r="E83" s="12">
        <v>23.995667342049586</v>
      </c>
      <c r="F83" s="34">
        <v>24.215835959747622</v>
      </c>
      <c r="G83" s="34">
        <v>26.310663174184359</v>
      </c>
      <c r="H83" s="34">
        <v>29.940816933327834</v>
      </c>
      <c r="I83" s="34">
        <v>24.827515483634691</v>
      </c>
    </row>
    <row r="84" spans="1:9" x14ac:dyDescent="0.15">
      <c r="A84" t="s">
        <v>236</v>
      </c>
      <c r="B84" s="12">
        <v>2.2301513687655494</v>
      </c>
      <c r="C84" s="12">
        <v>2.0993595395792739</v>
      </c>
      <c r="D84" s="12">
        <v>2.3482532867893773</v>
      </c>
      <c r="E84" s="12">
        <v>2.2885485691064296</v>
      </c>
      <c r="F84" s="34">
        <v>2.3138464743993006</v>
      </c>
      <c r="G84" s="34">
        <v>2.6142537810436464</v>
      </c>
      <c r="H84" s="34">
        <v>3.0653150687461865</v>
      </c>
      <c r="I84" s="34">
        <v>2.4316653856288291</v>
      </c>
    </row>
    <row r="85" spans="1:9" x14ac:dyDescent="0.15">
      <c r="A85" s="12"/>
      <c r="B85" s="12"/>
      <c r="C85" s="12"/>
      <c r="D85" s="12"/>
      <c r="E85" s="12"/>
      <c r="F85" s="34"/>
      <c r="G85" s="34"/>
      <c r="H85" s="34"/>
      <c r="I85" s="34"/>
    </row>
    <row r="86" spans="1:9" x14ac:dyDescent="0.15">
      <c r="A86" s="32" t="s">
        <v>240</v>
      </c>
      <c r="B86" t="s">
        <v>230</v>
      </c>
      <c r="C86" t="s">
        <v>231</v>
      </c>
      <c r="D86" t="s">
        <v>232</v>
      </c>
      <c r="E86" t="s">
        <v>233</v>
      </c>
      <c r="F86" s="36" t="s">
        <v>234</v>
      </c>
      <c r="G86" s="36" t="s">
        <v>235</v>
      </c>
      <c r="H86" s="36" t="s">
        <v>236</v>
      </c>
      <c r="I86" s="34"/>
    </row>
    <row r="87" spans="1:9" x14ac:dyDescent="0.15">
      <c r="A87" s="13" t="s">
        <v>153</v>
      </c>
      <c r="B87" s="32">
        <f t="array" ref="B87:H95">MMULT(B66:I74,L66:R73)</f>
        <v>0</v>
      </c>
      <c r="C87" s="12">
        <v>0</v>
      </c>
      <c r="D87" s="12">
        <v>0</v>
      </c>
      <c r="E87" s="12">
        <v>0</v>
      </c>
      <c r="F87" s="34">
        <v>0</v>
      </c>
      <c r="G87" s="34">
        <v>0</v>
      </c>
      <c r="H87" s="34">
        <v>0</v>
      </c>
      <c r="I87" s="34"/>
    </row>
    <row r="88" spans="1:9" x14ac:dyDescent="0.15">
      <c r="A88" s="13" t="s">
        <v>154</v>
      </c>
      <c r="B88">
        <v>596.77207246168098</v>
      </c>
      <c r="C88">
        <v>6003.0710979849555</v>
      </c>
      <c r="D88">
        <v>21642.885418759164</v>
      </c>
      <c r="E88">
        <v>11866.955945323609</v>
      </c>
      <c r="F88">
        <v>6105.9964928237641</v>
      </c>
      <c r="G88">
        <v>3739.1842768065885</v>
      </c>
      <c r="H88">
        <v>360.07366038207516</v>
      </c>
      <c r="I88">
        <f>SUM(B88:H88)</f>
        <v>50314.938964541841</v>
      </c>
    </row>
    <row r="89" spans="1:9" x14ac:dyDescent="0.15">
      <c r="A89" s="13" t="s">
        <v>155</v>
      </c>
      <c r="B89">
        <v>5787.046669759482</v>
      </c>
      <c r="C89">
        <v>58365.505742453002</v>
      </c>
      <c r="D89">
        <v>206381.62370542553</v>
      </c>
      <c r="E89">
        <v>103094.00080654316</v>
      </c>
      <c r="F89">
        <v>51671.140141515723</v>
      </c>
      <c r="G89">
        <v>30962.512214683771</v>
      </c>
      <c r="H89">
        <v>2998.3111557959942</v>
      </c>
      <c r="I89">
        <f t="shared" ref="I89:I95" si="28">SUM(B89:H89)</f>
        <v>459260.14043617662</v>
      </c>
    </row>
    <row r="90" spans="1:9" x14ac:dyDescent="0.15">
      <c r="A90" s="13" t="s">
        <v>156</v>
      </c>
      <c r="B90">
        <v>14024.860162301671</v>
      </c>
      <c r="C90">
        <v>139267.11803068247</v>
      </c>
      <c r="D90">
        <v>490023.75860729371</v>
      </c>
      <c r="E90">
        <v>238987.93262079268</v>
      </c>
      <c r="F90">
        <v>118139.50261478061</v>
      </c>
      <c r="G90">
        <v>72577.386928979526</v>
      </c>
      <c r="H90">
        <v>7308.4016334298867</v>
      </c>
      <c r="I90">
        <f t="shared" si="28"/>
        <v>1080328.9605982604</v>
      </c>
    </row>
    <row r="91" spans="1:9" x14ac:dyDescent="0.15">
      <c r="A91" s="13" t="s">
        <v>157</v>
      </c>
      <c r="B91">
        <v>28857.374770799506</v>
      </c>
      <c r="C91">
        <v>285585.00008210895</v>
      </c>
      <c r="D91">
        <v>1003177.8525992258</v>
      </c>
      <c r="E91">
        <v>484939.34999988548</v>
      </c>
      <c r="F91">
        <v>238537.53522711765</v>
      </c>
      <c r="G91">
        <v>147361.65928134407</v>
      </c>
      <c r="H91">
        <v>14984.768731969085</v>
      </c>
      <c r="I91">
        <f t="shared" si="28"/>
        <v>2203443.5406924505</v>
      </c>
    </row>
    <row r="92" spans="1:9" x14ac:dyDescent="0.15">
      <c r="A92" s="13" t="s">
        <v>158</v>
      </c>
      <c r="B92">
        <v>47192.956796150516</v>
      </c>
      <c r="C92">
        <v>467431.96923561592</v>
      </c>
      <c r="D92">
        <v>1643087.4065020953</v>
      </c>
      <c r="E92">
        <v>795602.81543087144</v>
      </c>
      <c r="F92">
        <v>391407.64726135362</v>
      </c>
      <c r="G92">
        <v>241504.82345711548</v>
      </c>
      <c r="H92">
        <v>24515.737716888936</v>
      </c>
      <c r="I92">
        <f t="shared" si="28"/>
        <v>3610743.3564000907</v>
      </c>
    </row>
    <row r="93" spans="1:9" x14ac:dyDescent="0.15">
      <c r="A93" s="13" t="s">
        <v>159</v>
      </c>
      <c r="B93">
        <v>61198.81642427067</v>
      </c>
      <c r="C93">
        <v>606265.48294077173</v>
      </c>
      <c r="D93">
        <v>2131025.4331764448</v>
      </c>
      <c r="E93">
        <v>1031255.7970686647</v>
      </c>
      <c r="F93">
        <v>507201.91366413218</v>
      </c>
      <c r="G93">
        <v>312823.87897361163</v>
      </c>
      <c r="H93">
        <v>31749.619882208826</v>
      </c>
      <c r="I93">
        <f t="shared" si="28"/>
        <v>4681520.9421301046</v>
      </c>
    </row>
    <row r="94" spans="1:9" x14ac:dyDescent="0.15">
      <c r="A94" s="13" t="s">
        <v>160</v>
      </c>
      <c r="B94">
        <v>71986.070924165921</v>
      </c>
      <c r="C94">
        <v>712942.3185081681</v>
      </c>
      <c r="D94">
        <v>2504727.4242321379</v>
      </c>
      <c r="E94">
        <v>1210571.6904031157</v>
      </c>
      <c r="F94">
        <v>595346.30951955216</v>
      </c>
      <c r="G94">
        <v>367171.56293345377</v>
      </c>
      <c r="H94">
        <v>37275.811864391333</v>
      </c>
      <c r="I94">
        <f t="shared" si="28"/>
        <v>5500021.1883849846</v>
      </c>
    </row>
    <row r="95" spans="1:9" x14ac:dyDescent="0.15">
      <c r="A95" s="13" t="s">
        <v>161</v>
      </c>
      <c r="B95">
        <v>72267.595112709561</v>
      </c>
      <c r="C95">
        <v>716063.30404135131</v>
      </c>
      <c r="D95">
        <v>2516006.4429974337</v>
      </c>
      <c r="E95">
        <v>1215343.1745914025</v>
      </c>
      <c r="F95">
        <v>597481.31817228987</v>
      </c>
      <c r="G95">
        <v>368121.10554533644</v>
      </c>
      <c r="H95">
        <v>37345.090276746727</v>
      </c>
      <c r="I95">
        <f t="shared" si="28"/>
        <v>5522628.0307372706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4" sqref="C4:E4"/>
    </sheetView>
  </sheetViews>
  <sheetFormatPr defaultRowHeight="13.5" x14ac:dyDescent="0.15"/>
  <cols>
    <col min="1" max="1" width="17.25" bestFit="1" customWidth="1"/>
    <col min="3" max="3" width="9.5" bestFit="1" customWidth="1"/>
    <col min="4" max="4" width="16.125" bestFit="1" customWidth="1"/>
  </cols>
  <sheetData>
    <row r="1" spans="1:7" x14ac:dyDescent="0.15">
      <c r="B1" t="s">
        <v>134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 x14ac:dyDescent="0.15">
      <c r="A2" t="s">
        <v>135</v>
      </c>
      <c r="B2">
        <v>0.4</v>
      </c>
      <c r="C2" t="s">
        <v>136</v>
      </c>
      <c r="D2" t="s">
        <v>137</v>
      </c>
      <c r="E2">
        <v>0.7</v>
      </c>
      <c r="F2">
        <v>0.94</v>
      </c>
      <c r="G2">
        <v>0.65</v>
      </c>
    </row>
    <row r="3" spans="1:7" x14ac:dyDescent="0.15">
      <c r="A3" t="s">
        <v>139</v>
      </c>
    </row>
    <row r="4" spans="1:7" x14ac:dyDescent="0.15">
      <c r="A4">
        <v>2010</v>
      </c>
      <c r="B4">
        <v>1</v>
      </c>
      <c r="C4">
        <v>1.3</v>
      </c>
      <c r="D4">
        <v>2.5</v>
      </c>
      <c r="E4">
        <v>1.8</v>
      </c>
      <c r="F4">
        <v>2.35</v>
      </c>
      <c r="G4">
        <v>1.55</v>
      </c>
    </row>
    <row r="5" spans="1:7" x14ac:dyDescent="0.15">
      <c r="A5">
        <v>2015</v>
      </c>
      <c r="B5">
        <v>1</v>
      </c>
      <c r="C5">
        <v>1.3</v>
      </c>
      <c r="D5">
        <v>2</v>
      </c>
      <c r="E5">
        <v>1.8</v>
      </c>
      <c r="F5">
        <v>2.35</v>
      </c>
      <c r="G5">
        <v>1.55</v>
      </c>
    </row>
    <row r="6" spans="1:7" x14ac:dyDescent="0.15">
      <c r="A6" t="s">
        <v>138</v>
      </c>
      <c r="B6">
        <v>1</v>
      </c>
      <c r="C6">
        <v>1.3</v>
      </c>
      <c r="D6">
        <v>1.5</v>
      </c>
      <c r="E6">
        <v>1.8</v>
      </c>
      <c r="F6">
        <v>2.35</v>
      </c>
      <c r="G6">
        <v>1.55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3" sqref="B3:I3"/>
    </sheetView>
  </sheetViews>
  <sheetFormatPr defaultRowHeight="13.5" x14ac:dyDescent="0.15"/>
  <cols>
    <col min="1" max="1" width="32" bestFit="1" customWidth="1"/>
  </cols>
  <sheetData>
    <row r="1" spans="1:9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33066</v>
      </c>
      <c r="C2">
        <v>162</v>
      </c>
      <c r="D2">
        <v>777</v>
      </c>
      <c r="E2">
        <v>6867</v>
      </c>
      <c r="F2">
        <v>747</v>
      </c>
      <c r="G2">
        <v>494</v>
      </c>
      <c r="H2">
        <v>1</v>
      </c>
      <c r="I2">
        <v>161</v>
      </c>
    </row>
    <row r="3" spans="1:9" x14ac:dyDescent="0.15">
      <c r="A3" t="s">
        <v>111</v>
      </c>
      <c r="B3">
        <v>948.36890774855442</v>
      </c>
      <c r="C3">
        <v>147.85661943094573</v>
      </c>
      <c r="D3">
        <v>6.2965900788853197</v>
      </c>
      <c r="E3">
        <v>190.07522658958578</v>
      </c>
      <c r="F3">
        <v>30.034227896854322</v>
      </c>
      <c r="G3">
        <v>42.107680122148395</v>
      </c>
      <c r="H3">
        <v>0.53197488771693802</v>
      </c>
      <c r="I3">
        <v>8.6700736644608298</v>
      </c>
    </row>
    <row r="4" spans="1:9" x14ac:dyDescent="0.15">
      <c r="A4" t="s">
        <v>112</v>
      </c>
      <c r="B4">
        <f>B2/B3</f>
        <v>34.866178899200001</v>
      </c>
      <c r="C4">
        <f t="shared" ref="C4:I4" si="0">C2/C3</f>
        <v>1.0956560526237362</v>
      </c>
      <c r="D4">
        <f t="shared" si="0"/>
        <v>123.40012455401126</v>
      </c>
      <c r="E4">
        <f t="shared" si="0"/>
        <v>36.127801203822123</v>
      </c>
      <c r="F4">
        <f t="shared" si="0"/>
        <v>24.871623221525802</v>
      </c>
      <c r="G4">
        <f t="shared" si="0"/>
        <v>11.731826559121192</v>
      </c>
      <c r="H4">
        <f t="shared" si="0"/>
        <v>1.879787980766672</v>
      </c>
      <c r="I4">
        <f t="shared" si="0"/>
        <v>18.569623077131283</v>
      </c>
    </row>
    <row r="13" spans="1:9" x14ac:dyDescent="0.15">
      <c r="A13" t="s">
        <v>113</v>
      </c>
    </row>
    <row r="14" spans="1:9" x14ac:dyDescent="0.15">
      <c r="A14" t="s">
        <v>121</v>
      </c>
      <c r="B14" s="10">
        <v>0.2</v>
      </c>
      <c r="C14" t="s">
        <v>114</v>
      </c>
      <c r="D14" t="s">
        <v>115</v>
      </c>
    </row>
    <row r="15" spans="1:9" x14ac:dyDescent="0.15">
      <c r="A15" t="s">
        <v>116</v>
      </c>
      <c r="B15" s="10">
        <v>0.4</v>
      </c>
      <c r="C15">
        <v>2030</v>
      </c>
      <c r="D15" t="s">
        <v>117</v>
      </c>
      <c r="E15" s="11" t="s">
        <v>118</v>
      </c>
    </row>
    <row r="16" spans="1:9" x14ac:dyDescent="0.15">
      <c r="B16" s="10">
        <v>0.3</v>
      </c>
      <c r="C16">
        <v>2040</v>
      </c>
      <c r="D16" t="s">
        <v>119</v>
      </c>
      <c r="E16" s="11" t="s">
        <v>120</v>
      </c>
    </row>
  </sheetData>
  <phoneticPr fontId="2" type="noConversion"/>
  <hyperlinks>
    <hyperlink ref="E15" r:id="rId1"/>
    <hyperlink ref="E16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E16" sqref="E16"/>
    </sheetView>
  </sheetViews>
  <sheetFormatPr defaultRowHeight="13.5" x14ac:dyDescent="0.15"/>
  <cols>
    <col min="13" max="13" width="25.5" bestFit="1" customWidth="1"/>
    <col min="14" max="14" width="22.625" bestFit="1" customWidth="1"/>
    <col min="15" max="15" width="21.375" bestFit="1" customWidth="1"/>
  </cols>
  <sheetData>
    <row r="1" spans="1:15" x14ac:dyDescent="0.15">
      <c r="B1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27</v>
      </c>
    </row>
    <row r="2" spans="1:15" x14ac:dyDescent="0.15">
      <c r="A2" t="s">
        <v>20</v>
      </c>
      <c r="B2">
        <f>K2-SUM(C2:J2)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7.701443658767336E-2</v>
      </c>
      <c r="K2">
        <v>7.701443658767336E-2</v>
      </c>
    </row>
    <row r="3" spans="1:15" x14ac:dyDescent="0.15">
      <c r="A3" t="s">
        <v>21</v>
      </c>
      <c r="B3">
        <f t="shared" ref="B3:B15" si="0">K3-SUM(C3:J3)</f>
        <v>0</v>
      </c>
      <c r="C3">
        <v>694.02633791434414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694.02633791434414</v>
      </c>
      <c r="M3" t="s">
        <v>73</v>
      </c>
      <c r="N3">
        <f>SUM(K2:K17)</f>
        <v>4225.7058258286552</v>
      </c>
    </row>
    <row r="4" spans="1:15" x14ac:dyDescent="0.15">
      <c r="A4" t="s">
        <v>22</v>
      </c>
      <c r="B4">
        <f t="shared" si="0"/>
        <v>24.680300551065496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24.680300551065496</v>
      </c>
      <c r="M4" t="s">
        <v>74</v>
      </c>
      <c r="N4">
        <f>SUM(K2:K16)</f>
        <v>4021.7499749626554</v>
      </c>
    </row>
    <row r="5" spans="1:15" x14ac:dyDescent="0.15">
      <c r="A5" t="s">
        <v>23</v>
      </c>
      <c r="B5">
        <f t="shared" si="0"/>
        <v>1.1904826527980834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1.1904826527980834</v>
      </c>
    </row>
    <row r="6" spans="1:15" x14ac:dyDescent="0.15">
      <c r="A6" t="s">
        <v>24</v>
      </c>
      <c r="B6">
        <f t="shared" si="0"/>
        <v>450.39797514361305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450.39797514361305</v>
      </c>
    </row>
    <row r="7" spans="1:15" x14ac:dyDescent="0.15">
      <c r="A7" t="s">
        <v>52</v>
      </c>
      <c r="B7">
        <f t="shared" si="0"/>
        <v>0</v>
      </c>
      <c r="C7">
        <v>0</v>
      </c>
      <c r="D7">
        <v>112.73578084985844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112.73578084985844</v>
      </c>
      <c r="M7" s="4" t="s">
        <v>82</v>
      </c>
      <c r="N7" s="4"/>
      <c r="O7" s="4"/>
    </row>
    <row r="8" spans="1:15" x14ac:dyDescent="0.15">
      <c r="A8" t="s">
        <v>26</v>
      </c>
      <c r="B8">
        <f t="shared" si="0"/>
        <v>24.590470651632273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24.590470651632273</v>
      </c>
      <c r="M8" s="4" t="s">
        <v>83</v>
      </c>
      <c r="N8" s="4"/>
      <c r="O8" s="4"/>
    </row>
    <row r="9" spans="1:15" x14ac:dyDescent="0.15">
      <c r="A9" t="s">
        <v>27</v>
      </c>
      <c r="B9">
        <f t="shared" si="0"/>
        <v>1394.9732069613631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1394.9732069613631</v>
      </c>
      <c r="M9" s="4" t="s">
        <v>84</v>
      </c>
      <c r="N9" s="4" t="s">
        <v>87</v>
      </c>
      <c r="O9" s="4" t="s">
        <v>12</v>
      </c>
    </row>
    <row r="10" spans="1:15" x14ac:dyDescent="0.15">
      <c r="A10" t="s">
        <v>53</v>
      </c>
      <c r="B10">
        <f t="shared" si="0"/>
        <v>0</v>
      </c>
      <c r="C10">
        <v>0</v>
      </c>
      <c r="D10">
        <v>0</v>
      </c>
      <c r="E10">
        <v>4.7091334775471259</v>
      </c>
      <c r="F10">
        <v>0</v>
      </c>
      <c r="G10">
        <v>0</v>
      </c>
      <c r="H10">
        <v>0</v>
      </c>
      <c r="I10">
        <v>0</v>
      </c>
      <c r="J10">
        <v>0</v>
      </c>
      <c r="K10">
        <v>4.7091334775471259</v>
      </c>
      <c r="M10" s="4" t="s">
        <v>85</v>
      </c>
      <c r="N10" s="4" t="s">
        <v>87</v>
      </c>
      <c r="O10" s="4" t="s">
        <v>13</v>
      </c>
    </row>
    <row r="11" spans="1:15" x14ac:dyDescent="0.15">
      <c r="A11" t="s">
        <v>29</v>
      </c>
      <c r="B11">
        <f t="shared" si="0"/>
        <v>5.1621138979050158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5.1621138979050158</v>
      </c>
      <c r="M11" s="4" t="s">
        <v>86</v>
      </c>
      <c r="N11" s="4" t="s">
        <v>87</v>
      </c>
      <c r="O11" s="4" t="s">
        <v>14</v>
      </c>
    </row>
    <row r="12" spans="1:15" x14ac:dyDescent="0.15">
      <c r="A12" t="s">
        <v>30</v>
      </c>
      <c r="B12">
        <f t="shared" si="0"/>
        <v>1.4117219177070486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1.4117219177070486</v>
      </c>
      <c r="M12" s="4" t="s">
        <v>88</v>
      </c>
      <c r="N12" s="4" t="s">
        <v>89</v>
      </c>
      <c r="O12" s="4"/>
    </row>
    <row r="13" spans="1:15" x14ac:dyDescent="0.15">
      <c r="A13" t="s">
        <v>31</v>
      </c>
      <c r="B13">
        <f t="shared" si="0"/>
        <v>48.889180288478975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48.889180288478975</v>
      </c>
      <c r="M13" s="4" t="s">
        <v>62</v>
      </c>
      <c r="N13" s="4" t="s">
        <v>87</v>
      </c>
      <c r="O13" s="4" t="s">
        <v>90</v>
      </c>
    </row>
    <row r="14" spans="1:15" x14ac:dyDescent="0.15">
      <c r="A14" t="s">
        <v>32</v>
      </c>
      <c r="B14">
        <f t="shared" si="0"/>
        <v>366.6856856767543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366.6856856767543</v>
      </c>
      <c r="M14" s="4" t="s">
        <v>63</v>
      </c>
      <c r="N14" s="4" t="s">
        <v>87</v>
      </c>
      <c r="O14" s="4" t="s">
        <v>91</v>
      </c>
    </row>
    <row r="15" spans="1:15" x14ac:dyDescent="0.15">
      <c r="A15" t="s">
        <v>33</v>
      </c>
      <c r="B15">
        <f t="shared" si="0"/>
        <v>216.7816502437804</v>
      </c>
      <c r="C15">
        <f>整合数据!C3/整合数据!E32*整合数据!D32</f>
        <v>49.358334526432103</v>
      </c>
      <c r="D15">
        <f>D7/'电力技术投入—Sue 2006'!D30*'电力技术投入—Sue 2006'!D38</f>
        <v>12.754018887602159</v>
      </c>
      <c r="E15">
        <f>E10/E34*D34</f>
        <v>0.47024396133288643</v>
      </c>
      <c r="F15">
        <f>F$21*B45</f>
        <v>44.149842287929083</v>
      </c>
      <c r="G15">
        <f t="shared" ref="G15:I16" si="1">G$21*C45</f>
        <v>3.6626520470377173</v>
      </c>
      <c r="H15">
        <f t="shared" si="1"/>
        <v>6.6507996833901295</v>
      </c>
      <c r="I15">
        <f t="shared" si="1"/>
        <v>3.5186792521024697E-2</v>
      </c>
      <c r="J15">
        <f>J$21*F45</f>
        <v>1.5387470479745575</v>
      </c>
      <c r="K15">
        <v>335.40147547800007</v>
      </c>
      <c r="M15" s="4" t="s">
        <v>64</v>
      </c>
      <c r="N15" s="4" t="s">
        <v>97</v>
      </c>
      <c r="O15" s="4" t="s">
        <v>92</v>
      </c>
    </row>
    <row r="16" spans="1:15" x14ac:dyDescent="0.15">
      <c r="A16" t="s">
        <v>34</v>
      </c>
      <c r="B16">
        <f>K16-SUM(C16:J16)-SUM(F18:J18)</f>
        <v>179.35986545729739</v>
      </c>
      <c r="C16">
        <f>C3/整合数据!E32*整合数据!C32</f>
        <v>159.21072539318649</v>
      </c>
      <c r="D16">
        <f>D7/'电力技术投入—Sue 2006'!D30*'电力技术投入—Sue 2006'!D39</f>
        <v>15.23044440728181</v>
      </c>
      <c r="E16">
        <f>E10/E34*C34</f>
        <v>0.81330450251880004</v>
      </c>
      <c r="F16">
        <f>F$21*B46</f>
        <v>102.11066088131291</v>
      </c>
      <c r="G16">
        <f t="shared" si="1"/>
        <v>17.278162917547494</v>
      </c>
      <c r="H16">
        <f t="shared" si="1"/>
        <v>25.579998782269726</v>
      </c>
      <c r="I16">
        <f t="shared" si="1"/>
        <v>0.37141614327748296</v>
      </c>
      <c r="J16">
        <f>J$21*F46</f>
        <v>4.8085845249204926</v>
      </c>
      <c r="K16">
        <v>556.81909506499994</v>
      </c>
      <c r="M16" s="5" t="s">
        <v>93</v>
      </c>
      <c r="N16" s="5"/>
      <c r="O16" s="5"/>
    </row>
    <row r="17" spans="1:15" x14ac:dyDescent="0.15">
      <c r="A17" t="s">
        <v>35</v>
      </c>
      <c r="B17" s="8">
        <f>SUM(B2:B16,B18)/(1-$K$20)*$K$20</f>
        <v>137.64187196710796</v>
      </c>
      <c r="C17" s="8">
        <f t="shared" ref="C17:J17" si="2">SUM(C2:C16,C18)/(1-$K$20)*$K$20</f>
        <v>45.773509914591607</v>
      </c>
      <c r="D17" s="8">
        <f t="shared" si="2"/>
        <v>7.1363752862032905</v>
      </c>
      <c r="E17" s="8">
        <f t="shared" si="2"/>
        <v>0.30390813748650719</v>
      </c>
      <c r="F17" s="8">
        <f t="shared" si="2"/>
        <v>9.1740779328917341</v>
      </c>
      <c r="G17" s="8">
        <f t="shared" si="2"/>
        <v>1.4496173558425693</v>
      </c>
      <c r="H17" s="8">
        <f t="shared" si="2"/>
        <v>2.0323486965924831</v>
      </c>
      <c r="I17" s="8">
        <f t="shared" si="2"/>
        <v>2.567603977552704E-2</v>
      </c>
      <c r="J17" s="8">
        <f t="shared" si="2"/>
        <v>0.41846553550831789</v>
      </c>
      <c r="K17">
        <v>203.95585086599996</v>
      </c>
      <c r="M17" s="5" t="s">
        <v>94</v>
      </c>
      <c r="N17" s="5"/>
      <c r="O17" s="5"/>
    </row>
    <row r="18" spans="1:15" x14ac:dyDescent="0.15">
      <c r="A18" t="s">
        <v>49</v>
      </c>
      <c r="F18">
        <f>F$21*B47</f>
        <v>34.640645487452048</v>
      </c>
      <c r="G18">
        <f>G$21*C47</f>
        <v>7.6437955764265402</v>
      </c>
      <c r="H18">
        <f>H$21*D47</f>
        <v>7.8445329598960489</v>
      </c>
      <c r="I18">
        <f>I$21*E47</f>
        <v>9.9695912142903312E-2</v>
      </c>
      <c r="J18">
        <f>J$21*F47</f>
        <v>1.8272621194697871</v>
      </c>
      <c r="M18" s="5" t="s">
        <v>96</v>
      </c>
      <c r="N18" s="5" t="s">
        <v>98</v>
      </c>
      <c r="O18" s="5" t="s">
        <v>99</v>
      </c>
    </row>
    <row r="19" spans="1:15" x14ac:dyDescent="0.15">
      <c r="B19">
        <f>SUM(B2:B18)</f>
        <v>2851.7645254095032</v>
      </c>
      <c r="C19">
        <f t="shared" ref="C19:J19" si="3">SUM(C2:C18)</f>
        <v>948.36890774855442</v>
      </c>
      <c r="D19">
        <f t="shared" si="3"/>
        <v>147.85661943094573</v>
      </c>
      <c r="E19">
        <f t="shared" si="3"/>
        <v>6.2965900788853197</v>
      </c>
      <c r="F19">
        <f t="shared" si="3"/>
        <v>190.07522658958578</v>
      </c>
      <c r="G19">
        <f t="shared" si="3"/>
        <v>30.034227896854322</v>
      </c>
      <c r="H19">
        <f t="shared" si="3"/>
        <v>42.107680122148395</v>
      </c>
      <c r="I19">
        <f t="shared" si="3"/>
        <v>0.53197488771693802</v>
      </c>
      <c r="J19">
        <f t="shared" si="3"/>
        <v>8.6700736644608298</v>
      </c>
      <c r="M19" s="5" t="s">
        <v>100</v>
      </c>
      <c r="N19" s="5" t="s">
        <v>101</v>
      </c>
      <c r="O19" s="5" t="s">
        <v>102</v>
      </c>
    </row>
    <row r="20" spans="1:15" x14ac:dyDescent="0.15">
      <c r="C20" s="40" t="s">
        <v>95</v>
      </c>
      <c r="D20" s="40"/>
      <c r="E20" s="40"/>
      <c r="F20" s="4" t="s">
        <v>15</v>
      </c>
      <c r="G20" s="4" t="s">
        <v>16</v>
      </c>
      <c r="H20" s="4" t="s">
        <v>17</v>
      </c>
      <c r="I20" s="4" t="s">
        <v>18</v>
      </c>
      <c r="J20" s="4" t="s">
        <v>19</v>
      </c>
      <c r="K20" s="9">
        <f>K17/SUM(K2:K17)</f>
        <v>4.8265510963722731E-2</v>
      </c>
      <c r="M20" s="5" t="s">
        <v>103</v>
      </c>
      <c r="N20" s="5" t="s">
        <v>97</v>
      </c>
      <c r="O20" s="5" t="s">
        <v>19</v>
      </c>
    </row>
    <row r="21" spans="1:15" ht="27" x14ac:dyDescent="0.15">
      <c r="C21" s="40">
        <f>SUM(C2:E16)</f>
        <v>1049.3083239201039</v>
      </c>
      <c r="D21" s="40"/>
      <c r="E21" s="40"/>
      <c r="F21" s="4">
        <f>C21*'2010年发电量比例'!B11</f>
        <v>180.90114865669403</v>
      </c>
      <c r="G21" s="4">
        <f>C21*'2010年发电量比例'!B12</f>
        <v>28.584610541011749</v>
      </c>
      <c r="H21" s="4">
        <f>C21*'2010年发电量比例'!B13</f>
        <v>40.075331425555902</v>
      </c>
      <c r="I21" s="4">
        <f>C21*'2010年发电量比例'!B14</f>
        <v>0.50629884794141089</v>
      </c>
      <c r="J21" s="4">
        <f>C21*'2010年发电量比例'!B15</f>
        <v>8.1745936923648372</v>
      </c>
      <c r="K21" s="9" t="s">
        <v>110</v>
      </c>
      <c r="M21" s="6" t="s">
        <v>104</v>
      </c>
      <c r="N21" s="5" t="s">
        <v>105</v>
      </c>
      <c r="O21" s="5"/>
    </row>
    <row r="22" spans="1:15" x14ac:dyDescent="0.15">
      <c r="F22" s="4" t="s">
        <v>77</v>
      </c>
      <c r="M22" s="7" t="s">
        <v>106</v>
      </c>
      <c r="N22" s="7"/>
      <c r="O22" s="7"/>
    </row>
    <row r="23" spans="1:15" x14ac:dyDescent="0.15">
      <c r="M23" s="7" t="s">
        <v>107</v>
      </c>
      <c r="N23" s="7" t="s">
        <v>108</v>
      </c>
      <c r="O23" s="7" t="s">
        <v>109</v>
      </c>
    </row>
    <row r="26" spans="1:15" x14ac:dyDescent="0.15">
      <c r="A26" t="s">
        <v>54</v>
      </c>
      <c r="B26" t="s">
        <v>55</v>
      </c>
      <c r="C26" t="s">
        <v>56</v>
      </c>
      <c r="D26" t="s">
        <v>57</v>
      </c>
      <c r="E26" t="s">
        <v>58</v>
      </c>
    </row>
    <row r="27" spans="1:15" x14ac:dyDescent="0.15">
      <c r="B27" t="s">
        <v>59</v>
      </c>
      <c r="D27" t="s">
        <v>68</v>
      </c>
      <c r="F27" t="s">
        <v>66</v>
      </c>
    </row>
    <row r="29" spans="1:15" x14ac:dyDescent="0.15">
      <c r="A29" t="s">
        <v>60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</row>
    <row r="30" spans="1:15" x14ac:dyDescent="0.15">
      <c r="A30" t="s">
        <v>67</v>
      </c>
      <c r="B30">
        <v>1</v>
      </c>
      <c r="C30">
        <v>13.55</v>
      </c>
      <c r="D30">
        <v>7.1</v>
      </c>
      <c r="E30">
        <v>9.33</v>
      </c>
      <c r="F30">
        <f t="shared" ref="F30:F38" si="4">SUM(C30:E30)</f>
        <v>29.979999999999997</v>
      </c>
      <c r="H30">
        <f>F30*6.8/1000</f>
        <v>0.20386399999999999</v>
      </c>
    </row>
    <row r="31" spans="1:15" x14ac:dyDescent="0.15">
      <c r="B31">
        <v>2</v>
      </c>
      <c r="C31">
        <v>13.44</v>
      </c>
      <c r="D31">
        <v>7.04</v>
      </c>
      <c r="E31">
        <v>9.33</v>
      </c>
      <c r="F31">
        <f t="shared" si="4"/>
        <v>29.810000000000002</v>
      </c>
      <c r="H31">
        <f t="shared" ref="H31:H37" si="5">F31*6.8/1000</f>
        <v>0.202708</v>
      </c>
    </row>
    <row r="32" spans="1:15" x14ac:dyDescent="0.15">
      <c r="A32" t="s">
        <v>38</v>
      </c>
      <c r="B32">
        <v>1</v>
      </c>
      <c r="C32">
        <v>5.29</v>
      </c>
      <c r="D32">
        <v>1.64</v>
      </c>
      <c r="E32">
        <v>23.06</v>
      </c>
      <c r="F32">
        <f t="shared" si="4"/>
        <v>29.99</v>
      </c>
      <c r="H32">
        <f t="shared" si="5"/>
        <v>0.20393199999999997</v>
      </c>
    </row>
    <row r="33" spans="1:8" x14ac:dyDescent="0.15">
      <c r="B33">
        <v>2</v>
      </c>
      <c r="C33">
        <v>4.8600000000000003</v>
      </c>
      <c r="D33">
        <v>1.51</v>
      </c>
      <c r="E33">
        <v>23.06</v>
      </c>
      <c r="F33">
        <f t="shared" si="4"/>
        <v>29.43</v>
      </c>
      <c r="H33">
        <f t="shared" si="5"/>
        <v>0.200124</v>
      </c>
    </row>
    <row r="34" spans="1:8" x14ac:dyDescent="0.15">
      <c r="A34" t="s">
        <v>28</v>
      </c>
      <c r="B34">
        <v>1</v>
      </c>
      <c r="C34">
        <v>4.8600000000000003</v>
      </c>
      <c r="D34">
        <v>2.81</v>
      </c>
      <c r="E34">
        <v>28.14</v>
      </c>
      <c r="F34">
        <f t="shared" si="4"/>
        <v>35.81</v>
      </c>
      <c r="H34">
        <f t="shared" si="5"/>
        <v>0.243508</v>
      </c>
    </row>
    <row r="35" spans="1:8" x14ac:dyDescent="0.15">
      <c r="B35">
        <v>2</v>
      </c>
      <c r="C35">
        <v>5.26</v>
      </c>
      <c r="D35">
        <v>3.04</v>
      </c>
      <c r="E35">
        <v>28.14</v>
      </c>
      <c r="F35">
        <f t="shared" si="4"/>
        <v>36.44</v>
      </c>
      <c r="H35">
        <f t="shared" si="5"/>
        <v>0.24779199999999998</v>
      </c>
    </row>
    <row r="36" spans="1:8" x14ac:dyDescent="0.15">
      <c r="A36" t="s">
        <v>46</v>
      </c>
      <c r="C36">
        <v>35.44</v>
      </c>
      <c r="D36">
        <v>15.51</v>
      </c>
      <c r="F36">
        <f t="shared" si="4"/>
        <v>50.949999999999996</v>
      </c>
      <c r="H36">
        <f t="shared" si="5"/>
        <v>0.34645999999999999</v>
      </c>
    </row>
    <row r="37" spans="1:8" x14ac:dyDescent="0.15">
      <c r="A37" t="s">
        <v>69</v>
      </c>
      <c r="C37">
        <v>19.239999999999998</v>
      </c>
      <c r="D37">
        <v>9.85</v>
      </c>
      <c r="F37">
        <f t="shared" si="4"/>
        <v>29.089999999999996</v>
      </c>
      <c r="H37">
        <f t="shared" si="5"/>
        <v>0.19781199999999999</v>
      </c>
    </row>
    <row r="38" spans="1:8" x14ac:dyDescent="0.15">
      <c r="A38" t="s">
        <v>70</v>
      </c>
      <c r="C38">
        <v>107.21</v>
      </c>
      <c r="D38">
        <v>15.65</v>
      </c>
      <c r="F38">
        <f t="shared" si="4"/>
        <v>122.86</v>
      </c>
      <c r="H38">
        <f>F38*6.8/1000</f>
        <v>0.83544799999999997</v>
      </c>
    </row>
    <row r="42" spans="1:8" x14ac:dyDescent="0.15">
      <c r="A42" t="s">
        <v>78</v>
      </c>
    </row>
    <row r="43" spans="1:8" x14ac:dyDescent="0.15">
      <c r="A43" t="s">
        <v>79</v>
      </c>
      <c r="B43" t="s">
        <v>80</v>
      </c>
    </row>
    <row r="44" spans="1:8" x14ac:dyDescent="0.15">
      <c r="B44" t="s">
        <v>15</v>
      </c>
      <c r="C44" t="s">
        <v>16</v>
      </c>
      <c r="D44" t="s">
        <v>17</v>
      </c>
      <c r="E44" t="s">
        <v>18</v>
      </c>
      <c r="F44" t="s">
        <v>19</v>
      </c>
    </row>
    <row r="45" spans="1:8" x14ac:dyDescent="0.15">
      <c r="A45" t="s">
        <v>33</v>
      </c>
      <c r="B45" s="2">
        <f>'电力技术投入—Sue 2006'!F38/'电力技术投入—Sue 2006'!F$42</f>
        <v>0.24405506883604505</v>
      </c>
      <c r="C45" s="2">
        <f>'电力技术投入—Sue 2006'!G38/'电力技术投入—Sue 2006'!G$42</f>
        <v>0.12813370473537605</v>
      </c>
      <c r="D45" s="2">
        <f>'电力技术投入—Sue 2006'!H38/'电力技术投入—Sue 2006'!H$42</f>
        <v>0.16595744680851066</v>
      </c>
      <c r="E45" s="2">
        <f>'电力技术投入—Sue 2006'!I38/'电力技术投入—Sue 2006'!I$42</f>
        <v>6.9498069498069498E-2</v>
      </c>
      <c r="F45" s="2">
        <f>'电力技术投入—Sue 2006'!J38/'电力技术投入—Sue 2006'!J$42</f>
        <v>0.18823529411764706</v>
      </c>
    </row>
    <row r="46" spans="1:8" x14ac:dyDescent="0.15">
      <c r="A46" t="s">
        <v>34</v>
      </c>
      <c r="B46" s="2">
        <f>'电力技术投入—Sue 2006'!F39/'电力技术投入—Sue 2006'!F$42</f>
        <v>0.56445556946182729</v>
      </c>
      <c r="C46" s="2">
        <f>'电力技术投入—Sue 2006'!G39/'电力技术投入—Sue 2006'!G$42</f>
        <v>0.60445682451253491</v>
      </c>
      <c r="D46" s="2">
        <f>'电力技术投入—Sue 2006'!H39/'电力技术投入—Sue 2006'!H$42</f>
        <v>0.63829787234042556</v>
      </c>
      <c r="E46" s="2">
        <f>'电力技术投入—Sue 2006'!I39/'电力技术投入—Sue 2006'!I$42</f>
        <v>0.73359073359073368</v>
      </c>
      <c r="F46" s="2">
        <f>'电力技术投入—Sue 2006'!J39/'电力技术投入—Sue 2006'!J$42</f>
        <v>0.58823529411764708</v>
      </c>
    </row>
    <row r="47" spans="1:8" x14ac:dyDescent="0.15">
      <c r="A47" t="s">
        <v>49</v>
      </c>
      <c r="B47" s="2">
        <f>'电力技术投入—Sue 2006'!F40/'电力技术投入—Sue 2006'!F$42</f>
        <v>0.19148936170212766</v>
      </c>
      <c r="C47" s="2">
        <f>'电力技术投入—Sue 2006'!G40/'电力技术投入—Sue 2006'!G$42</f>
        <v>0.26740947075208915</v>
      </c>
      <c r="D47" s="2">
        <f>'电力技术投入—Sue 2006'!H40/'电力技术投入—Sue 2006'!H$42</f>
        <v>0.19574468085106383</v>
      </c>
      <c r="E47" s="2">
        <f>'电力技术投入—Sue 2006'!I40/'电力技术投入—Sue 2006'!I$42</f>
        <v>0.19691119691119693</v>
      </c>
      <c r="F47" s="2">
        <f>'电力技术投入—Sue 2006'!J40/'电力技术投入—Sue 2006'!J$42</f>
        <v>0.22352941176470587</v>
      </c>
    </row>
  </sheetData>
  <mergeCells count="2">
    <mergeCell ref="C20:E20"/>
    <mergeCell ref="C21:E2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pane ySplit="1" topLeftCell="A2" activePane="bottomLeft" state="frozen"/>
      <selection pane="bottomLeft" activeCell="A22" sqref="A22:I27"/>
    </sheetView>
  </sheetViews>
  <sheetFormatPr defaultRowHeight="13.5" x14ac:dyDescent="0.15"/>
  <cols>
    <col min="1" max="1" width="18.375" bestFit="1" customWidth="1"/>
  </cols>
  <sheetData>
    <row r="1" spans="1:13" x14ac:dyDescent="0.1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27</v>
      </c>
      <c r="K1" t="s">
        <v>151</v>
      </c>
    </row>
    <row r="2" spans="1:13" x14ac:dyDescent="0.15">
      <c r="A2" t="s">
        <v>20</v>
      </c>
      <c r="J2">
        <v>7.701443658767336E-2</v>
      </c>
      <c r="K2">
        <f>J2-SUM(B2:I2)</f>
        <v>7.701443658767336E-2</v>
      </c>
    </row>
    <row r="3" spans="1:13" x14ac:dyDescent="0.15">
      <c r="A3" t="s">
        <v>21</v>
      </c>
      <c r="J3">
        <v>694.02633791434414</v>
      </c>
      <c r="K3">
        <f t="shared" ref="K3:K15" si="0">J3-SUM(B3:I3)</f>
        <v>694.02633791434414</v>
      </c>
    </row>
    <row r="4" spans="1:13" x14ac:dyDescent="0.15">
      <c r="A4" t="s">
        <v>22</v>
      </c>
      <c r="J4">
        <v>24.680300551065496</v>
      </c>
      <c r="K4">
        <f t="shared" si="0"/>
        <v>24.680300551065496</v>
      </c>
    </row>
    <row r="5" spans="1:13" x14ac:dyDescent="0.15">
      <c r="A5" t="s">
        <v>23</v>
      </c>
      <c r="J5">
        <v>1.1904826527980834</v>
      </c>
      <c r="K5">
        <f t="shared" si="0"/>
        <v>1.1904826527980834</v>
      </c>
    </row>
    <row r="6" spans="1:13" x14ac:dyDescent="0.15">
      <c r="A6" t="s">
        <v>24</v>
      </c>
      <c r="E6">
        <f>E32*E23/100</f>
        <v>11.128278371230858</v>
      </c>
      <c r="F6">
        <f>F32*E24/100</f>
        <v>1.7584051046423683</v>
      </c>
      <c r="G6">
        <f>G32*E25</f>
        <v>23.863774493585236</v>
      </c>
      <c r="H6">
        <f>H32*E27</f>
        <v>0.25103174059287076</v>
      </c>
      <c r="I6">
        <f>I32*E27</f>
        <v>4.0531051800286058</v>
      </c>
      <c r="J6">
        <v>450.39797514361305</v>
      </c>
      <c r="K6">
        <f t="shared" si="0"/>
        <v>409.3433802535331</v>
      </c>
    </row>
    <row r="7" spans="1:13" x14ac:dyDescent="0.15">
      <c r="A7" t="s">
        <v>25</v>
      </c>
      <c r="F7">
        <f>F32*F24/100</f>
        <v>13.188038284817763</v>
      </c>
      <c r="J7">
        <v>112.73578084985844</v>
      </c>
      <c r="K7">
        <f t="shared" si="0"/>
        <v>99.547742565040679</v>
      </c>
      <c r="M7">
        <f>SUM(J2:J16)</f>
        <v>4021.7499749626554</v>
      </c>
    </row>
    <row r="8" spans="1:13" x14ac:dyDescent="0.15">
      <c r="A8" t="s">
        <v>26</v>
      </c>
      <c r="J8">
        <v>24.590470651632273</v>
      </c>
      <c r="K8">
        <f t="shared" si="0"/>
        <v>24.590470651632273</v>
      </c>
    </row>
    <row r="9" spans="1:13" x14ac:dyDescent="0.15">
      <c r="A9" t="s">
        <v>27</v>
      </c>
      <c r="J9">
        <v>1394.9732069613631</v>
      </c>
      <c r="K9">
        <f t="shared" si="0"/>
        <v>1394.9732069613631</v>
      </c>
    </row>
    <row r="10" spans="1:13" x14ac:dyDescent="0.15">
      <c r="A10" t="s">
        <v>28</v>
      </c>
      <c r="J10">
        <v>4.7091334775471259</v>
      </c>
      <c r="K10">
        <f t="shared" si="0"/>
        <v>4.7091334775471259</v>
      </c>
    </row>
    <row r="11" spans="1:13" x14ac:dyDescent="0.15">
      <c r="A11" t="s">
        <v>29</v>
      </c>
      <c r="J11">
        <v>5.1621138979050158</v>
      </c>
      <c r="K11">
        <f t="shared" si="0"/>
        <v>5.1621138979050158</v>
      </c>
    </row>
    <row r="12" spans="1:13" x14ac:dyDescent="0.15">
      <c r="A12" t="s">
        <v>30</v>
      </c>
      <c r="J12">
        <v>1.4117219177070486</v>
      </c>
      <c r="K12">
        <f t="shared" si="0"/>
        <v>1.4117219177070486</v>
      </c>
    </row>
    <row r="13" spans="1:13" x14ac:dyDescent="0.15">
      <c r="A13" t="s">
        <v>31</v>
      </c>
      <c r="J13">
        <v>48.889180288478975</v>
      </c>
      <c r="K13">
        <f t="shared" si="0"/>
        <v>48.889180288478975</v>
      </c>
    </row>
    <row r="14" spans="1:13" x14ac:dyDescent="0.15">
      <c r="A14" t="s">
        <v>32</v>
      </c>
      <c r="E14">
        <f>E32*D23/100</f>
        <v>16.692417556846287</v>
      </c>
      <c r="F14">
        <f>F32*D24/100</f>
        <v>2.6376076569635529</v>
      </c>
      <c r="J14">
        <v>366.6856856767543</v>
      </c>
      <c r="K14">
        <f t="shared" si="0"/>
        <v>347.35566046294446</v>
      </c>
    </row>
    <row r="15" spans="1:13" x14ac:dyDescent="0.15">
      <c r="A15" t="s">
        <v>33</v>
      </c>
      <c r="E15">
        <f>E32*C23/100</f>
        <v>55.641391856154293</v>
      </c>
      <c r="F15">
        <f>F32*C24/100</f>
        <v>21.980063808029605</v>
      </c>
      <c r="G15">
        <f>G32*C25</f>
        <v>11.907234587191809</v>
      </c>
      <c r="H15">
        <f>H32*C26</f>
        <v>6.5872472872694987E-2</v>
      </c>
      <c r="I15">
        <f>I32*C27</f>
        <v>3.2510328770328702</v>
      </c>
      <c r="J15">
        <v>335.40147547800007</v>
      </c>
      <c r="K15">
        <f t="shared" si="0"/>
        <v>242.55587987671879</v>
      </c>
    </row>
    <row r="16" spans="1:13" x14ac:dyDescent="0.15">
      <c r="A16" t="s">
        <v>34</v>
      </c>
      <c r="E16">
        <f>E32*B23/100</f>
        <v>306.02765520884861</v>
      </c>
      <c r="F16">
        <f>F32*B24/100</f>
        <v>48.356140377665135</v>
      </c>
      <c r="G16">
        <f>G32*B25</f>
        <v>80.158122692037608</v>
      </c>
      <c r="H16">
        <f>H32*B26</f>
        <v>1.3652576115246267</v>
      </c>
      <c r="I16">
        <f>I32*B27</f>
        <v>12.858300180314075</v>
      </c>
      <c r="J16">
        <v>556.81909506499994</v>
      </c>
      <c r="K16">
        <f>J16-SUM(E16:I19)</f>
        <v>-71.201189638652522</v>
      </c>
    </row>
    <row r="17" spans="1:10" x14ac:dyDescent="0.15">
      <c r="A17" t="s">
        <v>35</v>
      </c>
      <c r="B17" s="8"/>
      <c r="C17" s="8"/>
      <c r="D17" s="8"/>
      <c r="E17" s="8"/>
      <c r="F17" s="8"/>
      <c r="G17" s="8"/>
      <c r="H17" s="8"/>
      <c r="I17" s="8"/>
      <c r="J17">
        <v>203.95585086599996</v>
      </c>
    </row>
    <row r="18" spans="1:10" x14ac:dyDescent="0.15">
      <c r="A18" t="s">
        <v>49</v>
      </c>
      <c r="E18">
        <f>E32*G23/100</f>
        <v>166.92417556846289</v>
      </c>
      <c r="G18">
        <f>G32*H25</f>
        <v>6.1015332512007712</v>
      </c>
      <c r="H18">
        <f>H32*H2</f>
        <v>0</v>
      </c>
      <c r="I18">
        <f>I32*H27</f>
        <v>4.7294608211127835</v>
      </c>
    </row>
    <row r="19" spans="1:10" x14ac:dyDescent="0.15">
      <c r="A19" t="s">
        <v>150</v>
      </c>
      <c r="G19">
        <f>G32*I25</f>
        <v>1.2326329800405598</v>
      </c>
      <c r="H19">
        <f>H32*I25</f>
        <v>1.5572688622386524E-2</v>
      </c>
      <c r="I19">
        <f>I32*I27</f>
        <v>0.25143332382311451</v>
      </c>
    </row>
    <row r="21" spans="1:10" x14ac:dyDescent="0.15">
      <c r="A21" t="s">
        <v>148</v>
      </c>
    </row>
    <row r="22" spans="1:10" x14ac:dyDescent="0.15">
      <c r="B22" t="s">
        <v>34</v>
      </c>
      <c r="C22" t="s">
        <v>33</v>
      </c>
      <c r="D22" t="s">
        <v>140</v>
      </c>
      <c r="E22" t="s">
        <v>141</v>
      </c>
      <c r="F22" t="s">
        <v>142</v>
      </c>
      <c r="G22" t="s">
        <v>146</v>
      </c>
      <c r="H22" t="s">
        <v>149</v>
      </c>
      <c r="I22" t="s">
        <v>150</v>
      </c>
    </row>
    <row r="23" spans="1:10" x14ac:dyDescent="0.15">
      <c r="A23" t="s">
        <v>147</v>
      </c>
      <c r="B23">
        <v>55</v>
      </c>
      <c r="C23">
        <v>10</v>
      </c>
      <c r="D23">
        <v>3</v>
      </c>
      <c r="E23">
        <v>2</v>
      </c>
      <c r="G23">
        <v>30</v>
      </c>
    </row>
    <row r="24" spans="1:10" x14ac:dyDescent="0.15">
      <c r="A24" t="s">
        <v>143</v>
      </c>
      <c r="B24">
        <v>55</v>
      </c>
      <c r="C24">
        <v>25</v>
      </c>
      <c r="D24">
        <v>3</v>
      </c>
      <c r="E24">
        <v>2</v>
      </c>
      <c r="F24">
        <v>15</v>
      </c>
    </row>
    <row r="25" spans="1:10" x14ac:dyDescent="0.15">
      <c r="A25" t="s">
        <v>46</v>
      </c>
      <c r="B25">
        <v>0.65029999999999999</v>
      </c>
      <c r="C25">
        <v>9.6600000000000005E-2</v>
      </c>
      <c r="E25">
        <v>0.19359999999999999</v>
      </c>
      <c r="H25">
        <v>4.9500000000000002E-2</v>
      </c>
      <c r="I25">
        <v>0.01</v>
      </c>
    </row>
    <row r="26" spans="1:10" x14ac:dyDescent="0.15">
      <c r="A26" t="s">
        <v>47</v>
      </c>
      <c r="B26">
        <v>0.87670000000000003</v>
      </c>
      <c r="C26">
        <v>4.2299999999999997E-2</v>
      </c>
      <c r="E26">
        <v>7.0999999999999994E-2</v>
      </c>
      <c r="I26">
        <v>0.01</v>
      </c>
    </row>
    <row r="27" spans="1:10" x14ac:dyDescent="0.15">
      <c r="A27" t="s">
        <v>48</v>
      </c>
      <c r="B27">
        <v>0.51139999999999997</v>
      </c>
      <c r="C27">
        <v>0.1293</v>
      </c>
      <c r="E27">
        <v>0.16120000000000001</v>
      </c>
      <c r="H27">
        <v>0.18809999999999999</v>
      </c>
      <c r="I27">
        <v>0.01</v>
      </c>
    </row>
    <row r="29" spans="1:10" x14ac:dyDescent="0.15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10" x14ac:dyDescent="0.15">
      <c r="A30" t="s">
        <v>0</v>
      </c>
      <c r="B30">
        <v>33066</v>
      </c>
      <c r="C30">
        <v>162</v>
      </c>
      <c r="D30">
        <v>777</v>
      </c>
      <c r="E30">
        <v>6867</v>
      </c>
      <c r="F30">
        <v>747</v>
      </c>
      <c r="G30">
        <v>494</v>
      </c>
      <c r="H30">
        <v>1</v>
      </c>
      <c r="I30">
        <v>161</v>
      </c>
      <c r="J30">
        <f>SUM(B30:I30)</f>
        <v>42275</v>
      </c>
    </row>
    <row r="31" spans="1:10" x14ac:dyDescent="0.15">
      <c r="A31" t="s">
        <v>144</v>
      </c>
      <c r="B31">
        <f t="shared" ref="B31:E31" si="1">B30/$J30</f>
        <v>0.78216439976345353</v>
      </c>
      <c r="C31">
        <f t="shared" si="1"/>
        <v>3.8320520402128919E-3</v>
      </c>
      <c r="D31">
        <f t="shared" si="1"/>
        <v>1.8379657007687757E-2</v>
      </c>
      <c r="E31">
        <f t="shared" si="1"/>
        <v>0.16243642814902426</v>
      </c>
      <c r="F31">
        <f>F30/$J30</f>
        <v>1.7670017740981668E-2</v>
      </c>
      <c r="G31">
        <f t="shared" ref="G31:I31" si="2">G30/$J30</f>
        <v>1.1685393258426966E-2</v>
      </c>
      <c r="H31">
        <f t="shared" si="2"/>
        <v>2.3654642223536369E-5</v>
      </c>
      <c r="I31">
        <f t="shared" si="2"/>
        <v>3.8083973979893553E-3</v>
      </c>
    </row>
    <row r="32" spans="1:10" x14ac:dyDescent="0.15">
      <c r="A32" t="s">
        <v>145</v>
      </c>
      <c r="B32">
        <v>3128.1721232254431</v>
      </c>
      <c r="C32">
        <v>13.37875967172058</v>
      </c>
      <c r="D32">
        <v>85.901019023224038</v>
      </c>
      <c r="E32">
        <v>556.41391856154291</v>
      </c>
      <c r="F32">
        <v>87.920255232118421</v>
      </c>
      <c r="G32">
        <v>123.26329800405598</v>
      </c>
      <c r="H32">
        <v>1.5572688622386524</v>
      </c>
      <c r="I32">
        <v>25.143332382311449</v>
      </c>
      <c r="J32">
        <v>4021.7499749626554</v>
      </c>
    </row>
    <row r="33" spans="1:12" x14ac:dyDescent="0.15">
      <c r="B33">
        <v>3145.6696551653495</v>
      </c>
      <c r="C33">
        <v>15.411555196781791</v>
      </c>
      <c r="D33">
        <v>73.918385110490433</v>
      </c>
      <c r="E33">
        <v>653.27870084136146</v>
      </c>
      <c r="F33">
        <v>71.064393407382696</v>
      </c>
      <c r="G33">
        <v>46.995730044507432</v>
      </c>
      <c r="H33">
        <v>9.5133056770257962E-2</v>
      </c>
      <c r="I33">
        <v>15.316422140011532</v>
      </c>
    </row>
    <row r="37" spans="1:12" x14ac:dyDescent="0.15"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12" x14ac:dyDescent="0.15">
      <c r="A38" t="s">
        <v>0</v>
      </c>
      <c r="B38">
        <v>33066</v>
      </c>
      <c r="C38">
        <v>162</v>
      </c>
      <c r="D38">
        <v>777</v>
      </c>
      <c r="E38">
        <v>6867</v>
      </c>
      <c r="F38">
        <v>747</v>
      </c>
      <c r="G38">
        <v>494</v>
      </c>
      <c r="H38">
        <v>1</v>
      </c>
      <c r="I38">
        <v>161</v>
      </c>
    </row>
    <row r="39" spans="1:12" x14ac:dyDescent="0.15">
      <c r="A39" t="s">
        <v>9</v>
      </c>
      <c r="B39">
        <v>0.39150000000000001</v>
      </c>
      <c r="C39">
        <v>0.34176188325756901</v>
      </c>
      <c r="D39">
        <v>0.457509465096818</v>
      </c>
      <c r="E39">
        <v>0.33531557330818101</v>
      </c>
      <c r="F39">
        <v>0.48706971254449699</v>
      </c>
      <c r="G39">
        <v>1.0325940561749201</v>
      </c>
      <c r="H39">
        <v>6.4444578308681502</v>
      </c>
      <c r="I39">
        <v>0.64627855735249895</v>
      </c>
      <c r="K39" t="s">
        <v>71</v>
      </c>
      <c r="L39" t="s">
        <v>72</v>
      </c>
    </row>
    <row r="40" spans="1:12" x14ac:dyDescent="0.15">
      <c r="A40" t="s">
        <v>10</v>
      </c>
      <c r="B40">
        <f>B39*B38</f>
        <v>12945.339</v>
      </c>
      <c r="C40">
        <f t="shared" ref="C40:I40" si="3">C39*C38</f>
        <v>55.36542508772618</v>
      </c>
      <c r="D40">
        <f t="shared" si="3"/>
        <v>355.4848543802276</v>
      </c>
      <c r="E40">
        <f t="shared" si="3"/>
        <v>2302.612041907279</v>
      </c>
      <c r="F40">
        <f t="shared" si="3"/>
        <v>363.84107527073922</v>
      </c>
      <c r="G40">
        <f t="shared" si="3"/>
        <v>510.10146375041052</v>
      </c>
      <c r="H40">
        <f t="shared" si="3"/>
        <v>6.4444578308681502</v>
      </c>
      <c r="I40">
        <f t="shared" si="3"/>
        <v>104.05084773375233</v>
      </c>
      <c r="J40">
        <f>SUM(B40:I40)</f>
        <v>16643.239165961004</v>
      </c>
    </row>
    <row r="41" spans="1:12" x14ac:dyDescent="0.15">
      <c r="A41" t="s">
        <v>260</v>
      </c>
      <c r="B41" s="1">
        <f>B40/$J40</f>
        <v>0.7778136738235425</v>
      </c>
      <c r="C41" s="1">
        <f t="shared" ref="C41:I41" si="4">C40/$J40</f>
        <v>3.326601542863144E-3</v>
      </c>
      <c r="D41" s="1">
        <f t="shared" si="4"/>
        <v>2.135911470330069E-2</v>
      </c>
      <c r="E41" s="1">
        <f t="shared" si="4"/>
        <v>0.1383511958787815</v>
      </c>
      <c r="F41" s="1">
        <f t="shared" si="4"/>
        <v>2.1861193704100119E-2</v>
      </c>
      <c r="G41" s="1">
        <f t="shared" si="4"/>
        <v>3.0649169831896514E-2</v>
      </c>
      <c r="H41" s="1">
        <f t="shared" si="4"/>
        <v>3.872117540705928E-4</v>
      </c>
      <c r="I41" s="1">
        <f t="shared" si="4"/>
        <v>6.2518387614448664E-3</v>
      </c>
    </row>
    <row r="42" spans="1:12" x14ac:dyDescent="0.15">
      <c r="A42" t="s">
        <v>145</v>
      </c>
      <c r="B42">
        <f>$J$32*B41</f>
        <v>3128.1721232254431</v>
      </c>
      <c r="C42">
        <f t="shared" ref="C42:I42" si="5">$J$32*C41</f>
        <v>13.37875967172058</v>
      </c>
      <c r="D42">
        <f t="shared" si="5"/>
        <v>85.901019023224038</v>
      </c>
      <c r="E42">
        <f t="shared" si="5"/>
        <v>556.41391856154291</v>
      </c>
      <c r="F42">
        <f t="shared" si="5"/>
        <v>87.920255232118421</v>
      </c>
      <c r="G42">
        <f t="shared" si="5"/>
        <v>123.26329800405598</v>
      </c>
      <c r="H42">
        <f t="shared" si="5"/>
        <v>1.5572688622386524</v>
      </c>
      <c r="I42">
        <f t="shared" si="5"/>
        <v>25.143332382311449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H19" sqref="H19"/>
    </sheetView>
  </sheetViews>
  <sheetFormatPr defaultRowHeight="13.5" x14ac:dyDescent="0.15"/>
  <sheetData>
    <row r="1" spans="1:17" x14ac:dyDescent="0.15">
      <c r="B1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27</v>
      </c>
    </row>
    <row r="2" spans="1:17" x14ac:dyDescent="0.15">
      <c r="A2" t="s">
        <v>20</v>
      </c>
      <c r="B2">
        <v>7.701443658767336E-2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7.701443658767336E-2</v>
      </c>
    </row>
    <row r="3" spans="1:17" x14ac:dyDescent="0.15">
      <c r="A3" t="s">
        <v>21</v>
      </c>
      <c r="B3">
        <f t="shared" ref="B3:B14" si="0">K3-SUM(C3:J3)</f>
        <v>0</v>
      </c>
      <c r="C3">
        <v>694.02633791434414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694.02633791434414</v>
      </c>
    </row>
    <row r="4" spans="1:17" x14ac:dyDescent="0.15">
      <c r="A4" t="s">
        <v>22</v>
      </c>
      <c r="B4">
        <f t="shared" si="0"/>
        <v>24.680300551065496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24.680300551065496</v>
      </c>
    </row>
    <row r="5" spans="1:17" x14ac:dyDescent="0.15">
      <c r="A5" t="s">
        <v>23</v>
      </c>
      <c r="B5">
        <f t="shared" si="0"/>
        <v>1.1904826527980834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1.1904826527980834</v>
      </c>
    </row>
    <row r="6" spans="1:17" x14ac:dyDescent="0.15">
      <c r="A6" t="s">
        <v>24</v>
      </c>
      <c r="B6">
        <f t="shared" si="0"/>
        <v>450.39797514361305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450.39797514361305</v>
      </c>
    </row>
    <row r="7" spans="1:17" x14ac:dyDescent="0.15">
      <c r="A7" t="s">
        <v>25</v>
      </c>
      <c r="B7">
        <f t="shared" si="0"/>
        <v>0</v>
      </c>
      <c r="C7">
        <v>0</v>
      </c>
      <c r="D7">
        <v>112.73578084985844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112.73578084985844</v>
      </c>
    </row>
    <row r="8" spans="1:17" x14ac:dyDescent="0.15">
      <c r="A8" t="s">
        <v>26</v>
      </c>
      <c r="B8">
        <f t="shared" si="0"/>
        <v>24.590470651632273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24.590470651632273</v>
      </c>
    </row>
    <row r="9" spans="1:17" x14ac:dyDescent="0.15">
      <c r="A9" t="s">
        <v>27</v>
      </c>
      <c r="B9">
        <f t="shared" si="0"/>
        <v>1394.9732069613631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1394.9732069613631</v>
      </c>
    </row>
    <row r="10" spans="1:17" x14ac:dyDescent="0.15">
      <c r="A10" t="s">
        <v>28</v>
      </c>
      <c r="B10">
        <f t="shared" si="0"/>
        <v>0</v>
      </c>
      <c r="C10">
        <v>0</v>
      </c>
      <c r="D10">
        <v>0</v>
      </c>
      <c r="E10">
        <v>4.7091334775471259</v>
      </c>
      <c r="F10">
        <v>0</v>
      </c>
      <c r="G10">
        <v>0</v>
      </c>
      <c r="H10">
        <v>0</v>
      </c>
      <c r="I10">
        <v>0</v>
      </c>
      <c r="J10">
        <v>0</v>
      </c>
      <c r="K10">
        <v>4.7091334775471259</v>
      </c>
    </row>
    <row r="11" spans="1:17" x14ac:dyDescent="0.15">
      <c r="A11" t="s">
        <v>29</v>
      </c>
      <c r="B11">
        <f t="shared" si="0"/>
        <v>5.1621138979050158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5.1621138979050158</v>
      </c>
    </row>
    <row r="12" spans="1:17" x14ac:dyDescent="0.15">
      <c r="A12" t="s">
        <v>30</v>
      </c>
      <c r="B12">
        <f t="shared" si="0"/>
        <v>1.4117219177070486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1.4117219177070486</v>
      </c>
    </row>
    <row r="13" spans="1:17" x14ac:dyDescent="0.15">
      <c r="A13" t="s">
        <v>31</v>
      </c>
      <c r="B13">
        <f t="shared" si="0"/>
        <v>48.889180288478975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48.889180288478975</v>
      </c>
    </row>
    <row r="14" spans="1:17" x14ac:dyDescent="0.15">
      <c r="A14" t="s">
        <v>32</v>
      </c>
      <c r="B14">
        <f t="shared" si="0"/>
        <v>366.6856856767543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366.6856856767543</v>
      </c>
    </row>
    <row r="15" spans="1:17" x14ac:dyDescent="0.15">
      <c r="A15" t="s">
        <v>33</v>
      </c>
      <c r="B15">
        <f>K15-SUM(C15:J15)</f>
        <v>213.5026325116022</v>
      </c>
      <c r="C15">
        <f>'整合数据 (3)'!C3/'整合数据 (3)'!E34*'整合数据 (3)'!D34</f>
        <v>49.358334526432103</v>
      </c>
      <c r="D15">
        <f>D7/'电力技术投入—Sue 2006'!D30*'电力技术投入—Sue 2006'!D38</f>
        <v>12.754018887602159</v>
      </c>
      <c r="E15">
        <f>E10/E36*D36</f>
        <v>0.47024396133288643</v>
      </c>
      <c r="F15">
        <f t="shared" ref="F15:G17" si="1">F$23*B47</f>
        <v>44.149842287929083</v>
      </c>
      <c r="G15">
        <f t="shared" si="1"/>
        <v>3.6626520470377173</v>
      </c>
      <c r="H15">
        <f t="shared" ref="H15:J16" si="2">O15*H$26</f>
        <v>8.6460395884071684</v>
      </c>
      <c r="I15">
        <f t="shared" si="2"/>
        <v>8.7966981302561739E-2</v>
      </c>
      <c r="J15">
        <f t="shared" si="2"/>
        <v>2.7697446863542035</v>
      </c>
      <c r="K15">
        <v>335.40147547800007</v>
      </c>
      <c r="O15">
        <v>6.6507996833901295</v>
      </c>
      <c r="P15">
        <v>3.5186792521024697E-2</v>
      </c>
      <c r="Q15">
        <v>1.5387470479745575</v>
      </c>
    </row>
    <row r="16" spans="1:17" x14ac:dyDescent="0.15">
      <c r="A16" t="s">
        <v>34</v>
      </c>
      <c r="B16">
        <f>K16-SUM(C16:J16)-SUM(F17:J17)</f>
        <v>163.31716053600488</v>
      </c>
      <c r="C16">
        <f>C3/'整合数据 (3)'!E34*'整合数据 (3)'!C34</f>
        <v>159.21072539318649</v>
      </c>
      <c r="D16">
        <f>D7/'电力技术投入—Sue 2006'!D30*'电力技术投入—Sue 2006'!D39</f>
        <v>15.23044440728181</v>
      </c>
      <c r="E16">
        <f>E10/E36*C36</f>
        <v>0.81330450251880004</v>
      </c>
      <c r="F16">
        <f t="shared" si="1"/>
        <v>102.11066088131291</v>
      </c>
      <c r="G16">
        <f t="shared" si="1"/>
        <v>17.278162917547494</v>
      </c>
      <c r="H16">
        <f t="shared" si="2"/>
        <v>33.253998416950644</v>
      </c>
      <c r="I16">
        <f t="shared" si="2"/>
        <v>0.92854035819370739</v>
      </c>
      <c r="J16">
        <f t="shared" si="2"/>
        <v>8.6554521448568877</v>
      </c>
      <c r="K16">
        <v>556.81909506499994</v>
      </c>
      <c r="O16">
        <v>25.579998782269726</v>
      </c>
      <c r="P16">
        <v>0.37141614327748296</v>
      </c>
      <c r="Q16">
        <v>4.8085845249204926</v>
      </c>
    </row>
    <row r="17" spans="1:17" x14ac:dyDescent="0.15">
      <c r="A17" t="s">
        <v>49</v>
      </c>
      <c r="F17">
        <f t="shared" si="1"/>
        <v>34.640645487452048</v>
      </c>
      <c r="G17">
        <f t="shared" si="1"/>
        <v>7.6437955764265402</v>
      </c>
      <c r="H17">
        <f>O20*H$26</f>
        <v>10.197892847864864</v>
      </c>
      <c r="I17">
        <f>P20*I$26</f>
        <v>0.24923978035725827</v>
      </c>
      <c r="J17">
        <f>Q20*J$26</f>
        <v>3.2890718150456171</v>
      </c>
    </row>
    <row r="18" spans="1:17" x14ac:dyDescent="0.15">
      <c r="A18" t="s">
        <v>35</v>
      </c>
      <c r="B18" s="8">
        <f>SUM(B2:B17,B19)/(1-$K$22)*$K$22</f>
        <v>150.33518919269517</v>
      </c>
      <c r="C18" s="8">
        <f>SUM(C2:C17,C19)/(1-$K$22)*$K$22</f>
        <v>50.351760879645262</v>
      </c>
      <c r="D18" s="8">
        <f t="shared" ref="D18:J18" si="3">SUM(D2:D17,D19)/(1-$K$22)*$K$22</f>
        <v>7.8501531263122937</v>
      </c>
      <c r="E18" s="8">
        <f t="shared" si="3"/>
        <v>0.3343049265099271</v>
      </c>
      <c r="F18" s="8">
        <f t="shared" si="3"/>
        <v>10.091666101859087</v>
      </c>
      <c r="G18" s="8">
        <f t="shared" si="3"/>
        <v>1.5946075930065571</v>
      </c>
      <c r="H18" s="8">
        <f t="shared" si="3"/>
        <v>2.2356235251748102</v>
      </c>
      <c r="I18" s="8">
        <f t="shared" si="3"/>
        <v>2.8244148581262077E-2</v>
      </c>
      <c r="J18" s="8">
        <f t="shared" si="3"/>
        <v>0.45602402568634376</v>
      </c>
      <c r="K18">
        <v>203.95585086599996</v>
      </c>
    </row>
    <row r="19" spans="1:17" x14ac:dyDescent="0.15">
      <c r="A19" t="s">
        <v>152</v>
      </c>
      <c r="B19" s="8"/>
      <c r="C19" s="8"/>
      <c r="D19" s="8"/>
      <c r="E19" s="8"/>
      <c r="F19" s="8"/>
      <c r="G19" s="8"/>
      <c r="H19">
        <f>H23-SUM(H15,H16,H17)</f>
        <v>-12.022599427666776</v>
      </c>
      <c r="I19">
        <f>I23-SUM(I15,I16,I17)</f>
        <v>-0.75944827191211661</v>
      </c>
      <c r="J19">
        <f>J23-SUM(J15,J16,J17)</f>
        <v>-6.5396749538918701</v>
      </c>
      <c r="M19">
        <f>K18-SUM(H19:J19)</f>
        <v>223.27757351947074</v>
      </c>
    </row>
    <row r="20" spans="1:17" x14ac:dyDescent="0.15">
      <c r="O20">
        <v>7.8445329598960489</v>
      </c>
      <c r="P20">
        <v>9.9695912142903312E-2</v>
      </c>
      <c r="Q20">
        <v>1.8272621194697871</v>
      </c>
    </row>
    <row r="21" spans="1:17" x14ac:dyDescent="0.15">
      <c r="B21">
        <f t="shared" ref="B21:J21" si="4">SUM(B2:B19)</f>
        <v>2845.2131344182071</v>
      </c>
      <c r="C21">
        <f t="shared" si="4"/>
        <v>952.94715871360802</v>
      </c>
      <c r="D21">
        <f t="shared" si="4"/>
        <v>148.57039727105473</v>
      </c>
      <c r="E21">
        <f t="shared" si="4"/>
        <v>6.3269868679087393</v>
      </c>
      <c r="F21">
        <f t="shared" si="4"/>
        <v>190.99281475855312</v>
      </c>
      <c r="G21">
        <f t="shared" si="4"/>
        <v>30.17921813401831</v>
      </c>
      <c r="H21">
        <f t="shared" si="4"/>
        <v>42.310954950730711</v>
      </c>
      <c r="I21">
        <f t="shared" si="4"/>
        <v>0.53454299652267301</v>
      </c>
      <c r="J21">
        <f t="shared" si="4"/>
        <v>8.6306177180511803</v>
      </c>
    </row>
    <row r="22" spans="1:17" x14ac:dyDescent="0.15">
      <c r="C22" s="40" t="s">
        <v>95</v>
      </c>
      <c r="D22" s="40"/>
      <c r="E22" s="40"/>
      <c r="F22" s="4" t="s">
        <v>15</v>
      </c>
      <c r="G22" s="4" t="s">
        <v>16</v>
      </c>
      <c r="H22" s="4" t="s">
        <v>17</v>
      </c>
      <c r="I22" s="4" t="s">
        <v>18</v>
      </c>
      <c r="J22" s="4" t="s">
        <v>19</v>
      </c>
      <c r="K22" s="9">
        <f>M19/SUM(K2:K18)</f>
        <v>5.2837935891026276E-2</v>
      </c>
    </row>
    <row r="23" spans="1:17" x14ac:dyDescent="0.15">
      <c r="C23" s="40">
        <f>SUM(C2:E16)</f>
        <v>1049.3083239201039</v>
      </c>
      <c r="D23" s="40"/>
      <c r="E23" s="40"/>
      <c r="F23" s="4">
        <f>C23*'2010年发电量比例'!B11</f>
        <v>180.90114865669403</v>
      </c>
      <c r="G23" s="4">
        <f>C23*'2010年发电量比例'!B12</f>
        <v>28.584610541011749</v>
      </c>
      <c r="H23" s="4">
        <f>C23*'2010年发电量比例'!B13</f>
        <v>40.075331425555902</v>
      </c>
      <c r="I23" s="4">
        <f>C23*'2010年发电量比例'!B14</f>
        <v>0.50629884794141089</v>
      </c>
      <c r="J23" s="4">
        <f>C23*'2010年发电量比例'!B15</f>
        <v>8.1745936923648372</v>
      </c>
      <c r="K23" s="9" t="s">
        <v>110</v>
      </c>
    </row>
    <row r="24" spans="1:17" x14ac:dyDescent="0.15">
      <c r="F24" s="4" t="s">
        <v>77</v>
      </c>
    </row>
    <row r="26" spans="1:17" x14ac:dyDescent="0.15">
      <c r="H26">
        <v>1.3</v>
      </c>
      <c r="I26">
        <v>2.5</v>
      </c>
      <c r="J26">
        <v>1.8</v>
      </c>
    </row>
    <row r="28" spans="1:17" x14ac:dyDescent="0.15">
      <c r="A28" t="s">
        <v>54</v>
      </c>
      <c r="B28" t="s">
        <v>55</v>
      </c>
      <c r="C28" t="s">
        <v>56</v>
      </c>
      <c r="D28" t="s">
        <v>57</v>
      </c>
      <c r="E28" t="s">
        <v>58</v>
      </c>
    </row>
    <row r="29" spans="1:17" x14ac:dyDescent="0.15">
      <c r="B29" t="s">
        <v>59</v>
      </c>
      <c r="D29" t="s">
        <v>68</v>
      </c>
      <c r="F29" t="s">
        <v>66</v>
      </c>
    </row>
    <row r="31" spans="1:17" x14ac:dyDescent="0.15">
      <c r="A31" t="s">
        <v>60</v>
      </c>
      <c r="B31" t="s">
        <v>61</v>
      </c>
      <c r="C31" t="s">
        <v>62</v>
      </c>
      <c r="D31" t="s">
        <v>63</v>
      </c>
      <c r="E31" t="s">
        <v>64</v>
      </c>
      <c r="F31" t="s">
        <v>65</v>
      </c>
    </row>
    <row r="32" spans="1:17" x14ac:dyDescent="0.15">
      <c r="A32" t="s">
        <v>45</v>
      </c>
      <c r="B32">
        <v>1</v>
      </c>
      <c r="C32">
        <v>13.55</v>
      </c>
      <c r="D32">
        <v>7.1</v>
      </c>
      <c r="E32">
        <v>9.33</v>
      </c>
      <c r="F32">
        <f t="shared" ref="F32:F40" si="5">SUM(C32:E32)</f>
        <v>29.979999999999997</v>
      </c>
      <c r="H32">
        <f>F32*6.8/1000</f>
        <v>0.20386399999999999</v>
      </c>
    </row>
    <row r="33" spans="1:8" x14ac:dyDescent="0.15">
      <c r="B33">
        <v>2</v>
      </c>
      <c r="C33">
        <v>13.44</v>
      </c>
      <c r="D33">
        <v>7.04</v>
      </c>
      <c r="E33">
        <v>9.33</v>
      </c>
      <c r="F33">
        <f t="shared" si="5"/>
        <v>29.810000000000002</v>
      </c>
      <c r="H33">
        <f t="shared" ref="H33:H40" si="6">F33*6.8/1000</f>
        <v>0.202708</v>
      </c>
    </row>
    <row r="34" spans="1:8" x14ac:dyDescent="0.15">
      <c r="A34" t="s">
        <v>38</v>
      </c>
      <c r="B34">
        <v>1</v>
      </c>
      <c r="C34">
        <v>5.29</v>
      </c>
      <c r="D34">
        <v>1.64</v>
      </c>
      <c r="E34">
        <v>23.06</v>
      </c>
      <c r="F34">
        <f t="shared" si="5"/>
        <v>29.99</v>
      </c>
      <c r="H34">
        <f t="shared" si="6"/>
        <v>0.20393199999999997</v>
      </c>
    </row>
    <row r="35" spans="1:8" x14ac:dyDescent="0.15">
      <c r="B35">
        <v>2</v>
      </c>
      <c r="C35">
        <v>4.8600000000000003</v>
      </c>
      <c r="D35">
        <v>1.51</v>
      </c>
      <c r="E35">
        <v>23.06</v>
      </c>
      <c r="F35">
        <f t="shared" si="5"/>
        <v>29.43</v>
      </c>
      <c r="H35">
        <f t="shared" si="6"/>
        <v>0.200124</v>
      </c>
    </row>
    <row r="36" spans="1:8" x14ac:dyDescent="0.15">
      <c r="A36" t="s">
        <v>28</v>
      </c>
      <c r="B36">
        <v>1</v>
      </c>
      <c r="C36">
        <v>4.8600000000000003</v>
      </c>
      <c r="D36">
        <v>2.81</v>
      </c>
      <c r="E36">
        <v>28.14</v>
      </c>
      <c r="F36">
        <f t="shared" si="5"/>
        <v>35.81</v>
      </c>
      <c r="H36">
        <f t="shared" si="6"/>
        <v>0.243508</v>
      </c>
    </row>
    <row r="37" spans="1:8" x14ac:dyDescent="0.15">
      <c r="B37">
        <v>2</v>
      </c>
      <c r="C37">
        <v>5.26</v>
      </c>
      <c r="D37">
        <v>3.04</v>
      </c>
      <c r="E37">
        <v>28.14</v>
      </c>
      <c r="F37">
        <f t="shared" si="5"/>
        <v>36.44</v>
      </c>
      <c r="H37">
        <f t="shared" si="6"/>
        <v>0.24779199999999998</v>
      </c>
    </row>
    <row r="38" spans="1:8" x14ac:dyDescent="0.15">
      <c r="A38" t="s">
        <v>46</v>
      </c>
      <c r="C38">
        <v>35.44</v>
      </c>
      <c r="D38">
        <v>15.51</v>
      </c>
      <c r="F38">
        <f t="shared" si="5"/>
        <v>50.949999999999996</v>
      </c>
      <c r="H38">
        <f t="shared" si="6"/>
        <v>0.34645999999999999</v>
      </c>
    </row>
    <row r="39" spans="1:8" x14ac:dyDescent="0.15">
      <c r="A39" t="s">
        <v>69</v>
      </c>
      <c r="C39">
        <v>19.239999999999998</v>
      </c>
      <c r="D39">
        <v>9.85</v>
      </c>
      <c r="F39">
        <f t="shared" si="5"/>
        <v>29.089999999999996</v>
      </c>
      <c r="H39">
        <f t="shared" si="6"/>
        <v>0.19781199999999999</v>
      </c>
    </row>
    <row r="40" spans="1:8" x14ac:dyDescent="0.15">
      <c r="A40" t="s">
        <v>47</v>
      </c>
      <c r="C40">
        <v>107.21</v>
      </c>
      <c r="D40">
        <v>15.65</v>
      </c>
      <c r="F40">
        <f t="shared" si="5"/>
        <v>122.86</v>
      </c>
      <c r="H40">
        <f t="shared" si="6"/>
        <v>0.83544799999999997</v>
      </c>
    </row>
    <row r="44" spans="1:8" x14ac:dyDescent="0.15">
      <c r="A44" t="s">
        <v>78</v>
      </c>
    </row>
    <row r="45" spans="1:8" x14ac:dyDescent="0.15">
      <c r="A45" t="s">
        <v>79</v>
      </c>
      <c r="B45" t="s">
        <v>80</v>
      </c>
    </row>
    <row r="46" spans="1:8" x14ac:dyDescent="0.15">
      <c r="B46" t="s">
        <v>15</v>
      </c>
      <c r="C46" t="s">
        <v>16</v>
      </c>
      <c r="D46" t="s">
        <v>17</v>
      </c>
      <c r="E46" t="s">
        <v>18</v>
      </c>
      <c r="F46" t="s">
        <v>19</v>
      </c>
    </row>
    <row r="47" spans="1:8" x14ac:dyDescent="0.15">
      <c r="A47" t="s">
        <v>33</v>
      </c>
      <c r="B47" s="2">
        <f>'电力技术投入—Sue 2006'!F38/'电力技术投入—Sue 2006'!F$42</f>
        <v>0.24405506883604505</v>
      </c>
      <c r="C47" s="2">
        <f>'电力技术投入—Sue 2006'!G38/'电力技术投入—Sue 2006'!G$42</f>
        <v>0.12813370473537605</v>
      </c>
      <c r="D47" s="2">
        <f>'电力技术投入—Sue 2006'!H38/'电力技术投入—Sue 2006'!H$42</f>
        <v>0.16595744680851066</v>
      </c>
      <c r="E47" s="2">
        <f>'电力技术投入—Sue 2006'!I38/'电力技术投入—Sue 2006'!I$42</f>
        <v>6.9498069498069498E-2</v>
      </c>
      <c r="F47" s="2">
        <f>'电力技术投入—Sue 2006'!J38/'电力技术投入—Sue 2006'!J$42</f>
        <v>0.18823529411764706</v>
      </c>
    </row>
    <row r="48" spans="1:8" x14ac:dyDescent="0.15">
      <c r="A48" t="s">
        <v>34</v>
      </c>
      <c r="B48" s="2">
        <f>'电力技术投入—Sue 2006'!F39/'电力技术投入—Sue 2006'!F$42</f>
        <v>0.56445556946182729</v>
      </c>
      <c r="C48" s="2">
        <f>'电力技术投入—Sue 2006'!G39/'电力技术投入—Sue 2006'!G$42</f>
        <v>0.60445682451253491</v>
      </c>
      <c r="D48" s="2">
        <f>'电力技术投入—Sue 2006'!H39/'电力技术投入—Sue 2006'!H$42</f>
        <v>0.63829787234042556</v>
      </c>
      <c r="E48" s="2">
        <f>'电力技术投入—Sue 2006'!I39/'电力技术投入—Sue 2006'!I$42</f>
        <v>0.73359073359073368</v>
      </c>
      <c r="F48" s="2">
        <f>'电力技术投入—Sue 2006'!J39/'电力技术投入—Sue 2006'!J$42</f>
        <v>0.58823529411764708</v>
      </c>
    </row>
    <row r="49" spans="1:6" x14ac:dyDescent="0.15">
      <c r="A49" t="s">
        <v>49</v>
      </c>
      <c r="B49" s="2">
        <f>'电力技术投入—Sue 2006'!F40/'电力技术投入—Sue 2006'!F$42</f>
        <v>0.19148936170212766</v>
      </c>
      <c r="C49" s="2">
        <f>'电力技术投入—Sue 2006'!G40/'电力技术投入—Sue 2006'!G$42</f>
        <v>0.26740947075208915</v>
      </c>
      <c r="D49" s="2">
        <f>'电力技术投入—Sue 2006'!H40/'电力技术投入—Sue 2006'!H$42</f>
        <v>0.19574468085106383</v>
      </c>
      <c r="E49" s="2">
        <f>'电力技术投入—Sue 2006'!I40/'电力技术投入—Sue 2006'!I$42</f>
        <v>0.19691119691119693</v>
      </c>
      <c r="F49" s="2">
        <f>'电力技术投入—Sue 2006'!J40/'电力技术投入—Sue 2006'!J$42</f>
        <v>0.22352941176470587</v>
      </c>
    </row>
  </sheetData>
  <mergeCells count="2">
    <mergeCell ref="C22:E22"/>
    <mergeCell ref="C23:E23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C47" sqref="C47"/>
    </sheetView>
  </sheetViews>
  <sheetFormatPr defaultRowHeight="13.5" x14ac:dyDescent="0.15"/>
  <cols>
    <col min="2" max="2" width="9.5" bestFit="1" customWidth="1"/>
    <col min="3" max="3" width="12.75" bestFit="1" customWidth="1"/>
    <col min="6" max="6" width="13.125" customWidth="1"/>
    <col min="9" max="9" width="12.75" bestFit="1" customWidth="1"/>
    <col min="15" max="15" width="25.5" bestFit="1" customWidth="1"/>
    <col min="16" max="16" width="22.625" bestFit="1" customWidth="1"/>
    <col min="17" max="17" width="21.375" bestFit="1" customWidth="1"/>
    <col min="18" max="18" width="12.75" bestFit="1" customWidth="1"/>
  </cols>
  <sheetData>
    <row r="1" spans="1:17" x14ac:dyDescent="0.15">
      <c r="B1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27</v>
      </c>
      <c r="L1" t="s">
        <v>27</v>
      </c>
    </row>
    <row r="2" spans="1:17" x14ac:dyDescent="0.15">
      <c r="A2" t="s">
        <v>20</v>
      </c>
      <c r="B2">
        <f>K2-SUM(C2:J2)</f>
        <v>7.701443658767336E-2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7.701443658767336E-2</v>
      </c>
      <c r="L2">
        <v>7.701443658767336E-2</v>
      </c>
      <c r="M2">
        <f>SUM(B2:J2)-L2</f>
        <v>0</v>
      </c>
    </row>
    <row r="3" spans="1:17" x14ac:dyDescent="0.15">
      <c r="A3" t="s">
        <v>21</v>
      </c>
      <c r="B3">
        <f t="shared" ref="B3:B19" si="0">K3-SUM(C3:J3)</f>
        <v>0</v>
      </c>
      <c r="C3">
        <v>694.02633791434414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694.02633791434414</v>
      </c>
      <c r="L3">
        <v>694.02633791434414</v>
      </c>
      <c r="M3">
        <f t="shared" ref="M3:M15" si="1">SUM(B3:J3)-L3</f>
        <v>0</v>
      </c>
      <c r="O3" t="s">
        <v>73</v>
      </c>
      <c r="P3">
        <f>SUM(L2:L17)</f>
        <v>4225.7058258286552</v>
      </c>
    </row>
    <row r="4" spans="1:17" x14ac:dyDescent="0.15">
      <c r="A4" t="s">
        <v>22</v>
      </c>
      <c r="B4">
        <f t="shared" si="0"/>
        <v>24.680300551065496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24.680300551065496</v>
      </c>
      <c r="L4">
        <v>24.680300551065496</v>
      </c>
      <c r="M4">
        <f t="shared" si="1"/>
        <v>0</v>
      </c>
      <c r="O4" t="s">
        <v>74</v>
      </c>
      <c r="P4">
        <f>SUM(L2:L16)</f>
        <v>4021.7499749626554</v>
      </c>
    </row>
    <row r="5" spans="1:17" x14ac:dyDescent="0.15">
      <c r="A5" t="s">
        <v>23</v>
      </c>
      <c r="B5">
        <f t="shared" si="0"/>
        <v>1.1904826527980834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1.1904826527980834</v>
      </c>
      <c r="L5">
        <v>1.1904826527980834</v>
      </c>
      <c r="M5">
        <f t="shared" si="1"/>
        <v>0</v>
      </c>
    </row>
    <row r="6" spans="1:17" x14ac:dyDescent="0.15">
      <c r="A6" t="s">
        <v>24</v>
      </c>
      <c r="B6">
        <f t="shared" si="0"/>
        <v>440.41548493368441</v>
      </c>
      <c r="C6">
        <v>0</v>
      </c>
      <c r="D6">
        <v>0</v>
      </c>
      <c r="E6">
        <v>0</v>
      </c>
      <c r="F6">
        <f>F21*B46/100</f>
        <v>4.237965158276344</v>
      </c>
      <c r="G6">
        <f t="shared" ref="G6" si="2">G21*C46/100</f>
        <v>0.46101062665391418</v>
      </c>
      <c r="H6">
        <f>H21*D46/100*1.3</f>
        <v>3.83650698333541</v>
      </c>
      <c r="I6">
        <f>I21*E46/100*2.5</f>
        <v>5.4772012202857941E-3</v>
      </c>
      <c r="J6">
        <f>J21*F46/100*1.8</f>
        <v>1.4415302404426948</v>
      </c>
      <c r="K6">
        <v>450.39797514361305</v>
      </c>
      <c r="L6">
        <v>450.39797514361305</v>
      </c>
      <c r="M6">
        <f t="shared" si="1"/>
        <v>0</v>
      </c>
    </row>
    <row r="7" spans="1:17" x14ac:dyDescent="0.15">
      <c r="A7" t="s">
        <v>25</v>
      </c>
      <c r="B7">
        <f t="shared" si="0"/>
        <v>0</v>
      </c>
      <c r="C7">
        <v>0</v>
      </c>
      <c r="D7">
        <v>112.73578084985844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112.73578084985844</v>
      </c>
      <c r="L7">
        <v>112.73578084985844</v>
      </c>
      <c r="M7">
        <f t="shared" si="1"/>
        <v>0</v>
      </c>
      <c r="O7" s="4" t="s">
        <v>82</v>
      </c>
      <c r="P7" s="4"/>
      <c r="Q7" s="4"/>
    </row>
    <row r="8" spans="1:17" x14ac:dyDescent="0.15">
      <c r="A8" t="s">
        <v>26</v>
      </c>
      <c r="B8">
        <f t="shared" si="0"/>
        <v>24.590470651632273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24.590470651632273</v>
      </c>
      <c r="L8">
        <v>24.590470651632273</v>
      </c>
      <c r="M8">
        <f t="shared" si="1"/>
        <v>0</v>
      </c>
      <c r="O8" s="4" t="s">
        <v>83</v>
      </c>
      <c r="P8" s="4"/>
      <c r="Q8" s="4"/>
    </row>
    <row r="9" spans="1:17" x14ac:dyDescent="0.15">
      <c r="A9" t="s">
        <v>27</v>
      </c>
      <c r="B9">
        <f t="shared" si="0"/>
        <v>1394.9732069613631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1394.9732069613631</v>
      </c>
      <c r="L9">
        <v>1394.9732069613631</v>
      </c>
      <c r="M9">
        <f t="shared" si="1"/>
        <v>0</v>
      </c>
      <c r="O9" s="4" t="s">
        <v>84</v>
      </c>
      <c r="P9" s="4" t="s">
        <v>87</v>
      </c>
      <c r="Q9" s="4" t="s">
        <v>12</v>
      </c>
    </row>
    <row r="10" spans="1:17" x14ac:dyDescent="0.15">
      <c r="A10" t="s">
        <v>28</v>
      </c>
      <c r="B10">
        <f t="shared" si="0"/>
        <v>0</v>
      </c>
      <c r="C10">
        <v>0</v>
      </c>
      <c r="D10">
        <v>0</v>
      </c>
      <c r="E10">
        <v>4.7091334775471259</v>
      </c>
      <c r="F10">
        <v>0</v>
      </c>
      <c r="G10">
        <v>0</v>
      </c>
      <c r="H10">
        <v>0</v>
      </c>
      <c r="I10">
        <v>0</v>
      </c>
      <c r="J10">
        <v>0</v>
      </c>
      <c r="K10">
        <v>4.7091334775471259</v>
      </c>
      <c r="L10">
        <v>4.7091334775471259</v>
      </c>
      <c r="M10">
        <f t="shared" si="1"/>
        <v>0</v>
      </c>
      <c r="O10" s="4" t="s">
        <v>85</v>
      </c>
      <c r="P10" s="4" t="s">
        <v>87</v>
      </c>
      <c r="Q10" s="4" t="s">
        <v>13</v>
      </c>
    </row>
    <row r="11" spans="1:17" x14ac:dyDescent="0.15">
      <c r="A11" t="s">
        <v>29</v>
      </c>
      <c r="B11">
        <f t="shared" si="0"/>
        <v>5.1621138979050158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5.1621138979050158</v>
      </c>
      <c r="L11">
        <v>5.1621138979050158</v>
      </c>
      <c r="M11">
        <f t="shared" si="1"/>
        <v>0</v>
      </c>
      <c r="O11" s="4" t="s">
        <v>86</v>
      </c>
      <c r="P11" s="4" t="s">
        <v>87</v>
      </c>
      <c r="Q11" s="4" t="s">
        <v>14</v>
      </c>
    </row>
    <row r="12" spans="1:17" x14ac:dyDescent="0.15">
      <c r="A12" t="s">
        <v>30</v>
      </c>
      <c r="B12">
        <f t="shared" si="0"/>
        <v>1.4117219177070486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1.4117219177070486</v>
      </c>
      <c r="L12">
        <v>1.4117219177070486</v>
      </c>
      <c r="M12">
        <f t="shared" si="1"/>
        <v>0</v>
      </c>
      <c r="O12" s="4" t="s">
        <v>88</v>
      </c>
      <c r="P12" s="4" t="s">
        <v>89</v>
      </c>
      <c r="Q12" s="4"/>
    </row>
    <row r="13" spans="1:17" x14ac:dyDescent="0.15">
      <c r="A13" t="s">
        <v>31</v>
      </c>
      <c r="B13">
        <f t="shared" si="0"/>
        <v>48.889180288478975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48.889180288478975</v>
      </c>
      <c r="L13">
        <v>48.889180288478975</v>
      </c>
      <c r="M13">
        <f t="shared" si="1"/>
        <v>0</v>
      </c>
      <c r="O13" s="4" t="s">
        <v>62</v>
      </c>
      <c r="P13" s="4" t="s">
        <v>87</v>
      </c>
      <c r="Q13" s="4" t="s">
        <v>90</v>
      </c>
    </row>
    <row r="14" spans="1:17" x14ac:dyDescent="0.15">
      <c r="A14" t="s">
        <v>32</v>
      </c>
      <c r="B14">
        <f t="shared" si="0"/>
        <v>359.63722199935893</v>
      </c>
      <c r="C14">
        <v>0</v>
      </c>
      <c r="D14">
        <v>0</v>
      </c>
      <c r="E14">
        <v>0</v>
      </c>
      <c r="F14">
        <f>F21*B45/100</f>
        <v>6.356947737414516</v>
      </c>
      <c r="G14">
        <f>G21*C45/100</f>
        <v>0.69151593998087124</v>
      </c>
      <c r="H14">
        <v>0</v>
      </c>
      <c r="I14">
        <v>0</v>
      </c>
      <c r="J14">
        <v>0</v>
      </c>
      <c r="K14">
        <v>366.6856856767543</v>
      </c>
      <c r="L14">
        <v>366.6856856767543</v>
      </c>
      <c r="M14">
        <f t="shared" si="1"/>
        <v>0</v>
      </c>
      <c r="O14" s="4" t="s">
        <v>63</v>
      </c>
      <c r="P14" s="4" t="s">
        <v>87</v>
      </c>
      <c r="Q14" s="4" t="s">
        <v>91</v>
      </c>
    </row>
    <row r="15" spans="1:17" x14ac:dyDescent="0.15">
      <c r="A15" t="s">
        <v>33</v>
      </c>
      <c r="B15">
        <f t="shared" si="0"/>
        <v>242.79260150168949</v>
      </c>
      <c r="C15">
        <f>C3/E32*D32</f>
        <v>49.358334526432103</v>
      </c>
      <c r="D15">
        <f>D7/'电力技术投入—Sue 2006'!D30*'电力技术投入—Sue 2006'!D38</f>
        <v>12.754018887602159</v>
      </c>
      <c r="E15">
        <f>E10/E34*D34</f>
        <v>0.47024396133288643</v>
      </c>
      <c r="F15">
        <f>F$21*B44/100</f>
        <v>21.189825791381718</v>
      </c>
      <c r="G15">
        <f t="shared" ref="G15" si="3">G$21*C44/100</f>
        <v>5.7626328331739272</v>
      </c>
      <c r="H15">
        <f>H$21*D44/100*1.3</f>
        <v>1.9142901580072342</v>
      </c>
      <c r="I15">
        <f>I$21*E44/100*2.5</f>
        <v>3.2631776284237908E-3</v>
      </c>
      <c r="J15">
        <f>J$21*F44/100*1.8</f>
        <v>1.1562646407521118</v>
      </c>
      <c r="K15">
        <v>335.40147547800007</v>
      </c>
      <c r="L15">
        <v>335.40147547800007</v>
      </c>
      <c r="M15">
        <f t="shared" si="1"/>
        <v>0</v>
      </c>
      <c r="O15" s="4" t="s">
        <v>64</v>
      </c>
      <c r="P15" s="4" t="s">
        <v>87</v>
      </c>
      <c r="Q15" s="4" t="s">
        <v>92</v>
      </c>
    </row>
    <row r="16" spans="1:17" x14ac:dyDescent="0.15">
      <c r="A16" t="s">
        <v>34</v>
      </c>
      <c r="B16">
        <f t="shared" si="0"/>
        <v>164.83675473415002</v>
      </c>
      <c r="C16">
        <f>C3/E32*C32</f>
        <v>159.21072539318649</v>
      </c>
      <c r="D16">
        <f>D7/'电力技术投入—Sue 2006'!D30*'电力技术投入—Sue 2006'!D39</f>
        <v>15.23044440728181</v>
      </c>
      <c r="E16">
        <f>E10/E34*C34</f>
        <v>0.81330450251880004</v>
      </c>
      <c r="F16">
        <f>F$21*B43/100</f>
        <v>116.54404185259946</v>
      </c>
      <c r="G16">
        <f>G$21*C43/100</f>
        <v>12.67779223298264</v>
      </c>
      <c r="H16">
        <f>H$21*D43/100*1.3</f>
        <v>12.886779397019717</v>
      </c>
      <c r="I16">
        <f>I$21*E43/100*2.5</f>
        <v>6.7631863518655716E-2</v>
      </c>
      <c r="J16">
        <f>J$21*F43/100*1.8</f>
        <v>4.5731920903374323</v>
      </c>
      <c r="K16">
        <f>L16-K19</f>
        <v>486.84066647359509</v>
      </c>
      <c r="L16">
        <v>556.81909506499994</v>
      </c>
      <c r="M16">
        <f>SUM(B16:J16)+SUM(F19:J19)-L16</f>
        <v>0</v>
      </c>
      <c r="O16" s="5" t="s">
        <v>93</v>
      </c>
      <c r="P16" s="5"/>
      <c r="Q16" s="5"/>
    </row>
    <row r="17" spans="1:23" x14ac:dyDescent="0.15">
      <c r="A17" t="s">
        <v>35</v>
      </c>
      <c r="B17">
        <f t="shared" ref="B17:J17" si="4">SUM(B18:B19,B2:B16)*$K$20/(1-$K$20)</f>
        <v>143.45916196356893</v>
      </c>
      <c r="C17">
        <f t="shared" si="4"/>
        <v>47.804354948231357</v>
      </c>
      <c r="D17">
        <f t="shared" si="4"/>
        <v>7.4529966756317503</v>
      </c>
      <c r="E17">
        <f t="shared" si="4"/>
        <v>0.31739170763109059</v>
      </c>
      <c r="F17">
        <f t="shared" si="4"/>
        <v>11.222813187983256</v>
      </c>
      <c r="G17">
        <f t="shared" si="4"/>
        <v>1.2208302681554524</v>
      </c>
      <c r="H17">
        <f t="shared" si="4"/>
        <v>0.80734960169851888</v>
      </c>
      <c r="I17">
        <f t="shared" si="4"/>
        <v>1.6343109346123868E-3</v>
      </c>
      <c r="J17">
        <f t="shared" si="4"/>
        <v>0.26312406047259418</v>
      </c>
      <c r="K17">
        <f>L17-K18</f>
        <v>212.54965672430754</v>
      </c>
      <c r="L17">
        <v>203.95585086599996</v>
      </c>
      <c r="M17" s="8">
        <f>SUM(B17:J17)-L17</f>
        <v>8.5938058583075758</v>
      </c>
      <c r="O17" s="5" t="s">
        <v>94</v>
      </c>
      <c r="P17" s="5"/>
      <c r="Q17" s="5"/>
    </row>
    <row r="18" spans="1:23" x14ac:dyDescent="0.15">
      <c r="A18" t="s">
        <v>270</v>
      </c>
      <c r="B18">
        <f t="shared" si="0"/>
        <v>0</v>
      </c>
      <c r="F18">
        <f>F21-F25</f>
        <v>0</v>
      </c>
      <c r="G18">
        <f t="shared" ref="G18:J18" si="5">G21-G25</f>
        <v>0</v>
      </c>
      <c r="H18">
        <f t="shared" si="5"/>
        <v>-4.5730773005428436</v>
      </c>
      <c r="I18">
        <f t="shared" si="5"/>
        <v>-4.6286207495372898E-2</v>
      </c>
      <c r="J18">
        <f t="shared" si="5"/>
        <v>-3.9744423502693538</v>
      </c>
      <c r="K18">
        <f>SUM(F18:J18)</f>
        <v>-8.5938058583075705</v>
      </c>
      <c r="O18" s="5" t="s">
        <v>96</v>
      </c>
      <c r="P18" s="5" t="s">
        <v>98</v>
      </c>
      <c r="Q18" s="5" t="s">
        <v>99</v>
      </c>
    </row>
    <row r="19" spans="1:23" x14ac:dyDescent="0.15">
      <c r="A19" t="s">
        <v>49</v>
      </c>
      <c r="B19">
        <f t="shared" si="0"/>
        <v>0</v>
      </c>
      <c r="F19">
        <f>F$21*B47/100</f>
        <v>63.569477374145151</v>
      </c>
      <c r="G19">
        <f>G$21*C47/100</f>
        <v>3.4575796999043562</v>
      </c>
      <c r="H19">
        <f>H$21*D47/100*1.3</f>
        <v>1.1790917639899632</v>
      </c>
      <c r="I19">
        <f>I$21*E47/100*2.5</f>
        <v>7.7143679158954859E-4</v>
      </c>
      <c r="J19">
        <f>J$21*F47/100*1.8</f>
        <v>1.7715083165738079</v>
      </c>
      <c r="K19">
        <f>SUM(F19:J19)</f>
        <v>69.978428591404878</v>
      </c>
      <c r="O19" s="5" t="s">
        <v>100</v>
      </c>
      <c r="P19" s="5" t="s">
        <v>101</v>
      </c>
      <c r="Q19" s="5" t="s">
        <v>102</v>
      </c>
    </row>
    <row r="20" spans="1:23" x14ac:dyDescent="0.15">
      <c r="C20" s="40" t="s">
        <v>95</v>
      </c>
      <c r="D20" s="40"/>
      <c r="E20" s="40"/>
      <c r="F20" s="4" t="s">
        <v>15</v>
      </c>
      <c r="G20" s="4" t="s">
        <v>16</v>
      </c>
      <c r="H20" s="4" t="s">
        <v>17</v>
      </c>
      <c r="I20" s="4" t="s">
        <v>18</v>
      </c>
      <c r="J20" s="4" t="s">
        <v>19</v>
      </c>
      <c r="K20" s="9">
        <f>K17/SUM(K2:K19)</f>
        <v>5.0299208105104402E-2</v>
      </c>
      <c r="L20" s="9"/>
      <c r="M20">
        <f>K17/P3</f>
        <v>5.0299208105104388E-2</v>
      </c>
      <c r="O20" s="5" t="s">
        <v>103</v>
      </c>
      <c r="P20" s="5" t="s">
        <v>87</v>
      </c>
      <c r="Q20" s="5" t="s">
        <v>19</v>
      </c>
    </row>
    <row r="21" spans="1:23" ht="27" x14ac:dyDescent="0.15">
      <c r="C21" s="40">
        <f>SUM(C2:E16)</f>
        <v>1049.3083239201039</v>
      </c>
      <c r="D21" s="40"/>
      <c r="E21" s="40"/>
      <c r="F21" s="4">
        <f>C21*P35</f>
        <v>211.89825791381719</v>
      </c>
      <c r="G21" s="4">
        <f>C21*P36</f>
        <v>23.050531332695709</v>
      </c>
      <c r="H21" s="4">
        <f>C21*P37</f>
        <v>15.243591001809479</v>
      </c>
      <c r="I21" s="4">
        <f>C21*P38</f>
        <v>3.0857471663581944E-2</v>
      </c>
      <c r="J21" s="4">
        <f>C21*P39</f>
        <v>4.9680529378366929</v>
      </c>
      <c r="K21" s="9" t="s">
        <v>110</v>
      </c>
      <c r="L21" s="9"/>
      <c r="O21" s="6" t="s">
        <v>104</v>
      </c>
      <c r="P21" s="5" t="s">
        <v>105</v>
      </c>
      <c r="Q21" s="5"/>
    </row>
    <row r="22" spans="1:23" x14ac:dyDescent="0.15">
      <c r="F22" s="4" t="s">
        <v>271</v>
      </c>
      <c r="O22" s="7" t="s">
        <v>106</v>
      </c>
      <c r="P22" s="7"/>
      <c r="Q22" s="7"/>
    </row>
    <row r="23" spans="1:23" x14ac:dyDescent="0.15">
      <c r="E23" t="s">
        <v>268</v>
      </c>
      <c r="F23">
        <f>F21-F25</f>
        <v>0</v>
      </c>
      <c r="G23">
        <f>G21-G25</f>
        <v>0</v>
      </c>
      <c r="H23">
        <f>H21-H25</f>
        <v>-4.5730773005428436</v>
      </c>
      <c r="I23">
        <f>I21-I25</f>
        <v>-4.6286207495372898E-2</v>
      </c>
      <c r="J23">
        <f>J21-J25</f>
        <v>-3.9744423502693538</v>
      </c>
      <c r="K23">
        <f>SUM(F23:J23)</f>
        <v>-8.5938058583075705</v>
      </c>
      <c r="O23" s="7" t="s">
        <v>107</v>
      </c>
      <c r="P23" s="7" t="s">
        <v>108</v>
      </c>
      <c r="Q23" s="7" t="s">
        <v>109</v>
      </c>
    </row>
    <row r="24" spans="1:23" x14ac:dyDescent="0.15">
      <c r="A24" t="s">
        <v>269</v>
      </c>
    </row>
    <row r="25" spans="1:23" x14ac:dyDescent="0.15">
      <c r="B25">
        <f t="shared" ref="B25:J25" si="6">SUM(B2:B16,B19)</f>
        <v>2708.6565545264207</v>
      </c>
      <c r="C25">
        <f t="shared" si="6"/>
        <v>902.59539783396281</v>
      </c>
      <c r="D25">
        <f t="shared" si="6"/>
        <v>140.72024414474242</v>
      </c>
      <c r="E25">
        <f t="shared" si="6"/>
        <v>5.9926819413988124</v>
      </c>
      <c r="F25">
        <f t="shared" si="6"/>
        <v>211.89825791381719</v>
      </c>
      <c r="G25">
        <f t="shared" si="6"/>
        <v>23.050531332695709</v>
      </c>
      <c r="H25">
        <f t="shared" si="6"/>
        <v>19.816668302352323</v>
      </c>
      <c r="I25">
        <f t="shared" si="6"/>
        <v>7.7143679158954842E-2</v>
      </c>
      <c r="J25">
        <f t="shared" si="6"/>
        <v>8.9424952881060467</v>
      </c>
      <c r="L25" s="7"/>
    </row>
    <row r="26" spans="1:23" x14ac:dyDescent="0.15">
      <c r="A26" t="s">
        <v>54</v>
      </c>
      <c r="B26" t="s">
        <v>55</v>
      </c>
      <c r="C26" t="s">
        <v>56</v>
      </c>
      <c r="D26" t="s">
        <v>57</v>
      </c>
      <c r="E26" t="s">
        <v>58</v>
      </c>
    </row>
    <row r="27" spans="1:23" x14ac:dyDescent="0.15">
      <c r="B27" t="s">
        <v>59</v>
      </c>
      <c r="D27" t="s">
        <v>68</v>
      </c>
      <c r="F27" t="s">
        <v>66</v>
      </c>
    </row>
    <row r="29" spans="1:23" x14ac:dyDescent="0.15">
      <c r="A29" t="s">
        <v>60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  <c r="P29" t="s">
        <v>1</v>
      </c>
      <c r="Q29" t="s">
        <v>2</v>
      </c>
      <c r="R29" t="s">
        <v>3</v>
      </c>
      <c r="S29" t="s">
        <v>4</v>
      </c>
      <c r="T29" t="s">
        <v>5</v>
      </c>
      <c r="U29" t="s">
        <v>6</v>
      </c>
      <c r="V29" t="s">
        <v>7</v>
      </c>
      <c r="W29" t="s">
        <v>8</v>
      </c>
    </row>
    <row r="30" spans="1:23" x14ac:dyDescent="0.15">
      <c r="A30" t="s">
        <v>45</v>
      </c>
      <c r="B30">
        <v>1</v>
      </c>
      <c r="C30">
        <v>13.55</v>
      </c>
      <c r="D30">
        <v>7.1</v>
      </c>
      <c r="E30">
        <v>9.33</v>
      </c>
      <c r="F30">
        <f t="shared" ref="F30:F38" si="7">SUM(C30:E30)</f>
        <v>29.979999999999997</v>
      </c>
      <c r="H30">
        <f>F30*6.8/1000</f>
        <v>0.20386399999999999</v>
      </c>
      <c r="O30" t="s">
        <v>0</v>
      </c>
      <c r="P30">
        <v>33066</v>
      </c>
      <c r="Q30">
        <v>162</v>
      </c>
      <c r="R30">
        <v>777</v>
      </c>
      <c r="S30">
        <v>6867</v>
      </c>
      <c r="T30">
        <v>747</v>
      </c>
      <c r="U30">
        <v>494</v>
      </c>
      <c r="V30">
        <v>1</v>
      </c>
      <c r="W30">
        <v>161</v>
      </c>
    </row>
    <row r="31" spans="1:23" x14ac:dyDescent="0.15">
      <c r="B31">
        <v>2</v>
      </c>
      <c r="C31">
        <v>13.44</v>
      </c>
      <c r="D31">
        <v>7.04</v>
      </c>
      <c r="E31">
        <v>9.33</v>
      </c>
      <c r="F31">
        <f t="shared" si="7"/>
        <v>29.810000000000002</v>
      </c>
      <c r="H31">
        <f t="shared" ref="H31:H37" si="8">F31*6.8/1000</f>
        <v>0.202708</v>
      </c>
      <c r="O31" t="s">
        <v>264</v>
      </c>
      <c r="P31">
        <v>1</v>
      </c>
      <c r="Q31">
        <v>1</v>
      </c>
      <c r="R31">
        <v>1</v>
      </c>
      <c r="S31">
        <v>1</v>
      </c>
      <c r="T31">
        <v>1</v>
      </c>
      <c r="U31">
        <v>1.3</v>
      </c>
      <c r="V31">
        <v>2.5</v>
      </c>
      <c r="W31">
        <v>1.8</v>
      </c>
    </row>
    <row r="32" spans="1:23" x14ac:dyDescent="0.15">
      <c r="A32" t="s">
        <v>38</v>
      </c>
      <c r="B32">
        <v>1</v>
      </c>
      <c r="C32">
        <v>5.29</v>
      </c>
      <c r="D32">
        <v>1.64</v>
      </c>
      <c r="E32">
        <v>23.06</v>
      </c>
      <c r="F32">
        <f t="shared" si="7"/>
        <v>29.99</v>
      </c>
      <c r="H32">
        <f t="shared" si="8"/>
        <v>0.20393199999999997</v>
      </c>
      <c r="O32" t="s">
        <v>267</v>
      </c>
      <c r="P32">
        <f>P30*P31</f>
        <v>33066</v>
      </c>
      <c r="Q32">
        <f t="shared" ref="Q32:W32" si="9">Q30*Q31</f>
        <v>162</v>
      </c>
      <c r="R32">
        <f t="shared" si="9"/>
        <v>777</v>
      </c>
      <c r="S32">
        <f t="shared" si="9"/>
        <v>6867</v>
      </c>
      <c r="T32">
        <f t="shared" si="9"/>
        <v>747</v>
      </c>
      <c r="U32">
        <f t="shared" si="9"/>
        <v>642.20000000000005</v>
      </c>
      <c r="V32">
        <f t="shared" si="9"/>
        <v>2.5</v>
      </c>
      <c r="W32">
        <f t="shared" si="9"/>
        <v>289.8</v>
      </c>
    </row>
    <row r="33" spans="1:18" x14ac:dyDescent="0.15">
      <c r="B33">
        <v>2</v>
      </c>
      <c r="C33">
        <v>4.8600000000000003</v>
      </c>
      <c r="D33">
        <v>1.51</v>
      </c>
      <c r="E33">
        <v>23.06</v>
      </c>
      <c r="F33">
        <f t="shared" si="7"/>
        <v>29.43</v>
      </c>
      <c r="H33">
        <f t="shared" si="8"/>
        <v>0.200124</v>
      </c>
      <c r="O33" s="37" t="s">
        <v>261</v>
      </c>
      <c r="P33" s="37">
        <f>SUM(P30:R30)</f>
        <v>34005</v>
      </c>
      <c r="Q33" t="s">
        <v>265</v>
      </c>
      <c r="R33">
        <f>P33</f>
        <v>34005</v>
      </c>
    </row>
    <row r="34" spans="1:18" x14ac:dyDescent="0.15">
      <c r="A34" t="s">
        <v>28</v>
      </c>
      <c r="B34">
        <v>1</v>
      </c>
      <c r="C34">
        <v>4.8600000000000003</v>
      </c>
      <c r="D34">
        <v>2.81</v>
      </c>
      <c r="E34">
        <v>28.14</v>
      </c>
      <c r="F34">
        <f t="shared" si="7"/>
        <v>35.81</v>
      </c>
      <c r="H34">
        <f t="shared" si="8"/>
        <v>0.243508</v>
      </c>
      <c r="O34" s="37" t="s">
        <v>262</v>
      </c>
      <c r="P34" s="37"/>
      <c r="Q34" t="s">
        <v>266</v>
      </c>
    </row>
    <row r="35" spans="1:18" x14ac:dyDescent="0.15">
      <c r="B35">
        <v>2</v>
      </c>
      <c r="C35">
        <v>5.26</v>
      </c>
      <c r="D35">
        <v>3.04</v>
      </c>
      <c r="E35">
        <v>28.14</v>
      </c>
      <c r="F35">
        <f t="shared" si="7"/>
        <v>36.44</v>
      </c>
      <c r="H35">
        <f t="shared" si="8"/>
        <v>0.24779199999999998</v>
      </c>
      <c r="O35" s="37" t="s">
        <v>4</v>
      </c>
      <c r="P35" s="37">
        <f>S30/P33</f>
        <v>0.2019408910454345</v>
      </c>
      <c r="Q35" t="s">
        <v>4</v>
      </c>
      <c r="R35">
        <f>S32/R33</f>
        <v>0.2019408910454345</v>
      </c>
    </row>
    <row r="36" spans="1:18" x14ac:dyDescent="0.15">
      <c r="A36" t="s">
        <v>46</v>
      </c>
      <c r="C36">
        <v>35.44</v>
      </c>
      <c r="D36">
        <v>15.51</v>
      </c>
      <c r="F36">
        <f t="shared" si="7"/>
        <v>50.949999999999996</v>
      </c>
      <c r="H36">
        <f t="shared" si="8"/>
        <v>0.34645999999999999</v>
      </c>
      <c r="O36" s="37" t="s">
        <v>5</v>
      </c>
      <c r="P36" s="37">
        <f>T30/P33</f>
        <v>2.1967357741508601E-2</v>
      </c>
      <c r="Q36" t="s">
        <v>5</v>
      </c>
      <c r="R36">
        <f>T32/R33</f>
        <v>2.1967357741508601E-2</v>
      </c>
    </row>
    <row r="37" spans="1:18" x14ac:dyDescent="0.15">
      <c r="A37" t="s">
        <v>69</v>
      </c>
      <c r="C37">
        <v>19.239999999999998</v>
      </c>
      <c r="D37">
        <v>9.85</v>
      </c>
      <c r="F37">
        <f t="shared" si="7"/>
        <v>29.089999999999996</v>
      </c>
      <c r="H37">
        <f t="shared" si="8"/>
        <v>0.19781199999999999</v>
      </c>
      <c r="O37" s="37" t="s">
        <v>6</v>
      </c>
      <c r="P37" s="37">
        <f>U30/P33</f>
        <v>1.4527275400676372E-2</v>
      </c>
      <c r="Q37" t="s">
        <v>6</v>
      </c>
      <c r="R37">
        <f>U32/R33</f>
        <v>1.8885458020879285E-2</v>
      </c>
    </row>
    <row r="38" spans="1:18" x14ac:dyDescent="0.15">
      <c r="A38" t="s">
        <v>70</v>
      </c>
      <c r="C38">
        <v>107.21</v>
      </c>
      <c r="D38">
        <v>15.65</v>
      </c>
      <c r="F38">
        <f t="shared" si="7"/>
        <v>122.86</v>
      </c>
      <c r="H38">
        <f>F38*6.8/1000</f>
        <v>0.83544799999999997</v>
      </c>
      <c r="O38" s="37" t="s">
        <v>7</v>
      </c>
      <c r="P38" s="37">
        <f>V30/P33</f>
        <v>2.9407440082340834E-5</v>
      </c>
      <c r="Q38" t="s">
        <v>7</v>
      </c>
      <c r="R38">
        <f>V32/R33</f>
        <v>7.3518600205852084E-5</v>
      </c>
    </row>
    <row r="39" spans="1:18" x14ac:dyDescent="0.15">
      <c r="O39" s="37" t="s">
        <v>8</v>
      </c>
      <c r="P39" s="37">
        <f>W30/P33</f>
        <v>4.7345978532568741E-3</v>
      </c>
      <c r="Q39" t="s">
        <v>8</v>
      </c>
      <c r="R39">
        <f>W32/R33</f>
        <v>8.5222761358623739E-3</v>
      </c>
    </row>
    <row r="41" spans="1:18" x14ac:dyDescent="0.15">
      <c r="A41" t="s">
        <v>263</v>
      </c>
    </row>
    <row r="42" spans="1:18" x14ac:dyDescent="0.15">
      <c r="B42" t="s">
        <v>69</v>
      </c>
      <c r="C42" t="s">
        <v>45</v>
      </c>
      <c r="D42" t="s">
        <v>46</v>
      </c>
      <c r="E42" t="s">
        <v>47</v>
      </c>
      <c r="F42" t="s">
        <v>48</v>
      </c>
    </row>
    <row r="43" spans="1:18" x14ac:dyDescent="0.15">
      <c r="A43" t="s">
        <v>34</v>
      </c>
      <c r="B43">
        <v>55</v>
      </c>
      <c r="C43">
        <v>55</v>
      </c>
      <c r="D43">
        <v>65.03</v>
      </c>
      <c r="E43">
        <v>87.67</v>
      </c>
      <c r="F43">
        <v>51.139999999999993</v>
      </c>
    </row>
    <row r="44" spans="1:18" x14ac:dyDescent="0.15">
      <c r="A44" t="s">
        <v>33</v>
      </c>
      <c r="B44">
        <v>10</v>
      </c>
      <c r="C44">
        <v>25</v>
      </c>
      <c r="D44">
        <v>9.66</v>
      </c>
      <c r="E44">
        <v>4.2299999999999995</v>
      </c>
      <c r="F44">
        <v>12.93</v>
      </c>
    </row>
    <row r="45" spans="1:18" x14ac:dyDescent="0.15">
      <c r="A45" t="s">
        <v>140</v>
      </c>
      <c r="B45">
        <v>3</v>
      </c>
      <c r="C45">
        <v>3</v>
      </c>
      <c r="D45">
        <v>0</v>
      </c>
      <c r="E45">
        <v>0</v>
      </c>
      <c r="F45">
        <v>0</v>
      </c>
    </row>
    <row r="46" spans="1:18" x14ac:dyDescent="0.15">
      <c r="A46" t="s">
        <v>141</v>
      </c>
      <c r="B46">
        <v>2</v>
      </c>
      <c r="C46">
        <v>2</v>
      </c>
      <c r="D46">
        <v>19.36</v>
      </c>
      <c r="E46">
        <v>7.1</v>
      </c>
      <c r="F46">
        <v>16.12</v>
      </c>
    </row>
    <row r="47" spans="1:18" x14ac:dyDescent="0.15">
      <c r="A47" t="s">
        <v>49</v>
      </c>
      <c r="B47">
        <f>SUM(B48:B51)</f>
        <v>30</v>
      </c>
      <c r="C47">
        <f t="shared" ref="C47" si="10">SUM(C48:C51)</f>
        <v>15</v>
      </c>
      <c r="D47">
        <v>5.95</v>
      </c>
      <c r="E47">
        <v>1</v>
      </c>
      <c r="F47">
        <v>19.809999999999999</v>
      </c>
    </row>
    <row r="48" spans="1:18" x14ac:dyDescent="0.15">
      <c r="A48" t="s">
        <v>142</v>
      </c>
      <c r="C48">
        <v>15</v>
      </c>
      <c r="D48">
        <v>0</v>
      </c>
      <c r="E48">
        <v>0</v>
      </c>
      <c r="F48">
        <v>0</v>
      </c>
    </row>
    <row r="49" spans="1:6" x14ac:dyDescent="0.15">
      <c r="A49" t="s">
        <v>146</v>
      </c>
      <c r="B49">
        <v>30</v>
      </c>
      <c r="D49">
        <v>0</v>
      </c>
      <c r="E49">
        <v>0</v>
      </c>
      <c r="F49">
        <v>0</v>
      </c>
    </row>
    <row r="50" spans="1:6" x14ac:dyDescent="0.15">
      <c r="A50" t="s">
        <v>149</v>
      </c>
      <c r="D50">
        <v>4.95</v>
      </c>
      <c r="E50">
        <v>0</v>
      </c>
      <c r="F50">
        <v>18.809999999999999</v>
      </c>
    </row>
    <row r="51" spans="1:6" x14ac:dyDescent="0.15">
      <c r="A51" t="s">
        <v>150</v>
      </c>
      <c r="D51">
        <v>1</v>
      </c>
      <c r="E51">
        <v>1</v>
      </c>
      <c r="F51">
        <v>1</v>
      </c>
    </row>
  </sheetData>
  <mergeCells count="2">
    <mergeCell ref="C20:E20"/>
    <mergeCell ref="C21:E2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1" topLeftCell="B1" activePane="topRight" state="frozen"/>
      <selection pane="topRight" activeCell="F50" sqref="F50"/>
    </sheetView>
  </sheetViews>
  <sheetFormatPr defaultRowHeight="13.5" x14ac:dyDescent="0.15"/>
  <cols>
    <col min="9" max="9" width="9.5" bestFit="1" customWidth="1"/>
    <col min="17" max="17" width="10.5" bestFit="1" customWidth="1"/>
    <col min="18" max="18" width="11.625" bestFit="1" customWidth="1"/>
  </cols>
  <sheetData>
    <row r="1" spans="1:19" x14ac:dyDescent="0.15">
      <c r="C1" t="s">
        <v>38</v>
      </c>
      <c r="E1" t="s">
        <v>39</v>
      </c>
      <c r="J1" t="s">
        <v>28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15">
      <c r="B2" t="s">
        <v>11</v>
      </c>
      <c r="C2" t="s">
        <v>36</v>
      </c>
      <c r="D2" t="s">
        <v>37</v>
      </c>
      <c r="E2" t="s">
        <v>40</v>
      </c>
      <c r="F2" t="s">
        <v>41</v>
      </c>
      <c r="G2" t="s">
        <v>42</v>
      </c>
      <c r="H2" t="s">
        <v>43</v>
      </c>
      <c r="I2" t="s">
        <v>37</v>
      </c>
      <c r="J2" t="s">
        <v>40</v>
      </c>
      <c r="K2" t="s">
        <v>41</v>
      </c>
      <c r="L2" t="s">
        <v>42</v>
      </c>
      <c r="M2" t="s">
        <v>43</v>
      </c>
      <c r="N2" t="s">
        <v>37</v>
      </c>
    </row>
    <row r="3" spans="1:19" x14ac:dyDescent="0.15">
      <c r="A3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9" x14ac:dyDescent="0.15">
      <c r="A4" t="s">
        <v>21</v>
      </c>
      <c r="B4" s="3"/>
      <c r="C4" s="3">
        <v>1.446</v>
      </c>
      <c r="D4">
        <v>1E-3</v>
      </c>
      <c r="E4" s="3"/>
      <c r="F4" s="3"/>
      <c r="G4" s="3"/>
      <c r="H4" s="3"/>
      <c r="I4" s="3"/>
      <c r="J4" s="3"/>
      <c r="K4" s="3"/>
    </row>
    <row r="5" spans="1:19" x14ac:dyDescent="0.15">
      <c r="A5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9" x14ac:dyDescent="0.15">
      <c r="A6" t="s">
        <v>23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9" x14ac:dyDescent="0.15">
      <c r="A7" t="s">
        <v>24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9" x14ac:dyDescent="0.15">
      <c r="A8" t="s">
        <v>25</v>
      </c>
      <c r="B8" s="3"/>
      <c r="C8" s="3"/>
      <c r="D8" s="3"/>
      <c r="E8" s="3">
        <v>4.0000000000000001E-3</v>
      </c>
      <c r="F8" s="3">
        <v>1.7999999999999999E-2</v>
      </c>
      <c r="G8" s="3">
        <v>0.21199999999999999</v>
      </c>
      <c r="H8" s="3">
        <v>3.0000000000000001E-3</v>
      </c>
      <c r="I8" s="3">
        <v>3.6000000000000002E-4</v>
      </c>
      <c r="J8" s="3"/>
      <c r="K8" s="3"/>
    </row>
    <row r="9" spans="1:19" x14ac:dyDescent="0.15">
      <c r="A9" t="s">
        <v>26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9" x14ac:dyDescent="0.15">
      <c r="A10" t="s">
        <v>27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9" x14ac:dyDescent="0.15">
      <c r="A11" t="s">
        <v>28</v>
      </c>
      <c r="B11" s="3"/>
      <c r="C11" s="3"/>
      <c r="D11" s="3"/>
      <c r="E11" s="3"/>
      <c r="F11" s="3"/>
      <c r="G11" s="3"/>
      <c r="H11" s="3"/>
      <c r="I11" s="3"/>
      <c r="J11" s="3">
        <v>1E-3</v>
      </c>
      <c r="K11" s="3">
        <v>6.0000000000000001E-3</v>
      </c>
      <c r="L11">
        <v>0.32700000000000001</v>
      </c>
      <c r="M11">
        <v>0.123</v>
      </c>
      <c r="N11">
        <v>1.4E-2</v>
      </c>
    </row>
    <row r="12" spans="1:19" x14ac:dyDescent="0.15">
      <c r="A12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9" x14ac:dyDescent="0.15">
      <c r="A13" t="s">
        <v>30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9" x14ac:dyDescent="0.15">
      <c r="A14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9" x14ac:dyDescent="0.15">
      <c r="A15" t="s">
        <v>32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9" x14ac:dyDescent="0.15">
      <c r="A16" t="s">
        <v>33</v>
      </c>
      <c r="B16" s="3"/>
      <c r="C16" s="3">
        <v>0.67</v>
      </c>
      <c r="D16">
        <v>8.0999999999999996E-4</v>
      </c>
      <c r="E16" s="3">
        <v>4.8000000000000001E-4</v>
      </c>
      <c r="F16" s="3">
        <v>2E-3</v>
      </c>
      <c r="G16" s="3">
        <v>2.4E-2</v>
      </c>
      <c r="H16" s="3">
        <v>3.4000000000000002E-4</v>
      </c>
      <c r="I16" s="3">
        <v>3.3000000000000003E-5</v>
      </c>
      <c r="J16" s="3">
        <v>1.2999999999999999E-4</v>
      </c>
      <c r="K16" s="3">
        <v>5.0000000000000001E-3</v>
      </c>
      <c r="L16" s="3">
        <v>3.2000000000000001E-2</v>
      </c>
      <c r="M16" s="3">
        <v>1.2999999999999999E-2</v>
      </c>
      <c r="N16" s="3">
        <v>2E-3</v>
      </c>
      <c r="O16" s="3">
        <v>0.19500000000000001</v>
      </c>
      <c r="P16" s="3">
        <v>0.13800000000000001</v>
      </c>
      <c r="Q16" s="3">
        <v>3.8999999999999999E-6</v>
      </c>
      <c r="R16" s="3">
        <v>1.8E-7</v>
      </c>
      <c r="S16" s="3">
        <v>6.4000000000000005E-4</v>
      </c>
    </row>
    <row r="17" spans="1:19" x14ac:dyDescent="0.15">
      <c r="A17" t="s">
        <v>34</v>
      </c>
      <c r="B17" s="3"/>
      <c r="C17" s="3">
        <v>2.4460000000000002</v>
      </c>
      <c r="D17">
        <v>2.9999999999999997E-4</v>
      </c>
      <c r="E17" s="3">
        <v>5.9000000000000003E-4</v>
      </c>
      <c r="F17" s="3">
        <v>2E-3</v>
      </c>
      <c r="G17" s="3">
        <v>2.9000000000000001E-2</v>
      </c>
      <c r="H17" s="3">
        <v>4.0999999999999999E-4</v>
      </c>
      <c r="I17" s="3">
        <v>6.7000000000000002E-5</v>
      </c>
      <c r="J17" s="3">
        <v>2.2000000000000001E-4</v>
      </c>
      <c r="K17" s="3">
        <v>8.0000000000000002E-3</v>
      </c>
      <c r="L17" s="3">
        <v>5.6000000000000001E-2</v>
      </c>
      <c r="M17" s="3">
        <v>2.3E-2</v>
      </c>
      <c r="N17" s="3">
        <v>5.0000000000000001E-3</v>
      </c>
      <c r="O17" s="3">
        <v>0.45100000000000001</v>
      </c>
      <c r="P17" s="3">
        <v>0.65100000000000002</v>
      </c>
      <c r="Q17" s="3">
        <v>1.5E-5</v>
      </c>
      <c r="R17" s="3">
        <v>1.9E-6</v>
      </c>
      <c r="S17" s="3">
        <v>2E-3</v>
      </c>
    </row>
    <row r="18" spans="1:19" x14ac:dyDescent="0.15">
      <c r="A18" t="s">
        <v>35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9" x14ac:dyDescent="0.15">
      <c r="A19" t="s">
        <v>49</v>
      </c>
      <c r="O19">
        <v>0.153</v>
      </c>
      <c r="P19">
        <v>0.28799999999999998</v>
      </c>
      <c r="Q19">
        <v>4.6E-6</v>
      </c>
      <c r="R19">
        <v>5.0999999999999999E-7</v>
      </c>
      <c r="S19">
        <v>7.6000000000000004E-4</v>
      </c>
    </row>
    <row r="24" spans="1:19" x14ac:dyDescent="0.15">
      <c r="B24" t="s">
        <v>50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9" x14ac:dyDescent="0.15">
      <c r="A25" t="s">
        <v>20</v>
      </c>
      <c r="C25">
        <f>SUM(C3:D3)</f>
        <v>0</v>
      </c>
      <c r="D25">
        <f>SUM(E3:I3)</f>
        <v>0</v>
      </c>
      <c r="E25">
        <f>SUM(J3:N3)</f>
        <v>0</v>
      </c>
      <c r="F25">
        <f>O3</f>
        <v>0</v>
      </c>
      <c r="G25">
        <f t="shared" ref="G25:J25" si="0">P3</f>
        <v>0</v>
      </c>
      <c r="H25">
        <f t="shared" si="0"/>
        <v>0</v>
      </c>
      <c r="I25">
        <f t="shared" si="0"/>
        <v>0</v>
      </c>
      <c r="J25">
        <f t="shared" si="0"/>
        <v>0</v>
      </c>
    </row>
    <row r="26" spans="1:19" x14ac:dyDescent="0.15">
      <c r="A26" t="s">
        <v>21</v>
      </c>
      <c r="C26">
        <f t="shared" ref="C26:C39" si="1">SUM(C4:D4)</f>
        <v>1.4469999999999998</v>
      </c>
      <c r="D26">
        <f t="shared" ref="D26:D39" si="2">SUM(E4:I4)</f>
        <v>0</v>
      </c>
      <c r="E26">
        <f t="shared" ref="E26:E39" si="3">SUM(J4:N4)</f>
        <v>0</v>
      </c>
      <c r="F26">
        <f t="shared" ref="F26:F39" si="4">O4</f>
        <v>0</v>
      </c>
      <c r="G26">
        <f t="shared" ref="G26:G39" si="5">P4</f>
        <v>0</v>
      </c>
      <c r="H26">
        <f t="shared" ref="H26:H39" si="6">Q4</f>
        <v>0</v>
      </c>
      <c r="I26">
        <f t="shared" ref="I26:I39" si="7">R4</f>
        <v>0</v>
      </c>
      <c r="J26">
        <f t="shared" ref="J26:J39" si="8">S4</f>
        <v>0</v>
      </c>
    </row>
    <row r="27" spans="1:19" x14ac:dyDescent="0.15">
      <c r="A27" t="s">
        <v>22</v>
      </c>
      <c r="C27">
        <f t="shared" si="1"/>
        <v>0</v>
      </c>
      <c r="D27">
        <f t="shared" si="2"/>
        <v>0</v>
      </c>
      <c r="E27">
        <f t="shared" si="3"/>
        <v>0</v>
      </c>
      <c r="F27">
        <f t="shared" si="4"/>
        <v>0</v>
      </c>
      <c r="G27">
        <f t="shared" si="5"/>
        <v>0</v>
      </c>
      <c r="H27">
        <f t="shared" si="6"/>
        <v>0</v>
      </c>
      <c r="I27">
        <f t="shared" si="7"/>
        <v>0</v>
      </c>
      <c r="J27">
        <f t="shared" si="8"/>
        <v>0</v>
      </c>
    </row>
    <row r="28" spans="1:19" x14ac:dyDescent="0.15">
      <c r="A28" t="s">
        <v>23</v>
      </c>
      <c r="C28">
        <f t="shared" si="1"/>
        <v>0</v>
      </c>
      <c r="D28">
        <f t="shared" si="2"/>
        <v>0</v>
      </c>
      <c r="E28">
        <f t="shared" si="3"/>
        <v>0</v>
      </c>
      <c r="F28">
        <f t="shared" si="4"/>
        <v>0</v>
      </c>
      <c r="G28">
        <f t="shared" si="5"/>
        <v>0</v>
      </c>
      <c r="H28">
        <f t="shared" si="6"/>
        <v>0</v>
      </c>
      <c r="I28">
        <f t="shared" si="7"/>
        <v>0</v>
      </c>
      <c r="J28">
        <f t="shared" si="8"/>
        <v>0</v>
      </c>
    </row>
    <row r="29" spans="1:19" x14ac:dyDescent="0.15">
      <c r="A29" t="s">
        <v>24</v>
      </c>
      <c r="C29">
        <f t="shared" si="1"/>
        <v>0</v>
      </c>
      <c r="D29">
        <f t="shared" si="2"/>
        <v>0</v>
      </c>
      <c r="E29">
        <f t="shared" si="3"/>
        <v>0</v>
      </c>
      <c r="F29">
        <f t="shared" si="4"/>
        <v>0</v>
      </c>
      <c r="G29">
        <f t="shared" si="5"/>
        <v>0</v>
      </c>
      <c r="H29">
        <f t="shared" si="6"/>
        <v>0</v>
      </c>
      <c r="I29">
        <f t="shared" si="7"/>
        <v>0</v>
      </c>
      <c r="J29">
        <f t="shared" si="8"/>
        <v>0</v>
      </c>
    </row>
    <row r="30" spans="1:19" x14ac:dyDescent="0.15">
      <c r="A30" t="s">
        <v>25</v>
      </c>
      <c r="C30">
        <f t="shared" si="1"/>
        <v>0</v>
      </c>
      <c r="D30">
        <f t="shared" si="2"/>
        <v>0.23735999999999999</v>
      </c>
      <c r="E30">
        <f t="shared" si="3"/>
        <v>0</v>
      </c>
      <c r="F30">
        <f t="shared" si="4"/>
        <v>0</v>
      </c>
      <c r="G30">
        <f t="shared" si="5"/>
        <v>0</v>
      </c>
      <c r="H30">
        <f t="shared" si="6"/>
        <v>0</v>
      </c>
      <c r="I30">
        <f t="shared" si="7"/>
        <v>0</v>
      </c>
      <c r="J30">
        <f t="shared" si="8"/>
        <v>0</v>
      </c>
    </row>
    <row r="31" spans="1:19" x14ac:dyDescent="0.15">
      <c r="A31" t="s">
        <v>26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0</v>
      </c>
      <c r="G31">
        <f t="shared" si="5"/>
        <v>0</v>
      </c>
      <c r="H31">
        <f t="shared" si="6"/>
        <v>0</v>
      </c>
      <c r="I31">
        <f t="shared" si="7"/>
        <v>0</v>
      </c>
      <c r="J31">
        <f t="shared" si="8"/>
        <v>0</v>
      </c>
    </row>
    <row r="32" spans="1:19" x14ac:dyDescent="0.15">
      <c r="A32" t="s">
        <v>27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0</v>
      </c>
      <c r="G32">
        <f t="shared" si="5"/>
        <v>0</v>
      </c>
      <c r="H32">
        <f t="shared" si="6"/>
        <v>0</v>
      </c>
      <c r="I32">
        <f t="shared" si="7"/>
        <v>0</v>
      </c>
      <c r="J32">
        <f t="shared" si="8"/>
        <v>0</v>
      </c>
    </row>
    <row r="33" spans="1:10" x14ac:dyDescent="0.15">
      <c r="A33" t="s">
        <v>28</v>
      </c>
      <c r="C33">
        <f t="shared" si="1"/>
        <v>0</v>
      </c>
      <c r="D33">
        <f t="shared" si="2"/>
        <v>0</v>
      </c>
      <c r="E33">
        <f t="shared" si="3"/>
        <v>0.47100000000000003</v>
      </c>
      <c r="F33">
        <f t="shared" si="4"/>
        <v>0</v>
      </c>
      <c r="G33">
        <f t="shared" si="5"/>
        <v>0</v>
      </c>
      <c r="H33">
        <f t="shared" si="6"/>
        <v>0</v>
      </c>
      <c r="I33">
        <f t="shared" si="7"/>
        <v>0</v>
      </c>
      <c r="J33">
        <f t="shared" si="8"/>
        <v>0</v>
      </c>
    </row>
    <row r="34" spans="1:10" x14ac:dyDescent="0.15">
      <c r="A34" t="s">
        <v>29</v>
      </c>
      <c r="C34">
        <f t="shared" si="1"/>
        <v>0</v>
      </c>
      <c r="D34">
        <f t="shared" si="2"/>
        <v>0</v>
      </c>
      <c r="E34">
        <f t="shared" si="3"/>
        <v>0</v>
      </c>
      <c r="F34">
        <f t="shared" si="4"/>
        <v>0</v>
      </c>
      <c r="G34">
        <f t="shared" si="5"/>
        <v>0</v>
      </c>
      <c r="H34">
        <f t="shared" si="6"/>
        <v>0</v>
      </c>
      <c r="I34">
        <f t="shared" si="7"/>
        <v>0</v>
      </c>
      <c r="J34">
        <f t="shared" si="8"/>
        <v>0</v>
      </c>
    </row>
    <row r="35" spans="1:10" x14ac:dyDescent="0.15">
      <c r="A35" t="s">
        <v>30</v>
      </c>
      <c r="C35">
        <f t="shared" si="1"/>
        <v>0</v>
      </c>
      <c r="D35">
        <f t="shared" si="2"/>
        <v>0</v>
      </c>
      <c r="E35">
        <f t="shared" si="3"/>
        <v>0</v>
      </c>
      <c r="F35">
        <f t="shared" si="4"/>
        <v>0</v>
      </c>
      <c r="G35">
        <f t="shared" si="5"/>
        <v>0</v>
      </c>
      <c r="H35">
        <f t="shared" si="6"/>
        <v>0</v>
      </c>
      <c r="I35">
        <f t="shared" si="7"/>
        <v>0</v>
      </c>
      <c r="J35">
        <f t="shared" si="8"/>
        <v>0</v>
      </c>
    </row>
    <row r="36" spans="1:10" x14ac:dyDescent="0.15">
      <c r="A36" t="s">
        <v>31</v>
      </c>
      <c r="C36">
        <f t="shared" si="1"/>
        <v>0</v>
      </c>
      <c r="D36">
        <f t="shared" si="2"/>
        <v>0</v>
      </c>
      <c r="E36">
        <f t="shared" si="3"/>
        <v>0</v>
      </c>
      <c r="F36">
        <f t="shared" si="4"/>
        <v>0</v>
      </c>
      <c r="G36">
        <f t="shared" si="5"/>
        <v>0</v>
      </c>
      <c r="H36">
        <f t="shared" si="6"/>
        <v>0</v>
      </c>
      <c r="I36">
        <f t="shared" si="7"/>
        <v>0</v>
      </c>
      <c r="J36">
        <f t="shared" si="8"/>
        <v>0</v>
      </c>
    </row>
    <row r="37" spans="1:10" x14ac:dyDescent="0.15">
      <c r="A37" t="s">
        <v>32</v>
      </c>
      <c r="C37">
        <f t="shared" si="1"/>
        <v>0</v>
      </c>
      <c r="D37">
        <f t="shared" si="2"/>
        <v>0</v>
      </c>
      <c r="E37">
        <f t="shared" si="3"/>
        <v>0</v>
      </c>
      <c r="F37">
        <f t="shared" si="4"/>
        <v>0</v>
      </c>
      <c r="G37">
        <f t="shared" si="5"/>
        <v>0</v>
      </c>
      <c r="H37">
        <f t="shared" si="6"/>
        <v>0</v>
      </c>
      <c r="I37">
        <f t="shared" si="7"/>
        <v>0</v>
      </c>
      <c r="J37">
        <f t="shared" si="8"/>
        <v>0</v>
      </c>
    </row>
    <row r="38" spans="1:10" x14ac:dyDescent="0.15">
      <c r="A38" t="s">
        <v>33</v>
      </c>
      <c r="C38">
        <f t="shared" si="1"/>
        <v>0.67081000000000002</v>
      </c>
      <c r="D38">
        <f t="shared" si="2"/>
        <v>2.6852999999999998E-2</v>
      </c>
      <c r="E38">
        <f t="shared" si="3"/>
        <v>5.2130000000000003E-2</v>
      </c>
      <c r="F38">
        <f t="shared" si="4"/>
        <v>0.19500000000000001</v>
      </c>
      <c r="G38">
        <f t="shared" si="5"/>
        <v>0.13800000000000001</v>
      </c>
      <c r="H38">
        <f t="shared" si="6"/>
        <v>3.8999999999999999E-6</v>
      </c>
      <c r="I38">
        <f t="shared" si="7"/>
        <v>1.8E-7</v>
      </c>
      <c r="J38">
        <f t="shared" si="8"/>
        <v>6.4000000000000005E-4</v>
      </c>
    </row>
    <row r="39" spans="1:10" x14ac:dyDescent="0.15">
      <c r="A39" t="s">
        <v>34</v>
      </c>
      <c r="C39">
        <f t="shared" si="1"/>
        <v>2.4463000000000004</v>
      </c>
      <c r="D39">
        <f t="shared" si="2"/>
        <v>3.2066999999999998E-2</v>
      </c>
      <c r="E39">
        <f t="shared" si="3"/>
        <v>9.2219999999999996E-2</v>
      </c>
      <c r="F39">
        <f t="shared" si="4"/>
        <v>0.45100000000000001</v>
      </c>
      <c r="G39">
        <f t="shared" si="5"/>
        <v>0.65100000000000002</v>
      </c>
      <c r="H39">
        <f t="shared" si="6"/>
        <v>1.5E-5</v>
      </c>
      <c r="I39">
        <f t="shared" si="7"/>
        <v>1.9E-6</v>
      </c>
      <c r="J39">
        <f t="shared" si="8"/>
        <v>2E-3</v>
      </c>
    </row>
    <row r="40" spans="1:10" x14ac:dyDescent="0.15">
      <c r="A40" t="s">
        <v>49</v>
      </c>
      <c r="C40">
        <f>SUM(C19:D19)</f>
        <v>0</v>
      </c>
      <c r="D40">
        <f>SUM(E19:I19)</f>
        <v>0</v>
      </c>
      <c r="E40">
        <f>SUM(J19:N19)</f>
        <v>0</v>
      </c>
      <c r="F40">
        <f>O19</f>
        <v>0.153</v>
      </c>
      <c r="G40">
        <f>P19</f>
        <v>0.28799999999999998</v>
      </c>
      <c r="H40">
        <f>Q19</f>
        <v>4.6E-6</v>
      </c>
      <c r="I40">
        <f>R19</f>
        <v>5.0999999999999999E-7</v>
      </c>
      <c r="J40">
        <f>S19</f>
        <v>7.6000000000000004E-4</v>
      </c>
    </row>
    <row r="42" spans="1:10" x14ac:dyDescent="0.15">
      <c r="A42" t="s">
        <v>81</v>
      </c>
      <c r="C42">
        <f t="shared" ref="C42:J42" si="9">SUM(C25:C40)</f>
        <v>4.5641100000000003</v>
      </c>
      <c r="D42">
        <f t="shared" si="9"/>
        <v>0.29627999999999999</v>
      </c>
      <c r="E42">
        <f t="shared" si="9"/>
        <v>0.61534999999999995</v>
      </c>
      <c r="F42">
        <f t="shared" si="9"/>
        <v>0.79900000000000004</v>
      </c>
      <c r="G42">
        <f t="shared" si="9"/>
        <v>1.077</v>
      </c>
      <c r="H42">
        <f t="shared" si="9"/>
        <v>2.3499999999999999E-5</v>
      </c>
      <c r="I42">
        <f t="shared" si="9"/>
        <v>2.5899999999999998E-6</v>
      </c>
      <c r="J42">
        <f t="shared" si="9"/>
        <v>3.4000000000000002E-3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2010年发电量比例</vt:lpstr>
      <vt:lpstr>装机容趋势</vt:lpstr>
      <vt:lpstr>电力历史数据</vt:lpstr>
      <vt:lpstr>IO计算</vt:lpstr>
      <vt:lpstr>markup</vt:lpstr>
      <vt:lpstr>发电量-产量转化</vt:lpstr>
      <vt:lpstr>整合数据</vt:lpstr>
      <vt:lpstr>整合数据 (2)</vt:lpstr>
      <vt:lpstr>整合数据 (3)</vt:lpstr>
      <vt:lpstr>整合数据 (4)</vt:lpstr>
      <vt:lpstr>电力技术投入—Sue 2006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2016-04-28T04:25:27Z</dcterms:modified>
</cp:coreProperties>
</file>