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75" windowHeight="10920" activeTab="3"/>
  </bookViews>
  <sheets>
    <sheet name="A1 VS B1 (2)" sheetId="18" r:id="rId1"/>
    <sheet name="A1 VS B1" sheetId="13" r:id="rId2"/>
    <sheet name="GDP" sheetId="2" r:id="rId3"/>
    <sheet name="失业 " sheetId="11" r:id="rId4"/>
    <sheet name="就业" sheetId="17" r:id="rId5"/>
    <sheet name="部门产出" sheetId="6" r:id="rId6"/>
    <sheet name="能源" sheetId="12" r:id="rId7"/>
    <sheet name="排放" sheetId="7" r:id="rId8"/>
    <sheet name="Co-benefit" sheetId="22" r:id="rId9"/>
    <sheet name="作图" sheetId="21" r:id="rId10"/>
  </sheets>
  <definedNames>
    <definedName name="OLE_LINK5" localSheetId="7">排放!$B$50</definedName>
  </definedNames>
  <calcPr calcId="162913"/>
</workbook>
</file>

<file path=xl/calcChain.xml><?xml version="1.0" encoding="utf-8"?>
<calcChain xmlns="http://schemas.openxmlformats.org/spreadsheetml/2006/main">
  <c r="B108" i="11" l="1"/>
  <c r="C108" i="11"/>
  <c r="D108" i="11"/>
  <c r="E108" i="11"/>
  <c r="F108" i="11"/>
  <c r="G108" i="11"/>
  <c r="H108" i="11"/>
  <c r="B109" i="11"/>
  <c r="C109" i="11"/>
  <c r="D109" i="11"/>
  <c r="E109" i="11"/>
  <c r="F109" i="11"/>
  <c r="G109" i="11"/>
  <c r="H109" i="11"/>
  <c r="C107" i="11"/>
  <c r="D107" i="11"/>
  <c r="E107" i="11"/>
  <c r="F107" i="11"/>
  <c r="G107" i="11"/>
  <c r="H107" i="11"/>
  <c r="B107" i="11"/>
  <c r="J107" i="11"/>
  <c r="J92" i="11"/>
  <c r="B16" i="22" l="1"/>
  <c r="D14" i="22"/>
  <c r="F14" i="22"/>
  <c r="C14" i="22" l="1"/>
  <c r="B14" i="22"/>
  <c r="C9" i="22" l="1"/>
  <c r="D9" i="22"/>
  <c r="E9" i="22"/>
  <c r="F9" i="22"/>
  <c r="C10" i="22"/>
  <c r="D10" i="22"/>
  <c r="E10" i="22"/>
  <c r="F10" i="22"/>
  <c r="B10" i="22"/>
  <c r="B9" i="22"/>
  <c r="D3" i="22" l="1"/>
  <c r="C3" i="22"/>
  <c r="B3" i="22"/>
  <c r="D2" i="22"/>
  <c r="D4" i="22" s="1"/>
  <c r="C2" i="22"/>
  <c r="C4" i="22" s="1"/>
  <c r="B2" i="22"/>
  <c r="B4" i="22" s="1"/>
  <c r="H6" i="2"/>
  <c r="H4" i="2"/>
  <c r="H3" i="2"/>
  <c r="D21" i="2"/>
  <c r="C17" i="2"/>
  <c r="C62" i="7"/>
  <c r="E62" i="7"/>
  <c r="D62" i="7"/>
  <c r="D55" i="7"/>
  <c r="C55" i="7"/>
  <c r="H58" i="7"/>
  <c r="B90" i="6" l="1"/>
  <c r="J3" i="12" l="1"/>
  <c r="K3" i="12"/>
  <c r="L3" i="12"/>
  <c r="M3" i="12"/>
  <c r="N3" i="12"/>
  <c r="O3" i="12"/>
  <c r="J4" i="12"/>
  <c r="K4" i="12"/>
  <c r="L4" i="12"/>
  <c r="M4" i="12"/>
  <c r="N4" i="12"/>
  <c r="O4" i="12"/>
  <c r="J5" i="12"/>
  <c r="K5" i="12"/>
  <c r="L5" i="12"/>
  <c r="M5" i="12"/>
  <c r="N5" i="12"/>
  <c r="O5" i="12"/>
  <c r="J6" i="12"/>
  <c r="K6" i="12"/>
  <c r="L6" i="12"/>
  <c r="M6" i="12"/>
  <c r="N6" i="12"/>
  <c r="O6" i="12"/>
  <c r="K2" i="12"/>
  <c r="L2" i="12"/>
  <c r="M2" i="12"/>
  <c r="N2" i="12"/>
  <c r="O2" i="12"/>
  <c r="J2" i="12"/>
  <c r="M6" i="11" l="1"/>
  <c r="N6" i="11"/>
  <c r="O6" i="11"/>
  <c r="P6" i="11"/>
  <c r="N5" i="11"/>
  <c r="O5" i="11"/>
  <c r="P5" i="11"/>
  <c r="M5" i="11"/>
  <c r="N4" i="11"/>
  <c r="O4" i="11"/>
  <c r="P4" i="11"/>
  <c r="M4" i="11"/>
  <c r="I99" i="11"/>
  <c r="I100" i="11"/>
  <c r="I101" i="11"/>
  <c r="I98" i="11"/>
  <c r="B34" i="18"/>
  <c r="T36" i="18"/>
  <c r="T35" i="18"/>
  <c r="T34" i="18"/>
  <c r="S36" i="18"/>
  <c r="S35" i="18"/>
  <c r="S34" i="18"/>
  <c r="Q34" i="18"/>
  <c r="Q35" i="18" s="1"/>
  <c r="Q33" i="18"/>
  <c r="D36" i="18"/>
  <c r="B36" i="18"/>
  <c r="B33" i="18"/>
  <c r="P59" i="18"/>
  <c r="P65" i="18" s="1"/>
  <c r="P66" i="18" s="1"/>
  <c r="O59" i="18"/>
  <c r="O65" i="18" s="1"/>
  <c r="O66" i="18" s="1"/>
  <c r="N59" i="18"/>
  <c r="N65" i="18" s="1"/>
  <c r="M59" i="18"/>
  <c r="M65" i="18" s="1"/>
  <c r="M66" i="18" s="1"/>
  <c r="L59" i="18"/>
  <c r="L65" i="18" s="1"/>
  <c r="K59" i="18"/>
  <c r="K65" i="18" s="1"/>
  <c r="K66" i="18" s="1"/>
  <c r="J59" i="18"/>
  <c r="J65" i="18" s="1"/>
  <c r="J66" i="18" s="1"/>
  <c r="I59" i="18"/>
  <c r="I65" i="18" s="1"/>
  <c r="I66" i="18" s="1"/>
  <c r="H59" i="18"/>
  <c r="H65" i="18" s="1"/>
  <c r="H66" i="18" s="1"/>
  <c r="G59" i="18"/>
  <c r="G65" i="18" s="1"/>
  <c r="F59" i="18"/>
  <c r="F65" i="18" s="1"/>
  <c r="F66" i="18" s="1"/>
  <c r="E59" i="18"/>
  <c r="E65" i="18" s="1"/>
  <c r="E66" i="18" s="1"/>
  <c r="D59" i="18"/>
  <c r="D65" i="18" s="1"/>
  <c r="D66" i="18" s="1"/>
  <c r="C59" i="18"/>
  <c r="C65" i="18" s="1"/>
  <c r="U58" i="18"/>
  <c r="T58" i="18"/>
  <c r="S58" i="18"/>
  <c r="P58" i="18"/>
  <c r="P63" i="18" s="1"/>
  <c r="P64" i="18" s="1"/>
  <c r="O58" i="18"/>
  <c r="O63" i="18" s="1"/>
  <c r="O64" i="18" s="1"/>
  <c r="N58" i="18"/>
  <c r="N63" i="18" s="1"/>
  <c r="M58" i="18"/>
  <c r="M63" i="18" s="1"/>
  <c r="M64" i="18" s="1"/>
  <c r="L58" i="18"/>
  <c r="L63" i="18" s="1"/>
  <c r="K58" i="18"/>
  <c r="K63" i="18" s="1"/>
  <c r="K64" i="18" s="1"/>
  <c r="J58" i="18"/>
  <c r="J63" i="18" s="1"/>
  <c r="J64" i="18" s="1"/>
  <c r="I58" i="18"/>
  <c r="I63" i="18" s="1"/>
  <c r="H58" i="18"/>
  <c r="H63" i="18" s="1"/>
  <c r="H64" i="18" s="1"/>
  <c r="G58" i="18"/>
  <c r="G63" i="18" s="1"/>
  <c r="F58" i="18"/>
  <c r="F63" i="18" s="1"/>
  <c r="F64" i="18" s="1"/>
  <c r="E58" i="18"/>
  <c r="E63" i="18" s="1"/>
  <c r="E64" i="18" s="1"/>
  <c r="D58" i="18"/>
  <c r="D63" i="18" s="1"/>
  <c r="D64" i="18" s="1"/>
  <c r="C58" i="18"/>
  <c r="C63" i="18" s="1"/>
  <c r="P57" i="18"/>
  <c r="P61" i="18" s="1"/>
  <c r="P67" i="18" s="1"/>
  <c r="P68" i="18" s="1"/>
  <c r="O57" i="18"/>
  <c r="O61" i="18" s="1"/>
  <c r="N57" i="18"/>
  <c r="N61" i="18" s="1"/>
  <c r="M57" i="18"/>
  <c r="M61" i="18" s="1"/>
  <c r="L57" i="18"/>
  <c r="L61" i="18" s="1"/>
  <c r="L67" i="18" s="1"/>
  <c r="K57" i="18"/>
  <c r="K61" i="18" s="1"/>
  <c r="J57" i="18"/>
  <c r="J61" i="18" s="1"/>
  <c r="I57" i="18"/>
  <c r="I61" i="18" s="1"/>
  <c r="H57" i="18"/>
  <c r="H61" i="18" s="1"/>
  <c r="G57" i="18"/>
  <c r="G61" i="18" s="1"/>
  <c r="F57" i="18"/>
  <c r="F61" i="18" s="1"/>
  <c r="E57" i="18"/>
  <c r="E61" i="18" s="1"/>
  <c r="D57" i="18"/>
  <c r="D61" i="18" s="1"/>
  <c r="D67" i="18" s="1"/>
  <c r="D68" i="18" s="1"/>
  <c r="C57" i="18"/>
  <c r="C61" i="18" s="1"/>
  <c r="O41" i="18"/>
  <c r="O42" i="18" s="1"/>
  <c r="N41" i="18"/>
  <c r="N42" i="18" s="1"/>
  <c r="M41" i="18"/>
  <c r="L41" i="18"/>
  <c r="L42" i="18" s="1"/>
  <c r="K41" i="18"/>
  <c r="K42" i="18" s="1"/>
  <c r="J41" i="18"/>
  <c r="J42" i="18" s="1"/>
  <c r="I41" i="18"/>
  <c r="I42" i="18" s="1"/>
  <c r="H41" i="18"/>
  <c r="G41" i="18"/>
  <c r="G42" i="18" s="1"/>
  <c r="F41" i="18"/>
  <c r="E41" i="18"/>
  <c r="E42" i="18" s="1"/>
  <c r="D41" i="18"/>
  <c r="D42" i="18" s="1"/>
  <c r="C41" i="18"/>
  <c r="C42" i="18" s="1"/>
  <c r="U40" i="18" s="1"/>
  <c r="X37" i="18" s="1"/>
  <c r="Y37" i="18" s="1"/>
  <c r="B41" i="18"/>
  <c r="L33" i="18"/>
  <c r="I31" i="18"/>
  <c r="H31" i="18"/>
  <c r="G31" i="18"/>
  <c r="I30" i="18"/>
  <c r="H30" i="18"/>
  <c r="G30" i="18"/>
  <c r="J30" i="18" s="1"/>
  <c r="J27" i="18"/>
  <c r="G24" i="18"/>
  <c r="F24" i="18"/>
  <c r="E24" i="18"/>
  <c r="F34" i="18" s="1"/>
  <c r="D24" i="18"/>
  <c r="C24" i="18"/>
  <c r="B24" i="18"/>
  <c r="G23" i="18"/>
  <c r="F23" i="18"/>
  <c r="E23" i="18"/>
  <c r="D23" i="18"/>
  <c r="C23" i="18"/>
  <c r="B23" i="18"/>
  <c r="I22" i="18"/>
  <c r="H22" i="18"/>
  <c r="Q19" i="18"/>
  <c r="P19" i="18"/>
  <c r="O19" i="18"/>
  <c r="N19" i="18"/>
  <c r="M19" i="18"/>
  <c r="L19" i="18"/>
  <c r="I19" i="18"/>
  <c r="Q18" i="18"/>
  <c r="P18" i="18"/>
  <c r="O18" i="18"/>
  <c r="N18" i="18"/>
  <c r="M18" i="18"/>
  <c r="L18" i="18"/>
  <c r="I18" i="18"/>
  <c r="Q17" i="18"/>
  <c r="P17" i="18"/>
  <c r="O17" i="18"/>
  <c r="N17" i="18"/>
  <c r="M17" i="18"/>
  <c r="L17" i="18"/>
  <c r="I17" i="18"/>
  <c r="Q16" i="18"/>
  <c r="P16" i="18"/>
  <c r="O16" i="18"/>
  <c r="N16" i="18"/>
  <c r="R16" i="18" s="1"/>
  <c r="M16" i="18"/>
  <c r="L16" i="18"/>
  <c r="I16" i="18"/>
  <c r="Q15" i="18"/>
  <c r="P15" i="18"/>
  <c r="O15" i="18"/>
  <c r="N15" i="18"/>
  <c r="M15" i="18"/>
  <c r="L15" i="18"/>
  <c r="I15" i="18"/>
  <c r="Q13" i="18"/>
  <c r="P13" i="18"/>
  <c r="O13" i="18"/>
  <c r="N13" i="18"/>
  <c r="M13" i="18"/>
  <c r="L13" i="18"/>
  <c r="I13" i="18"/>
  <c r="Q12" i="18"/>
  <c r="P12" i="18"/>
  <c r="O12" i="18"/>
  <c r="N12" i="18"/>
  <c r="M12" i="18"/>
  <c r="L12" i="18"/>
  <c r="I12" i="18"/>
  <c r="Q11" i="18"/>
  <c r="P11" i="18"/>
  <c r="O11" i="18"/>
  <c r="N11" i="18"/>
  <c r="M11" i="18"/>
  <c r="L11" i="18"/>
  <c r="I11" i="18"/>
  <c r="Q10" i="18"/>
  <c r="P10" i="18"/>
  <c r="O10" i="18"/>
  <c r="N10" i="18"/>
  <c r="M10" i="18"/>
  <c r="L10" i="18"/>
  <c r="I10" i="18"/>
  <c r="Q9" i="18"/>
  <c r="P9" i="18"/>
  <c r="O9" i="18"/>
  <c r="N9" i="18"/>
  <c r="M9" i="18"/>
  <c r="L9" i="18"/>
  <c r="I9" i="18"/>
  <c r="B33" i="13"/>
  <c r="I12" i="2"/>
  <c r="I10" i="2"/>
  <c r="I13" i="2"/>
  <c r="X48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C48" i="17"/>
  <c r="C47" i="17"/>
  <c r="C46" i="17"/>
  <c r="D41" i="17"/>
  <c r="H41" i="17"/>
  <c r="L41" i="17"/>
  <c r="P41" i="17"/>
  <c r="T41" i="17"/>
  <c r="E42" i="17"/>
  <c r="I42" i="17"/>
  <c r="M42" i="17"/>
  <c r="Q42" i="17"/>
  <c r="U42" i="17"/>
  <c r="F43" i="17"/>
  <c r="J43" i="17"/>
  <c r="N43" i="17"/>
  <c r="R43" i="17"/>
  <c r="V43" i="17"/>
  <c r="V36" i="17"/>
  <c r="U36" i="17"/>
  <c r="U43" i="17" s="1"/>
  <c r="T36" i="17"/>
  <c r="T43" i="17" s="1"/>
  <c r="S36" i="17"/>
  <c r="S43" i="17" s="1"/>
  <c r="R36" i="17"/>
  <c r="Q36" i="17"/>
  <c r="Q43" i="17" s="1"/>
  <c r="P36" i="17"/>
  <c r="P43" i="17" s="1"/>
  <c r="O36" i="17"/>
  <c r="O43" i="17" s="1"/>
  <c r="N36" i="17"/>
  <c r="M36" i="17"/>
  <c r="M43" i="17" s="1"/>
  <c r="L36" i="17"/>
  <c r="L43" i="17" s="1"/>
  <c r="K36" i="17"/>
  <c r="K43" i="17" s="1"/>
  <c r="J36" i="17"/>
  <c r="I36" i="17"/>
  <c r="I43" i="17" s="1"/>
  <c r="H36" i="17"/>
  <c r="H43" i="17" s="1"/>
  <c r="G36" i="17"/>
  <c r="G43" i="17" s="1"/>
  <c r="F36" i="17"/>
  <c r="E36" i="17"/>
  <c r="E43" i="17" s="1"/>
  <c r="D36" i="17"/>
  <c r="D43" i="17" s="1"/>
  <c r="C36" i="17"/>
  <c r="C43" i="17" s="1"/>
  <c r="V27" i="17"/>
  <c r="V42" i="17" s="1"/>
  <c r="U27" i="17"/>
  <c r="T27" i="17"/>
  <c r="T42" i="17" s="1"/>
  <c r="S27" i="17"/>
  <c r="S42" i="17" s="1"/>
  <c r="R27" i="17"/>
  <c r="R42" i="17" s="1"/>
  <c r="Q27" i="17"/>
  <c r="P27" i="17"/>
  <c r="P42" i="17" s="1"/>
  <c r="O27" i="17"/>
  <c r="O42" i="17" s="1"/>
  <c r="N27" i="17"/>
  <c r="N42" i="17" s="1"/>
  <c r="M27" i="17"/>
  <c r="L27" i="17"/>
  <c r="L42" i="17" s="1"/>
  <c r="K27" i="17"/>
  <c r="K42" i="17" s="1"/>
  <c r="J27" i="17"/>
  <c r="J42" i="17" s="1"/>
  <c r="I27" i="17"/>
  <c r="H27" i="17"/>
  <c r="H42" i="17" s="1"/>
  <c r="G27" i="17"/>
  <c r="G42" i="17" s="1"/>
  <c r="F27" i="17"/>
  <c r="F42" i="17" s="1"/>
  <c r="E27" i="17"/>
  <c r="D27" i="17"/>
  <c r="D42" i="17" s="1"/>
  <c r="C27" i="17"/>
  <c r="C42" i="17" s="1"/>
  <c r="V18" i="17"/>
  <c r="V41" i="17" s="1"/>
  <c r="U18" i="17"/>
  <c r="U41" i="17" s="1"/>
  <c r="T18" i="17"/>
  <c r="S18" i="17"/>
  <c r="S41" i="17" s="1"/>
  <c r="R18" i="17"/>
  <c r="R41" i="17" s="1"/>
  <c r="Q18" i="17"/>
  <c r="Q41" i="17" s="1"/>
  <c r="P18" i="17"/>
  <c r="O18" i="17"/>
  <c r="O41" i="17" s="1"/>
  <c r="N18" i="17"/>
  <c r="N41" i="17" s="1"/>
  <c r="M18" i="17"/>
  <c r="M41" i="17" s="1"/>
  <c r="L18" i="17"/>
  <c r="K18" i="17"/>
  <c r="K41" i="17" s="1"/>
  <c r="J18" i="17"/>
  <c r="J41" i="17" s="1"/>
  <c r="I18" i="17"/>
  <c r="I41" i="17" s="1"/>
  <c r="H18" i="17"/>
  <c r="G18" i="17"/>
  <c r="G41" i="17" s="1"/>
  <c r="F18" i="17"/>
  <c r="F41" i="17" s="1"/>
  <c r="E18" i="17"/>
  <c r="E41" i="17" s="1"/>
  <c r="D18" i="17"/>
  <c r="C18" i="17"/>
  <c r="C41" i="17" s="1"/>
  <c r="D9" i="17"/>
  <c r="D40" i="17" s="1"/>
  <c r="E9" i="17"/>
  <c r="E40" i="17" s="1"/>
  <c r="F9" i="17"/>
  <c r="F40" i="17" s="1"/>
  <c r="G9" i="17"/>
  <c r="G40" i="17" s="1"/>
  <c r="H9" i="17"/>
  <c r="H40" i="17" s="1"/>
  <c r="I9" i="17"/>
  <c r="I40" i="17" s="1"/>
  <c r="J9" i="17"/>
  <c r="J40" i="17" s="1"/>
  <c r="K9" i="17"/>
  <c r="K40" i="17" s="1"/>
  <c r="L9" i="17"/>
  <c r="L40" i="17" s="1"/>
  <c r="M9" i="17"/>
  <c r="M40" i="17" s="1"/>
  <c r="N9" i="17"/>
  <c r="N40" i="17" s="1"/>
  <c r="O9" i="17"/>
  <c r="O40" i="17" s="1"/>
  <c r="P9" i="17"/>
  <c r="P40" i="17" s="1"/>
  <c r="Q9" i="17"/>
  <c r="Q40" i="17" s="1"/>
  <c r="R9" i="17"/>
  <c r="R40" i="17" s="1"/>
  <c r="S9" i="17"/>
  <c r="S40" i="17" s="1"/>
  <c r="T9" i="17"/>
  <c r="T40" i="17" s="1"/>
  <c r="U9" i="17"/>
  <c r="U40" i="17" s="1"/>
  <c r="V9" i="17"/>
  <c r="V40" i="17" s="1"/>
  <c r="C9" i="17"/>
  <c r="C40" i="17" s="1"/>
  <c r="R10" i="18" l="1"/>
  <c r="R19" i="18"/>
  <c r="R12" i="18"/>
  <c r="E34" i="18"/>
  <c r="R9" i="18"/>
  <c r="R13" i="18"/>
  <c r="R18" i="18"/>
  <c r="R17" i="18"/>
  <c r="J31" i="18"/>
  <c r="K31" i="18" s="1"/>
  <c r="L36" i="18"/>
  <c r="R11" i="18"/>
  <c r="R15" i="18"/>
  <c r="G34" i="18"/>
  <c r="U41" i="18"/>
  <c r="E67" i="18"/>
  <c r="E68" i="18" s="1"/>
  <c r="E62" i="18"/>
  <c r="M67" i="18"/>
  <c r="M68" i="18" s="1"/>
  <c r="J62" i="18"/>
  <c r="J67" i="18"/>
  <c r="J68" i="18" s="1"/>
  <c r="Q64" i="18"/>
  <c r="G71" i="18" s="1"/>
  <c r="D72" i="18"/>
  <c r="Q65" i="18"/>
  <c r="F72" i="18"/>
  <c r="N67" i="18"/>
  <c r="H67" i="18"/>
  <c r="H68" i="18" s="1"/>
  <c r="H62" i="18"/>
  <c r="F67" i="18"/>
  <c r="F68" i="18" s="1"/>
  <c r="C27" i="18"/>
  <c r="H23" i="18"/>
  <c r="G27" i="18" s="1"/>
  <c r="I23" i="18"/>
  <c r="I67" i="18"/>
  <c r="F71" i="18"/>
  <c r="D71" i="18"/>
  <c r="Q63" i="18"/>
  <c r="D34" i="18"/>
  <c r="H24" i="18"/>
  <c r="C28" i="18" s="1"/>
  <c r="I24" i="18"/>
  <c r="H34" i="18"/>
  <c r="Q61" i="18"/>
  <c r="F70" i="18"/>
  <c r="D70" i="18"/>
  <c r="C67" i="18"/>
  <c r="G67" i="18"/>
  <c r="K67" i="18"/>
  <c r="K68" i="18" s="1"/>
  <c r="O67" i="18"/>
  <c r="O68" i="18" s="1"/>
  <c r="O62" i="18"/>
  <c r="Q66" i="18"/>
  <c r="G72" i="18" s="1"/>
  <c r="D62" i="18"/>
  <c r="D28" i="18" l="1"/>
  <c r="D25" i="18" s="1"/>
  <c r="G28" i="18"/>
  <c r="F27" i="18"/>
  <c r="C25" i="18"/>
  <c r="G25" i="18"/>
  <c r="I34" i="18"/>
  <c r="D35" i="18" s="1"/>
  <c r="Q67" i="18"/>
  <c r="Q62" i="18"/>
  <c r="G70" i="18" s="1"/>
  <c r="G73" i="18" s="1"/>
  <c r="F73" i="18"/>
  <c r="F28" i="18"/>
  <c r="F25" i="18" s="1"/>
  <c r="B28" i="18"/>
  <c r="B25" i="18" s="1"/>
  <c r="B32" i="18" s="1"/>
  <c r="E28" i="18"/>
  <c r="E25" i="18" s="1"/>
  <c r="E27" i="18"/>
  <c r="D27" i="18"/>
  <c r="B27" i="18"/>
  <c r="H35" i="18" l="1"/>
  <c r="C32" i="18"/>
  <c r="H32" i="18" s="1"/>
  <c r="D32" i="18"/>
  <c r="I32" i="18" s="1"/>
  <c r="H25" i="18"/>
  <c r="G32" i="18"/>
  <c r="J32" i="18" s="1"/>
  <c r="G35" i="18"/>
  <c r="F35" i="18"/>
  <c r="E35" i="18"/>
  <c r="B35" i="18" l="1"/>
  <c r="L35" i="18" s="1"/>
  <c r="F36" i="18" l="1"/>
  <c r="L34" i="18"/>
  <c r="E36" i="18"/>
  <c r="H36" i="18"/>
  <c r="G36" i="18"/>
  <c r="I36" i="18" l="1"/>
  <c r="B103" i="11" l="1"/>
  <c r="F13" i="2"/>
  <c r="D57" i="13" l="1"/>
  <c r="E57" i="13"/>
  <c r="F57" i="13"/>
  <c r="G57" i="13"/>
  <c r="H57" i="13"/>
  <c r="I57" i="13"/>
  <c r="J57" i="13"/>
  <c r="K57" i="13"/>
  <c r="L57" i="13"/>
  <c r="M57" i="13"/>
  <c r="N57" i="13"/>
  <c r="O57" i="13"/>
  <c r="P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C59" i="13"/>
  <c r="C58" i="13"/>
  <c r="C57" i="13"/>
  <c r="T89" i="6" l="1"/>
  <c r="R89" i="6"/>
  <c r="W89" i="6"/>
  <c r="H89" i="6"/>
  <c r="H7" i="2"/>
  <c r="H9" i="2"/>
  <c r="R6" i="12" l="1"/>
  <c r="Q6" i="12"/>
  <c r="C35" i="12"/>
  <c r="C28" i="12"/>
  <c r="F42" i="12"/>
  <c r="C42" i="12"/>
  <c r="B42" i="12"/>
  <c r="E42" i="12"/>
  <c r="E35" i="12"/>
  <c r="C41" i="13"/>
  <c r="D41" i="13"/>
  <c r="E41" i="13"/>
  <c r="E42" i="13" s="1"/>
  <c r="F41" i="13"/>
  <c r="G41" i="13"/>
  <c r="H41" i="13"/>
  <c r="I41" i="13"/>
  <c r="J41" i="13"/>
  <c r="J42" i="13" s="1"/>
  <c r="K41" i="13"/>
  <c r="L41" i="13"/>
  <c r="M41" i="13"/>
  <c r="N41" i="13"/>
  <c r="N42" i="13" s="1"/>
  <c r="O41" i="13"/>
  <c r="O42" i="13" s="1"/>
  <c r="B41" i="13"/>
  <c r="B36" i="13" s="1"/>
  <c r="G30" i="13"/>
  <c r="Q34" i="13" l="1"/>
  <c r="D42" i="12"/>
  <c r="L19" i="13"/>
  <c r="G54" i="6"/>
  <c r="D89" i="6"/>
  <c r="B104" i="11"/>
  <c r="B105" i="11"/>
  <c r="C67" i="7"/>
  <c r="P45" i="7"/>
  <c r="P44" i="7"/>
  <c r="P43" i="7"/>
  <c r="P42" i="7"/>
  <c r="P41" i="7"/>
  <c r="P37" i="7"/>
  <c r="P36" i="7"/>
  <c r="P35" i="7"/>
  <c r="P34" i="7"/>
  <c r="P33" i="7"/>
  <c r="P29" i="7"/>
  <c r="P28" i="7"/>
  <c r="P27" i="7"/>
  <c r="P26" i="7"/>
  <c r="P25" i="7"/>
  <c r="P21" i="7"/>
  <c r="P20" i="7"/>
  <c r="P19" i="7"/>
  <c r="P18" i="7"/>
  <c r="P17" i="7"/>
  <c r="P13" i="7"/>
  <c r="P12" i="7"/>
  <c r="P11" i="7"/>
  <c r="P10" i="7"/>
  <c r="P9" i="7"/>
  <c r="P6" i="7"/>
  <c r="P5" i="7"/>
  <c r="P4" i="7"/>
  <c r="P3" i="7"/>
  <c r="P2" i="7"/>
  <c r="C54" i="7" l="1"/>
  <c r="C70" i="7" s="1"/>
  <c r="C77" i="7" s="1"/>
  <c r="B51" i="7"/>
  <c r="C51" i="7"/>
  <c r="D51" i="7"/>
  <c r="E51" i="7"/>
  <c r="F51" i="7"/>
  <c r="G51" i="7"/>
  <c r="B52" i="7"/>
  <c r="C52" i="7"/>
  <c r="E52" i="7"/>
  <c r="B53" i="7"/>
  <c r="C53" i="7"/>
  <c r="D53" i="7"/>
  <c r="E53" i="7"/>
  <c r="F53" i="7"/>
  <c r="B54" i="7"/>
  <c r="E54" i="7"/>
  <c r="G54" i="7"/>
  <c r="E50" i="7"/>
  <c r="D50" i="7"/>
  <c r="C50" i="7"/>
  <c r="B50" i="7"/>
  <c r="G53" i="7"/>
  <c r="G52" i="7"/>
  <c r="G50" i="7"/>
  <c r="F54" i="7"/>
  <c r="F52" i="7"/>
  <c r="F50" i="7"/>
  <c r="D54" i="7"/>
  <c r="D52" i="7"/>
  <c r="C61" i="13" l="1"/>
  <c r="J27" i="13"/>
  <c r="L9" i="13"/>
  <c r="I10" i="13"/>
  <c r="I60" i="7" l="1"/>
  <c r="J60" i="7"/>
  <c r="H60" i="7"/>
  <c r="H59" i="7"/>
  <c r="M59" i="7"/>
  <c r="L59" i="7"/>
  <c r="K59" i="7"/>
  <c r="J59" i="7"/>
  <c r="I59" i="7"/>
  <c r="I58" i="7"/>
  <c r="J58" i="7"/>
  <c r="K58" i="7"/>
  <c r="L58" i="7"/>
  <c r="M58" i="7"/>
  <c r="C84" i="11"/>
  <c r="D84" i="11"/>
  <c r="E84" i="11"/>
  <c r="F84" i="11"/>
  <c r="G84" i="11"/>
  <c r="H84" i="11"/>
  <c r="C85" i="11"/>
  <c r="D85" i="11"/>
  <c r="E85" i="11"/>
  <c r="F85" i="11"/>
  <c r="G85" i="11"/>
  <c r="H85" i="11"/>
  <c r="C86" i="11"/>
  <c r="D86" i="11"/>
  <c r="E86" i="11"/>
  <c r="F86" i="11"/>
  <c r="G86" i="11"/>
  <c r="H86" i="11"/>
  <c r="C87" i="11"/>
  <c r="D87" i="11"/>
  <c r="E87" i="11"/>
  <c r="F87" i="11"/>
  <c r="G87" i="11"/>
  <c r="H87" i="11"/>
  <c r="C88" i="11"/>
  <c r="D88" i="11"/>
  <c r="E88" i="11"/>
  <c r="F88" i="11"/>
  <c r="G88" i="11"/>
  <c r="H88" i="11"/>
  <c r="B85" i="11"/>
  <c r="B86" i="11"/>
  <c r="B87" i="11"/>
  <c r="B88" i="11"/>
  <c r="B84" i="11"/>
  <c r="C76" i="11"/>
  <c r="D76" i="11"/>
  <c r="E76" i="11"/>
  <c r="F76" i="11"/>
  <c r="G76" i="11"/>
  <c r="H76" i="11"/>
  <c r="C77" i="11"/>
  <c r="D77" i="11"/>
  <c r="E77" i="11"/>
  <c r="F77" i="11"/>
  <c r="G77" i="11"/>
  <c r="H77" i="11"/>
  <c r="C78" i="11"/>
  <c r="D78" i="11"/>
  <c r="E78" i="11"/>
  <c r="F78" i="11"/>
  <c r="G78" i="11"/>
  <c r="H78" i="11"/>
  <c r="C79" i="11"/>
  <c r="D79" i="11"/>
  <c r="E79" i="11"/>
  <c r="F79" i="11"/>
  <c r="G79" i="11"/>
  <c r="H79" i="11"/>
  <c r="C80" i="11"/>
  <c r="C94" i="11" s="1"/>
  <c r="D80" i="11"/>
  <c r="D94" i="11" s="1"/>
  <c r="E80" i="11"/>
  <c r="E94" i="11" s="1"/>
  <c r="F80" i="11"/>
  <c r="F94" i="11" s="1"/>
  <c r="G80" i="11"/>
  <c r="G94" i="11" s="1"/>
  <c r="H80" i="11"/>
  <c r="H94" i="11" s="1"/>
  <c r="B77" i="11"/>
  <c r="B78" i="11"/>
  <c r="B79" i="11"/>
  <c r="B80" i="11"/>
  <c r="B94" i="11" s="1"/>
  <c r="B76" i="11"/>
  <c r="J46" i="11"/>
  <c r="J45" i="11"/>
  <c r="J44" i="11"/>
  <c r="J43" i="11"/>
  <c r="J42" i="11"/>
  <c r="J84" i="11" s="1"/>
  <c r="J38" i="11"/>
  <c r="J80" i="11" s="1"/>
  <c r="J94" i="11" s="1"/>
  <c r="J37" i="11"/>
  <c r="J36" i="11"/>
  <c r="J35" i="11"/>
  <c r="J34" i="11"/>
  <c r="J30" i="11"/>
  <c r="J29" i="11"/>
  <c r="J28" i="11"/>
  <c r="J27" i="11"/>
  <c r="J26" i="11"/>
  <c r="J22" i="11"/>
  <c r="J21" i="11"/>
  <c r="J20" i="11"/>
  <c r="J19" i="11"/>
  <c r="J18" i="11"/>
  <c r="J14" i="11"/>
  <c r="J13" i="11"/>
  <c r="J12" i="11"/>
  <c r="J11" i="11"/>
  <c r="J10" i="11"/>
  <c r="J3" i="11"/>
  <c r="J4" i="11"/>
  <c r="J5" i="11"/>
  <c r="J6" i="11"/>
  <c r="J88" i="11" s="1"/>
  <c r="J2" i="11"/>
  <c r="J76" i="11" s="1"/>
  <c r="I70" i="6"/>
  <c r="J52" i="11" l="1"/>
  <c r="J77" i="11"/>
  <c r="J60" i="11"/>
  <c r="J71" i="11"/>
  <c r="J78" i="11"/>
  <c r="J85" i="11"/>
  <c r="J68" i="11"/>
  <c r="J86" i="11"/>
  <c r="J87" i="11"/>
  <c r="J79" i="11"/>
  <c r="Q78" i="6"/>
  <c r="U91" i="6" s="1"/>
  <c r="R82" i="6"/>
  <c r="S82" i="6"/>
  <c r="T82" i="6"/>
  <c r="U82" i="6"/>
  <c r="V82" i="6"/>
  <c r="W82" i="6"/>
  <c r="X82" i="6"/>
  <c r="Y82" i="6"/>
  <c r="Z82" i="6"/>
  <c r="AA82" i="6"/>
  <c r="AB82" i="6"/>
  <c r="AC82" i="6"/>
  <c r="R83" i="6"/>
  <c r="S83" i="6"/>
  <c r="T83" i="6"/>
  <c r="U83" i="6"/>
  <c r="V83" i="6"/>
  <c r="W83" i="6"/>
  <c r="X83" i="6"/>
  <c r="Y83" i="6"/>
  <c r="Z83" i="6"/>
  <c r="AA83" i="6"/>
  <c r="AB83" i="6"/>
  <c r="AC83" i="6"/>
  <c r="R84" i="6"/>
  <c r="S84" i="6"/>
  <c r="T84" i="6"/>
  <c r="U84" i="6"/>
  <c r="V84" i="6"/>
  <c r="W84" i="6"/>
  <c r="X84" i="6"/>
  <c r="Y84" i="6"/>
  <c r="Z84" i="6"/>
  <c r="AA84" i="6"/>
  <c r="AB84" i="6"/>
  <c r="AC84" i="6"/>
  <c r="R85" i="6"/>
  <c r="S85" i="6"/>
  <c r="T85" i="6"/>
  <c r="U85" i="6"/>
  <c r="V85" i="6"/>
  <c r="W85" i="6"/>
  <c r="X85" i="6"/>
  <c r="Y85" i="6"/>
  <c r="Z85" i="6"/>
  <c r="AA85" i="6"/>
  <c r="AB85" i="6"/>
  <c r="AC85" i="6"/>
  <c r="R86" i="6"/>
  <c r="S86" i="6"/>
  <c r="T86" i="6"/>
  <c r="U86" i="6"/>
  <c r="V86" i="6"/>
  <c r="W86" i="6"/>
  <c r="X86" i="6"/>
  <c r="Y86" i="6"/>
  <c r="Z86" i="6"/>
  <c r="AA86" i="6"/>
  <c r="AB86" i="6"/>
  <c r="AC86" i="6"/>
  <c r="R74" i="6"/>
  <c r="S74" i="6"/>
  <c r="T74" i="6"/>
  <c r="U74" i="6"/>
  <c r="V74" i="6"/>
  <c r="W74" i="6"/>
  <c r="X74" i="6"/>
  <c r="Y74" i="6"/>
  <c r="Z74" i="6"/>
  <c r="AA74" i="6"/>
  <c r="AB74" i="6"/>
  <c r="AC74" i="6"/>
  <c r="R75" i="6"/>
  <c r="S75" i="6"/>
  <c r="T75" i="6"/>
  <c r="U75" i="6"/>
  <c r="V75" i="6"/>
  <c r="W75" i="6"/>
  <c r="X75" i="6"/>
  <c r="Y75" i="6"/>
  <c r="Z75" i="6"/>
  <c r="AA75" i="6"/>
  <c r="AB75" i="6"/>
  <c r="AC75" i="6"/>
  <c r="R76" i="6"/>
  <c r="S76" i="6"/>
  <c r="T76" i="6"/>
  <c r="U76" i="6"/>
  <c r="V76" i="6"/>
  <c r="W76" i="6"/>
  <c r="X76" i="6"/>
  <c r="Y76" i="6"/>
  <c r="Z76" i="6"/>
  <c r="AA76" i="6"/>
  <c r="AB76" i="6"/>
  <c r="AC76" i="6"/>
  <c r="R77" i="6"/>
  <c r="S77" i="6"/>
  <c r="T77" i="6"/>
  <c r="U77" i="6"/>
  <c r="V77" i="6"/>
  <c r="W77" i="6"/>
  <c r="X77" i="6"/>
  <c r="Y77" i="6"/>
  <c r="Z77" i="6"/>
  <c r="AA77" i="6"/>
  <c r="AB77" i="6"/>
  <c r="AC77" i="6"/>
  <c r="R78" i="6"/>
  <c r="R91" i="6" s="1"/>
  <c r="S78" i="6"/>
  <c r="W91" i="6" s="1"/>
  <c r="T78" i="6"/>
  <c r="V91" i="6" s="1"/>
  <c r="U78" i="6"/>
  <c r="X91" i="6" s="1"/>
  <c r="V78" i="6"/>
  <c r="S91" i="6" s="1"/>
  <c r="W78" i="6"/>
  <c r="Y91" i="6" s="1"/>
  <c r="X78" i="6"/>
  <c r="Q91" i="6" s="1"/>
  <c r="Y78" i="6"/>
  <c r="T91" i="6" s="1"/>
  <c r="Z78" i="6"/>
  <c r="Z91" i="6" s="1"/>
  <c r="AA78" i="6"/>
  <c r="AA91" i="6" s="1"/>
  <c r="AB78" i="6"/>
  <c r="AB91" i="6" s="1"/>
  <c r="AC78" i="6"/>
  <c r="AC91" i="6" s="1"/>
  <c r="Q86" i="6"/>
  <c r="Q85" i="6"/>
  <c r="Q84" i="6"/>
  <c r="Q83" i="6"/>
  <c r="Q82" i="6"/>
  <c r="Q77" i="6"/>
  <c r="Q76" i="6"/>
  <c r="Q75" i="6"/>
  <c r="Q74" i="6"/>
  <c r="K89" i="6"/>
  <c r="F89" i="6"/>
  <c r="C82" i="6"/>
  <c r="D82" i="6"/>
  <c r="E82" i="6"/>
  <c r="F82" i="6"/>
  <c r="G82" i="6"/>
  <c r="H82" i="6"/>
  <c r="I82" i="6"/>
  <c r="J82" i="6"/>
  <c r="K82" i="6"/>
  <c r="L82" i="6"/>
  <c r="M82" i="6"/>
  <c r="N82" i="6"/>
  <c r="C83" i="6"/>
  <c r="D83" i="6"/>
  <c r="E83" i="6"/>
  <c r="F83" i="6"/>
  <c r="G83" i="6"/>
  <c r="H83" i="6"/>
  <c r="I83" i="6"/>
  <c r="J83" i="6"/>
  <c r="K83" i="6"/>
  <c r="L83" i="6"/>
  <c r="M83" i="6"/>
  <c r="N83" i="6"/>
  <c r="C84" i="6"/>
  <c r="D84" i="6"/>
  <c r="E84" i="6"/>
  <c r="F84" i="6"/>
  <c r="G84" i="6"/>
  <c r="H84" i="6"/>
  <c r="I84" i="6"/>
  <c r="J84" i="6"/>
  <c r="K84" i="6"/>
  <c r="L84" i="6"/>
  <c r="M84" i="6"/>
  <c r="N84" i="6"/>
  <c r="C85" i="6"/>
  <c r="D85" i="6"/>
  <c r="E85" i="6"/>
  <c r="F85" i="6"/>
  <c r="G85" i="6"/>
  <c r="H85" i="6"/>
  <c r="I85" i="6"/>
  <c r="J85" i="6"/>
  <c r="K85" i="6"/>
  <c r="L85" i="6"/>
  <c r="M85" i="6"/>
  <c r="N85" i="6"/>
  <c r="C86" i="6"/>
  <c r="D86" i="6"/>
  <c r="E86" i="6"/>
  <c r="F86" i="6"/>
  <c r="G86" i="6"/>
  <c r="H86" i="6"/>
  <c r="I86" i="6"/>
  <c r="J86" i="6"/>
  <c r="K86" i="6"/>
  <c r="L86" i="6"/>
  <c r="M86" i="6"/>
  <c r="N86" i="6"/>
  <c r="B82" i="6"/>
  <c r="B83" i="6"/>
  <c r="B84" i="6"/>
  <c r="B85" i="6"/>
  <c r="B86" i="6"/>
  <c r="C78" i="6"/>
  <c r="C91" i="6" s="1"/>
  <c r="C74" i="6"/>
  <c r="D74" i="6"/>
  <c r="E74" i="6"/>
  <c r="F74" i="6"/>
  <c r="G74" i="6"/>
  <c r="H74" i="6"/>
  <c r="I74" i="6"/>
  <c r="J74" i="6"/>
  <c r="K74" i="6"/>
  <c r="L74" i="6"/>
  <c r="M74" i="6"/>
  <c r="N74" i="6"/>
  <c r="C75" i="6"/>
  <c r="D75" i="6"/>
  <c r="E75" i="6"/>
  <c r="F75" i="6"/>
  <c r="G75" i="6"/>
  <c r="H75" i="6"/>
  <c r="I75" i="6"/>
  <c r="J75" i="6"/>
  <c r="K75" i="6"/>
  <c r="L75" i="6"/>
  <c r="M75" i="6"/>
  <c r="N75" i="6"/>
  <c r="C76" i="6"/>
  <c r="D76" i="6"/>
  <c r="E76" i="6"/>
  <c r="F76" i="6"/>
  <c r="G76" i="6"/>
  <c r="H76" i="6"/>
  <c r="I76" i="6"/>
  <c r="J76" i="6"/>
  <c r="K76" i="6"/>
  <c r="L76" i="6"/>
  <c r="M76" i="6"/>
  <c r="N76" i="6"/>
  <c r="C77" i="6"/>
  <c r="D77" i="6"/>
  <c r="E77" i="6"/>
  <c r="F77" i="6"/>
  <c r="G77" i="6"/>
  <c r="H77" i="6"/>
  <c r="I77" i="6"/>
  <c r="J77" i="6"/>
  <c r="K77" i="6"/>
  <c r="L77" i="6"/>
  <c r="M77" i="6"/>
  <c r="N77" i="6"/>
  <c r="D78" i="6"/>
  <c r="H91" i="6" s="1"/>
  <c r="E78" i="6"/>
  <c r="G91" i="6" s="1"/>
  <c r="F78" i="6"/>
  <c r="I91" i="6" s="1"/>
  <c r="G78" i="6"/>
  <c r="D91" i="6" s="1"/>
  <c r="H78" i="6"/>
  <c r="J91" i="6" s="1"/>
  <c r="I78" i="6"/>
  <c r="B91" i="6" s="1"/>
  <c r="J78" i="6"/>
  <c r="E91" i="6" s="1"/>
  <c r="K78" i="6"/>
  <c r="K91" i="6" s="1"/>
  <c r="L78" i="6"/>
  <c r="L91" i="6" s="1"/>
  <c r="M78" i="6"/>
  <c r="M91" i="6" s="1"/>
  <c r="N78" i="6"/>
  <c r="N91" i="6" s="1"/>
  <c r="B74" i="6"/>
  <c r="B75" i="6"/>
  <c r="B76" i="6"/>
  <c r="B77" i="6"/>
  <c r="B78" i="6"/>
  <c r="F91" i="6" s="1"/>
  <c r="B10" i="2"/>
  <c r="F14" i="2"/>
  <c r="N9" i="12"/>
  <c r="V9" i="12" s="1"/>
  <c r="O9" i="12"/>
  <c r="W9" i="12" s="1"/>
  <c r="N10" i="12"/>
  <c r="V10" i="12" s="1"/>
  <c r="O10" i="12"/>
  <c r="W10" i="12" s="1"/>
  <c r="N11" i="12"/>
  <c r="V11" i="12" s="1"/>
  <c r="O11" i="12"/>
  <c r="W11" i="12" s="1"/>
  <c r="N12" i="12"/>
  <c r="V12" i="12" s="1"/>
  <c r="O12" i="12"/>
  <c r="W12" i="12" s="1"/>
  <c r="N13" i="12"/>
  <c r="V13" i="12" s="1"/>
  <c r="O13" i="12"/>
  <c r="W13" i="12" s="1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B54" i="6"/>
  <c r="C54" i="6"/>
  <c r="C89" i="6" s="1"/>
  <c r="D54" i="6"/>
  <c r="E54" i="6"/>
  <c r="G89" i="6" s="1"/>
  <c r="F54" i="6"/>
  <c r="I89" i="6" s="1"/>
  <c r="H54" i="6"/>
  <c r="J89" i="6" s="1"/>
  <c r="I54" i="6"/>
  <c r="B89" i="6" s="1"/>
  <c r="J54" i="6"/>
  <c r="E89" i="6" s="1"/>
  <c r="K54" i="6"/>
  <c r="L54" i="6"/>
  <c r="L89" i="6" s="1"/>
  <c r="M54" i="6"/>
  <c r="M89" i="6" s="1"/>
  <c r="N54" i="6"/>
  <c r="N89" i="6" s="1"/>
  <c r="G4" i="2"/>
  <c r="G7" i="2"/>
  <c r="J9" i="12"/>
  <c r="D7" i="12" l="1"/>
  <c r="C7" i="12"/>
  <c r="E7" i="12"/>
  <c r="B35" i="12"/>
  <c r="E28" i="12"/>
  <c r="B28" i="12"/>
  <c r="E21" i="12"/>
  <c r="M7" i="12"/>
  <c r="B21" i="12"/>
  <c r="J10" i="12"/>
  <c r="K10" i="12"/>
  <c r="L10" i="12"/>
  <c r="M10" i="12"/>
  <c r="J11" i="12"/>
  <c r="K11" i="12"/>
  <c r="L11" i="12"/>
  <c r="M11" i="12"/>
  <c r="J12" i="12"/>
  <c r="R12" i="12" s="1"/>
  <c r="K12" i="12"/>
  <c r="L12" i="12"/>
  <c r="M12" i="12"/>
  <c r="J13" i="12"/>
  <c r="R13" i="12" s="1"/>
  <c r="K13" i="12"/>
  <c r="L13" i="12"/>
  <c r="M13" i="12"/>
  <c r="K9" i="12"/>
  <c r="S9" i="12" s="1"/>
  <c r="L9" i="12"/>
  <c r="M9" i="12"/>
  <c r="U9" i="12" s="1"/>
  <c r="S13" i="12" l="1"/>
  <c r="D28" i="12"/>
  <c r="T11" i="12"/>
  <c r="U13" i="12"/>
  <c r="U12" i="12"/>
  <c r="U11" i="12"/>
  <c r="U10" i="12"/>
  <c r="F28" i="12"/>
  <c r="D35" i="12"/>
  <c r="F35" i="12"/>
  <c r="S12" i="12"/>
  <c r="S11" i="12"/>
  <c r="S10" i="12"/>
  <c r="R10" i="12"/>
  <c r="T10" i="12"/>
  <c r="T12" i="12"/>
  <c r="R11" i="12"/>
  <c r="T9" i="12"/>
  <c r="T13" i="12"/>
  <c r="R9" i="12"/>
  <c r="C18" i="2"/>
  <c r="C19" i="2"/>
  <c r="C20" i="2"/>
  <c r="C21" i="2"/>
  <c r="G31" i="13" l="1"/>
  <c r="B24" i="13"/>
  <c r="L15" i="13"/>
  <c r="B66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Q70" i="6"/>
  <c r="U90" i="6" s="1"/>
  <c r="R70" i="6"/>
  <c r="R90" i="6" s="1"/>
  <c r="S70" i="6"/>
  <c r="W90" i="6" s="1"/>
  <c r="T70" i="6"/>
  <c r="V90" i="6" s="1"/>
  <c r="U70" i="6"/>
  <c r="X90" i="6" s="1"/>
  <c r="V70" i="6"/>
  <c r="S90" i="6" s="1"/>
  <c r="W70" i="6"/>
  <c r="Y90" i="6" s="1"/>
  <c r="X70" i="6"/>
  <c r="Q90" i="6" s="1"/>
  <c r="Y70" i="6"/>
  <c r="T90" i="6" s="1"/>
  <c r="Z70" i="6"/>
  <c r="Z90" i="6" s="1"/>
  <c r="AA70" i="6"/>
  <c r="AA90" i="6" s="1"/>
  <c r="AB70" i="6"/>
  <c r="AB90" i="6" s="1"/>
  <c r="AC70" i="6"/>
  <c r="AC90" i="6" s="1"/>
  <c r="R66" i="6"/>
  <c r="S66" i="6"/>
  <c r="T66" i="6"/>
  <c r="U66" i="6"/>
  <c r="V66" i="6"/>
  <c r="W66" i="6"/>
  <c r="X66" i="6"/>
  <c r="Y66" i="6"/>
  <c r="Z66" i="6"/>
  <c r="AA66" i="6"/>
  <c r="AB66" i="6"/>
  <c r="AC66" i="6"/>
  <c r="Q66" i="6"/>
  <c r="C105" i="11"/>
  <c r="D105" i="11"/>
  <c r="E105" i="11"/>
  <c r="F105" i="11"/>
  <c r="G105" i="11"/>
  <c r="H105" i="11"/>
  <c r="B69" i="11"/>
  <c r="C69" i="11"/>
  <c r="D69" i="11"/>
  <c r="E69" i="11"/>
  <c r="F69" i="11"/>
  <c r="G69" i="11"/>
  <c r="H69" i="11"/>
  <c r="B70" i="11"/>
  <c r="C70" i="11"/>
  <c r="D70" i="11"/>
  <c r="E70" i="11"/>
  <c r="F70" i="11"/>
  <c r="G70" i="11"/>
  <c r="H70" i="11"/>
  <c r="B71" i="11"/>
  <c r="C71" i="11"/>
  <c r="D71" i="11"/>
  <c r="E71" i="11"/>
  <c r="F71" i="11"/>
  <c r="G71" i="11"/>
  <c r="H71" i="11"/>
  <c r="B72" i="11"/>
  <c r="B93" i="11" s="1"/>
  <c r="C72" i="11"/>
  <c r="C93" i="11" s="1"/>
  <c r="D72" i="11"/>
  <c r="D93" i="11" s="1"/>
  <c r="E72" i="11"/>
  <c r="E93" i="11" s="1"/>
  <c r="F72" i="11"/>
  <c r="F93" i="11" s="1"/>
  <c r="G72" i="11"/>
  <c r="G93" i="11" s="1"/>
  <c r="H72" i="11"/>
  <c r="H93" i="11" s="1"/>
  <c r="C68" i="11"/>
  <c r="D68" i="11"/>
  <c r="E68" i="11"/>
  <c r="F68" i="11"/>
  <c r="G68" i="11"/>
  <c r="H68" i="11"/>
  <c r="B68" i="11"/>
  <c r="I105" i="11" l="1"/>
  <c r="Q50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AC54" i="6"/>
  <c r="AC89" i="6" s="1"/>
  <c r="AB54" i="6"/>
  <c r="AB89" i="6" s="1"/>
  <c r="AA54" i="6"/>
  <c r="AA89" i="6" s="1"/>
  <c r="Z54" i="6"/>
  <c r="Z89" i="6" s="1"/>
  <c r="Y54" i="6"/>
  <c r="X54" i="6"/>
  <c r="Q89" i="6" s="1"/>
  <c r="W54" i="6"/>
  <c r="Y89" i="6" s="1"/>
  <c r="V54" i="6"/>
  <c r="S89" i="6" s="1"/>
  <c r="U54" i="6"/>
  <c r="X89" i="6" s="1"/>
  <c r="T54" i="6"/>
  <c r="V89" i="6" s="1"/>
  <c r="S54" i="6"/>
  <c r="R54" i="6"/>
  <c r="Q54" i="6"/>
  <c r="U89" i="6" s="1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AC50" i="6"/>
  <c r="AB50" i="6"/>
  <c r="AA50" i="6"/>
  <c r="Z50" i="6"/>
  <c r="Y50" i="6"/>
  <c r="X50" i="6"/>
  <c r="W50" i="6"/>
  <c r="V50" i="6"/>
  <c r="U50" i="6"/>
  <c r="T50" i="6"/>
  <c r="S50" i="6"/>
  <c r="R50" i="6"/>
  <c r="C104" i="11"/>
  <c r="D104" i="11"/>
  <c r="E104" i="11"/>
  <c r="F104" i="11"/>
  <c r="G104" i="11"/>
  <c r="H104" i="11"/>
  <c r="C103" i="11"/>
  <c r="D103" i="11"/>
  <c r="E103" i="11"/>
  <c r="F103" i="11"/>
  <c r="G103" i="11"/>
  <c r="H103" i="11"/>
  <c r="I103" i="11" l="1"/>
  <c r="I104" i="11"/>
  <c r="J109" i="11"/>
  <c r="J108" i="11"/>
  <c r="H61" i="11" l="1"/>
  <c r="H62" i="11"/>
  <c r="H63" i="11"/>
  <c r="H64" i="11"/>
  <c r="H53" i="11"/>
  <c r="H54" i="11"/>
  <c r="H55" i="11"/>
  <c r="H56" i="11"/>
  <c r="H92" i="11" s="1"/>
  <c r="B52" i="11"/>
  <c r="S58" i="13" l="1"/>
  <c r="C65" i="13"/>
  <c r="C63" i="13"/>
  <c r="L10" i="13"/>
  <c r="I15" i="13"/>
  <c r="I11" i="13"/>
  <c r="I12" i="13"/>
  <c r="I13" i="13"/>
  <c r="I9" i="13"/>
  <c r="C67" i="13" l="1"/>
  <c r="C66" i="6"/>
  <c r="D66" i="6"/>
  <c r="E66" i="6"/>
  <c r="F66" i="6"/>
  <c r="G66" i="6"/>
  <c r="H66" i="6"/>
  <c r="I66" i="6"/>
  <c r="J66" i="6"/>
  <c r="K66" i="6"/>
  <c r="L66" i="6"/>
  <c r="M66" i="6"/>
  <c r="N66" i="6"/>
  <c r="C67" i="6"/>
  <c r="D67" i="6"/>
  <c r="E67" i="6"/>
  <c r="F67" i="6"/>
  <c r="G67" i="6"/>
  <c r="H67" i="6"/>
  <c r="I67" i="6"/>
  <c r="J67" i="6"/>
  <c r="K67" i="6"/>
  <c r="L67" i="6"/>
  <c r="M67" i="6"/>
  <c r="N67" i="6"/>
  <c r="C68" i="6"/>
  <c r="D68" i="6"/>
  <c r="E68" i="6"/>
  <c r="F68" i="6"/>
  <c r="G68" i="6"/>
  <c r="H68" i="6"/>
  <c r="I68" i="6"/>
  <c r="J68" i="6"/>
  <c r="K68" i="6"/>
  <c r="L68" i="6"/>
  <c r="M68" i="6"/>
  <c r="N68" i="6"/>
  <c r="C69" i="6"/>
  <c r="D69" i="6"/>
  <c r="E69" i="6"/>
  <c r="F69" i="6"/>
  <c r="G69" i="6"/>
  <c r="H69" i="6"/>
  <c r="I69" i="6"/>
  <c r="J69" i="6"/>
  <c r="K69" i="6"/>
  <c r="L69" i="6"/>
  <c r="M69" i="6"/>
  <c r="N69" i="6"/>
  <c r="C70" i="6"/>
  <c r="C90" i="6" s="1"/>
  <c r="D70" i="6"/>
  <c r="H90" i="6" s="1"/>
  <c r="E70" i="6"/>
  <c r="G90" i="6" s="1"/>
  <c r="F70" i="6"/>
  <c r="I90" i="6" s="1"/>
  <c r="G70" i="6"/>
  <c r="D90" i="6" s="1"/>
  <c r="H70" i="6"/>
  <c r="J90" i="6" s="1"/>
  <c r="J70" i="6"/>
  <c r="E90" i="6" s="1"/>
  <c r="K70" i="6"/>
  <c r="K90" i="6" s="1"/>
  <c r="L70" i="6"/>
  <c r="L90" i="6" s="1"/>
  <c r="M70" i="6"/>
  <c r="M90" i="6" s="1"/>
  <c r="N70" i="6"/>
  <c r="N90" i="6" s="1"/>
  <c r="B67" i="6"/>
  <c r="B68" i="6"/>
  <c r="B69" i="6"/>
  <c r="B70" i="6"/>
  <c r="F90" i="6" s="1"/>
  <c r="C58" i="6"/>
  <c r="D58" i="6"/>
  <c r="E58" i="6"/>
  <c r="F58" i="6"/>
  <c r="G58" i="6"/>
  <c r="H58" i="6"/>
  <c r="I58" i="6"/>
  <c r="J58" i="6"/>
  <c r="K58" i="6"/>
  <c r="L58" i="6"/>
  <c r="M58" i="6"/>
  <c r="N58" i="6"/>
  <c r="C59" i="6"/>
  <c r="D59" i="6"/>
  <c r="E59" i="6"/>
  <c r="F59" i="6"/>
  <c r="G59" i="6"/>
  <c r="H59" i="6"/>
  <c r="I59" i="6"/>
  <c r="J59" i="6"/>
  <c r="K59" i="6"/>
  <c r="L59" i="6"/>
  <c r="M59" i="6"/>
  <c r="N59" i="6"/>
  <c r="C60" i="6"/>
  <c r="D60" i="6"/>
  <c r="E60" i="6"/>
  <c r="F60" i="6"/>
  <c r="G60" i="6"/>
  <c r="H60" i="6"/>
  <c r="I60" i="6"/>
  <c r="J60" i="6"/>
  <c r="K60" i="6"/>
  <c r="L60" i="6"/>
  <c r="M60" i="6"/>
  <c r="N60" i="6"/>
  <c r="C61" i="6"/>
  <c r="D61" i="6"/>
  <c r="E61" i="6"/>
  <c r="F61" i="6"/>
  <c r="G61" i="6"/>
  <c r="H61" i="6"/>
  <c r="I61" i="6"/>
  <c r="J61" i="6"/>
  <c r="K61" i="6"/>
  <c r="L61" i="6"/>
  <c r="M61" i="6"/>
  <c r="N61" i="6"/>
  <c r="C62" i="6"/>
  <c r="D62" i="6"/>
  <c r="E62" i="6"/>
  <c r="F62" i="6"/>
  <c r="G62" i="6"/>
  <c r="H62" i="6"/>
  <c r="I62" i="6"/>
  <c r="J62" i="6"/>
  <c r="K62" i="6"/>
  <c r="L62" i="6"/>
  <c r="M62" i="6"/>
  <c r="N62" i="6"/>
  <c r="B59" i="6"/>
  <c r="B60" i="6"/>
  <c r="B61" i="6"/>
  <c r="B62" i="6"/>
  <c r="B58" i="6"/>
  <c r="C60" i="11" l="1"/>
  <c r="D60" i="11"/>
  <c r="E60" i="11"/>
  <c r="F60" i="11"/>
  <c r="G60" i="11"/>
  <c r="H60" i="11"/>
  <c r="C61" i="11"/>
  <c r="D61" i="11"/>
  <c r="E61" i="11"/>
  <c r="F61" i="11"/>
  <c r="G61" i="11"/>
  <c r="C62" i="11"/>
  <c r="D62" i="11"/>
  <c r="E62" i="11"/>
  <c r="F62" i="11"/>
  <c r="G62" i="11"/>
  <c r="C63" i="11"/>
  <c r="D63" i="11"/>
  <c r="E63" i="11"/>
  <c r="F63" i="11"/>
  <c r="G63" i="11"/>
  <c r="C64" i="11"/>
  <c r="D64" i="11"/>
  <c r="E64" i="11"/>
  <c r="F64" i="11"/>
  <c r="G64" i="11"/>
  <c r="B61" i="11"/>
  <c r="B62" i="11"/>
  <c r="B63" i="11"/>
  <c r="B64" i="11"/>
  <c r="B60" i="11"/>
  <c r="C52" i="11"/>
  <c r="D52" i="11"/>
  <c r="E52" i="11"/>
  <c r="F52" i="11"/>
  <c r="G52" i="11"/>
  <c r="H52" i="11"/>
  <c r="C53" i="11"/>
  <c r="D53" i="11"/>
  <c r="E53" i="11"/>
  <c r="F53" i="11"/>
  <c r="G53" i="11"/>
  <c r="C54" i="11"/>
  <c r="D54" i="11"/>
  <c r="E54" i="11"/>
  <c r="F54" i="11"/>
  <c r="G54" i="11"/>
  <c r="C55" i="11"/>
  <c r="D55" i="11"/>
  <c r="E55" i="11"/>
  <c r="F55" i="11"/>
  <c r="G55" i="11"/>
  <c r="C56" i="11"/>
  <c r="C92" i="11" s="1"/>
  <c r="D56" i="11"/>
  <c r="D92" i="11" s="1"/>
  <c r="E56" i="11"/>
  <c r="E92" i="11" s="1"/>
  <c r="F56" i="11"/>
  <c r="F92" i="11" s="1"/>
  <c r="G56" i="11"/>
  <c r="G92" i="11" s="1"/>
  <c r="B53" i="11"/>
  <c r="B54" i="11"/>
  <c r="B55" i="11"/>
  <c r="B56" i="11"/>
  <c r="B92" i="11" s="1"/>
  <c r="J72" i="11" l="1"/>
  <c r="J93" i="11" s="1"/>
  <c r="L89" i="11" s="1"/>
  <c r="J64" i="11"/>
  <c r="J56" i="11"/>
  <c r="L88" i="11" s="1"/>
  <c r="J69" i="11"/>
  <c r="J61" i="11"/>
  <c r="J53" i="11"/>
  <c r="J63" i="11"/>
  <c r="J55" i="11"/>
  <c r="J70" i="11"/>
  <c r="J62" i="11"/>
  <c r="J54" i="11"/>
  <c r="C10" i="2"/>
  <c r="D10" i="2"/>
  <c r="E10" i="2"/>
  <c r="F10" i="2"/>
  <c r="L42" i="13" l="1"/>
  <c r="D42" i="13"/>
  <c r="G42" i="13"/>
  <c r="I42" i="13"/>
  <c r="K42" i="13"/>
  <c r="C42" i="13" l="1"/>
  <c r="Q33" i="13" s="1"/>
  <c r="L33" i="13"/>
  <c r="L16" i="13"/>
  <c r="M16" i="13"/>
  <c r="N16" i="13"/>
  <c r="O16" i="13"/>
  <c r="P16" i="13"/>
  <c r="Q16" i="13"/>
  <c r="L17" i="13"/>
  <c r="M17" i="13"/>
  <c r="N17" i="13"/>
  <c r="O17" i="13"/>
  <c r="P17" i="13"/>
  <c r="Q17" i="13"/>
  <c r="L18" i="13"/>
  <c r="M18" i="13"/>
  <c r="N18" i="13"/>
  <c r="O18" i="13"/>
  <c r="P18" i="13"/>
  <c r="Q18" i="13"/>
  <c r="M19" i="13"/>
  <c r="N19" i="13"/>
  <c r="O19" i="13"/>
  <c r="P19" i="13"/>
  <c r="Q19" i="13"/>
  <c r="M15" i="13"/>
  <c r="N15" i="13"/>
  <c r="O15" i="13"/>
  <c r="P15" i="13"/>
  <c r="Q15" i="13"/>
  <c r="M10" i="13"/>
  <c r="N10" i="13"/>
  <c r="O10" i="13"/>
  <c r="P10" i="13"/>
  <c r="Q10" i="13"/>
  <c r="L11" i="13"/>
  <c r="M11" i="13"/>
  <c r="N11" i="13"/>
  <c r="O11" i="13"/>
  <c r="P11" i="13"/>
  <c r="Q11" i="13"/>
  <c r="L12" i="13"/>
  <c r="M12" i="13"/>
  <c r="N12" i="13"/>
  <c r="O12" i="13"/>
  <c r="P12" i="13"/>
  <c r="Q12" i="13"/>
  <c r="L13" i="13"/>
  <c r="M13" i="13"/>
  <c r="N13" i="13"/>
  <c r="O13" i="13"/>
  <c r="P13" i="13"/>
  <c r="Q13" i="13"/>
  <c r="M9" i="13"/>
  <c r="N9" i="13"/>
  <c r="O9" i="13"/>
  <c r="P9" i="13"/>
  <c r="Q9" i="13"/>
  <c r="T58" i="13"/>
  <c r="U58" i="13"/>
  <c r="Q35" i="13" l="1"/>
  <c r="R34" i="13"/>
  <c r="L36" i="13"/>
  <c r="R13" i="13"/>
  <c r="R12" i="13"/>
  <c r="R10" i="13"/>
  <c r="R11" i="13"/>
  <c r="R9" i="13"/>
  <c r="R18" i="13"/>
  <c r="R16" i="13"/>
  <c r="R15" i="13"/>
  <c r="R19" i="13"/>
  <c r="R17" i="13"/>
  <c r="H31" i="13"/>
  <c r="I31" i="13"/>
  <c r="H30" i="13"/>
  <c r="I30" i="13"/>
  <c r="J30" i="13" l="1"/>
  <c r="J31" i="13"/>
  <c r="I22" i="13"/>
  <c r="H22" i="13"/>
  <c r="C24" i="13"/>
  <c r="D24" i="13"/>
  <c r="E24" i="13"/>
  <c r="F24" i="13"/>
  <c r="G24" i="13"/>
  <c r="C23" i="13"/>
  <c r="D23" i="13"/>
  <c r="E23" i="13"/>
  <c r="F23" i="13"/>
  <c r="G23" i="13"/>
  <c r="B23" i="13"/>
  <c r="K31" i="13" l="1"/>
  <c r="D34" i="13"/>
  <c r="E34" i="13"/>
  <c r="F34" i="13"/>
  <c r="I23" i="13"/>
  <c r="H34" i="13"/>
  <c r="I24" i="13"/>
  <c r="H23" i="13"/>
  <c r="E27" i="13" s="1"/>
  <c r="G34" i="13"/>
  <c r="H24" i="13"/>
  <c r="B28" i="13" l="1"/>
  <c r="B27" i="13"/>
  <c r="F27" i="13"/>
  <c r="F25" i="13" s="1"/>
  <c r="G27" i="13"/>
  <c r="G25" i="13" s="1"/>
  <c r="C27" i="13"/>
  <c r="C25" i="13" s="1"/>
  <c r="D27" i="13"/>
  <c r="D25" i="13" s="1"/>
  <c r="F28" i="13"/>
  <c r="E25" i="13"/>
  <c r="I34" i="13"/>
  <c r="C28" i="13"/>
  <c r="D28" i="13"/>
  <c r="E28" i="13"/>
  <c r="G28" i="13"/>
  <c r="B25" i="13" l="1"/>
  <c r="B32" i="13" s="1"/>
  <c r="G32" i="13" s="1"/>
  <c r="F35" i="13"/>
  <c r="E35" i="13"/>
  <c r="D35" i="13"/>
  <c r="H35" i="13"/>
  <c r="H25" i="13"/>
  <c r="G35" i="13"/>
  <c r="D32" i="13" l="1"/>
  <c r="I32" i="13" s="1"/>
  <c r="C32" i="13"/>
  <c r="H32" i="13" s="1"/>
  <c r="J32" i="13" s="1"/>
  <c r="B34" i="13" s="1"/>
  <c r="G65" i="13"/>
  <c r="L65" i="13"/>
  <c r="N65" i="13"/>
  <c r="G63" i="13"/>
  <c r="I63" i="13"/>
  <c r="L63" i="13"/>
  <c r="N63" i="13"/>
  <c r="F61" i="13"/>
  <c r="G61" i="13"/>
  <c r="I61" i="13"/>
  <c r="K61" i="13"/>
  <c r="L61" i="13"/>
  <c r="M61" i="13"/>
  <c r="N61" i="13"/>
  <c r="P61" i="13"/>
  <c r="I19" i="13"/>
  <c r="I18" i="13"/>
  <c r="I17" i="13"/>
  <c r="I16" i="13"/>
  <c r="G70" i="7"/>
  <c r="G69" i="7"/>
  <c r="G76" i="7" s="1"/>
  <c r="G68" i="7"/>
  <c r="G75" i="7" s="1"/>
  <c r="G67" i="7"/>
  <c r="G74" i="7" s="1"/>
  <c r="G66" i="7"/>
  <c r="G73" i="7" s="1"/>
  <c r="F70" i="7"/>
  <c r="F69" i="7"/>
  <c r="F76" i="7" s="1"/>
  <c r="F68" i="7"/>
  <c r="F75" i="7" s="1"/>
  <c r="F67" i="7"/>
  <c r="F74" i="7" s="1"/>
  <c r="F66" i="7"/>
  <c r="F73" i="7" s="1"/>
  <c r="E69" i="7"/>
  <c r="E76" i="7" s="1"/>
  <c r="E68" i="7"/>
  <c r="E75" i="7" s="1"/>
  <c r="E67" i="7"/>
  <c r="E74" i="7" s="1"/>
  <c r="E66" i="7"/>
  <c r="E73" i="7" s="1"/>
  <c r="B35" i="13" l="1"/>
  <c r="L35" i="13" s="1"/>
  <c r="M67" i="7"/>
  <c r="M68" i="7"/>
  <c r="G77" i="7"/>
  <c r="L68" i="7"/>
  <c r="L67" i="7"/>
  <c r="F77" i="7"/>
  <c r="E70" i="7"/>
  <c r="L67" i="13"/>
  <c r="G67" i="13"/>
  <c r="N67" i="13"/>
  <c r="P63" i="13"/>
  <c r="P64" i="13" s="1"/>
  <c r="H63" i="13"/>
  <c r="H64" i="13" s="1"/>
  <c r="D63" i="13"/>
  <c r="D64" i="13" s="1"/>
  <c r="J65" i="13"/>
  <c r="J66" i="13" s="1"/>
  <c r="F65" i="13"/>
  <c r="F66" i="13" s="1"/>
  <c r="K63" i="13"/>
  <c r="K64" i="13" s="1"/>
  <c r="F72" i="13"/>
  <c r="E65" i="13"/>
  <c r="J63" i="13"/>
  <c r="J64" i="13" s="1"/>
  <c r="F63" i="13"/>
  <c r="F64" i="13" s="1"/>
  <c r="P65" i="13"/>
  <c r="P66" i="13" s="1"/>
  <c r="H65" i="13"/>
  <c r="H66" i="13" s="1"/>
  <c r="D65" i="13"/>
  <c r="D66" i="13" s="1"/>
  <c r="O63" i="13"/>
  <c r="O64" i="13" s="1"/>
  <c r="M65" i="13"/>
  <c r="M66" i="13" s="1"/>
  <c r="I65" i="13"/>
  <c r="I66" i="13" s="1"/>
  <c r="F71" i="13"/>
  <c r="M63" i="13"/>
  <c r="M64" i="13" s="1"/>
  <c r="E63" i="13"/>
  <c r="O65" i="13"/>
  <c r="O66" i="13" s="1"/>
  <c r="K65" i="13"/>
  <c r="K66" i="13" s="1"/>
  <c r="F70" i="13"/>
  <c r="E61" i="13"/>
  <c r="J61" i="13"/>
  <c r="H61" i="13"/>
  <c r="D61" i="13"/>
  <c r="O61" i="13"/>
  <c r="Q61" i="13" s="1"/>
  <c r="B12" i="2"/>
  <c r="B11" i="2"/>
  <c r="C11" i="2"/>
  <c r="D11" i="2"/>
  <c r="E11" i="2"/>
  <c r="F11" i="2"/>
  <c r="C12" i="2"/>
  <c r="D12" i="2"/>
  <c r="E12" i="2"/>
  <c r="F12" i="2"/>
  <c r="B13" i="2"/>
  <c r="C13" i="2"/>
  <c r="D13" i="2"/>
  <c r="E13" i="2"/>
  <c r="H13" i="2"/>
  <c r="B14" i="2"/>
  <c r="C14" i="2"/>
  <c r="D14" i="2"/>
  <c r="E14" i="2"/>
  <c r="E77" i="7" l="1"/>
  <c r="K68" i="7"/>
  <c r="K67" i="7"/>
  <c r="H62" i="13"/>
  <c r="H67" i="13"/>
  <c r="H68" i="13" s="1"/>
  <c r="I67" i="13"/>
  <c r="F67" i="13"/>
  <c r="F68" i="13" s="1"/>
  <c r="O62" i="13"/>
  <c r="O67" i="13"/>
  <c r="O68" i="13" s="1"/>
  <c r="E62" i="13"/>
  <c r="E67" i="13"/>
  <c r="E68" i="13" s="1"/>
  <c r="M67" i="13"/>
  <c r="M68" i="13" s="1"/>
  <c r="J62" i="13"/>
  <c r="J67" i="13"/>
  <c r="J68" i="13" s="1"/>
  <c r="D62" i="13"/>
  <c r="D67" i="13"/>
  <c r="D68" i="13" s="1"/>
  <c r="F73" i="13"/>
  <c r="K67" i="13"/>
  <c r="K68" i="13" s="1"/>
  <c r="P67" i="13"/>
  <c r="P68" i="13" s="1"/>
  <c r="H36" i="13"/>
  <c r="E36" i="13"/>
  <c r="D36" i="13"/>
  <c r="F36" i="13"/>
  <c r="G36" i="13"/>
  <c r="D72" i="13"/>
  <c r="Q63" i="13"/>
  <c r="E64" i="13"/>
  <c r="Q64" i="13" s="1"/>
  <c r="G71" i="13" s="1"/>
  <c r="D71" i="13"/>
  <c r="E66" i="13"/>
  <c r="Q66" i="13" s="1"/>
  <c r="G72" i="13" s="1"/>
  <c r="Q65" i="13"/>
  <c r="D70" i="13"/>
  <c r="L34" i="13"/>
  <c r="J3" i="2"/>
  <c r="Q62" i="13" l="1"/>
  <c r="G70" i="13" s="1"/>
  <c r="G73" i="13" s="1"/>
  <c r="Q67" i="13"/>
  <c r="I36" i="13"/>
  <c r="D69" i="7" l="1"/>
  <c r="D76" i="7" s="1"/>
  <c r="D68" i="7"/>
  <c r="D75" i="7" s="1"/>
  <c r="D67" i="7"/>
  <c r="D74" i="7" s="1"/>
  <c r="D66" i="7"/>
  <c r="D73" i="7" s="1"/>
  <c r="C66" i="7"/>
  <c r="C73" i="7" s="1"/>
  <c r="C74" i="7"/>
  <c r="C68" i="7"/>
  <c r="C75" i="7" s="1"/>
  <c r="I54" i="7"/>
  <c r="C69" i="7" l="1"/>
  <c r="C76" i="7" s="1"/>
  <c r="D70" i="7"/>
  <c r="B67" i="7"/>
  <c r="B68" i="7"/>
  <c r="B69" i="7"/>
  <c r="B76" i="7" l="1"/>
  <c r="B75" i="7"/>
  <c r="B74" i="7"/>
  <c r="D77" i="7"/>
  <c r="J67" i="7"/>
  <c r="J68" i="7"/>
  <c r="I67" i="7"/>
  <c r="I68" i="7"/>
  <c r="B66" i="7"/>
  <c r="N68" i="7" s="1"/>
  <c r="E55" i="7"/>
  <c r="B70" i="7"/>
  <c r="N70" i="7" l="1"/>
  <c r="B73" i="7"/>
  <c r="N66" i="7"/>
  <c r="N69" i="7"/>
  <c r="N67" i="7"/>
  <c r="B77" i="7"/>
  <c r="H68" i="7"/>
  <c r="H67" i="7"/>
</calcChain>
</file>

<file path=xl/sharedStrings.xml><?xml version="1.0" encoding="utf-8"?>
<sst xmlns="http://schemas.openxmlformats.org/spreadsheetml/2006/main" count="1699" uniqueCount="184">
  <si>
    <t>hydro_Elec</t>
  </si>
  <si>
    <t>Biomass_Elec</t>
  </si>
  <si>
    <t>2010</t>
  </si>
  <si>
    <t>2015</t>
  </si>
  <si>
    <t>2020</t>
  </si>
  <si>
    <t>2025</t>
  </si>
  <si>
    <t>2030</t>
  </si>
  <si>
    <t>GDP</t>
    <phoneticPr fontId="1" type="noConversion"/>
  </si>
  <si>
    <t>ul</t>
  </si>
  <si>
    <t>es</t>
  </si>
  <si>
    <t>ms</t>
  </si>
  <si>
    <t>hs</t>
  </si>
  <si>
    <t>jc</t>
  </si>
  <si>
    <t>rc</t>
  </si>
  <si>
    <t>pg</t>
  </si>
  <si>
    <t>Agri</t>
  </si>
  <si>
    <t>Coal</t>
  </si>
  <si>
    <t>Oilgas</t>
  </si>
  <si>
    <t>Mining</t>
  </si>
  <si>
    <t>OM</t>
  </si>
  <si>
    <t>roil</t>
  </si>
  <si>
    <t>EII</t>
  </si>
  <si>
    <t>gas</t>
  </si>
  <si>
    <t>Waterutil</t>
  </si>
  <si>
    <t>Construction</t>
  </si>
  <si>
    <t>Transport</t>
  </si>
  <si>
    <t>Services</t>
  </si>
  <si>
    <t>household</t>
  </si>
  <si>
    <t>非化石能源比例</t>
    <phoneticPr fontId="1" type="noConversion"/>
  </si>
  <si>
    <t>排放</t>
    <phoneticPr fontId="1" type="noConversion"/>
  </si>
  <si>
    <t>碳强度</t>
    <phoneticPr fontId="1" type="noConversion"/>
  </si>
  <si>
    <t>oil</t>
    <phoneticPr fontId="1" type="noConversion"/>
  </si>
  <si>
    <t>A1</t>
  </si>
  <si>
    <t>A1</t>
    <phoneticPr fontId="1" type="noConversion"/>
  </si>
  <si>
    <t>A2a</t>
    <phoneticPr fontId="1" type="noConversion"/>
  </si>
  <si>
    <t>A2b</t>
    <phoneticPr fontId="1" type="noConversion"/>
  </si>
  <si>
    <t>B1</t>
  </si>
  <si>
    <t>B1</t>
    <phoneticPr fontId="1" type="noConversion"/>
  </si>
  <si>
    <t>ff_Elec</t>
  </si>
  <si>
    <t>Nuclear_Elec</t>
  </si>
  <si>
    <t>Wind_Elec</t>
  </si>
  <si>
    <t>Solar_Elec</t>
  </si>
  <si>
    <t>Total</t>
  </si>
  <si>
    <t>B1</t>
    <phoneticPr fontId="1" type="noConversion"/>
  </si>
  <si>
    <t>B2a</t>
    <phoneticPr fontId="1" type="noConversion"/>
  </si>
  <si>
    <t>B2b</t>
    <phoneticPr fontId="1" type="noConversion"/>
  </si>
  <si>
    <t>Overall</t>
  </si>
  <si>
    <t>GDP</t>
    <phoneticPr fontId="1" type="noConversion"/>
  </si>
  <si>
    <t>排放</t>
  </si>
  <si>
    <t>排放</t>
    <phoneticPr fontId="1" type="noConversion"/>
  </si>
  <si>
    <t>能源消费（Mt)</t>
    <phoneticPr fontId="1" type="noConversion"/>
  </si>
  <si>
    <t>非化石能源比例</t>
    <phoneticPr fontId="1" type="noConversion"/>
  </si>
  <si>
    <t>B1</t>
    <phoneticPr fontId="1" type="noConversion"/>
  </si>
  <si>
    <t>电力结构</t>
    <phoneticPr fontId="1" type="noConversion"/>
  </si>
  <si>
    <t>2030-A1</t>
    <phoneticPr fontId="1" type="noConversion"/>
  </si>
  <si>
    <t>NF-total</t>
    <phoneticPr fontId="1" type="noConversion"/>
  </si>
  <si>
    <t>coal</t>
  </si>
  <si>
    <t>coal</t>
    <phoneticPr fontId="1" type="noConversion"/>
  </si>
  <si>
    <t>oil</t>
  </si>
  <si>
    <t>gas</t>
    <phoneticPr fontId="1" type="noConversion"/>
  </si>
  <si>
    <t>发电量（GWh）</t>
    <phoneticPr fontId="1" type="noConversion"/>
  </si>
  <si>
    <t>发电比例</t>
    <phoneticPr fontId="1" type="noConversion"/>
  </si>
  <si>
    <t>2030-B1</t>
    <phoneticPr fontId="1" type="noConversion"/>
  </si>
  <si>
    <t>2030-B'</t>
    <phoneticPr fontId="1" type="noConversion"/>
  </si>
  <si>
    <t>Coal</t>
    <phoneticPr fontId="1" type="noConversion"/>
  </si>
  <si>
    <t>roil</t>
    <phoneticPr fontId="1" type="noConversion"/>
  </si>
  <si>
    <t>gas</t>
    <phoneticPr fontId="1" type="noConversion"/>
  </si>
  <si>
    <t>2030-B'</t>
    <phoneticPr fontId="1" type="noConversion"/>
  </si>
  <si>
    <t>2030-B'-按原有的电力行业结构生产与B相同的发电量</t>
    <phoneticPr fontId="1" type="noConversion"/>
  </si>
  <si>
    <t>电力行业化石能源投入（十亿元）</t>
    <phoneticPr fontId="1" type="noConversion"/>
  </si>
  <si>
    <t>2010年能源消费（万吨标准煤）</t>
  </si>
  <si>
    <t>2010年能源消费（万吨标准煤）</t>
    <phoneticPr fontId="1" type="noConversion"/>
  </si>
  <si>
    <t>coal</t>
    <phoneticPr fontId="3" type="noConversion"/>
  </si>
  <si>
    <t>roil</t>
    <phoneticPr fontId="3" type="noConversion"/>
  </si>
  <si>
    <t>gas</t>
    <phoneticPr fontId="3" type="noConversion"/>
  </si>
  <si>
    <t>co2 coefficient  （亿吨/十亿元）</t>
    <phoneticPr fontId="3" type="noConversion"/>
  </si>
  <si>
    <t>结构效应</t>
    <phoneticPr fontId="1" type="noConversion"/>
  </si>
  <si>
    <t>规模效应</t>
    <phoneticPr fontId="1" type="noConversion"/>
  </si>
  <si>
    <t>减排效应</t>
    <phoneticPr fontId="1" type="noConversion"/>
  </si>
  <si>
    <t>挤出效应</t>
    <phoneticPr fontId="1" type="noConversion"/>
  </si>
  <si>
    <t>分部门排放变化</t>
    <phoneticPr fontId="1" type="noConversion"/>
  </si>
  <si>
    <t>Energy sector input (billion yuan)</t>
    <phoneticPr fontId="3" type="noConversion"/>
  </si>
  <si>
    <t>转化系数（万吨标准煤/十亿元）</t>
  </si>
  <si>
    <t>转化系数（万吨标准煤/十亿元）</t>
    <phoneticPr fontId="1" type="noConversion"/>
  </si>
  <si>
    <t>能源消费变化（十亿元）</t>
    <phoneticPr fontId="1" type="noConversion"/>
  </si>
  <si>
    <t>能源消费变化（万吨标准煤）</t>
    <phoneticPr fontId="1" type="noConversion"/>
  </si>
  <si>
    <t>Energy sector input (billion yuan)</t>
  </si>
  <si>
    <t>其他工业</t>
    <phoneticPr fontId="1" type="noConversion"/>
  </si>
  <si>
    <t>B1-A1</t>
    <phoneticPr fontId="1" type="noConversion"/>
  </si>
  <si>
    <t>贡献率</t>
    <phoneticPr fontId="1" type="noConversion"/>
  </si>
  <si>
    <t>减排贡献</t>
    <phoneticPr fontId="1" type="noConversion"/>
  </si>
  <si>
    <t>流出</t>
    <phoneticPr fontId="1" type="noConversion"/>
  </si>
  <si>
    <t>流入</t>
    <phoneticPr fontId="1" type="noConversion"/>
  </si>
  <si>
    <t>能源消费变化（百万吨标准煤）</t>
    <phoneticPr fontId="1" type="noConversion"/>
  </si>
  <si>
    <t>流出</t>
    <phoneticPr fontId="1" type="noConversion"/>
  </si>
  <si>
    <t>coal</t>
    <phoneticPr fontId="1" type="noConversion"/>
  </si>
  <si>
    <t>Oilgas</t>
    <phoneticPr fontId="1" type="noConversion"/>
  </si>
  <si>
    <t>total</t>
    <phoneticPr fontId="1" type="noConversion"/>
  </si>
  <si>
    <t>CMENE-Lower</t>
  </si>
  <si>
    <t>BAU</t>
  </si>
  <si>
    <t>CMO-Lower</t>
  </si>
  <si>
    <t>CMO-Higher</t>
  </si>
  <si>
    <t>A2a</t>
    <phoneticPr fontId="1" type="noConversion"/>
  </si>
  <si>
    <t>A2b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</si>
  <si>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</si>
  <si>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</si>
  <si>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</si>
  <si>
    <t>CMENE-Higher</t>
    <phoneticPr fontId="1" type="noConversion"/>
  </si>
  <si>
    <t>Elecutil</t>
  </si>
  <si>
    <t>A2a</t>
    <phoneticPr fontId="1" type="noConversion"/>
  </si>
  <si>
    <t>T_D</t>
  </si>
  <si>
    <t>A1</t>
    <phoneticPr fontId="1" type="noConversion"/>
  </si>
  <si>
    <t>电力行业CO2排放（万吨标准煤）</t>
    <phoneticPr fontId="1" type="noConversion"/>
  </si>
  <si>
    <t>化石燃料</t>
    <phoneticPr fontId="1" type="noConversion"/>
  </si>
  <si>
    <t>A2a</t>
    <phoneticPr fontId="1" type="noConversion"/>
  </si>
  <si>
    <t>A2b</t>
    <phoneticPr fontId="1" type="noConversion"/>
  </si>
  <si>
    <t>就业量-2030</t>
    <phoneticPr fontId="1" type="noConversion"/>
  </si>
  <si>
    <t>BAU</t>
    <phoneticPr fontId="1" type="noConversion"/>
  </si>
  <si>
    <t>人/就业量</t>
    <phoneticPr fontId="1" type="noConversion"/>
  </si>
  <si>
    <t>就业人数变化</t>
    <phoneticPr fontId="1" type="noConversion"/>
  </si>
  <si>
    <t>就业量变化</t>
    <phoneticPr fontId="1" type="noConversion"/>
  </si>
  <si>
    <t>产出变化-2030</t>
    <phoneticPr fontId="1" type="noConversion"/>
  </si>
  <si>
    <t>SME</t>
    <phoneticPr fontId="1" type="noConversion"/>
  </si>
  <si>
    <t>SME</t>
    <phoneticPr fontId="1" type="noConversion"/>
  </si>
  <si>
    <t>单位GDP能耗</t>
    <phoneticPr fontId="1" type="noConversion"/>
  </si>
  <si>
    <t>Oil</t>
    <phoneticPr fontId="1" type="noConversion"/>
  </si>
  <si>
    <t>Gas</t>
    <phoneticPr fontId="1" type="noConversion"/>
  </si>
  <si>
    <t>Hydro</t>
    <phoneticPr fontId="1" type="noConversion"/>
  </si>
  <si>
    <t>Nuclear</t>
    <phoneticPr fontId="1" type="noConversion"/>
  </si>
  <si>
    <t>Wind</t>
    <phoneticPr fontId="1" type="noConversion"/>
  </si>
  <si>
    <t>Solar PV</t>
    <phoneticPr fontId="1" type="noConversion"/>
  </si>
  <si>
    <t>Biomass</t>
    <phoneticPr fontId="1" type="noConversion"/>
  </si>
  <si>
    <t>CM</t>
    <phoneticPr fontId="1" type="noConversion"/>
  </si>
  <si>
    <t>RED</t>
    <phoneticPr fontId="1" type="noConversion"/>
  </si>
  <si>
    <t>RED+CM</t>
    <phoneticPr fontId="1" type="noConversion"/>
  </si>
  <si>
    <t>CM</t>
    <phoneticPr fontId="1" type="noConversion"/>
  </si>
  <si>
    <t>RED</t>
    <phoneticPr fontId="1" type="noConversion"/>
  </si>
  <si>
    <t>B2a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</si>
  <si>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</si>
  <si>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</si>
  <si>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</si>
  <si>
    <t>能源部门减排</t>
    <phoneticPr fontId="1" type="noConversion"/>
  </si>
  <si>
    <t>总减排</t>
    <phoneticPr fontId="1" type="noConversion"/>
  </si>
  <si>
    <t>其他部门排放增加</t>
    <phoneticPr fontId="1" type="noConversion"/>
  </si>
  <si>
    <t>roil</t>
    <phoneticPr fontId="1" type="noConversion"/>
  </si>
  <si>
    <t>gas</t>
    <phoneticPr fontId="1" type="noConversion"/>
  </si>
  <si>
    <t>BAU</t>
    <phoneticPr fontId="1" type="noConversion"/>
  </si>
  <si>
    <t>CM</t>
    <phoneticPr fontId="1" type="noConversion"/>
  </si>
  <si>
    <t>RED</t>
    <phoneticPr fontId="1" type="noConversion"/>
  </si>
  <si>
    <t>RED_CM</t>
    <phoneticPr fontId="1" type="noConversion"/>
  </si>
  <si>
    <t>2030-B'-按B1的电力行业结构生产与A相同的发电量</t>
    <phoneticPr fontId="1" type="noConversion"/>
  </si>
  <si>
    <t>减排效应</t>
  </si>
  <si>
    <t>结构效应</t>
  </si>
  <si>
    <t>规模效应</t>
  </si>
  <si>
    <t>其他能源部门</t>
    <phoneticPr fontId="1" type="noConversion"/>
  </si>
  <si>
    <t>内部溢出效应</t>
    <phoneticPr fontId="1" type="noConversion"/>
  </si>
  <si>
    <t>外部溢出效应</t>
    <phoneticPr fontId="1" type="noConversion"/>
  </si>
  <si>
    <t>溢出排放增加</t>
    <phoneticPr fontId="1" type="noConversion"/>
  </si>
  <si>
    <t>内部溢出</t>
    <phoneticPr fontId="1" type="noConversion"/>
  </si>
  <si>
    <t>EII溢出</t>
    <phoneticPr fontId="1" type="noConversion"/>
  </si>
  <si>
    <t>其他部门</t>
    <phoneticPr fontId="1" type="noConversion"/>
  </si>
  <si>
    <t>劳动需求量</t>
    <phoneticPr fontId="1" type="noConversion"/>
  </si>
  <si>
    <t>劳动供给量</t>
    <phoneticPr fontId="1" type="noConversion"/>
  </si>
  <si>
    <t>就业需求</t>
    <phoneticPr fontId="1" type="noConversion"/>
  </si>
  <si>
    <t>就业供给</t>
    <phoneticPr fontId="1" type="noConversion"/>
  </si>
  <si>
    <t>就业变化</t>
    <phoneticPr fontId="1" type="noConversion"/>
  </si>
  <si>
    <t>=</t>
    <phoneticPr fontId="1" type="noConversion"/>
  </si>
  <si>
    <t>Gas</t>
    <phoneticPr fontId="1" type="noConversion"/>
  </si>
  <si>
    <t>Oilgas</t>
    <phoneticPr fontId="1" type="noConversion"/>
  </si>
  <si>
    <t>Reduction</t>
    <phoneticPr fontId="1" type="noConversion"/>
  </si>
  <si>
    <t>Cost</t>
    <phoneticPr fontId="1" type="noConversion"/>
  </si>
  <si>
    <t>CM</t>
    <phoneticPr fontId="1" type="noConversion"/>
  </si>
  <si>
    <t>RED</t>
    <phoneticPr fontId="1" type="noConversion"/>
  </si>
  <si>
    <t>CM+RED</t>
    <phoneticPr fontId="1" type="noConversion"/>
  </si>
  <si>
    <t>Benefits</t>
    <phoneticPr fontId="1" type="noConversion"/>
  </si>
  <si>
    <t>Aaheim, 1999</t>
  </si>
  <si>
    <t>Aunan,2004</t>
  </si>
  <si>
    <t>He,2010</t>
  </si>
  <si>
    <t>West,2013</t>
  </si>
  <si>
    <t>Thompson,2014</t>
  </si>
  <si>
    <t>均值</t>
    <phoneticPr fontId="1" type="noConversion"/>
  </si>
  <si>
    <t>误差</t>
    <phoneticPr fontId="1" type="noConversion"/>
  </si>
  <si>
    <t>Upper</t>
    <phoneticPr fontId="1" type="noConversion"/>
  </si>
  <si>
    <t>Lower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</si>
</sst>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%"/>
    <numFmt numFmtId="177" formatCode="0.00_);[Red]\(0.00\)"/>
    <numFmt numFmtId="178" formatCode="0.000"/>
    <numFmt numFmtId="179" formatCode="0.00000000000000_ "/>
    <numFmt numFmtId="180" formatCode="0.00000000000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6" fontId="0" fillId="0" borderId="0" xfId="1" applyNumberFormat="1" applyFont="1" applyAlignment="1"/>
    <xf numFmtId="176" fontId="0" fillId="0" borderId="0" xfId="1" quotePrefix="1" applyNumberFormat="1" applyFont="1" applyAlignment="1">
      <alignment vertical="center"/>
    </xf>
    <xf numFmtId="176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0" fontId="0" fillId="0" borderId="0" xfId="1" applyNumberFormat="1" applyFont="1" applyAlignment="1">
      <alignment vertical="center"/>
    </xf>
    <xf numFmtId="9" fontId="0" fillId="0" borderId="0" xfId="1" applyFont="1" applyAlignment="1">
      <alignment vertical="center"/>
    </xf>
    <xf numFmtId="176" fontId="0" fillId="0" borderId="0" xfId="0" applyNumberFormat="1"/>
    <xf numFmtId="176" fontId="0" fillId="0" borderId="0" xfId="0" quotePrefix="1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0" fontId="0" fillId="0" borderId="0" xfId="0" applyNumberFormat="1"/>
    <xf numFmtId="10" fontId="0" fillId="0" borderId="0" xfId="0" quotePrefix="1" applyNumberFormat="1" applyAlignment="1">
      <alignment vertical="center"/>
    </xf>
    <xf numFmtId="10" fontId="5" fillId="0" borderId="0" xfId="0" quotePrefix="1" applyNumberFormat="1" applyFont="1" applyAlignment="1">
      <alignment vertical="center"/>
    </xf>
    <xf numFmtId="176" fontId="5" fillId="0" borderId="0" xfId="0" quotePrefix="1" applyNumberFormat="1" applyFont="1" applyAlignment="1">
      <alignment vertical="center"/>
    </xf>
    <xf numFmtId="178" fontId="0" fillId="0" borderId="0" xfId="0" applyNumberFormat="1"/>
    <xf numFmtId="176" fontId="6" fillId="0" borderId="0" xfId="0" quotePrefix="1" applyNumberFormat="1" applyFont="1" applyAlignment="1">
      <alignment vertical="center"/>
    </xf>
    <xf numFmtId="179" fontId="0" fillId="0" borderId="0" xfId="0" applyNumberFormat="1"/>
    <xf numFmtId="180" fontId="0" fillId="0" borderId="0" xfId="0" applyNumberFormat="1"/>
    <xf numFmtId="0" fontId="7" fillId="0" borderId="0" xfId="0" applyFont="1" applyAlignment="1">
      <alignment horizontal="left" vertical="center" readingOrder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GDP!$A$10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GDP!$B$10:$F$10</c15:sqref>
                  </c15:fullRef>
                </c:ext>
              </c:extLst>
              <c:f>GDP!$F$10</c:f>
              <c:numCache>
                <c:formatCode>0.00%</c:formatCode>
                <c:ptCount val="1"/>
                <c:pt idx="0">
                  <c:v>-1.0688989392910742E-3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9-4B64-AC9A-E231B02D972C}"/>
            </c:ext>
          </c:extLst>
        </c:ser>
        <c:ser>
          <c:idx val="2"/>
          <c:order val="2"/>
          <c:tx>
            <c:strRef>
              <c:f>GDP!$A$12</c:f>
              <c:strCache>
                <c:ptCount val="1"/>
                <c:pt idx="0">
                  <c:v>RED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GDP!$B$12:$F$12</c15:sqref>
                  </c15:fullRef>
                </c:ext>
              </c:extLst>
              <c:f>GDP!$F$12</c:f>
              <c:numCache>
                <c:formatCode>0.00%</c:formatCode>
                <c:ptCount val="1"/>
                <c:pt idx="0">
                  <c:v>-3.518253277364547E-3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9-4B64-AC9A-E231B02D972C}"/>
            </c:ext>
          </c:extLst>
        </c:ser>
        <c:ser>
          <c:idx val="3"/>
          <c:order val="3"/>
          <c:tx>
            <c:strRef>
              <c:f>GDP!$A$13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909-49A5-AB52-2E25CC6F652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GDP!$B$13:$F$13</c15:sqref>
                  </c15:fullRef>
                </c:ext>
              </c:extLst>
              <c:f>GDP!$F$13</c:f>
              <c:numCache>
                <c:formatCode>0.00%</c:formatCode>
                <c:ptCount val="1"/>
                <c:pt idx="0">
                  <c:v>-4.2884368075100099E-3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B69-4B64-AC9A-E231B02D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167736"/>
        <c:axId val="376168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GDP!$A$11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solidFill>
                      <a:srgbClr val="92D05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GDP!$B$9:$F$9</c15:sqref>
                        </c15:fullRef>
                        <c15:formulaRef>
                          <c15:sqref>GDP!$F$9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GDP!$B$11:$F$11</c15:sqref>
                        </c15:fullRef>
                        <c15:formulaRef>
                          <c15:sqref>GDP!$F$11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-5.0409046351990172E-3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69-4B64-AC9A-E231B02D972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GDP!$A$14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GDP!$B$9:$F$9</c15:sqref>
                        </c15:fullRef>
                        <c15:formulaRef>
                          <c15:sqref>GDP!$F$9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GDP!$B$14:$F$14</c15:sqref>
                        </c15:fullRef>
                        <c15:formulaRef>
                          <c15:sqref>GDP!$F$14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-9.7857866641254398E-3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69-4B64-AC9A-E231B02D972C}"/>
                  </c:ext>
                </c:extLst>
              </c15:ser>
            </c15:filteredBarSeries>
          </c:ext>
        </c:extLst>
      </c:barChart>
      <c:catAx>
        <c:axId val="3761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6168128"/>
        <c:crosses val="autoZero"/>
        <c:auto val="1"/>
        <c:lblAlgn val="ctr"/>
        <c:lblOffset val="100"/>
        <c:noMultiLvlLbl val="0"/>
      </c:catAx>
      <c:valAx>
        <c:axId val="376168128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GDP  change compared with BAU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61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能源!$B$30:$B$34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2259.5741849212118</c:v>
                </c:pt>
                <c:pt idx="2">
                  <c:v>2680.0377086082185</c:v>
                </c:pt>
                <c:pt idx="3">
                  <c:v>2599.0549538674927</c:v>
                </c:pt>
                <c:pt idx="4">
                  <c:v>2380.080896493208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9A0-B5C0-1ED18A3E4E39}"/>
            </c:ext>
          </c:extLst>
        </c:ser>
        <c:ser>
          <c:idx val="1"/>
          <c:order val="1"/>
          <c:tx>
            <c:strRef>
              <c:f>能源!$C$29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能源!$C$30:$C$34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822.32711101610914</c:v>
                </c:pt>
                <c:pt idx="2">
                  <c:v>1030.887041195158</c:v>
                </c:pt>
                <c:pt idx="3">
                  <c:v>1198.5555910384871</c:v>
                </c:pt>
                <c:pt idx="4">
                  <c:v>1324.3982086687572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4-49A0-B5C0-1ED18A3E4E39}"/>
            </c:ext>
          </c:extLst>
        </c:ser>
        <c:ser>
          <c:idx val="2"/>
          <c:order val="2"/>
          <c:tx>
            <c:strRef>
              <c:f>能源!$D$29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能源!$D$30:$D$34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164.94063446999397</c:v>
                </c:pt>
                <c:pt idx="2">
                  <c:v>205.23456816485213</c:v>
                </c:pt>
                <c:pt idx="3">
                  <c:v>231.3143979559585</c:v>
                </c:pt>
                <c:pt idx="4">
                  <c:v>247.65970788796574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4-49A0-B5C0-1ED18A3E4E39}"/>
            </c:ext>
          </c:extLst>
        </c:ser>
        <c:ser>
          <c:idx val="3"/>
          <c:order val="3"/>
          <c:tx>
            <c:strRef>
              <c:f>能源!$E$29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能源!$E$30:$E$34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326.26936752107332</c:v>
                </c:pt>
                <c:pt idx="2">
                  <c:v>382.90730505134007</c:v>
                </c:pt>
                <c:pt idx="3">
                  <c:v>461.61938110708263</c:v>
                </c:pt>
                <c:pt idx="4">
                  <c:v>537.03251574160072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4-49A0-B5C0-1ED18A3E4E39}"/>
            </c:ext>
          </c:extLst>
        </c:ser>
        <c:ser>
          <c:idx val="4"/>
          <c:order val="4"/>
          <c:tx>
            <c:strRef>
              <c:f>能源!$F$29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能源!$F$30:$F$34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87.000993210005944</c:v>
                </c:pt>
                <c:pt idx="2">
                  <c:v>139.56790758727095</c:v>
                </c:pt>
                <c:pt idx="3">
                  <c:v>182.18108060150021</c:v>
                </c:pt>
                <c:pt idx="4">
                  <c:v>248.1640509003239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4-49A0-B5C0-1ED18A3E4E39}"/>
            </c:ext>
          </c:extLst>
        </c:ser>
        <c:ser>
          <c:idx val="5"/>
          <c:order val="5"/>
          <c:tx>
            <c:strRef>
              <c:f>能源!$G$29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能源!$G$30:$G$34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50.738078821233799</c:v>
                </c:pt>
                <c:pt idx="2">
                  <c:v>119.6299635879724</c:v>
                </c:pt>
                <c:pt idx="3">
                  <c:v>223.92611138565726</c:v>
                </c:pt>
                <c:pt idx="4">
                  <c:v>314.25937742508324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4-49A0-B5C0-1ED18A3E4E39}"/>
            </c:ext>
          </c:extLst>
        </c:ser>
        <c:ser>
          <c:idx val="6"/>
          <c:order val="6"/>
          <c:tx>
            <c:strRef>
              <c:f>能源!$H$29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能源!$H$30:$H$34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3.2587217888214153</c:v>
                </c:pt>
                <c:pt idx="2">
                  <c:v>13.444318970283446</c:v>
                </c:pt>
                <c:pt idx="3">
                  <c:v>22.545281127975738</c:v>
                </c:pt>
                <c:pt idx="4">
                  <c:v>40.760580014046631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4-49A0-B5C0-1ED18A3E4E39}"/>
            </c:ext>
          </c:extLst>
        </c:ser>
        <c:ser>
          <c:idx val="7"/>
          <c:order val="7"/>
          <c:tx>
            <c:strRef>
              <c:f>能源!$I$29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能源!$I$30:$I$34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49.155541837383183</c:v>
                </c:pt>
                <c:pt idx="2">
                  <c:v>91.585788201879055</c:v>
                </c:pt>
                <c:pt idx="3">
                  <c:v>99.524125854344447</c:v>
                </c:pt>
                <c:pt idx="4">
                  <c:v>112.8574330441438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34-49A0-B5C0-1ED18A3E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632"/>
        <c:axId val="538933416"/>
      </c:areaChart>
      <c:catAx>
        <c:axId val="5389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3416"/>
        <c:crosses val="autoZero"/>
        <c:auto val="1"/>
        <c:lblAlgn val="ctr"/>
        <c:lblOffset val="100"/>
        <c:noMultiLvlLbl val="0"/>
      </c:catAx>
      <c:valAx>
        <c:axId val="538933416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396E-2"/>
          <c:y val="0.89626929500945252"/>
          <c:w val="0.9789641294838145"/>
          <c:h val="7.575867701851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RED</a:t>
            </a:r>
            <a:r>
              <a:rPr lang="zh-CN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能源!$B$36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能源!$B$37:$B$41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2259.5741845898965</c:v>
                </c:pt>
                <c:pt idx="2">
                  <c:v>2680.0377075320212</c:v>
                </c:pt>
                <c:pt idx="3">
                  <c:v>2872.7880939232464</c:v>
                </c:pt>
                <c:pt idx="4">
                  <c:v>2989.8180952514776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6-4DF8-9B9C-A0E606B9374E}"/>
            </c:ext>
          </c:extLst>
        </c:ser>
        <c:ser>
          <c:idx val="1"/>
          <c:order val="1"/>
          <c:tx>
            <c:strRef>
              <c:f>能源!$C$36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能源!$C$37:$C$41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822.32711095940681</c:v>
                </c:pt>
                <c:pt idx="2">
                  <c:v>1030.8870409597951</c:v>
                </c:pt>
                <c:pt idx="3">
                  <c:v>1189.5053210475187</c:v>
                </c:pt>
                <c:pt idx="4">
                  <c:v>1312.6000231579383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6-4DF8-9B9C-A0E606B9374E}"/>
            </c:ext>
          </c:extLst>
        </c:ser>
        <c:ser>
          <c:idx val="2"/>
          <c:order val="2"/>
          <c:tx>
            <c:strRef>
              <c:f>能源!$D$36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能源!$D$37:$D$41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164.94063447640306</c:v>
                </c:pt>
                <c:pt idx="2">
                  <c:v>205.23456814303685</c:v>
                </c:pt>
                <c:pt idx="3">
                  <c:v>237.02024711183788</c:v>
                </c:pt>
                <c:pt idx="4">
                  <c:v>262.72042182958245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6-4DF8-9B9C-A0E606B9374E}"/>
            </c:ext>
          </c:extLst>
        </c:ser>
        <c:ser>
          <c:idx val="3"/>
          <c:order val="3"/>
          <c:tx>
            <c:strRef>
              <c:f>能源!$E$36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能源!$E$37:$E$41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326.26936753210907</c:v>
                </c:pt>
                <c:pt idx="2">
                  <c:v>382.90730510048888</c:v>
                </c:pt>
                <c:pt idx="3">
                  <c:v>487.67769982351689</c:v>
                </c:pt>
                <c:pt idx="4">
                  <c:v>531.93765639439118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6-4DF8-9B9C-A0E606B9374E}"/>
            </c:ext>
          </c:extLst>
        </c:ser>
        <c:ser>
          <c:idx val="4"/>
          <c:order val="4"/>
          <c:tx>
            <c:strRef>
              <c:f>能源!$F$36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能源!$F$37:$F$41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87.000993219238708</c:v>
                </c:pt>
                <c:pt idx="2">
                  <c:v>139.56790761456719</c:v>
                </c:pt>
                <c:pt idx="3">
                  <c:v>238.4382121017249</c:v>
                </c:pt>
                <c:pt idx="4">
                  <c:v>331.94466493180408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6-4DF8-9B9C-A0E606B9374E}"/>
            </c:ext>
          </c:extLst>
        </c:ser>
        <c:ser>
          <c:idx val="5"/>
          <c:order val="5"/>
          <c:tx>
            <c:strRef>
              <c:f>能源!$G$36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能源!$G$37:$G$41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50.738078840082977</c:v>
                </c:pt>
                <c:pt idx="2">
                  <c:v>119.62996371185642</c:v>
                </c:pt>
                <c:pt idx="3">
                  <c:v>297.60142785142506</c:v>
                </c:pt>
                <c:pt idx="4">
                  <c:v>507.51494034506015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C6-4DF8-9B9C-A0E606B9374E}"/>
            </c:ext>
          </c:extLst>
        </c:ser>
        <c:ser>
          <c:idx val="6"/>
          <c:order val="6"/>
          <c:tx>
            <c:strRef>
              <c:f>能源!$H$36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能源!$H$37:$H$41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3.2587217986876689</c:v>
                </c:pt>
                <c:pt idx="2">
                  <c:v>13.444319045609927</c:v>
                </c:pt>
                <c:pt idx="3">
                  <c:v>63.142310503381147</c:v>
                </c:pt>
                <c:pt idx="4">
                  <c:v>129.2908741289605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C6-4DF8-9B9C-A0E606B9374E}"/>
            </c:ext>
          </c:extLst>
        </c:ser>
        <c:ser>
          <c:idx val="7"/>
          <c:order val="7"/>
          <c:tx>
            <c:strRef>
              <c:f>能源!$I$36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能源!$I$37:$I$41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49.155541840561092</c:v>
                </c:pt>
                <c:pt idx="2">
                  <c:v>91.585788217397038</c:v>
                </c:pt>
                <c:pt idx="3">
                  <c:v>109.50617806702897</c:v>
                </c:pt>
                <c:pt idx="4">
                  <c:v>132.55622508526591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C6-4DF8-9B9C-A0E606B9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7928"/>
        <c:axId val="538929104"/>
      </c:areaChart>
      <c:catAx>
        <c:axId val="5389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104"/>
        <c:crosses val="autoZero"/>
        <c:auto val="1"/>
        <c:lblAlgn val="ctr"/>
        <c:lblOffset val="100"/>
        <c:noMultiLvlLbl val="0"/>
      </c:catAx>
      <c:valAx>
        <c:axId val="53892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396E-2"/>
          <c:y val="0.88773038786818337"/>
          <c:w val="0.97618635170603674"/>
          <c:h val="8.4491834354039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RED+CM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能源!$B$43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能源!$B$44:$B$48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2259.5741849212118</c:v>
                </c:pt>
                <c:pt idx="2">
                  <c:v>2680.0377086082185</c:v>
                </c:pt>
                <c:pt idx="3">
                  <c:v>2846.8155270523607</c:v>
                </c:pt>
                <c:pt idx="4">
                  <c:v>2872.597662784472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5-4410-AA17-9C174085D915}"/>
            </c:ext>
          </c:extLst>
        </c:ser>
        <c:ser>
          <c:idx val="1"/>
          <c:order val="1"/>
          <c:tx>
            <c:strRef>
              <c:f>能源!$C$43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能源!$C$44:$C$48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822.32711101610914</c:v>
                </c:pt>
                <c:pt idx="2">
                  <c:v>1030.887041195158</c:v>
                </c:pt>
                <c:pt idx="3">
                  <c:v>1189.6287809947639</c:v>
                </c:pt>
                <c:pt idx="4">
                  <c:v>1312.8525224109781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5-4410-AA17-9C174085D915}"/>
            </c:ext>
          </c:extLst>
        </c:ser>
        <c:ser>
          <c:idx val="2"/>
          <c:order val="2"/>
          <c:tx>
            <c:strRef>
              <c:f>能源!$D$43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能源!$D$44:$D$48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164.94063446999397</c:v>
                </c:pt>
                <c:pt idx="2">
                  <c:v>205.23456816485213</c:v>
                </c:pt>
                <c:pt idx="3">
                  <c:v>236.63461205002324</c:v>
                </c:pt>
                <c:pt idx="4">
                  <c:v>260.84967491296578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5-4410-AA17-9C174085D915}"/>
            </c:ext>
          </c:extLst>
        </c:ser>
        <c:ser>
          <c:idx val="3"/>
          <c:order val="3"/>
          <c:tx>
            <c:strRef>
              <c:f>能源!$E$43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能源!$E$44:$E$48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326.26936752107332</c:v>
                </c:pt>
                <c:pt idx="2">
                  <c:v>382.90730505134007</c:v>
                </c:pt>
                <c:pt idx="3">
                  <c:v>488.28667844509181</c:v>
                </c:pt>
                <c:pt idx="4">
                  <c:v>533.4999477017941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5-4410-AA17-9C174085D915}"/>
            </c:ext>
          </c:extLst>
        </c:ser>
        <c:ser>
          <c:idx val="4"/>
          <c:order val="4"/>
          <c:tx>
            <c:strRef>
              <c:f>能源!$F$43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能源!$F$44:$F$48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87.000993210005944</c:v>
                </c:pt>
                <c:pt idx="2">
                  <c:v>139.56790758727095</c:v>
                </c:pt>
                <c:pt idx="3">
                  <c:v>238.74200178343401</c:v>
                </c:pt>
                <c:pt idx="4">
                  <c:v>332.90293126554235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5-4410-AA17-9C174085D915}"/>
            </c:ext>
          </c:extLst>
        </c:ser>
        <c:ser>
          <c:idx val="5"/>
          <c:order val="5"/>
          <c:tx>
            <c:strRef>
              <c:f>能源!$G$43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能源!$G$44:$G$48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50.738078821233799</c:v>
                </c:pt>
                <c:pt idx="2">
                  <c:v>119.6299635879724</c:v>
                </c:pt>
                <c:pt idx="3">
                  <c:v>299.41896629032561</c:v>
                </c:pt>
                <c:pt idx="4">
                  <c:v>517.79179389871945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5-4410-AA17-9C174085D915}"/>
            </c:ext>
          </c:extLst>
        </c:ser>
        <c:ser>
          <c:idx val="6"/>
          <c:order val="6"/>
          <c:tx>
            <c:strRef>
              <c:f>能源!$H$43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能源!$H$44:$H$48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3.2587217888214153</c:v>
                </c:pt>
                <c:pt idx="2">
                  <c:v>13.444318970283446</c:v>
                </c:pt>
                <c:pt idx="3">
                  <c:v>63.268302620986383</c:v>
                </c:pt>
                <c:pt idx="4">
                  <c:v>129.93050860524062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5-4410-AA17-9C174085D915}"/>
            </c:ext>
          </c:extLst>
        </c:ser>
        <c:ser>
          <c:idx val="7"/>
          <c:order val="7"/>
          <c:tx>
            <c:strRef>
              <c:f>能源!$I$43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能源!$I$44:$I$48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49.155541837383183</c:v>
                </c:pt>
                <c:pt idx="2">
                  <c:v>91.585788201879055</c:v>
                </c:pt>
                <c:pt idx="3">
                  <c:v>109.76481770330393</c:v>
                </c:pt>
                <c:pt idx="4">
                  <c:v>133.52168275778848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45-4410-AA17-9C174085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7144"/>
        <c:axId val="538927536"/>
      </c:areaChart>
      <c:catAx>
        <c:axId val="53892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536"/>
        <c:crosses val="autoZero"/>
        <c:auto val="1"/>
        <c:lblAlgn val="ctr"/>
        <c:lblOffset val="100"/>
        <c:noMultiLvlLbl val="0"/>
      </c:catAx>
      <c:valAx>
        <c:axId val="53892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RED+CM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能源!$B$50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能源!$B$51:$B$55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2259.5741849212118</c:v>
                </c:pt>
                <c:pt idx="2">
                  <c:v>2680.0377086082185</c:v>
                </c:pt>
                <c:pt idx="3">
                  <c:v>2597.9134623808536</c:v>
                </c:pt>
                <c:pt idx="4">
                  <c:v>2373.2799064704914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96A-8399-650DDD0B5CB0}"/>
            </c:ext>
          </c:extLst>
        </c:ser>
        <c:ser>
          <c:idx val="1"/>
          <c:order val="1"/>
          <c:tx>
            <c:strRef>
              <c:f>能源!$C$50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能源!$C$51:$C$55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822.32711101610914</c:v>
                </c:pt>
                <c:pt idx="2">
                  <c:v>1030.887041195158</c:v>
                </c:pt>
                <c:pt idx="3">
                  <c:v>1189.8211877154863</c:v>
                </c:pt>
                <c:pt idx="4">
                  <c:v>1308.2986903056465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E-496A-8399-650DDD0B5CB0}"/>
            </c:ext>
          </c:extLst>
        </c:ser>
        <c:ser>
          <c:idx val="2"/>
          <c:order val="2"/>
          <c:tx>
            <c:strRef>
              <c:f>能源!$D$50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能源!$D$51:$D$55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164.94063446999397</c:v>
                </c:pt>
                <c:pt idx="2">
                  <c:v>205.23456816485213</c:v>
                </c:pt>
                <c:pt idx="3">
                  <c:v>232.42139047564885</c:v>
                </c:pt>
                <c:pt idx="4">
                  <c:v>250.29484019552984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E-496A-8399-650DDD0B5CB0}"/>
            </c:ext>
          </c:extLst>
        </c:ser>
        <c:ser>
          <c:idx val="3"/>
          <c:order val="3"/>
          <c:tx>
            <c:strRef>
              <c:f>能源!$E$50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能源!$E$51:$E$55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326.26936752107332</c:v>
                </c:pt>
                <c:pt idx="2">
                  <c:v>382.90730505134007</c:v>
                </c:pt>
                <c:pt idx="3">
                  <c:v>494.00802744708915</c:v>
                </c:pt>
                <c:pt idx="4">
                  <c:v>539.5472851295666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E-496A-8399-650DDD0B5CB0}"/>
            </c:ext>
          </c:extLst>
        </c:ser>
        <c:ser>
          <c:idx val="4"/>
          <c:order val="4"/>
          <c:tx>
            <c:strRef>
              <c:f>能源!$F$50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能源!$F$51:$F$55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87.000993210005944</c:v>
                </c:pt>
                <c:pt idx="2">
                  <c:v>139.56790758727095</c:v>
                </c:pt>
                <c:pt idx="3">
                  <c:v>241.43320024725739</c:v>
                </c:pt>
                <c:pt idx="4">
                  <c:v>336.14094740668617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E-496A-8399-650DDD0B5CB0}"/>
            </c:ext>
          </c:extLst>
        </c:ser>
        <c:ser>
          <c:idx val="5"/>
          <c:order val="5"/>
          <c:tx>
            <c:strRef>
              <c:f>能源!$G$50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能源!$G$51:$G$55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50.738078821233799</c:v>
                </c:pt>
                <c:pt idx="2">
                  <c:v>119.6299635879724</c:v>
                </c:pt>
                <c:pt idx="3">
                  <c:v>316.11687207457953</c:v>
                </c:pt>
                <c:pt idx="4">
                  <c:v>558.08795629787164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E-496A-8399-650DDD0B5CB0}"/>
            </c:ext>
          </c:extLst>
        </c:ser>
        <c:ser>
          <c:idx val="6"/>
          <c:order val="6"/>
          <c:tx>
            <c:strRef>
              <c:f>能源!$H$50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能源!$H$51:$H$55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3.2587217888214153</c:v>
                </c:pt>
                <c:pt idx="2">
                  <c:v>13.444318970283446</c:v>
                </c:pt>
                <c:pt idx="3">
                  <c:v>64.444971864515182</c:v>
                </c:pt>
                <c:pt idx="4">
                  <c:v>132.45149081111762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4E-496A-8399-650DDD0B5CB0}"/>
            </c:ext>
          </c:extLst>
        </c:ser>
        <c:ser>
          <c:idx val="7"/>
          <c:order val="7"/>
          <c:tx>
            <c:strRef>
              <c:f>能源!$I$50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能源!$I$51:$I$55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49.155541837383183</c:v>
                </c:pt>
                <c:pt idx="2">
                  <c:v>91.585788201879055</c:v>
                </c:pt>
                <c:pt idx="3">
                  <c:v>112.15180736638663</c:v>
                </c:pt>
                <c:pt idx="4">
                  <c:v>137.26615685239148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4E-496A-8399-650DDD0B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240"/>
        <c:axId val="538928712"/>
      </c:areaChart>
      <c:catAx>
        <c:axId val="53893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8712"/>
        <c:crosses val="autoZero"/>
        <c:auto val="1"/>
        <c:lblAlgn val="ctr"/>
        <c:lblOffset val="100"/>
        <c:noMultiLvlLbl val="0"/>
      </c:catAx>
      <c:valAx>
        <c:axId val="538928712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能源!$J$1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能源!$J$2:$J$6</c:f>
              <c:numCache>
                <c:formatCode>General</c:formatCode>
                <c:ptCount val="5"/>
                <c:pt idx="0">
                  <c:v>9.8195305233858203</c:v>
                </c:pt>
                <c:pt idx="1">
                  <c:v>13.72273155246635</c:v>
                </c:pt>
                <c:pt idx="2">
                  <c:v>16.021618785094187</c:v>
                </c:pt>
                <c:pt idx="3">
                  <c:v>17.800367582754799</c:v>
                </c:pt>
                <c:pt idx="4">
                  <c:v>20.028565001973448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F-45B7-9C22-B889D3088DCA}"/>
            </c:ext>
          </c:extLst>
        </c:ser>
        <c:ser>
          <c:idx val="1"/>
          <c:order val="1"/>
          <c:tx>
            <c:strRef>
              <c:f>能源!$K$1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能源!$K$2:$K$6</c:f>
              <c:numCache>
                <c:formatCode>General</c:formatCode>
                <c:ptCount val="5"/>
                <c:pt idx="0">
                  <c:v>9.8195305233858186</c:v>
                </c:pt>
                <c:pt idx="1">
                  <c:v>13.722731549878899</c:v>
                </c:pt>
                <c:pt idx="2">
                  <c:v>16.021618775269626</c:v>
                </c:pt>
                <c:pt idx="3">
                  <c:v>18.455789191420326</c:v>
                </c:pt>
                <c:pt idx="4">
                  <c:v>21.433391470087106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F-45B7-9C22-B889D3088DCA}"/>
            </c:ext>
          </c:extLst>
        </c:ser>
        <c:ser>
          <c:idx val="3"/>
          <c:order val="3"/>
          <c:tx>
            <c:strRef>
              <c:f>能源!$M$1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能源!$M$2:$M$6</c:f>
              <c:numCache>
                <c:formatCode>General</c:formatCode>
                <c:ptCount val="5"/>
                <c:pt idx="0">
                  <c:v>9.8195305233858186</c:v>
                </c:pt>
                <c:pt idx="1">
                  <c:v>13.722731549878899</c:v>
                </c:pt>
                <c:pt idx="2">
                  <c:v>16.021618775269626</c:v>
                </c:pt>
                <c:pt idx="3">
                  <c:v>21.91809382555628</c:v>
                </c:pt>
                <c:pt idx="4">
                  <c:v>27.037434666910514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F-45B7-9C22-B889D3088DCA}"/>
            </c:ext>
          </c:extLst>
        </c:ser>
        <c:ser>
          <c:idx val="4"/>
          <c:order val="4"/>
          <c:tx>
            <c:strRef>
              <c:f>能源!$N$1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  <c:extLst xmlns:c15="http://schemas.microsoft.com/office/drawing/2012/chart"/>
            </c:strRef>
          </c:cat>
          <c:val>
            <c:numRef>
              <c:f>能源!$N$2:$N$6</c:f>
              <c:numCache>
                <c:formatCode>General</c:formatCode>
                <c:ptCount val="5"/>
                <c:pt idx="0">
                  <c:v>9.8195305233858186</c:v>
                </c:pt>
                <c:pt idx="1">
                  <c:v>13.81363126896235</c:v>
                </c:pt>
                <c:pt idx="2">
                  <c:v>16.219701838491478</c:v>
                </c:pt>
                <c:pt idx="3">
                  <c:v>22.282561589012094</c:v>
                </c:pt>
                <c:pt idx="4">
                  <c:v>27.561687349611358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73F-45B7-9C22-B889D308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9496"/>
        <c:axId val="538933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能源!$L$1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能源!$L$2:$L$6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9.8195305233858186</c:v>
                      </c:pt>
                      <c:pt idx="1">
                        <c:v>13.722731549878899</c:v>
                      </c:pt>
                      <c:pt idx="2">
                        <c:v>16.021618775269626</c:v>
                      </c:pt>
                      <c:pt idx="3">
                        <c:v>19.722076506637613</c:v>
                      </c:pt>
                      <c:pt idx="4">
                        <c:v>24.073443535393437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3F-45B7-9C22-B889D3088DC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能源!$O$1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9.8195305233858186</c:v>
                      </c:pt>
                      <c:pt idx="1">
                        <c:v>13.722731549878899</c:v>
                      </c:pt>
                      <c:pt idx="2">
                        <c:v>16.021618775269626</c:v>
                      </c:pt>
                      <c:pt idx="3">
                        <c:v>23.400955046695799</c:v>
                      </c:pt>
                      <c:pt idx="4">
                        <c:v>30.228621380499867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3F-45B7-9C22-B889D3088DCA}"/>
                  </c:ext>
                </c:extLst>
              </c15:ser>
            </c15:filteredLineSeries>
          </c:ext>
        </c:extLst>
      </c:lineChart>
      <c:catAx>
        <c:axId val="53892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3808"/>
        <c:crosses val="autoZero"/>
        <c:auto val="1"/>
        <c:lblAlgn val="ctr"/>
        <c:lblOffset val="100"/>
        <c:noMultiLvlLbl val="0"/>
      </c:catAx>
      <c:valAx>
        <c:axId val="53893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Share of Non-fossil Energy in Primary Energy Consumption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8928533089254"/>
          <c:y val="5.596090143904426E-2"/>
          <c:w val="0.81896412811950892"/>
          <c:h val="0.76453108878631548"/>
        </c:manualLayout>
      </c:layout>
      <c:lineChart>
        <c:grouping val="standard"/>
        <c:varyColors val="0"/>
        <c:ser>
          <c:idx val="0"/>
          <c:order val="0"/>
          <c:tx>
            <c:strRef>
              <c:f>排放!$B$49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排放!$B$50:$B$54</c:f>
              <c:numCache>
                <c:formatCode>General</c:formatCode>
                <c:ptCount val="5"/>
                <c:pt idx="0">
                  <c:v>6.1840876931068482</c:v>
                </c:pt>
                <c:pt idx="1">
                  <c:v>7.9405379506648597</c:v>
                </c:pt>
                <c:pt idx="2">
                  <c:v>9.536159297748096</c:v>
                </c:pt>
                <c:pt idx="3">
                  <c:v>10.723105459061792</c:v>
                </c:pt>
                <c:pt idx="4">
                  <c:v>11.531302521926802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4-4A59-AF66-A4BCC6ED46E5}"/>
            </c:ext>
          </c:extLst>
        </c:ser>
        <c:ser>
          <c:idx val="1"/>
          <c:order val="1"/>
          <c:tx>
            <c:strRef>
              <c:f>排放!$C$49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排放!$C$50:$C$54</c:f>
              <c:numCache>
                <c:formatCode>General</c:formatCode>
                <c:ptCount val="5"/>
                <c:pt idx="0">
                  <c:v>6.1840877380735968</c:v>
                </c:pt>
                <c:pt idx="1">
                  <c:v>7.9405380086218882</c:v>
                </c:pt>
                <c:pt idx="2">
                  <c:v>9.5361593685898036</c:v>
                </c:pt>
                <c:pt idx="3">
                  <c:v>10.349471960890595</c:v>
                </c:pt>
                <c:pt idx="4">
                  <c:v>10.705181989865773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A59-AF66-A4BCC6ED46E5}"/>
            </c:ext>
          </c:extLst>
        </c:ser>
        <c:ser>
          <c:idx val="3"/>
          <c:order val="3"/>
          <c:tx>
            <c:strRef>
              <c:f>排放!$E$49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排放!$E$50:$E$54</c:f>
              <c:numCache>
                <c:formatCode>General</c:formatCode>
                <c:ptCount val="5"/>
                <c:pt idx="0">
                  <c:v>6.1840876931068482</c:v>
                </c:pt>
                <c:pt idx="1">
                  <c:v>7.9405379506648597</c:v>
                </c:pt>
                <c:pt idx="2">
                  <c:v>9.536159297748096</c:v>
                </c:pt>
                <c:pt idx="3">
                  <c:v>10.40523243347241</c:v>
                </c:pt>
                <c:pt idx="4">
                  <c:v>10.992527885713999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4-4A59-AF66-A4BCC6ED46E5}"/>
            </c:ext>
          </c:extLst>
        </c:ser>
        <c:ser>
          <c:idx val="4"/>
          <c:order val="4"/>
          <c:tx>
            <c:strRef>
              <c:f>排放!$F$49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  <c:extLst xmlns:c15="http://schemas.microsoft.com/office/drawing/2012/chart"/>
            </c:strRef>
          </c:cat>
          <c:val>
            <c:numRef>
              <c:f>排放!$F$50:$F$54</c:f>
              <c:numCache>
                <c:formatCode>General</c:formatCode>
                <c:ptCount val="5"/>
                <c:pt idx="0">
                  <c:v>6.1840877380735968</c:v>
                </c:pt>
                <c:pt idx="1">
                  <c:v>7.9405380086218882</c:v>
                </c:pt>
                <c:pt idx="2">
                  <c:v>9.5361593685898036</c:v>
                </c:pt>
                <c:pt idx="3">
                  <c:v>10.334090108123577</c:v>
                </c:pt>
                <c:pt idx="4">
                  <c:v>10.670679370889085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C24-4A59-AF66-A4BCC6ED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9888"/>
        <c:axId val="538930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排放!$D$49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排放!$A$50:$A$54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排放!$D$50:$D$54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6.1840877380735968</c:v>
                      </c:pt>
                      <c:pt idx="1">
                        <c:v>7.9405380086218882</c:v>
                      </c:pt>
                      <c:pt idx="2">
                        <c:v>9.5361593685898036</c:v>
                      </c:pt>
                      <c:pt idx="3">
                        <c:v>9.6673655886832037</c:v>
                      </c:pt>
                      <c:pt idx="4">
                        <c:v>9.3297885150532505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24-4A59-AF66-A4BCC6ED46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排放!$G$49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排放!$A$50:$A$54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排放!$G$50:$G$54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6.1840877380735968</c:v>
                      </c:pt>
                      <c:pt idx="1">
                        <c:v>7.9405380086218882</c:v>
                      </c:pt>
                      <c:pt idx="2">
                        <c:v>9.5361593685898036</c:v>
                      </c:pt>
                      <c:pt idx="3">
                        <c:v>9.6496800613669862</c:v>
                      </c:pt>
                      <c:pt idx="4">
                        <c:v>9.2852954837415531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24-4A59-AF66-A4BCC6ED46E5}"/>
                  </c:ext>
                </c:extLst>
              </c15:ser>
            </c15:filteredLineSeries>
          </c:ext>
        </c:extLst>
      </c:lineChart>
      <c:catAx>
        <c:axId val="5389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30672"/>
        <c:crosses val="autoZero"/>
        <c:auto val="1"/>
        <c:lblAlgn val="ctr"/>
        <c:lblOffset val="100"/>
        <c:noMultiLvlLbl val="0"/>
      </c:catAx>
      <c:valAx>
        <c:axId val="538930672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Dioxide Emission</a:t>
                </a:r>
              </a:p>
              <a:p>
                <a:pPr>
                  <a:defRPr/>
                </a:pPr>
                <a:r>
                  <a:rPr lang="en-US"/>
                  <a:t>(Billion 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03258967629049"/>
          <c:y val="0.89482704317132777"/>
          <c:w val="0.56993460192475942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排放!$B$72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排放!$B$73:$B$77</c15:sqref>
                  </c15:fullRef>
                </c:ext>
              </c:extLst>
              <c:f>排放!$B$77</c:f>
              <c:numCache>
                <c:formatCode>0.0%</c:formatCode>
                <c:ptCount val="1"/>
                <c:pt idx="0">
                  <c:v>0.56959249274569423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5-4779-B09A-E76C68CDDBE2}"/>
            </c:ext>
          </c:extLst>
        </c:ser>
        <c:ser>
          <c:idx val="1"/>
          <c:order val="1"/>
          <c:tx>
            <c:strRef>
              <c:f>排放!$C$72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排放!$C$73:$C$77</c15:sqref>
                  </c15:fullRef>
                </c:ext>
              </c:extLst>
              <c:f>排放!$C$77</c:f>
              <c:numCache>
                <c:formatCode>0.0%</c:formatCode>
                <c:ptCount val="1"/>
                <c:pt idx="0">
                  <c:v>0.59999999956551453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5-4779-B09A-E76C68CDDBE2}"/>
            </c:ext>
          </c:extLst>
        </c:ser>
        <c:ser>
          <c:idx val="3"/>
          <c:order val="3"/>
          <c:tx>
            <c:strRef>
              <c:f>排放!$E$72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排放!$E$73:$E$77</c15:sqref>
                  </c15:fullRef>
                </c:ext>
              </c:extLst>
              <c:f>排放!$E$77</c:f>
              <c:numCache>
                <c:formatCode>0.0%</c:formatCode>
                <c:ptCount val="1"/>
                <c:pt idx="0">
                  <c:v>0.58825370494481999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5-4779-B09A-E76C68CDDBE2}"/>
            </c:ext>
          </c:extLst>
        </c:ser>
        <c:ser>
          <c:idx val="4"/>
          <c:order val="4"/>
          <c:tx>
            <c:strRef>
              <c:f>排放!$F$72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排放!$F$73:$F$77</c15:sqref>
                  </c15:fullRef>
                </c:ext>
              </c:extLst>
              <c:f>排放!$F$77</c:f>
              <c:numCache>
                <c:formatCode>0.0%</c:formatCode>
                <c:ptCount val="1"/>
                <c:pt idx="0">
                  <c:v>0.59999999957907313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3-46C2-82A9-5ACB777D3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31456"/>
        <c:axId val="5389318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排放!$D$72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排放!$A$77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排放!$D$73:$D$77</c15:sqref>
                        </c15:fullRef>
                        <c15:formulaRef>
                          <c15:sqref>排放!$D$77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0.64999999964996857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6B5-4779-B09A-E76C68CDDBE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排放!$G$72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排放!$A$77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排放!$G$73:$G$77</c15:sqref>
                        </c15:fullRef>
                        <c15:formulaRef>
                          <c15:sqref>排放!$G$77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0.64999999966228739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83-46C2-82A9-5ACB777D3088}"/>
                  </c:ext>
                </c:extLst>
              </c15:ser>
            </c15:filteredBarSeries>
          </c:ext>
        </c:extLst>
      </c:barChart>
      <c:catAx>
        <c:axId val="5389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848"/>
        <c:crosses val="autoZero"/>
        <c:auto val="1"/>
        <c:lblAlgn val="ctr"/>
        <c:lblOffset val="100"/>
        <c:noMultiLvlLbl val="0"/>
      </c:catAx>
      <c:valAx>
        <c:axId val="538931848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Reduction of Carbon Dioxide Intensity in 2030 Compared with that in 2005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排放!$B$72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排放!$A$75</c:f>
              <c:strCache>
                <c:ptCount val="1"/>
                <c:pt idx="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排放!$B$73:$B$77</c15:sqref>
                  </c15:fullRef>
                </c:ext>
              </c:extLst>
              <c:f>排放!$B$75</c:f>
              <c:numCache>
                <c:formatCode>0.0%</c:formatCode>
                <c:ptCount val="1"/>
                <c:pt idx="0">
                  <c:v>0.45778921750874224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1-4720-97D3-B8FE94046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31456"/>
        <c:axId val="5389318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排放!$C$72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排放!$C$73:$C$77</c15:sqref>
                        </c15:fullRef>
                        <c15:formulaRef>
                          <c15:sqref>排放!$C$75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0.45778921346653789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21-4720-97D3-B8FE940462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排放!$D$72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排放!$D$73:$D$77</c15:sqref>
                        </c15:fullRef>
                        <c15:formulaRef>
                          <c15:sqref>排放!$D$75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0.45778921346653789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21-4720-97D3-B8FE940462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排放!$E$72</c15:sqref>
                        </c15:formulaRef>
                      </c:ext>
                    </c:extLst>
                    <c:strCache>
                      <c:ptCount val="1"/>
                      <c:pt idx="0">
                        <c:v>RED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排放!$E$73:$E$77</c15:sqref>
                        </c15:fullRef>
                        <c15:formulaRef>
                          <c15:sqref>排放!$E$75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0.4577892175087529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21-4720-97D3-B8FE9404624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排放!$F$72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排放!$F$73:$F$77</c15:sqref>
                        </c15:fullRef>
                        <c15:formulaRef>
                          <c15:sqref>排放!$F$75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0.45778921346653789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21-4720-97D3-B8FE9404624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排放!$G$72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排放!$G$73:$G$77</c15:sqref>
                        </c15:fullRef>
                        <c15:formulaRef>
                          <c15:sqref>排放!$G$75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0.45778921346653789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21-4720-97D3-B8FE94046249}"/>
                  </c:ext>
                </c:extLst>
              </c15:ser>
            </c15:filteredBarSeries>
          </c:ext>
        </c:extLst>
      </c:barChart>
      <c:catAx>
        <c:axId val="5389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848"/>
        <c:crosses val="autoZero"/>
        <c:auto val="1"/>
        <c:lblAlgn val="ctr"/>
        <c:lblOffset val="100"/>
        <c:noMultiLvlLbl val="0"/>
      </c:catAx>
      <c:valAx>
        <c:axId val="538931848"/>
        <c:scaling>
          <c:orientation val="minMax"/>
          <c:max val="0.70000000000000007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Reduction of Carbon Dioxide Intensity in 2030 Compared with that in 2005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排放!$B$64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排放!$A$65:$A$70</c15:sqref>
                  </c15:fullRef>
                </c:ext>
              </c:extLst>
              <c:f>(排放!$A$65:$A$66,排放!$A$68,排放!$A$70)</c:f>
              <c:strCache>
                <c:ptCount val="4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排放!$B$65:$B$70</c15:sqref>
                  </c15:fullRef>
                </c:ext>
              </c:extLst>
              <c:f>(排放!$B$65:$B$66,排放!$B$68,排放!$B$70)</c:f>
              <c:numCache>
                <c:formatCode>General</c:formatCode>
                <c:ptCount val="4"/>
                <c:pt idx="0">
                  <c:v>2.1548351868183038</c:v>
                </c:pt>
                <c:pt idx="1">
                  <c:v>1.5320459107569782</c:v>
                </c:pt>
                <c:pt idx="2">
                  <c:v>1.1683748727844481</c:v>
                </c:pt>
                <c:pt idx="3">
                  <c:v>0.92745724130233242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A6A-A8EB-536EA8CF33B5}"/>
            </c:ext>
          </c:extLst>
        </c:ser>
        <c:ser>
          <c:idx val="1"/>
          <c:order val="1"/>
          <c:tx>
            <c:strRef>
              <c:f>排放!$C$64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D5-4A6A-A8EB-536EA8CF33B5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排放!$A$65:$A$70</c15:sqref>
                  </c15:fullRef>
                </c:ext>
              </c:extLst>
              <c:f>(排放!$A$65:$A$66,排放!$A$68,排放!$A$70)</c:f>
              <c:strCache>
                <c:ptCount val="4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排放!$C$65:$C$70</c15:sqref>
                  </c15:fullRef>
                </c:ext>
              </c:extLst>
              <c:f>(排放!$C$65:$C$66,排放!$C$68,排放!$C$70)</c:f>
              <c:numCache>
                <c:formatCode>General</c:formatCode>
                <c:ptCount val="4"/>
                <c:pt idx="0">
                  <c:v>2.1548351868183038</c:v>
                </c:pt>
                <c:pt idx="1">
                  <c:v>1.5320459217640827</c:v>
                </c:pt>
                <c:pt idx="2">
                  <c:v>1.1683748814947323</c:v>
                </c:pt>
                <c:pt idx="3">
                  <c:v>0.86193407566356617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5-4A6A-A8EB-536EA8CF33B5}"/>
            </c:ext>
          </c:extLst>
        </c:ser>
        <c:ser>
          <c:idx val="3"/>
          <c:order val="3"/>
          <c:tx>
            <c:strRef>
              <c:f>排放!$E$64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D5-4A6A-A8EB-536EA8CF33B5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排放!$A$65:$A$70</c15:sqref>
                  </c15:fullRef>
                </c:ext>
              </c:extLst>
              <c:f>(排放!$A$65:$A$66,排放!$A$68,排放!$A$70)</c:f>
              <c:strCache>
                <c:ptCount val="4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排放!$E$65:$E$70</c15:sqref>
                  </c15:fullRef>
                </c:ext>
              </c:extLst>
              <c:f>(排放!$E$65:$E$66,排放!$E$68,排放!$E$70)</c:f>
              <c:numCache>
                <c:formatCode>General</c:formatCode>
                <c:ptCount val="4"/>
                <c:pt idx="0">
                  <c:v>2.1548351868183038</c:v>
                </c:pt>
                <c:pt idx="1">
                  <c:v>1.5320459107569782</c:v>
                </c:pt>
                <c:pt idx="2">
                  <c:v>1.1683748727844252</c:v>
                </c:pt>
                <c:pt idx="3">
                  <c:v>0.88724540462697332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5-4A6A-A8EB-536EA8CF33B5}"/>
            </c:ext>
          </c:extLst>
        </c:ser>
        <c:ser>
          <c:idx val="4"/>
          <c:order val="4"/>
          <c:tx>
            <c:strRef>
              <c:f>排放!$F$64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D5-4A6A-A8EB-536EA8CF33B5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排放!$A$65:$A$70</c15:sqref>
                  </c15:fullRef>
                </c:ext>
              </c:extLst>
              <c:f>(排放!$A$65:$A$66,排放!$A$68,排放!$A$70)</c:f>
              <c:strCache>
                <c:ptCount val="4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排放!$F$65:$F$70</c15:sqref>
                  </c15:fullRef>
                </c:ext>
              </c:extLst>
              <c:f>(排放!$F$65:$F$66,排放!$F$68,排放!$F$70)</c:f>
              <c:numCache>
                <c:formatCode>General</c:formatCode>
                <c:ptCount val="4"/>
                <c:pt idx="0">
                  <c:v>2.1548351868183038</c:v>
                </c:pt>
                <c:pt idx="1">
                  <c:v>1.5320459217640827</c:v>
                </c:pt>
                <c:pt idx="2">
                  <c:v>1.1683748814947323</c:v>
                </c:pt>
                <c:pt idx="3">
                  <c:v>0.86193407563434954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5-4A6A-A8EB-536EA8CF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034300959"/>
        <c:axId val="103430761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排放!$D$64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排放!$A$65:$A$70</c15:sqref>
                        </c15:fullRef>
                        <c15:formulaRef>
                          <c15:sqref>(排放!$A$65:$A$66,排放!$A$68,排放!$A$70)</c15:sqref>
                        </c15:formulaRef>
                      </c:ext>
                    </c:extLst>
                    <c:strCache>
                      <c:ptCount val="4"/>
                      <c:pt idx="0">
                        <c:v>2005</c:v>
                      </c:pt>
                      <c:pt idx="1">
                        <c:v>2010</c:v>
                      </c:pt>
                      <c:pt idx="2">
                        <c:v>2020</c:v>
                      </c:pt>
                      <c:pt idx="3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排放!$D$65:$D$70</c15:sqref>
                        </c15:fullRef>
                        <c15:formulaRef>
                          <c15:sqref>(排放!$D$65:$D$66,排放!$D$68,排放!$D$70)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2.1548351868183038</c:v>
                      </c:pt>
                      <c:pt idx="1">
                        <c:v>1.5320459217640827</c:v>
                      </c:pt>
                      <c:pt idx="2">
                        <c:v>1.1683748814947323</c:v>
                      </c:pt>
                      <c:pt idx="3">
                        <c:v>0.7541923161406664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D5-4A6A-A8EB-536EA8CF33B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排放!$G$64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排放!$A$65:$A$70</c15:sqref>
                        </c15:fullRef>
                        <c15:formulaRef>
                          <c15:sqref>(排放!$A$65:$A$66,排放!$A$68,排放!$A$70)</c15:sqref>
                        </c15:formulaRef>
                      </c:ext>
                    </c:extLst>
                    <c:strCache>
                      <c:ptCount val="4"/>
                      <c:pt idx="0">
                        <c:v>2005</c:v>
                      </c:pt>
                      <c:pt idx="1">
                        <c:v>2010</c:v>
                      </c:pt>
                      <c:pt idx="2">
                        <c:v>2020</c:v>
                      </c:pt>
                      <c:pt idx="3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排放!$G$65:$G$70</c15:sqref>
                        </c15:fullRef>
                        <c15:formulaRef>
                          <c15:sqref>(排放!$G$65:$G$66,排放!$G$68,排放!$G$70)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2.1548351868183038</c:v>
                      </c:pt>
                      <c:pt idx="1">
                        <c:v>1.5320459217640827</c:v>
                      </c:pt>
                      <c:pt idx="2">
                        <c:v>1.1683748814947323</c:v>
                      </c:pt>
                      <c:pt idx="3">
                        <c:v>0.75419231611412141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D5-4A6A-A8EB-536EA8CF33B5}"/>
                  </c:ext>
                </c:extLst>
              </c15:ser>
            </c15:filteredBarSeries>
          </c:ext>
        </c:extLst>
      </c:barChart>
      <c:catAx>
        <c:axId val="10343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4307615"/>
        <c:crosses val="autoZero"/>
        <c:auto val="1"/>
        <c:lblAlgn val="ctr"/>
        <c:lblOffset val="100"/>
        <c:noMultiLvlLbl val="0"/>
      </c:catAx>
      <c:valAx>
        <c:axId val="1034307615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Dioxide Intensity</a:t>
                </a:r>
              </a:p>
              <a:p>
                <a:pPr>
                  <a:defRPr/>
                </a:pPr>
                <a:r>
                  <a:rPr lang="en-US"/>
                  <a:t>(Ton/Thousand Yuan)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43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BAU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7.297052154195012E-2"/>
          <c:w val="0.79329396325459323"/>
          <c:h val="0.71807988287178393"/>
        </c:manualLayout>
      </c:layout>
      <c:areaChart>
        <c:grouping val="stacked"/>
        <c:varyColors val="0"/>
        <c:ser>
          <c:idx val="0"/>
          <c:order val="0"/>
          <c:tx>
            <c:strRef>
              <c:f>能源!$B$15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能源!$B$16:$B$20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2259.5741845898929</c:v>
                </c:pt>
                <c:pt idx="2">
                  <c:v>2680.0377075320143</c:v>
                </c:pt>
                <c:pt idx="3">
                  <c:v>2983.9882490704531</c:v>
                </c:pt>
                <c:pt idx="4">
                  <c:v>3177.7739746427869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D-47C4-BF58-0D4F744748F5}"/>
            </c:ext>
          </c:extLst>
        </c:ser>
        <c:ser>
          <c:idx val="1"/>
          <c:order val="1"/>
          <c:tx>
            <c:strRef>
              <c:f>能源!$C$15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能源!$C$16:$C$20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822.32711095940977</c:v>
                </c:pt>
                <c:pt idx="2">
                  <c:v>1030.8870409597932</c:v>
                </c:pt>
                <c:pt idx="3">
                  <c:v>1196.7390912947014</c:v>
                </c:pt>
                <c:pt idx="4">
                  <c:v>1325.4962392431405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D-47C4-BF58-0D4F744748F5}"/>
            </c:ext>
          </c:extLst>
        </c:ser>
        <c:ser>
          <c:idx val="2"/>
          <c:order val="2"/>
          <c:tx>
            <c:strRef>
              <c:f>能源!$D$15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能源!$D$16:$D$20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164.94063447640269</c:v>
                </c:pt>
                <c:pt idx="2">
                  <c:v>205.23456814303736</c:v>
                </c:pt>
                <c:pt idx="3">
                  <c:v>237.90280206426817</c:v>
                </c:pt>
                <c:pt idx="4">
                  <c:v>264.3723112094354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D-47C4-BF58-0D4F744748F5}"/>
            </c:ext>
          </c:extLst>
        </c:ser>
        <c:ser>
          <c:idx val="3"/>
          <c:order val="3"/>
          <c:tx>
            <c:strRef>
              <c:f>能源!$E$15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能源!$E$16:$E$20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326.26936753213312</c:v>
                </c:pt>
                <c:pt idx="2">
                  <c:v>382.90730510048633</c:v>
                </c:pt>
                <c:pt idx="3">
                  <c:v>452.53814224165649</c:v>
                </c:pt>
                <c:pt idx="4">
                  <c:v>523.38253568499465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D-47C4-BF58-0D4F744748F5}"/>
            </c:ext>
          </c:extLst>
        </c:ser>
        <c:ser>
          <c:idx val="4"/>
          <c:order val="4"/>
          <c:tx>
            <c:strRef>
              <c:f>能源!$F$15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能源!$F$16:$F$20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87.000993219235141</c:v>
                </c:pt>
                <c:pt idx="2">
                  <c:v>139.56790761456742</c:v>
                </c:pt>
                <c:pt idx="3">
                  <c:v>178.79640803944014</c:v>
                </c:pt>
                <c:pt idx="4">
                  <c:v>242.59724147513825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D-47C4-BF58-0D4F744748F5}"/>
            </c:ext>
          </c:extLst>
        </c:ser>
        <c:ser>
          <c:idx val="5"/>
          <c:order val="5"/>
          <c:tx>
            <c:strRef>
              <c:f>能源!$G$15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能源!$G$16:$G$20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50.738078840073193</c:v>
                </c:pt>
                <c:pt idx="2">
                  <c:v>119.62996371185181</c:v>
                </c:pt>
                <c:pt idx="3">
                  <c:v>207.40647108246287</c:v>
                </c:pt>
                <c:pt idx="4">
                  <c:v>281.36116018609886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D-47C4-BF58-0D4F744748F5}"/>
            </c:ext>
          </c:extLst>
        </c:ser>
        <c:ser>
          <c:idx val="6"/>
          <c:order val="6"/>
          <c:tx>
            <c:strRef>
              <c:f>能源!$H$15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能源!$H$16:$H$20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3.258721798681643</c:v>
                </c:pt>
                <c:pt idx="2">
                  <c:v>13.44431904561297</c:v>
                </c:pt>
                <c:pt idx="3">
                  <c:v>21.976309053414411</c:v>
                </c:pt>
                <c:pt idx="4">
                  <c:v>39.463922016533516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D-47C4-BF58-0D4F744748F5}"/>
            </c:ext>
          </c:extLst>
        </c:ser>
        <c:ser>
          <c:idx val="7"/>
          <c:order val="7"/>
          <c:tx>
            <c:strRef>
              <c:f>能源!$I$15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能源!$I$16:$I$20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49.155541840558222</c:v>
                </c:pt>
                <c:pt idx="2">
                  <c:v>91.585788217395987</c:v>
                </c:pt>
                <c:pt idx="3">
                  <c:v>96.139025682529876</c:v>
                </c:pt>
                <c:pt idx="4">
                  <c:v>107.23446508354061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D-47C4-BF58-0D4F7447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99112"/>
        <c:axId val="543899504"/>
      </c:areaChart>
      <c:catAx>
        <c:axId val="54389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3899504"/>
        <c:crosses val="autoZero"/>
        <c:auto val="1"/>
        <c:lblAlgn val="ctr"/>
        <c:lblOffset val="100"/>
        <c:noMultiLvlLbl val="0"/>
      </c:catAx>
      <c:valAx>
        <c:axId val="54389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Primary Energy Consumption (Mtce)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389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71303587051801E-4"/>
          <c:y val="0.89698964712744245"/>
          <c:w val="0.99285301837270346"/>
          <c:h val="7.5232575094779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CM-Higher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'失业 '!$B$59</c:f>
              <c:strCache>
                <c:ptCount val="1"/>
                <c:pt idx="0">
                  <c:v>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'!$B$60:$B$64</c:f>
              <c:numCache>
                <c:formatCode>General</c:formatCode>
                <c:ptCount val="5"/>
                <c:pt idx="0">
                  <c:v>-3.4608108566425155E-8</c:v>
                </c:pt>
                <c:pt idx="1">
                  <c:v>-1.6741591489857766E-8</c:v>
                </c:pt>
                <c:pt idx="2">
                  <c:v>-1.9472288018129724E-8</c:v>
                </c:pt>
                <c:pt idx="3">
                  <c:v>0.41596730519986752</c:v>
                </c:pt>
                <c:pt idx="4">
                  <c:v>0.80972707790667875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C-4652-BBE3-AA2B15DE593E}"/>
            </c:ext>
          </c:extLst>
        </c:ser>
        <c:ser>
          <c:idx val="1"/>
          <c:order val="1"/>
          <c:tx>
            <c:strRef>
              <c:f>'失业 '!$C$59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'!$C$60:$C$64</c:f>
              <c:numCache>
                <c:formatCode>General</c:formatCode>
                <c:ptCount val="5"/>
                <c:pt idx="0">
                  <c:v>-4.4928028311574941E-9</c:v>
                </c:pt>
                <c:pt idx="1">
                  <c:v>2.6126240927626387E-10</c:v>
                </c:pt>
                <c:pt idx="2">
                  <c:v>-6.2788020810240178E-12</c:v>
                </c:pt>
                <c:pt idx="3">
                  <c:v>4.1116625969270766E-3</c:v>
                </c:pt>
                <c:pt idx="4">
                  <c:v>7.1792168970186716E-3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C-4652-BBE3-AA2B15DE593E}"/>
            </c:ext>
          </c:extLst>
        </c:ser>
        <c:ser>
          <c:idx val="2"/>
          <c:order val="2"/>
          <c:tx>
            <c:strRef>
              <c:f>'失业 '!$D$59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'!$D$60:$D$64</c:f>
              <c:numCache>
                <c:formatCode>General</c:formatCode>
                <c:ptCount val="5"/>
                <c:pt idx="0">
                  <c:v>8.6918666708513115E-10</c:v>
                </c:pt>
                <c:pt idx="1">
                  <c:v>2.4266185415233732E-9</c:v>
                </c:pt>
                <c:pt idx="2">
                  <c:v>1.4564292805628598E-9</c:v>
                </c:pt>
                <c:pt idx="3">
                  <c:v>-3.2342990850339789E-3</c:v>
                </c:pt>
                <c:pt idx="4">
                  <c:v>-1.7668357468937277E-4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C-4652-BBE3-AA2B15DE593E}"/>
            </c:ext>
          </c:extLst>
        </c:ser>
        <c:ser>
          <c:idx val="3"/>
          <c:order val="3"/>
          <c:tx>
            <c:strRef>
              <c:f>'失业 '!$E$59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'!$E$60:$E$64</c:f>
              <c:numCache>
                <c:formatCode>General</c:formatCode>
                <c:ptCount val="5"/>
                <c:pt idx="0">
                  <c:v>-3.5634148409791067E-9</c:v>
                </c:pt>
                <c:pt idx="1">
                  <c:v>6.6179201875515847E-10</c:v>
                </c:pt>
                <c:pt idx="2">
                  <c:v>3.2205725038854036E-10</c:v>
                </c:pt>
                <c:pt idx="3">
                  <c:v>5.0666660510439643E-6</c:v>
                </c:pt>
                <c:pt idx="4">
                  <c:v>8.8545845885422335E-6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C-4652-BBE3-AA2B15DE593E}"/>
            </c:ext>
          </c:extLst>
        </c:ser>
        <c:ser>
          <c:idx val="4"/>
          <c:order val="4"/>
          <c:tx>
            <c:strRef>
              <c:f>'失业 '!$F$59</c:f>
              <c:strCache>
                <c:ptCount val="1"/>
                <c:pt idx="0">
                  <c:v>jc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'!$F$60:$F$64</c:f>
              <c:numCache>
                <c:formatCode>General</c:formatCode>
                <c:ptCount val="5"/>
                <c:pt idx="0">
                  <c:v>-1.1434911351138055E-8</c:v>
                </c:pt>
                <c:pt idx="1">
                  <c:v>-5.69126299906908E-9</c:v>
                </c:pt>
                <c:pt idx="2">
                  <c:v>-5.9487501730126624E-9</c:v>
                </c:pt>
                <c:pt idx="3">
                  <c:v>0.10391696787745569</c:v>
                </c:pt>
                <c:pt idx="4">
                  <c:v>0.18786817364484265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C-4652-BBE3-AA2B15DE593E}"/>
            </c:ext>
          </c:extLst>
        </c:ser>
        <c:ser>
          <c:idx val="5"/>
          <c:order val="5"/>
          <c:tx>
            <c:strRef>
              <c:f>'失业 '!$G$59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'!$G$60:$G$64</c:f>
              <c:numCache>
                <c:formatCode>General</c:formatCode>
                <c:ptCount val="5"/>
                <c:pt idx="0">
                  <c:v>-1.5052077639854389E-8</c:v>
                </c:pt>
                <c:pt idx="1">
                  <c:v>-6.6118110118862372E-9</c:v>
                </c:pt>
                <c:pt idx="2">
                  <c:v>-6.403293780626873E-9</c:v>
                </c:pt>
                <c:pt idx="3">
                  <c:v>0.10908825652459192</c:v>
                </c:pt>
                <c:pt idx="4">
                  <c:v>0.20170906312406389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C-4652-BBE3-AA2B15DE593E}"/>
            </c:ext>
          </c:extLst>
        </c:ser>
        <c:ser>
          <c:idx val="6"/>
          <c:order val="6"/>
          <c:tx>
            <c:strRef>
              <c:f>'失业 '!$H$59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'!$H$60:$H$64</c:f>
              <c:numCache>
                <c:formatCode>General</c:formatCode>
                <c:ptCount val="5"/>
                <c:pt idx="0">
                  <c:v>-3.153473628059178E-8</c:v>
                </c:pt>
                <c:pt idx="1">
                  <c:v>-1.4122389000413571E-8</c:v>
                </c:pt>
                <c:pt idx="2">
                  <c:v>-1.7674643606330198E-8</c:v>
                </c:pt>
                <c:pt idx="3">
                  <c:v>0.40580435271317872</c:v>
                </c:pt>
                <c:pt idx="4">
                  <c:v>0.80061048893398035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C-4652-BBE3-AA2B15DE593E}"/>
            </c:ext>
          </c:extLst>
        </c:ser>
        <c:ser>
          <c:idx val="7"/>
          <c:order val="7"/>
          <c:tx>
            <c:strRef>
              <c:f>'失业 '!$J$59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'!$J$60:$J$64</c:f>
              <c:numCache>
                <c:formatCode>General</c:formatCode>
                <c:ptCount val="5"/>
                <c:pt idx="0">
                  <c:v>-3.6829428395890318E-9</c:v>
                </c:pt>
                <c:pt idx="1">
                  <c:v>1.2805312366026556E-10</c:v>
                </c:pt>
                <c:pt idx="2">
                  <c:v>-5.709210881832405E-10</c:v>
                </c:pt>
                <c:pt idx="3">
                  <c:v>2.5405667779165864E-2</c:v>
                </c:pt>
                <c:pt idx="4">
                  <c:v>5.1031634640319457E-2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EC-4652-BBE3-AA2B15DE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61120"/>
        <c:axId val="537561512"/>
      </c:lineChart>
      <c:catAx>
        <c:axId val="5375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1512"/>
        <c:crosses val="autoZero"/>
        <c:auto val="1"/>
        <c:lblAlgn val="ctr"/>
        <c:lblOffset val="100"/>
        <c:noMultiLvlLbl val="0"/>
      </c:catAx>
      <c:valAx>
        <c:axId val="53756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9409667541557303"/>
          <c:w val="0.9416666666666666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CM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能源!$B$30:$B$34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2259.5741849212118</c:v>
                </c:pt>
                <c:pt idx="2">
                  <c:v>2680.0377086082185</c:v>
                </c:pt>
                <c:pt idx="3">
                  <c:v>2599.0549538674927</c:v>
                </c:pt>
                <c:pt idx="4">
                  <c:v>2380.080896493208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E-4F68-8BD6-FC0169C47AB5}"/>
            </c:ext>
          </c:extLst>
        </c:ser>
        <c:ser>
          <c:idx val="1"/>
          <c:order val="1"/>
          <c:tx>
            <c:strRef>
              <c:f>能源!$C$29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能源!$C$30:$C$34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822.32711101610914</c:v>
                </c:pt>
                <c:pt idx="2">
                  <c:v>1030.887041195158</c:v>
                </c:pt>
                <c:pt idx="3">
                  <c:v>1198.5555910384871</c:v>
                </c:pt>
                <c:pt idx="4">
                  <c:v>1324.3982086687572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E-4F68-8BD6-FC0169C47AB5}"/>
            </c:ext>
          </c:extLst>
        </c:ser>
        <c:ser>
          <c:idx val="2"/>
          <c:order val="2"/>
          <c:tx>
            <c:strRef>
              <c:f>能源!$D$29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能源!$D$30:$D$34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164.94063446999397</c:v>
                </c:pt>
                <c:pt idx="2">
                  <c:v>205.23456816485213</c:v>
                </c:pt>
                <c:pt idx="3">
                  <c:v>231.3143979559585</c:v>
                </c:pt>
                <c:pt idx="4">
                  <c:v>247.65970788796574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E-4F68-8BD6-FC0169C47AB5}"/>
            </c:ext>
          </c:extLst>
        </c:ser>
        <c:ser>
          <c:idx val="3"/>
          <c:order val="3"/>
          <c:tx>
            <c:strRef>
              <c:f>能源!$E$29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能源!$E$30:$E$34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326.26936752107332</c:v>
                </c:pt>
                <c:pt idx="2">
                  <c:v>382.90730505134007</c:v>
                </c:pt>
                <c:pt idx="3">
                  <c:v>461.61938110708263</c:v>
                </c:pt>
                <c:pt idx="4">
                  <c:v>537.03251574160072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E-4F68-8BD6-FC0169C47AB5}"/>
            </c:ext>
          </c:extLst>
        </c:ser>
        <c:ser>
          <c:idx val="4"/>
          <c:order val="4"/>
          <c:tx>
            <c:strRef>
              <c:f>能源!$F$29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能源!$F$30:$F$34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87.000993210005944</c:v>
                </c:pt>
                <c:pt idx="2">
                  <c:v>139.56790758727095</c:v>
                </c:pt>
                <c:pt idx="3">
                  <c:v>182.18108060150021</c:v>
                </c:pt>
                <c:pt idx="4">
                  <c:v>248.1640509003239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4E-4F68-8BD6-FC0169C47AB5}"/>
            </c:ext>
          </c:extLst>
        </c:ser>
        <c:ser>
          <c:idx val="5"/>
          <c:order val="5"/>
          <c:tx>
            <c:strRef>
              <c:f>能源!$G$29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能源!$G$30:$G$34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50.738078821233799</c:v>
                </c:pt>
                <c:pt idx="2">
                  <c:v>119.6299635879724</c:v>
                </c:pt>
                <c:pt idx="3">
                  <c:v>223.92611138565726</c:v>
                </c:pt>
                <c:pt idx="4">
                  <c:v>314.25937742508324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4E-4F68-8BD6-FC0169C47AB5}"/>
            </c:ext>
          </c:extLst>
        </c:ser>
        <c:ser>
          <c:idx val="6"/>
          <c:order val="6"/>
          <c:tx>
            <c:strRef>
              <c:f>能源!$H$29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能源!$H$30:$H$34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3.2587217888214153</c:v>
                </c:pt>
                <c:pt idx="2">
                  <c:v>13.444318970283446</c:v>
                </c:pt>
                <c:pt idx="3">
                  <c:v>22.545281127975738</c:v>
                </c:pt>
                <c:pt idx="4">
                  <c:v>40.760580014046631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4E-4F68-8BD6-FC0169C47AB5}"/>
            </c:ext>
          </c:extLst>
        </c:ser>
        <c:ser>
          <c:idx val="7"/>
          <c:order val="7"/>
          <c:tx>
            <c:strRef>
              <c:f>能源!$I$29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能源!$I$30:$I$34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49.155541837383183</c:v>
                </c:pt>
                <c:pt idx="2">
                  <c:v>91.585788201879055</c:v>
                </c:pt>
                <c:pt idx="3">
                  <c:v>99.524125854344447</c:v>
                </c:pt>
                <c:pt idx="4">
                  <c:v>112.8574330441438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4E-4F68-8BD6-FC0169C4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632"/>
        <c:axId val="538933416"/>
      </c:areaChart>
      <c:catAx>
        <c:axId val="5389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33416"/>
        <c:crosses val="autoZero"/>
        <c:auto val="1"/>
        <c:lblAlgn val="ctr"/>
        <c:lblOffset val="100"/>
        <c:noMultiLvlLbl val="0"/>
      </c:catAx>
      <c:valAx>
        <c:axId val="538933416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3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405E-2"/>
          <c:y val="0.91025530899546647"/>
          <c:w val="0.9789641294838145"/>
          <c:h val="7.575867701851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RED</a:t>
            </a:r>
            <a:r>
              <a:rPr 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能源!$B$36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能源!$B$37:$B$41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2259.5741845898965</c:v>
                </c:pt>
                <c:pt idx="2">
                  <c:v>2680.0377075320212</c:v>
                </c:pt>
                <c:pt idx="3">
                  <c:v>2872.7880939232464</c:v>
                </c:pt>
                <c:pt idx="4">
                  <c:v>2989.8180952514776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7-4707-9198-926F48AA7EDC}"/>
            </c:ext>
          </c:extLst>
        </c:ser>
        <c:ser>
          <c:idx val="1"/>
          <c:order val="1"/>
          <c:tx>
            <c:strRef>
              <c:f>能源!$C$36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能源!$C$37:$C$41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822.32711095940681</c:v>
                </c:pt>
                <c:pt idx="2">
                  <c:v>1030.8870409597951</c:v>
                </c:pt>
                <c:pt idx="3">
                  <c:v>1189.5053210475187</c:v>
                </c:pt>
                <c:pt idx="4">
                  <c:v>1312.6000231579383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7-4707-9198-926F48AA7EDC}"/>
            </c:ext>
          </c:extLst>
        </c:ser>
        <c:ser>
          <c:idx val="2"/>
          <c:order val="2"/>
          <c:tx>
            <c:strRef>
              <c:f>能源!$D$36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能源!$D$37:$D$41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164.94063447640306</c:v>
                </c:pt>
                <c:pt idx="2">
                  <c:v>205.23456814303685</c:v>
                </c:pt>
                <c:pt idx="3">
                  <c:v>237.02024711183788</c:v>
                </c:pt>
                <c:pt idx="4">
                  <c:v>262.72042182958245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7-4707-9198-926F48AA7EDC}"/>
            </c:ext>
          </c:extLst>
        </c:ser>
        <c:ser>
          <c:idx val="3"/>
          <c:order val="3"/>
          <c:tx>
            <c:strRef>
              <c:f>能源!$E$36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能源!$E$37:$E$41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326.26936753210907</c:v>
                </c:pt>
                <c:pt idx="2">
                  <c:v>382.90730510048888</c:v>
                </c:pt>
                <c:pt idx="3">
                  <c:v>487.67769982351689</c:v>
                </c:pt>
                <c:pt idx="4">
                  <c:v>531.93765639439118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7-4707-9198-926F48AA7EDC}"/>
            </c:ext>
          </c:extLst>
        </c:ser>
        <c:ser>
          <c:idx val="4"/>
          <c:order val="4"/>
          <c:tx>
            <c:strRef>
              <c:f>能源!$F$36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能源!$F$37:$F$41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87.000993219238708</c:v>
                </c:pt>
                <c:pt idx="2">
                  <c:v>139.56790761456719</c:v>
                </c:pt>
                <c:pt idx="3">
                  <c:v>238.4382121017249</c:v>
                </c:pt>
                <c:pt idx="4">
                  <c:v>331.94466493180408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7-4707-9198-926F48AA7EDC}"/>
            </c:ext>
          </c:extLst>
        </c:ser>
        <c:ser>
          <c:idx val="5"/>
          <c:order val="5"/>
          <c:tx>
            <c:strRef>
              <c:f>能源!$G$36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能源!$G$37:$G$41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50.738078840082977</c:v>
                </c:pt>
                <c:pt idx="2">
                  <c:v>119.62996371185642</c:v>
                </c:pt>
                <c:pt idx="3">
                  <c:v>297.60142785142506</c:v>
                </c:pt>
                <c:pt idx="4">
                  <c:v>507.51494034506015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37-4707-9198-926F48AA7EDC}"/>
            </c:ext>
          </c:extLst>
        </c:ser>
        <c:ser>
          <c:idx val="6"/>
          <c:order val="6"/>
          <c:tx>
            <c:strRef>
              <c:f>能源!$H$36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能源!$H$37:$H$41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3.2587217986876689</c:v>
                </c:pt>
                <c:pt idx="2">
                  <c:v>13.444319045609927</c:v>
                </c:pt>
                <c:pt idx="3">
                  <c:v>63.142310503381147</c:v>
                </c:pt>
                <c:pt idx="4">
                  <c:v>129.2908741289605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37-4707-9198-926F48AA7EDC}"/>
            </c:ext>
          </c:extLst>
        </c:ser>
        <c:ser>
          <c:idx val="7"/>
          <c:order val="7"/>
          <c:tx>
            <c:strRef>
              <c:f>能源!$I$36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能源!$I$37:$I$41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49.155541840561092</c:v>
                </c:pt>
                <c:pt idx="2">
                  <c:v>91.585788217397038</c:v>
                </c:pt>
                <c:pt idx="3">
                  <c:v>109.50617806702897</c:v>
                </c:pt>
                <c:pt idx="4">
                  <c:v>132.55622508526591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37-4707-9198-926F48AA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7928"/>
        <c:axId val="538929104"/>
      </c:areaChart>
      <c:catAx>
        <c:axId val="5389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29104"/>
        <c:crosses val="autoZero"/>
        <c:auto val="1"/>
        <c:lblAlgn val="ctr"/>
        <c:lblOffset val="100"/>
        <c:noMultiLvlLbl val="0"/>
      </c:catAx>
      <c:valAx>
        <c:axId val="53892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2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396E-2"/>
          <c:y val="0.88773038786818337"/>
          <c:w val="0.97618635170603674"/>
          <c:h val="8.4491834354039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RED+CM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能源!$B$50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能源!$B$51:$B$55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2259.5741849212118</c:v>
                </c:pt>
                <c:pt idx="2">
                  <c:v>2680.0377086082185</c:v>
                </c:pt>
                <c:pt idx="3">
                  <c:v>2597.9134623808536</c:v>
                </c:pt>
                <c:pt idx="4">
                  <c:v>2373.2799064704914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2-45FB-90D2-F1DAE82008A7}"/>
            </c:ext>
          </c:extLst>
        </c:ser>
        <c:ser>
          <c:idx val="1"/>
          <c:order val="1"/>
          <c:tx>
            <c:strRef>
              <c:f>能源!$C$50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能源!$C$51:$C$55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822.32711101610914</c:v>
                </c:pt>
                <c:pt idx="2">
                  <c:v>1030.887041195158</c:v>
                </c:pt>
                <c:pt idx="3">
                  <c:v>1189.8211877154863</c:v>
                </c:pt>
                <c:pt idx="4">
                  <c:v>1308.2986903056465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2-45FB-90D2-F1DAE82008A7}"/>
            </c:ext>
          </c:extLst>
        </c:ser>
        <c:ser>
          <c:idx val="2"/>
          <c:order val="2"/>
          <c:tx>
            <c:strRef>
              <c:f>能源!$D$50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能源!$D$51:$D$55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164.94063446999397</c:v>
                </c:pt>
                <c:pt idx="2">
                  <c:v>205.23456816485213</c:v>
                </c:pt>
                <c:pt idx="3">
                  <c:v>232.42139047564885</c:v>
                </c:pt>
                <c:pt idx="4">
                  <c:v>250.29484019552984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2-45FB-90D2-F1DAE82008A7}"/>
            </c:ext>
          </c:extLst>
        </c:ser>
        <c:ser>
          <c:idx val="3"/>
          <c:order val="3"/>
          <c:tx>
            <c:strRef>
              <c:f>能源!$E$50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能源!$E$51:$E$55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326.26936752107332</c:v>
                </c:pt>
                <c:pt idx="2">
                  <c:v>382.90730505134007</c:v>
                </c:pt>
                <c:pt idx="3">
                  <c:v>494.00802744708915</c:v>
                </c:pt>
                <c:pt idx="4">
                  <c:v>539.5472851295666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2-45FB-90D2-F1DAE82008A7}"/>
            </c:ext>
          </c:extLst>
        </c:ser>
        <c:ser>
          <c:idx val="4"/>
          <c:order val="4"/>
          <c:tx>
            <c:strRef>
              <c:f>能源!$F$50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能源!$F$51:$F$55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87.000993210005944</c:v>
                </c:pt>
                <c:pt idx="2">
                  <c:v>139.56790758727095</c:v>
                </c:pt>
                <c:pt idx="3">
                  <c:v>241.43320024725739</c:v>
                </c:pt>
                <c:pt idx="4">
                  <c:v>336.14094740668617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2-45FB-90D2-F1DAE82008A7}"/>
            </c:ext>
          </c:extLst>
        </c:ser>
        <c:ser>
          <c:idx val="5"/>
          <c:order val="5"/>
          <c:tx>
            <c:strRef>
              <c:f>能源!$G$50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能源!$G$51:$G$55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50.738078821233799</c:v>
                </c:pt>
                <c:pt idx="2">
                  <c:v>119.6299635879724</c:v>
                </c:pt>
                <c:pt idx="3">
                  <c:v>316.11687207457953</c:v>
                </c:pt>
                <c:pt idx="4">
                  <c:v>558.08795629787164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2-45FB-90D2-F1DAE82008A7}"/>
            </c:ext>
          </c:extLst>
        </c:ser>
        <c:ser>
          <c:idx val="6"/>
          <c:order val="6"/>
          <c:tx>
            <c:strRef>
              <c:f>能源!$H$50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能源!$H$51:$H$55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3.2587217888214153</c:v>
                </c:pt>
                <c:pt idx="2">
                  <c:v>13.444318970283446</c:v>
                </c:pt>
                <c:pt idx="3">
                  <c:v>64.444971864515182</c:v>
                </c:pt>
                <c:pt idx="4">
                  <c:v>132.45149081111762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92-45FB-90D2-F1DAE82008A7}"/>
            </c:ext>
          </c:extLst>
        </c:ser>
        <c:ser>
          <c:idx val="7"/>
          <c:order val="7"/>
          <c:tx>
            <c:strRef>
              <c:f>能源!$I$50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能源!$I$51:$I$55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49.155541837383183</c:v>
                </c:pt>
                <c:pt idx="2">
                  <c:v>91.585788201879055</c:v>
                </c:pt>
                <c:pt idx="3">
                  <c:v>112.15180736638663</c:v>
                </c:pt>
                <c:pt idx="4">
                  <c:v>137.26615685239148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92-45FB-90D2-F1DAE820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240"/>
        <c:axId val="538928712"/>
      </c:areaChart>
      <c:catAx>
        <c:axId val="53893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28712"/>
        <c:crosses val="autoZero"/>
        <c:auto val="1"/>
        <c:lblAlgn val="ctr"/>
        <c:lblOffset val="100"/>
        <c:noMultiLvlLbl val="0"/>
      </c:catAx>
      <c:valAx>
        <c:axId val="538928712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3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能源!$J$1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能源!$J$2:$J$6</c:f>
              <c:numCache>
                <c:formatCode>General</c:formatCode>
                <c:ptCount val="5"/>
                <c:pt idx="0">
                  <c:v>9.8195305233858203</c:v>
                </c:pt>
                <c:pt idx="1">
                  <c:v>13.72273155246635</c:v>
                </c:pt>
                <c:pt idx="2">
                  <c:v>16.021618785094187</c:v>
                </c:pt>
                <c:pt idx="3">
                  <c:v>17.800367582754799</c:v>
                </c:pt>
                <c:pt idx="4">
                  <c:v>20.028565001973448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8-4967-A5A3-14A60BA884CD}"/>
            </c:ext>
          </c:extLst>
        </c:ser>
        <c:ser>
          <c:idx val="1"/>
          <c:order val="1"/>
          <c:tx>
            <c:strRef>
              <c:f>能源!$K$1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能源!$K$2:$K$6</c:f>
              <c:numCache>
                <c:formatCode>General</c:formatCode>
                <c:ptCount val="5"/>
                <c:pt idx="0">
                  <c:v>9.8195305233858186</c:v>
                </c:pt>
                <c:pt idx="1">
                  <c:v>13.722731549878899</c:v>
                </c:pt>
                <c:pt idx="2">
                  <c:v>16.021618775269626</c:v>
                </c:pt>
                <c:pt idx="3">
                  <c:v>18.455789191420326</c:v>
                </c:pt>
                <c:pt idx="4">
                  <c:v>21.433391470087106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8-4967-A5A3-14A60BA884CD}"/>
            </c:ext>
          </c:extLst>
        </c:ser>
        <c:ser>
          <c:idx val="3"/>
          <c:order val="3"/>
          <c:tx>
            <c:strRef>
              <c:f>能源!$M$1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能源!$M$2:$M$6</c:f>
              <c:numCache>
                <c:formatCode>General</c:formatCode>
                <c:ptCount val="5"/>
                <c:pt idx="0">
                  <c:v>9.8195305233858186</c:v>
                </c:pt>
                <c:pt idx="1">
                  <c:v>13.722731549878899</c:v>
                </c:pt>
                <c:pt idx="2">
                  <c:v>16.021618775269626</c:v>
                </c:pt>
                <c:pt idx="3">
                  <c:v>21.91809382555628</c:v>
                </c:pt>
                <c:pt idx="4">
                  <c:v>27.037434666910514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8-4967-A5A3-14A60BA884CD}"/>
            </c:ext>
          </c:extLst>
        </c:ser>
        <c:ser>
          <c:idx val="4"/>
          <c:order val="4"/>
          <c:tx>
            <c:strRef>
              <c:f>能源!$N$1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  <c:extLst xmlns:c15="http://schemas.microsoft.com/office/drawing/2012/chart"/>
            </c:strRef>
          </c:cat>
          <c:val>
            <c:numRef>
              <c:f>能源!$N$2:$N$6</c:f>
              <c:numCache>
                <c:formatCode>General</c:formatCode>
                <c:ptCount val="5"/>
                <c:pt idx="0">
                  <c:v>9.8195305233858186</c:v>
                </c:pt>
                <c:pt idx="1">
                  <c:v>13.81363126896235</c:v>
                </c:pt>
                <c:pt idx="2">
                  <c:v>16.219701838491478</c:v>
                </c:pt>
                <c:pt idx="3">
                  <c:v>22.282561589012094</c:v>
                </c:pt>
                <c:pt idx="4">
                  <c:v>27.561687349611358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678-4967-A5A3-14A60BA8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9496"/>
        <c:axId val="538933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能源!$L$1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能源!$L$2:$L$6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9.8195305233858186</c:v>
                      </c:pt>
                      <c:pt idx="1">
                        <c:v>13.722731549878899</c:v>
                      </c:pt>
                      <c:pt idx="2">
                        <c:v>16.021618775269626</c:v>
                      </c:pt>
                      <c:pt idx="3">
                        <c:v>19.722076506637613</c:v>
                      </c:pt>
                      <c:pt idx="4">
                        <c:v>24.073443535393437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678-4967-A5A3-14A60BA884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能源!$O$1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9.8195305233858186</c:v>
                      </c:pt>
                      <c:pt idx="1">
                        <c:v>13.722731549878899</c:v>
                      </c:pt>
                      <c:pt idx="2">
                        <c:v>16.021618775269626</c:v>
                      </c:pt>
                      <c:pt idx="3">
                        <c:v>23.400955046695799</c:v>
                      </c:pt>
                      <c:pt idx="4">
                        <c:v>30.228621380499867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78-4967-A5A3-14A60BA884CD}"/>
                  </c:ext>
                </c:extLst>
              </c15:ser>
            </c15:filteredLineSeries>
          </c:ext>
        </c:extLst>
      </c:lineChart>
      <c:catAx>
        <c:axId val="53892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33808"/>
        <c:crosses val="autoZero"/>
        <c:auto val="1"/>
        <c:lblAlgn val="ctr"/>
        <c:lblOffset val="100"/>
        <c:noMultiLvlLbl val="0"/>
      </c:catAx>
      <c:valAx>
        <c:axId val="53893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Share of Non-fossil Energy in Primary Energy Consumption 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92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'失业 '!$A$94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'失业 '!$B$91:$H$91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'!$B$94:$H$94</c:f>
              <c:numCache>
                <c:formatCode>0.000</c:formatCode>
                <c:ptCount val="7"/>
                <c:pt idx="0">
                  <c:v>0.18922238915540998</c:v>
                </c:pt>
                <c:pt idx="1">
                  <c:v>1.9610327351747077E-3</c:v>
                </c:pt>
                <c:pt idx="2">
                  <c:v>-1.52915402698161E-4</c:v>
                </c:pt>
                <c:pt idx="3">
                  <c:v>0</c:v>
                </c:pt>
                <c:pt idx="4">
                  <c:v>4.734552438569288E-2</c:v>
                </c:pt>
                <c:pt idx="5">
                  <c:v>4.9099278977225977E-2</c:v>
                </c:pt>
                <c:pt idx="6">
                  <c:v>0.1852581086110805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5-4583-B0FD-F512A55CBFE1}"/>
            </c:ext>
          </c:extLst>
        </c:ser>
        <c:ser>
          <c:idx val="0"/>
          <c:order val="1"/>
          <c:tx>
            <c:strRef>
              <c:f>'失业 '!$A$92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'失业 '!$B$91:$H$91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'!$B$92:$H$92</c:f>
              <c:numCache>
                <c:formatCode>0.000</c:formatCode>
                <c:ptCount val="7"/>
                <c:pt idx="0">
                  <c:v>0.27281028462427387</c:v>
                </c:pt>
                <c:pt idx="1">
                  <c:v>2.5282440489184589E-3</c:v>
                </c:pt>
                <c:pt idx="2">
                  <c:v>-1.1374917304965883E-4</c:v>
                </c:pt>
                <c:pt idx="3">
                  <c:v>0</c:v>
                </c:pt>
                <c:pt idx="4">
                  <c:v>6.9264906055902312E-2</c:v>
                </c:pt>
                <c:pt idx="5">
                  <c:v>7.09506750344399E-2</c:v>
                </c:pt>
                <c:pt idx="6">
                  <c:v>0.26595466534803169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5-4583-B0FD-F512A55CBFE1}"/>
            </c:ext>
          </c:extLst>
        </c:ser>
        <c:ser>
          <c:idx val="1"/>
          <c:order val="2"/>
          <c:tx>
            <c:strRef>
              <c:f>'失业 '!$A$93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'失业 '!$B$91:$H$91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'!$B$93:$H$93</c:f>
              <c:numCache>
                <c:formatCode>0.000</c:formatCode>
                <c:ptCount val="7"/>
                <c:pt idx="0">
                  <c:v>9.0076062214760472E-2</c:v>
                </c:pt>
                <c:pt idx="1">
                  <c:v>1.004378377308418E-3</c:v>
                </c:pt>
                <c:pt idx="2">
                  <c:v>-1.2327750355742791E-4</c:v>
                </c:pt>
                <c:pt idx="3">
                  <c:v>0</c:v>
                </c:pt>
                <c:pt idx="4">
                  <c:v>2.2444499000318779E-2</c:v>
                </c:pt>
                <c:pt idx="5">
                  <c:v>2.2847856341455877E-2</c:v>
                </c:pt>
                <c:pt idx="6">
                  <c:v>8.8700715183069601E-2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5-4583-B0FD-F512A55C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6161856"/>
        <c:axId val="376166560"/>
      </c:barChart>
      <c:catAx>
        <c:axId val="37616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6560"/>
        <c:crosses val="autoZero"/>
        <c:auto val="1"/>
        <c:lblAlgn val="ctr"/>
        <c:lblOffset val="100"/>
        <c:noMultiLvlLbl val="0"/>
      </c:catAx>
      <c:valAx>
        <c:axId val="3761665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Change of Employment Rate in 2030 Compared with BAU</a:t>
                </a:r>
              </a:p>
              <a:p>
                <a:pPr>
                  <a:defRPr/>
                </a:pPr>
                <a:r>
                  <a:rPr lang="en-US" altLang="zh-CN" b="1"/>
                  <a:t> (%-Points)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'失业 '!$A$92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'!$B$91:$J$91</c15:sqref>
                  </c15:fullRef>
                </c:ext>
              </c:extLst>
              <c:f>'失业 '!$J$91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'!$B$92:$J$92</c15:sqref>
                  </c15:fullRef>
                </c:ext>
              </c:extLst>
              <c:f>'失业 '!$J$92</c:f>
              <c:numCache>
                <c:formatCode>0.000</c:formatCode>
                <c:ptCount val="1"/>
                <c:pt idx="0">
                  <c:v>1.7644666190730351E-2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3-49E8-BD79-A2482448C50F}"/>
            </c:ext>
          </c:extLst>
        </c:ser>
        <c:ser>
          <c:idx val="1"/>
          <c:order val="1"/>
          <c:tx>
            <c:strRef>
              <c:f>'失业 '!$A$93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'!$B$91:$J$91</c15:sqref>
                  </c15:fullRef>
                </c:ext>
              </c:extLst>
              <c:f>'失业 '!$J$91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'!$B$93:$J$93</c15:sqref>
                  </c15:fullRef>
                </c:ext>
              </c:extLst>
              <c:f>'失业 '!$J$93</c:f>
              <c:numCache>
                <c:formatCode>0.000</c:formatCode>
                <c:ptCount val="1"/>
                <c:pt idx="0">
                  <c:v>5.7811490701609181E-3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3-49E8-BD79-A2482448C50F}"/>
            </c:ext>
          </c:extLst>
        </c:ser>
        <c:ser>
          <c:idx val="2"/>
          <c:order val="2"/>
          <c:tx>
            <c:strRef>
              <c:f>'失业 '!$A$94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'!$B$91:$J$91</c15:sqref>
                  </c15:fullRef>
                </c:ext>
              </c:extLst>
              <c:f>'失业 '!$J$91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'!$B$94:$J$94</c15:sqref>
                  </c15:fullRef>
                </c:ext>
              </c:extLst>
              <c:f>'失业 '!$J$94</c:f>
              <c:numCache>
                <c:formatCode>0.000</c:formatCode>
                <c:ptCount val="1"/>
                <c:pt idx="0">
                  <c:v>1.2209142041441634E-2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3-49E8-BD79-A2482448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421887"/>
        <c:axId val="357422303"/>
      </c:barChart>
      <c:catAx>
        <c:axId val="357421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7422303"/>
        <c:crosses val="autoZero"/>
        <c:auto val="1"/>
        <c:lblAlgn val="ctr"/>
        <c:lblOffset val="100"/>
        <c:noMultiLvlLbl val="0"/>
      </c:catAx>
      <c:valAx>
        <c:axId val="357422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Change of Unemployment Rate in 2030 Compared with BAU</a:t>
                </a:r>
              </a:p>
              <a:p>
                <a:pPr>
                  <a:defRPr/>
                </a:pPr>
                <a:r>
                  <a:rPr lang="en-US"/>
                  <a:t> (Points)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74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'失业 '!$A$107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'!$B$106:$J$106</c15:sqref>
                  </c15:fullRef>
                </c:ext>
              </c:extLst>
              <c:f>'失业 '!$J$106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'!$B$107:$J$107</c15:sqref>
                  </c15:fullRef>
                </c:ext>
              </c:extLst>
              <c:f>'失业 '!$J$107</c:f>
              <c:numCache>
                <c:formatCode>General</c:formatCode>
                <c:ptCount val="1"/>
                <c:pt idx="0">
                  <c:v>-238.31541297603158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6-4E38-8C23-21542DEF3311}"/>
            </c:ext>
          </c:extLst>
        </c:ser>
        <c:ser>
          <c:idx val="1"/>
          <c:order val="1"/>
          <c:tx>
            <c:strRef>
              <c:f>'失业 '!$A$108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'!$B$106:$J$106</c15:sqref>
                  </c15:fullRef>
                </c:ext>
              </c:extLst>
              <c:f>'失业 '!$J$106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'!$B$108:$J$108</c15:sqref>
                  </c15:fullRef>
                </c:ext>
              </c:extLst>
              <c:f>'失业 '!$J$108</c:f>
              <c:numCache>
                <c:formatCode>General</c:formatCode>
                <c:ptCount val="1"/>
                <c:pt idx="0">
                  <c:v>-78.066563348294281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6-4E38-8C23-21542DEF3311}"/>
            </c:ext>
          </c:extLst>
        </c:ser>
        <c:ser>
          <c:idx val="2"/>
          <c:order val="2"/>
          <c:tx>
            <c:strRef>
              <c:f>'失业 '!$A$109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'!$B$106:$J$106</c15:sqref>
                  </c15:fullRef>
                </c:ext>
              </c:extLst>
              <c:f>'失业 '!$J$106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'!$B$109:$J$109</c15:sqref>
                  </c15:fullRef>
                </c:ext>
              </c:extLst>
              <c:f>'失业 '!$J$109</c:f>
              <c:numCache>
                <c:formatCode>General</c:formatCode>
                <c:ptCount val="1"/>
                <c:pt idx="0">
                  <c:v>-164.8930691980398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6-4E38-8C23-21542DEF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231983"/>
        <c:axId val="416233231"/>
      </c:barChart>
      <c:catAx>
        <c:axId val="416231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233231"/>
        <c:crosses val="autoZero"/>
        <c:auto val="1"/>
        <c:lblAlgn val="ctr"/>
        <c:lblOffset val="100"/>
        <c:noMultiLvlLbl val="0"/>
      </c:catAx>
      <c:valAx>
        <c:axId val="416233231"/>
        <c:scaling>
          <c:orientation val="minMax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Change of Employment in 2030 Compared with BAU</a:t>
                </a:r>
              </a:p>
              <a:p>
                <a:pPr>
                  <a:defRPr/>
                </a:pPr>
                <a:r>
                  <a:rPr lang="en-US"/>
                  <a:t> (Thousand Jobs)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62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部门产出!$A$91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部门产出!$B$88:$N$88</c:f>
              <c:strCache>
                <c:ptCount val="13"/>
                <c:pt idx="0">
                  <c:v>Elecutil</c:v>
                </c:pt>
                <c:pt idx="1">
                  <c:v>Coal</c:v>
                </c:pt>
                <c:pt idx="2">
                  <c:v>roil</c:v>
                </c:pt>
                <c:pt idx="3">
                  <c:v>Gas</c:v>
                </c:pt>
                <c:pt idx="4">
                  <c:v>Agri</c:v>
                </c:pt>
                <c:pt idx="5">
                  <c:v>Mining</c:v>
                </c:pt>
                <c:pt idx="6">
                  <c:v>Oilgas</c:v>
                </c:pt>
                <c:pt idx="7">
                  <c:v>OM</c:v>
                </c:pt>
                <c:pt idx="8">
                  <c:v>EII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部门产出!$B$91:$N$91</c:f>
              <c:numCache>
                <c:formatCode>0.00%</c:formatCode>
                <c:ptCount val="13"/>
                <c:pt idx="0">
                  <c:v>-6.9317513682189968E-3</c:v>
                </c:pt>
                <c:pt idx="1">
                  <c:v>-9.6934964413043168E-2</c:v>
                </c:pt>
                <c:pt idx="2">
                  <c:v>-9.6924031508270891E-3</c:v>
                </c:pt>
                <c:pt idx="3">
                  <c:v>-1.3217245009487844E-2</c:v>
                </c:pt>
                <c:pt idx="4">
                  <c:v>-3.9349351454812664E-3</c:v>
                </c:pt>
                <c:pt idx="5">
                  <c:v>-4.5498966177942579E-3</c:v>
                </c:pt>
                <c:pt idx="6">
                  <c:v>-1.0738644062460612E-2</c:v>
                </c:pt>
                <c:pt idx="7">
                  <c:v>-3.6371668692365411E-3</c:v>
                </c:pt>
                <c:pt idx="8">
                  <c:v>-4.2896690791929259E-3</c:v>
                </c:pt>
                <c:pt idx="9">
                  <c:v>-5.1756898652203231E-3</c:v>
                </c:pt>
                <c:pt idx="10">
                  <c:v>-1.8383020732487543E-3</c:v>
                </c:pt>
                <c:pt idx="11">
                  <c:v>-5.5331025158886771E-3</c:v>
                </c:pt>
                <c:pt idx="12">
                  <c:v>-6.2644272344444252E-3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B-4BBB-9882-54987DF8C98F}"/>
            </c:ext>
          </c:extLst>
        </c:ser>
        <c:ser>
          <c:idx val="1"/>
          <c:order val="1"/>
          <c:tx>
            <c:strRef>
              <c:f>部门产出!$A$90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部门产出!$B$88:$N$88</c:f>
              <c:strCache>
                <c:ptCount val="13"/>
                <c:pt idx="0">
                  <c:v>Elecutil</c:v>
                </c:pt>
                <c:pt idx="1">
                  <c:v>Coal</c:v>
                </c:pt>
                <c:pt idx="2">
                  <c:v>roil</c:v>
                </c:pt>
                <c:pt idx="3">
                  <c:v>Gas</c:v>
                </c:pt>
                <c:pt idx="4">
                  <c:v>Agri</c:v>
                </c:pt>
                <c:pt idx="5">
                  <c:v>Mining</c:v>
                </c:pt>
                <c:pt idx="6">
                  <c:v>Oilgas</c:v>
                </c:pt>
                <c:pt idx="7">
                  <c:v>OM</c:v>
                </c:pt>
                <c:pt idx="8">
                  <c:v>EII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部门产出!$B$90:$N$90</c:f>
              <c:numCache>
                <c:formatCode>0.00%</c:formatCode>
                <c:ptCount val="13"/>
                <c:pt idx="0">
                  <c:v>-1.0668591675644379E-5</c:v>
                </c:pt>
                <c:pt idx="1">
                  <c:v>-5.9679831487684298E-2</c:v>
                </c:pt>
                <c:pt idx="2">
                  <c:v>-9.8859621044966595E-3</c:v>
                </c:pt>
                <c:pt idx="3">
                  <c:v>-6.1952719799251987E-3</c:v>
                </c:pt>
                <c:pt idx="4">
                  <c:v>-2.9459996016008017E-3</c:v>
                </c:pt>
                <c:pt idx="5">
                  <c:v>-3.0678425215051597E-3</c:v>
                </c:pt>
                <c:pt idx="6">
                  <c:v>-1.0123265680252569E-2</c:v>
                </c:pt>
                <c:pt idx="7">
                  <c:v>-2.4130942492888163E-3</c:v>
                </c:pt>
                <c:pt idx="8">
                  <c:v>-2.9257667954460942E-3</c:v>
                </c:pt>
                <c:pt idx="9">
                  <c:v>-3.6579570647160553E-3</c:v>
                </c:pt>
                <c:pt idx="10">
                  <c:v>-1.2448616594659123E-3</c:v>
                </c:pt>
                <c:pt idx="11">
                  <c:v>-3.8722208785364476E-3</c:v>
                </c:pt>
                <c:pt idx="12">
                  <c:v>-5.1123395481711409E-3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BBB-9882-54987DF8C98F}"/>
            </c:ext>
          </c:extLst>
        </c:ser>
        <c:ser>
          <c:idx val="0"/>
          <c:order val="2"/>
          <c:tx>
            <c:strRef>
              <c:f>部门产出!$A$89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部门产出!$B$88:$N$88</c:f>
              <c:strCache>
                <c:ptCount val="13"/>
                <c:pt idx="0">
                  <c:v>Elecutil</c:v>
                </c:pt>
                <c:pt idx="1">
                  <c:v>Coal</c:v>
                </c:pt>
                <c:pt idx="2">
                  <c:v>roil</c:v>
                </c:pt>
                <c:pt idx="3">
                  <c:v>Gas</c:v>
                </c:pt>
                <c:pt idx="4">
                  <c:v>Agri</c:v>
                </c:pt>
                <c:pt idx="5">
                  <c:v>Mining</c:v>
                </c:pt>
                <c:pt idx="6">
                  <c:v>Oilgas</c:v>
                </c:pt>
                <c:pt idx="7">
                  <c:v>OM</c:v>
                </c:pt>
                <c:pt idx="8">
                  <c:v>EII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部门产出!$B$89:$N$89</c:f>
              <c:numCache>
                <c:formatCode>0.00%</c:formatCode>
                <c:ptCount val="13"/>
                <c:pt idx="0">
                  <c:v>-1.8762995169359753E-2</c:v>
                </c:pt>
                <c:pt idx="1">
                  <c:v>-9.5978126884494697E-2</c:v>
                </c:pt>
                <c:pt idx="2">
                  <c:v>-1.8395788911815814E-3</c:v>
                </c:pt>
                <c:pt idx="3">
                  <c:v>3.7308876516418898E-3</c:v>
                </c:pt>
                <c:pt idx="4">
                  <c:v>-1.7859072543864318E-3</c:v>
                </c:pt>
                <c:pt idx="5">
                  <c:v>-3.0163484203034052E-3</c:v>
                </c:pt>
                <c:pt idx="6">
                  <c:v>-2.5578848409335553E-4</c:v>
                </c:pt>
                <c:pt idx="7">
                  <c:v>-2.4559022858831048E-3</c:v>
                </c:pt>
                <c:pt idx="8">
                  <c:v>-2.7781549330614386E-3</c:v>
                </c:pt>
                <c:pt idx="9">
                  <c:v>-3.0778196479267494E-3</c:v>
                </c:pt>
                <c:pt idx="10">
                  <c:v>-8.2914142810930347E-4</c:v>
                </c:pt>
                <c:pt idx="11">
                  <c:v>-3.4972898975024203E-3</c:v>
                </c:pt>
                <c:pt idx="12">
                  <c:v>-1.8907959485342518E-3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B-4BBB-9882-54987DF8C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900288"/>
        <c:axId val="543901072"/>
      </c:barChart>
      <c:catAx>
        <c:axId val="54390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3901072"/>
        <c:crosses val="autoZero"/>
        <c:auto val="1"/>
        <c:lblAlgn val="ctr"/>
        <c:lblOffset val="100"/>
        <c:noMultiLvlLbl val="0"/>
      </c:catAx>
      <c:valAx>
        <c:axId val="54390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 Change Compared with BAU 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26076386285047704"/>
              <c:y val="1.1577777777777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3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部门产出!$P$91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部门产出!$Q$88:$AC$88</c:f>
              <c:strCache>
                <c:ptCount val="13"/>
                <c:pt idx="0">
                  <c:v>Elecutil</c:v>
                </c:pt>
                <c:pt idx="1">
                  <c:v>Coal</c:v>
                </c:pt>
                <c:pt idx="2">
                  <c:v>roil</c:v>
                </c:pt>
                <c:pt idx="3">
                  <c:v>Gas</c:v>
                </c:pt>
                <c:pt idx="4">
                  <c:v>Agri</c:v>
                </c:pt>
                <c:pt idx="5">
                  <c:v>Mining</c:v>
                </c:pt>
                <c:pt idx="6">
                  <c:v>Oilgas</c:v>
                </c:pt>
                <c:pt idx="7">
                  <c:v>OM</c:v>
                </c:pt>
                <c:pt idx="8">
                  <c:v>EII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部门产出!$Q$91:$AC$91</c:f>
              <c:numCache>
                <c:formatCode>0.0%</c:formatCode>
                <c:ptCount val="13"/>
                <c:pt idx="0">
                  <c:v>5.2542112157285548E-3</c:v>
                </c:pt>
                <c:pt idx="1">
                  <c:v>-1.648058243753503E-2</c:v>
                </c:pt>
                <c:pt idx="2">
                  <c:v>-1.6351781143032484E-3</c:v>
                </c:pt>
                <c:pt idx="3">
                  <c:v>-5.3919747505565274E-3</c:v>
                </c:pt>
                <c:pt idx="4">
                  <c:v>-7.2131459017213961E-3</c:v>
                </c:pt>
                <c:pt idx="5">
                  <c:v>-2.0553745237120724E-3</c:v>
                </c:pt>
                <c:pt idx="6">
                  <c:v>-7.2982722051011528E-3</c:v>
                </c:pt>
                <c:pt idx="7">
                  <c:v>2.7289370930105861E-4</c:v>
                </c:pt>
                <c:pt idx="8">
                  <c:v>1.3395695258038298E-3</c:v>
                </c:pt>
                <c:pt idx="9">
                  <c:v>-4.5432376408093278E-3</c:v>
                </c:pt>
                <c:pt idx="10">
                  <c:v>-4.7209859071181137E-3</c:v>
                </c:pt>
                <c:pt idx="11">
                  <c:v>-3.3169791089007195E-3</c:v>
                </c:pt>
                <c:pt idx="12">
                  <c:v>4.6087362950721911E-3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5-4FED-82FF-EC40834D2605}"/>
            </c:ext>
          </c:extLst>
        </c:ser>
        <c:ser>
          <c:idx val="1"/>
          <c:order val="1"/>
          <c:tx>
            <c:strRef>
              <c:f>部门产出!$P$90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部门产出!$Q$88:$AC$88</c:f>
              <c:strCache>
                <c:ptCount val="13"/>
                <c:pt idx="0">
                  <c:v>Elecutil</c:v>
                </c:pt>
                <c:pt idx="1">
                  <c:v>Coal</c:v>
                </c:pt>
                <c:pt idx="2">
                  <c:v>roil</c:v>
                </c:pt>
                <c:pt idx="3">
                  <c:v>Gas</c:v>
                </c:pt>
                <c:pt idx="4">
                  <c:v>Agri</c:v>
                </c:pt>
                <c:pt idx="5">
                  <c:v>Mining</c:v>
                </c:pt>
                <c:pt idx="6">
                  <c:v>Oilgas</c:v>
                </c:pt>
                <c:pt idx="7">
                  <c:v>OM</c:v>
                </c:pt>
                <c:pt idx="8">
                  <c:v>EII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部门产出!$Q$90:$AC$90</c:f>
              <c:numCache>
                <c:formatCode>0.0%</c:formatCode>
                <c:ptCount val="13"/>
                <c:pt idx="0">
                  <c:v>-1.3560827839383061E-2</c:v>
                </c:pt>
                <c:pt idx="1">
                  <c:v>-1.7075416187584125E-2</c:v>
                </c:pt>
                <c:pt idx="2">
                  <c:v>-6.6273339084165217E-3</c:v>
                </c:pt>
                <c:pt idx="3">
                  <c:v>-7.1015709237733926E-3</c:v>
                </c:pt>
                <c:pt idx="4">
                  <c:v>-4.0460971469868934E-3</c:v>
                </c:pt>
                <c:pt idx="5">
                  <c:v>-3.6445134772720156E-3</c:v>
                </c:pt>
                <c:pt idx="6">
                  <c:v>-7.2429512598256585E-3</c:v>
                </c:pt>
                <c:pt idx="7">
                  <c:v>-1.254434309855279E-4</c:v>
                </c:pt>
                <c:pt idx="8">
                  <c:v>-3.117219753181244E-3</c:v>
                </c:pt>
                <c:pt idx="9">
                  <c:v>-5.442707836365801E-3</c:v>
                </c:pt>
                <c:pt idx="10">
                  <c:v>-4.2727812835415824E-3</c:v>
                </c:pt>
                <c:pt idx="11">
                  <c:v>-3.5909090038603875E-3</c:v>
                </c:pt>
                <c:pt idx="12">
                  <c:v>4.9007326292900277E-3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5-4FED-82FF-EC40834D2605}"/>
            </c:ext>
          </c:extLst>
        </c:ser>
        <c:ser>
          <c:idx val="2"/>
          <c:order val="2"/>
          <c:tx>
            <c:strRef>
              <c:f>部门产出!$P$89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部门产出!$Q$88:$AC$88</c:f>
              <c:strCache>
                <c:ptCount val="13"/>
                <c:pt idx="0">
                  <c:v>Elecutil</c:v>
                </c:pt>
                <c:pt idx="1">
                  <c:v>Coal</c:v>
                </c:pt>
                <c:pt idx="2">
                  <c:v>roil</c:v>
                </c:pt>
                <c:pt idx="3">
                  <c:v>Gas</c:v>
                </c:pt>
                <c:pt idx="4">
                  <c:v>Agri</c:v>
                </c:pt>
                <c:pt idx="5">
                  <c:v>Mining</c:v>
                </c:pt>
                <c:pt idx="6">
                  <c:v>Oilgas</c:v>
                </c:pt>
                <c:pt idx="7">
                  <c:v>OM</c:v>
                </c:pt>
                <c:pt idx="8">
                  <c:v>EII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部门产出!$Q$89:$AC$89</c:f>
              <c:numCache>
                <c:formatCode>0.0%</c:formatCode>
                <c:ptCount val="13"/>
                <c:pt idx="0">
                  <c:v>5.5884859501790451E-2</c:v>
                </c:pt>
                <c:pt idx="1">
                  <c:v>-5.0798314641626874E-3</c:v>
                </c:pt>
                <c:pt idx="2">
                  <c:v>-1.510578166242027E-2</c:v>
                </c:pt>
                <c:pt idx="3">
                  <c:v>-5.9492985089628636E-3</c:v>
                </c:pt>
                <c:pt idx="4">
                  <c:v>-7.4751324615569548E-3</c:v>
                </c:pt>
                <c:pt idx="5">
                  <c:v>4.747625246093623E-3</c:v>
                </c:pt>
                <c:pt idx="6">
                  <c:v>6.4017847397512817E-4</c:v>
                </c:pt>
                <c:pt idx="7">
                  <c:v>1.1926107544280029E-3</c:v>
                </c:pt>
                <c:pt idx="8">
                  <c:v>1.2693996773468941E-2</c:v>
                </c:pt>
                <c:pt idx="9">
                  <c:v>2.8893434766603665E-3</c:v>
                </c:pt>
                <c:pt idx="10">
                  <c:v>-7.9661177552636797E-4</c:v>
                </c:pt>
                <c:pt idx="11">
                  <c:v>9.9132035330362633E-4</c:v>
                </c:pt>
                <c:pt idx="12">
                  <c:v>-1.6514945742354126E-3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5-4FED-82FF-EC40834D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897936"/>
        <c:axId val="543899896"/>
      </c:barChart>
      <c:catAx>
        <c:axId val="54389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3899896"/>
        <c:crosses val="autoZero"/>
        <c:auto val="1"/>
        <c:lblAlgn val="ctr"/>
        <c:lblOffset val="100"/>
        <c:noMultiLvlLbl val="0"/>
      </c:catAx>
      <c:valAx>
        <c:axId val="54389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Price Change Compared</a:t>
                </a:r>
                <a:r>
                  <a:rPr lang="en-US" baseline="0"/>
                  <a:t> with BAU</a:t>
                </a:r>
                <a:r>
                  <a:rPr lang="en-US"/>
                  <a:t> (%)</a:t>
                </a:r>
              </a:p>
            </c:rich>
          </c:tx>
          <c:layout>
            <c:manualLayout>
              <c:xMode val="edge"/>
              <c:yMode val="edge"/>
              <c:x val="0.23371019247594052"/>
              <c:y val="4.522222222222211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3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BAU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7.297052154195012E-2"/>
          <c:w val="0.79329396325459323"/>
          <c:h val="0.71807988287178393"/>
        </c:manualLayout>
      </c:layout>
      <c:areaChart>
        <c:grouping val="stacked"/>
        <c:varyColors val="0"/>
        <c:ser>
          <c:idx val="0"/>
          <c:order val="0"/>
          <c:tx>
            <c:strRef>
              <c:f>能源!$B$15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能源!$B$16:$B$20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2259.5741845898929</c:v>
                </c:pt>
                <c:pt idx="2">
                  <c:v>2680.0377075320143</c:v>
                </c:pt>
                <c:pt idx="3">
                  <c:v>2983.9882490704531</c:v>
                </c:pt>
                <c:pt idx="4">
                  <c:v>3177.7739746427869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3-4FE1-9496-41AAA98E5C02}"/>
            </c:ext>
          </c:extLst>
        </c:ser>
        <c:ser>
          <c:idx val="1"/>
          <c:order val="1"/>
          <c:tx>
            <c:strRef>
              <c:f>能源!$C$15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能源!$C$16:$C$20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822.32711095940977</c:v>
                </c:pt>
                <c:pt idx="2">
                  <c:v>1030.8870409597932</c:v>
                </c:pt>
                <c:pt idx="3">
                  <c:v>1196.7390912947014</c:v>
                </c:pt>
                <c:pt idx="4">
                  <c:v>1325.4962392431405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3-4FE1-9496-41AAA98E5C02}"/>
            </c:ext>
          </c:extLst>
        </c:ser>
        <c:ser>
          <c:idx val="2"/>
          <c:order val="2"/>
          <c:tx>
            <c:strRef>
              <c:f>能源!$D$15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能源!$D$16:$D$20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164.94063447640269</c:v>
                </c:pt>
                <c:pt idx="2">
                  <c:v>205.23456814303736</c:v>
                </c:pt>
                <c:pt idx="3">
                  <c:v>237.90280206426817</c:v>
                </c:pt>
                <c:pt idx="4">
                  <c:v>264.3723112094354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3-4FE1-9496-41AAA98E5C02}"/>
            </c:ext>
          </c:extLst>
        </c:ser>
        <c:ser>
          <c:idx val="3"/>
          <c:order val="3"/>
          <c:tx>
            <c:strRef>
              <c:f>能源!$E$15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能源!$E$16:$E$20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326.26936753213312</c:v>
                </c:pt>
                <c:pt idx="2">
                  <c:v>382.90730510048633</c:v>
                </c:pt>
                <c:pt idx="3">
                  <c:v>452.53814224165649</c:v>
                </c:pt>
                <c:pt idx="4">
                  <c:v>523.38253568499465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3-4FE1-9496-41AAA98E5C02}"/>
            </c:ext>
          </c:extLst>
        </c:ser>
        <c:ser>
          <c:idx val="4"/>
          <c:order val="4"/>
          <c:tx>
            <c:strRef>
              <c:f>能源!$F$15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能源!$F$16:$F$20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87.000993219235141</c:v>
                </c:pt>
                <c:pt idx="2">
                  <c:v>139.56790761456742</c:v>
                </c:pt>
                <c:pt idx="3">
                  <c:v>178.79640803944014</c:v>
                </c:pt>
                <c:pt idx="4">
                  <c:v>242.59724147513825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3-4FE1-9496-41AAA98E5C02}"/>
            </c:ext>
          </c:extLst>
        </c:ser>
        <c:ser>
          <c:idx val="5"/>
          <c:order val="5"/>
          <c:tx>
            <c:strRef>
              <c:f>能源!$G$15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能源!$G$16:$G$20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50.738078840073193</c:v>
                </c:pt>
                <c:pt idx="2">
                  <c:v>119.62996371185181</c:v>
                </c:pt>
                <c:pt idx="3">
                  <c:v>207.40647108246287</c:v>
                </c:pt>
                <c:pt idx="4">
                  <c:v>281.36116018609886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03-4FE1-9496-41AAA98E5C02}"/>
            </c:ext>
          </c:extLst>
        </c:ser>
        <c:ser>
          <c:idx val="6"/>
          <c:order val="6"/>
          <c:tx>
            <c:strRef>
              <c:f>能源!$H$15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能源!$H$16:$H$20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3.258721798681643</c:v>
                </c:pt>
                <c:pt idx="2">
                  <c:v>13.44431904561297</c:v>
                </c:pt>
                <c:pt idx="3">
                  <c:v>21.976309053414411</c:v>
                </c:pt>
                <c:pt idx="4">
                  <c:v>39.463922016533516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03-4FE1-9496-41AAA98E5C02}"/>
            </c:ext>
          </c:extLst>
        </c:ser>
        <c:ser>
          <c:idx val="7"/>
          <c:order val="7"/>
          <c:tx>
            <c:strRef>
              <c:f>能源!$I$15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能源!$I$16:$I$20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49.155541840558222</c:v>
                </c:pt>
                <c:pt idx="2">
                  <c:v>91.585788217395987</c:v>
                </c:pt>
                <c:pt idx="3">
                  <c:v>96.139025682529876</c:v>
                </c:pt>
                <c:pt idx="4">
                  <c:v>107.23446508354061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03-4FE1-9496-41AAA98E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99112"/>
        <c:axId val="543899504"/>
      </c:areaChart>
      <c:catAx>
        <c:axId val="54389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3899504"/>
        <c:crosses val="autoZero"/>
        <c:auto val="1"/>
        <c:lblAlgn val="ctr"/>
        <c:lblOffset val="100"/>
        <c:noMultiLvlLbl val="0"/>
      </c:catAx>
      <c:valAx>
        <c:axId val="54389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Primary Energy Consumption (Mtce)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389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71303587051801E-4"/>
          <c:y val="0.89698964712744245"/>
          <c:w val="0.99285301837270346"/>
          <c:h val="7.5232575094779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7.6354257801108188E-2"/>
          <c:w val="0.79329396325459323"/>
          <c:h val="0.72146580635753865"/>
        </c:manualLayout>
      </c:layout>
      <c:areaChart>
        <c:grouping val="stacked"/>
        <c:varyColors val="0"/>
        <c:ser>
          <c:idx val="0"/>
          <c:order val="0"/>
          <c:tx>
            <c:strRef>
              <c:f>能源!$B$22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能源!$B$23:$B$27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2259.5741849212118</c:v>
                </c:pt>
                <c:pt idx="2">
                  <c:v>2680.0377086082185</c:v>
                </c:pt>
                <c:pt idx="3">
                  <c:v>2847.2694019232367</c:v>
                </c:pt>
                <c:pt idx="4">
                  <c:v>2875.7906994977989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E-482E-BD4F-A726F39329B9}"/>
            </c:ext>
          </c:extLst>
        </c:ser>
        <c:ser>
          <c:idx val="1"/>
          <c:order val="1"/>
          <c:tx>
            <c:strRef>
              <c:f>能源!$C$22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能源!$C$23:$C$27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822.32711101610914</c:v>
                </c:pt>
                <c:pt idx="2">
                  <c:v>1030.887041195158</c:v>
                </c:pt>
                <c:pt idx="3">
                  <c:v>1197.8823184713121</c:v>
                </c:pt>
                <c:pt idx="4">
                  <c:v>1327.8959679512798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E-482E-BD4F-A726F39329B9}"/>
            </c:ext>
          </c:extLst>
        </c:ser>
        <c:ser>
          <c:idx val="2"/>
          <c:order val="2"/>
          <c:tx>
            <c:strRef>
              <c:f>能源!$D$22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能源!$D$23:$D$27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164.94063446999397</c:v>
                </c:pt>
                <c:pt idx="2">
                  <c:v>205.23456816485213</c:v>
                </c:pt>
                <c:pt idx="3">
                  <c:v>235.83311532357123</c:v>
                </c:pt>
                <c:pt idx="4">
                  <c:v>259.40131532834408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E-482E-BD4F-A726F39329B9}"/>
            </c:ext>
          </c:extLst>
        </c:ser>
        <c:ser>
          <c:idx val="3"/>
          <c:order val="3"/>
          <c:tx>
            <c:strRef>
              <c:f>能源!$E$22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能源!$E$23:$E$27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326.26936752107332</c:v>
                </c:pt>
                <c:pt idx="2">
                  <c:v>382.90730505134007</c:v>
                </c:pt>
                <c:pt idx="3">
                  <c:v>455.80998478821181</c:v>
                </c:pt>
                <c:pt idx="4">
                  <c:v>528.72927991637118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E-482E-BD4F-A726F39329B9}"/>
            </c:ext>
          </c:extLst>
        </c:ser>
        <c:ser>
          <c:idx val="4"/>
          <c:order val="4"/>
          <c:tx>
            <c:strRef>
              <c:f>能源!$F$22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能源!$F$23:$F$27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87.000993210005944</c:v>
                </c:pt>
                <c:pt idx="2">
                  <c:v>139.56790758727095</c:v>
                </c:pt>
                <c:pt idx="3">
                  <c:v>180.07401998635422</c:v>
                </c:pt>
                <c:pt idx="4">
                  <c:v>244.94434863887679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E-482E-BD4F-A726F39329B9}"/>
            </c:ext>
          </c:extLst>
        </c:ser>
        <c:ser>
          <c:idx val="5"/>
          <c:order val="5"/>
          <c:tx>
            <c:strRef>
              <c:f>能源!$G$22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能源!$G$23:$G$27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50.738078821233799</c:v>
                </c:pt>
                <c:pt idx="2">
                  <c:v>119.6299635879724</c:v>
                </c:pt>
                <c:pt idx="3">
                  <c:v>213.46484373784529</c:v>
                </c:pt>
                <c:pt idx="4">
                  <c:v>294.42916186088331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E-482E-BD4F-A726F39329B9}"/>
            </c:ext>
          </c:extLst>
        </c:ser>
        <c:ser>
          <c:idx val="6"/>
          <c:order val="6"/>
          <c:tx>
            <c:strRef>
              <c:f>能源!$H$22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能源!$H$23:$H$27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3.2587217888214153</c:v>
                </c:pt>
                <c:pt idx="2">
                  <c:v>13.444318970283446</c:v>
                </c:pt>
                <c:pt idx="3">
                  <c:v>22.1818579574648</c:v>
                </c:pt>
                <c:pt idx="4">
                  <c:v>39.971490689781703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E-482E-BD4F-A726F39329B9}"/>
            </c:ext>
          </c:extLst>
        </c:ser>
        <c:ser>
          <c:idx val="7"/>
          <c:order val="7"/>
          <c:tx>
            <c:strRef>
              <c:f>能源!$I$22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能源!$I$23:$I$27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49.155541837383183</c:v>
                </c:pt>
                <c:pt idx="2">
                  <c:v>91.585788201879055</c:v>
                </c:pt>
                <c:pt idx="3">
                  <c:v>97.378709370198038</c:v>
                </c:pt>
                <c:pt idx="4">
                  <c:v>109.48001696321262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E-482E-BD4F-A726F393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01856"/>
        <c:axId val="543895584"/>
      </c:areaChart>
      <c:catAx>
        <c:axId val="5439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5584"/>
        <c:crosses val="autoZero"/>
        <c:auto val="1"/>
        <c:lblAlgn val="ctr"/>
        <c:lblOffset val="100"/>
        <c:noMultiLvlLbl val="0"/>
      </c:catAx>
      <c:valAx>
        <c:axId val="543895584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71303587050815E-4"/>
          <c:y val="0.89084396140623268"/>
          <c:w val="0.99563079615048122"/>
          <c:h val="8.0987024509260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5</xdr:row>
      <xdr:rowOff>300037</xdr:rowOff>
    </xdr:from>
    <xdr:to>
      <xdr:col>17</xdr:col>
      <xdr:colOff>195675</xdr:colOff>
      <xdr:row>21</xdr:row>
      <xdr:rowOff>17737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52</xdr:row>
      <xdr:rowOff>52387</xdr:rowOff>
    </xdr:from>
    <xdr:to>
      <xdr:col>20</xdr:col>
      <xdr:colOff>519112</xdr:colOff>
      <xdr:row>68</xdr:row>
      <xdr:rowOff>52387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65</xdr:row>
      <xdr:rowOff>42862</xdr:rowOff>
    </xdr:from>
    <xdr:to>
      <xdr:col>23</xdr:col>
      <xdr:colOff>314325</xdr:colOff>
      <xdr:row>101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519112</xdr:colOff>
      <xdr:row>112</xdr:row>
      <xdr:rowOff>0</xdr:rowOff>
    </xdr:from>
    <xdr:to>
      <xdr:col>13</xdr:col>
      <xdr:colOff>295275</xdr:colOff>
      <xdr:row>128</xdr:row>
      <xdr:rowOff>9525</xdr:rowOff>
    </xdr:to>
    <xdr:grpSp>
      <xdr:nvGrpSpPr>
        <xdr:cNvPr id="2" name="组合 1"/>
        <xdr:cNvGrpSpPr/>
      </xdr:nvGrpSpPr>
      <xdr:grpSpPr>
        <a:xfrm>
          <a:off x="1357312" y="19202400"/>
          <a:ext cx="11129963" cy="2752725"/>
          <a:chOff x="1357312" y="19202400"/>
          <a:chExt cx="11129963" cy="2752725"/>
        </a:xfrm>
      </xdr:grpSpPr>
      <xdr:graphicFrame macro="">
        <xdr:nvGraphicFramePr>
          <xdr:cNvPr id="12" name="图表 11"/>
          <xdr:cNvGraphicFramePr/>
        </xdr:nvGraphicFramePr>
        <xdr:xfrm>
          <a:off x="6172200" y="19202400"/>
          <a:ext cx="63150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图表 12"/>
          <xdr:cNvGraphicFramePr/>
        </xdr:nvGraphicFramePr>
        <xdr:xfrm>
          <a:off x="1357312" y="192119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96</xdr:row>
      <xdr:rowOff>123824</xdr:rowOff>
    </xdr:from>
    <xdr:to>
      <xdr:col>22</xdr:col>
      <xdr:colOff>433387</xdr:colOff>
      <xdr:row>138</xdr:row>
      <xdr:rowOff>141975</xdr:rowOff>
    </xdr:to>
    <xdr:grpSp>
      <xdr:nvGrpSpPr>
        <xdr:cNvPr id="4" name="组合 3"/>
        <xdr:cNvGrpSpPr/>
      </xdr:nvGrpSpPr>
      <xdr:grpSpPr>
        <a:xfrm>
          <a:off x="6624637" y="16583024"/>
          <a:ext cx="9734550" cy="7219051"/>
          <a:chOff x="6624637" y="16583024"/>
          <a:chExt cx="9734550" cy="7219051"/>
        </a:xfrm>
      </xdr:grpSpPr>
      <xdr:graphicFrame macro="">
        <xdr:nvGraphicFramePr>
          <xdr:cNvPr id="2" name="图表 1"/>
          <xdr:cNvGraphicFramePr/>
        </xdr:nvGraphicFramePr>
        <xdr:xfrm>
          <a:off x="6624637" y="16583024"/>
          <a:ext cx="4800600" cy="72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/>
          <xdr:cNvGraphicFramePr/>
        </xdr:nvGraphicFramePr>
        <xdr:xfrm>
          <a:off x="11787187" y="16602075"/>
          <a:ext cx="4572000" cy="72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13</xdr:row>
      <xdr:rowOff>109537</xdr:rowOff>
    </xdr:from>
    <xdr:to>
      <xdr:col>17</xdr:col>
      <xdr:colOff>333375</xdr:colOff>
      <xdr:row>29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30</xdr:row>
      <xdr:rowOff>23812</xdr:rowOff>
    </xdr:from>
    <xdr:to>
      <xdr:col>17</xdr:col>
      <xdr:colOff>333375</xdr:colOff>
      <xdr:row>45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46</xdr:row>
      <xdr:rowOff>80962</xdr:rowOff>
    </xdr:from>
    <xdr:to>
      <xdr:col>17</xdr:col>
      <xdr:colOff>333375</xdr:colOff>
      <xdr:row>62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56</xdr:row>
      <xdr:rowOff>138112</xdr:rowOff>
    </xdr:from>
    <xdr:to>
      <xdr:col>6</xdr:col>
      <xdr:colOff>390525</xdr:colOff>
      <xdr:row>72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638175</xdr:colOff>
      <xdr:row>63</xdr:row>
      <xdr:rowOff>33337</xdr:rowOff>
    </xdr:from>
    <xdr:to>
      <xdr:col>14</xdr:col>
      <xdr:colOff>409575</xdr:colOff>
      <xdr:row>79</xdr:row>
      <xdr:rowOff>33337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666750</xdr:colOff>
      <xdr:row>75</xdr:row>
      <xdr:rowOff>138112</xdr:rowOff>
    </xdr:from>
    <xdr:to>
      <xdr:col>7</xdr:col>
      <xdr:colOff>38100</xdr:colOff>
      <xdr:row>91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623887</xdr:colOff>
      <xdr:row>13</xdr:row>
      <xdr:rowOff>9525</xdr:rowOff>
    </xdr:from>
    <xdr:to>
      <xdr:col>24</xdr:col>
      <xdr:colOff>395287</xdr:colOff>
      <xdr:row>30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43</xdr:row>
      <xdr:rowOff>85725</xdr:rowOff>
    </xdr:from>
    <xdr:to>
      <xdr:col>22</xdr:col>
      <xdr:colOff>433800</xdr:colOff>
      <xdr:row>58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59</xdr:row>
      <xdr:rowOff>42862</xdr:rowOff>
    </xdr:from>
    <xdr:to>
      <xdr:col>20</xdr:col>
      <xdr:colOff>466725</xdr:colOff>
      <xdr:row>73</xdr:row>
      <xdr:rowOff>4762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15</xdr:col>
      <xdr:colOff>457200</xdr:colOff>
      <xdr:row>91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476250</xdr:colOff>
      <xdr:row>78</xdr:row>
      <xdr:rowOff>114300</xdr:rowOff>
    </xdr:from>
    <xdr:to>
      <xdr:col>7</xdr:col>
      <xdr:colOff>238125</xdr:colOff>
      <xdr:row>94</xdr:row>
      <xdr:rowOff>150300</xdr:rowOff>
    </xdr:to>
    <xdr:grpSp>
      <xdr:nvGrpSpPr>
        <xdr:cNvPr id="19" name="组合 18"/>
        <xdr:cNvGrpSpPr/>
      </xdr:nvGrpSpPr>
      <xdr:grpSpPr>
        <a:xfrm>
          <a:off x="1162050" y="13735050"/>
          <a:ext cx="4448175" cy="2779200"/>
          <a:chOff x="1162050" y="13735050"/>
          <a:chExt cx="4448175" cy="2779200"/>
        </a:xfrm>
      </xdr:grpSpPr>
      <xdr:grpSp>
        <xdr:nvGrpSpPr>
          <xdr:cNvPr id="18" name="组合 17"/>
          <xdr:cNvGrpSpPr/>
        </xdr:nvGrpSpPr>
        <xdr:grpSpPr>
          <a:xfrm>
            <a:off x="1162050" y="13735050"/>
            <a:ext cx="4448175" cy="2779200"/>
            <a:chOff x="1162050" y="13735050"/>
            <a:chExt cx="4448175" cy="2779200"/>
          </a:xfrm>
        </xdr:grpSpPr>
        <xdr:graphicFrame macro="">
          <xdr:nvGraphicFramePr>
            <xdr:cNvPr id="2" name="图表 1"/>
            <xdr:cNvGraphicFramePr/>
          </xdr:nvGraphicFramePr>
          <xdr:xfrm>
            <a:off x="1162050" y="13735050"/>
            <a:ext cx="4320000" cy="2779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cxnSp macro="">
          <xdr:nvCxnSpPr>
            <xdr:cNvPr id="6" name="直接连接符 5"/>
            <xdr:cNvCxnSpPr/>
          </xdr:nvCxnSpPr>
          <xdr:spPr>
            <a:xfrm>
              <a:off x="1866900" y="15049500"/>
              <a:ext cx="3743325" cy="0"/>
            </a:xfrm>
            <a:prstGeom prst="line">
              <a:avLst/>
            </a:prstGeom>
            <a:ln w="28575">
              <a:solidFill>
                <a:srgbClr val="92D05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直接连接符 7"/>
            <xdr:cNvCxnSpPr/>
          </xdr:nvCxnSpPr>
          <xdr:spPr>
            <a:xfrm>
              <a:off x="1847850" y="14725650"/>
              <a:ext cx="3743325" cy="0"/>
            </a:xfrm>
            <a:prstGeom prst="line">
              <a:avLst/>
            </a:prstGeom>
            <a:ln w="28575">
              <a:solidFill>
                <a:srgbClr val="92D05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直接连接符 8"/>
            <xdr:cNvCxnSpPr/>
          </xdr:nvCxnSpPr>
          <xdr:spPr>
            <a:xfrm>
              <a:off x="1838325" y="13868400"/>
              <a:ext cx="3743325" cy="0"/>
            </a:xfrm>
            <a:prstGeom prst="line">
              <a:avLst/>
            </a:prstGeom>
            <a:ln w="28575">
              <a:solidFill>
                <a:srgbClr val="92D050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/>
          </xdr:nvCxnSpPr>
          <xdr:spPr>
            <a:xfrm>
              <a:off x="3867150" y="13858875"/>
              <a:ext cx="0" cy="82867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直接箭头连接符 13"/>
            <xdr:cNvCxnSpPr/>
          </xdr:nvCxnSpPr>
          <xdr:spPr>
            <a:xfrm>
              <a:off x="5172075" y="13868400"/>
              <a:ext cx="0" cy="119062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文本框 15"/>
          <xdr:cNvSpPr txBox="1"/>
        </xdr:nvSpPr>
        <xdr:spPr>
          <a:xfrm>
            <a:off x="3819525" y="14211300"/>
            <a:ext cx="53559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45.4%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5124450" y="14449425"/>
            <a:ext cx="4285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60%</a:t>
            </a:r>
            <a:endParaRPr lang="zh-CN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76200</xdr:colOff>
      <xdr:row>31</xdr:row>
      <xdr:rowOff>142875</xdr:rowOff>
    </xdr:to>
    <xdr:grpSp>
      <xdr:nvGrpSpPr>
        <xdr:cNvPr id="7" name="组合 6"/>
        <xdr:cNvGrpSpPr/>
      </xdr:nvGrpSpPr>
      <xdr:grpSpPr>
        <a:xfrm>
          <a:off x="0" y="0"/>
          <a:ext cx="8991600" cy="5457825"/>
          <a:chOff x="0" y="0"/>
          <a:chExt cx="8991600" cy="5457825"/>
        </a:xfrm>
      </xdr:grpSpPr>
      <xdr:graphicFrame macro="">
        <xdr:nvGraphicFramePr>
          <xdr:cNvPr id="2" name="图表 1"/>
          <xdr:cNvGraphicFramePr>
            <a:graphicFrameLocks/>
          </xdr:cNvGraphicFramePr>
        </xdr:nvGraphicFramePr>
        <xdr:xfrm>
          <a:off x="0" y="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4419600" y="0"/>
          <a:ext cx="4572000" cy="2724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0" y="27146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4391025" y="27146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11</xdr:col>
      <xdr:colOff>141605</xdr:colOff>
      <xdr:row>484</xdr:row>
      <xdr:rowOff>34925</xdr:rowOff>
    </xdr:from>
    <xdr:to>
      <xdr:col>16</xdr:col>
      <xdr:colOff>88900</xdr:colOff>
      <xdr:row>484</xdr:row>
      <xdr:rowOff>34925</xdr:rowOff>
    </xdr:to>
    <xdr:cxnSp macro="">
      <xdr:nvCxnSpPr>
        <xdr:cNvPr id="9" name="直接连接符 8"/>
        <xdr:cNvCxnSpPr/>
      </xdr:nvCxnSpPr>
      <xdr:spPr>
        <a:xfrm>
          <a:off x="7685405" y="83016725"/>
          <a:ext cx="3376295" cy="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147320</xdr:colOff>
      <xdr:row>486</xdr:row>
      <xdr:rowOff>64770</xdr:rowOff>
    </xdr:from>
    <xdr:to>
      <xdr:col>16</xdr:col>
      <xdr:colOff>94615</xdr:colOff>
      <xdr:row>486</xdr:row>
      <xdr:rowOff>64770</xdr:rowOff>
    </xdr:to>
    <xdr:cxnSp macro="">
      <xdr:nvCxnSpPr>
        <xdr:cNvPr id="10" name="直接连接符 9"/>
        <xdr:cNvCxnSpPr/>
      </xdr:nvCxnSpPr>
      <xdr:spPr>
        <a:xfrm>
          <a:off x="7691120" y="83389470"/>
          <a:ext cx="3376295" cy="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34</xdr:row>
      <xdr:rowOff>76200</xdr:rowOff>
    </xdr:from>
    <xdr:to>
      <xdr:col>9</xdr:col>
      <xdr:colOff>219075</xdr:colOff>
      <xdr:row>51</xdr:row>
      <xdr:rowOff>76200</xdr:rowOff>
    </xdr:to>
    <xdr:grpSp>
      <xdr:nvGrpSpPr>
        <xdr:cNvPr id="15" name="组合 14"/>
        <xdr:cNvGrpSpPr/>
      </xdr:nvGrpSpPr>
      <xdr:grpSpPr>
        <a:xfrm>
          <a:off x="1819275" y="5905500"/>
          <a:ext cx="4572000" cy="2914650"/>
          <a:chOff x="3105150" y="6334125"/>
          <a:chExt cx="4572000" cy="2914650"/>
        </a:xfrm>
      </xdr:grpSpPr>
      <xdr:graphicFrame macro="">
        <xdr:nvGraphicFramePr>
          <xdr:cNvPr id="8" name="图表 7"/>
          <xdr:cNvGraphicFramePr>
            <a:graphicFrameLocks/>
          </xdr:cNvGraphicFramePr>
        </xdr:nvGraphicFramePr>
        <xdr:xfrm>
          <a:off x="3105150" y="6334125"/>
          <a:ext cx="4572000" cy="2914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12" name="直接连接符 11"/>
          <xdr:cNvCxnSpPr/>
        </xdr:nvCxnSpPr>
        <xdr:spPr>
          <a:xfrm>
            <a:off x="3810000" y="7210425"/>
            <a:ext cx="3743325" cy="0"/>
          </a:xfrm>
          <a:prstGeom prst="line">
            <a:avLst/>
          </a:prstGeom>
          <a:ln w="28575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接连接符 13"/>
          <xdr:cNvCxnSpPr/>
        </xdr:nvCxnSpPr>
        <xdr:spPr>
          <a:xfrm>
            <a:off x="3819525" y="7572375"/>
            <a:ext cx="3743325" cy="0"/>
          </a:xfrm>
          <a:prstGeom prst="line">
            <a:avLst/>
          </a:prstGeom>
          <a:ln w="28575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G10" workbookViewId="0">
      <selection activeCell="B35" sqref="B35"/>
    </sheetView>
  </sheetViews>
  <sheetFormatPr defaultRowHeight="13.5" x14ac:dyDescent="0.15"/>
  <cols>
    <col min="1" max="1" width="16.375" bestFit="1" customWidth="1"/>
    <col min="2" max="2" width="13.875" bestFit="1" customWidth="1"/>
    <col min="16" max="16" width="17.25" bestFit="1" customWidth="1"/>
    <col min="19" max="19" width="13.875" bestFit="1" customWidth="1"/>
  </cols>
  <sheetData>
    <row r="1" spans="1:19" x14ac:dyDescent="0.15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t="s">
        <v>28</v>
      </c>
      <c r="I1" t="s">
        <v>32</v>
      </c>
      <c r="J1" t="s">
        <v>36</v>
      </c>
      <c r="L1" t="s">
        <v>50</v>
      </c>
      <c r="M1" t="s">
        <v>32</v>
      </c>
      <c r="N1" t="s">
        <v>36</v>
      </c>
    </row>
    <row r="2" spans="1:19" x14ac:dyDescent="0.15">
      <c r="A2" t="s">
        <v>33</v>
      </c>
      <c r="B2" s="1">
        <v>40364.898007862663</v>
      </c>
      <c r="C2" s="1">
        <v>59572.146641981359</v>
      </c>
      <c r="D2" s="1">
        <v>81619.003625280893</v>
      </c>
      <c r="E2" s="1">
        <v>103180.51756237488</v>
      </c>
      <c r="F2" s="1">
        <v>124332.44367939362</v>
      </c>
      <c r="H2" t="s">
        <v>2</v>
      </c>
      <c r="I2" s="11">
        <v>9.8195305233858207E-2</v>
      </c>
      <c r="J2" s="11">
        <v>9.8195305233858179E-2</v>
      </c>
      <c r="L2" t="s">
        <v>2</v>
      </c>
      <c r="M2" s="1">
        <v>2792.2401149158381</v>
      </c>
      <c r="N2" s="1">
        <v>2792.2401149158381</v>
      </c>
    </row>
    <row r="3" spans="1:19" x14ac:dyDescent="0.15">
      <c r="A3" t="s">
        <v>37</v>
      </c>
      <c r="B3" s="1">
        <v>40364.898007862663</v>
      </c>
      <c r="C3" s="1">
        <v>59572.146641981613</v>
      </c>
      <c r="D3" s="1">
        <v>81619.003625282494</v>
      </c>
      <c r="E3" s="1">
        <v>102991.99152437055</v>
      </c>
      <c r="F3" s="1">
        <v>123895.01065193585</v>
      </c>
      <c r="H3" t="s">
        <v>3</v>
      </c>
      <c r="I3" s="11">
        <v>0.1372273155246635</v>
      </c>
      <c r="J3" s="11">
        <v>0.137227315498789</v>
      </c>
      <c r="L3" t="s">
        <v>3</v>
      </c>
      <c r="M3" s="1">
        <v>3763.2646332563859</v>
      </c>
      <c r="N3" s="1">
        <v>3763.2646332563859</v>
      </c>
    </row>
    <row r="4" spans="1:19" x14ac:dyDescent="0.15">
      <c r="A4" t="s">
        <v>48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4</v>
      </c>
      <c r="I4" s="11">
        <v>0.16021618785094185</v>
      </c>
      <c r="J4" s="11">
        <v>0.16021618775269625</v>
      </c>
      <c r="L4" t="s">
        <v>4</v>
      </c>
      <c r="M4" s="1">
        <v>4663.2946003247725</v>
      </c>
      <c r="N4" s="1">
        <v>4663.2946003247725</v>
      </c>
    </row>
    <row r="5" spans="1:19" x14ac:dyDescent="0.15">
      <c r="A5" t="s">
        <v>32</v>
      </c>
      <c r="B5">
        <v>6.1840876931068482</v>
      </c>
      <c r="C5">
        <v>7.9405379506648597</v>
      </c>
      <c r="D5">
        <v>9.536159297748096</v>
      </c>
      <c r="E5">
        <v>10.723105459061792</v>
      </c>
      <c r="F5">
        <v>11.531302521926802</v>
      </c>
      <c r="H5" t="s">
        <v>5</v>
      </c>
      <c r="I5" s="11">
        <v>0.17800367582754797</v>
      </c>
      <c r="J5" s="11">
        <v>0.21918093825556278</v>
      </c>
      <c r="L5" t="s">
        <v>5</v>
      </c>
      <c r="M5" s="1">
        <v>5375.4864985244649</v>
      </c>
      <c r="N5" s="1">
        <v>5495.6794904296803</v>
      </c>
    </row>
    <row r="6" spans="1:19" x14ac:dyDescent="0.15">
      <c r="A6" t="s">
        <v>36</v>
      </c>
      <c r="B6">
        <v>6.1840876931068482</v>
      </c>
      <c r="C6">
        <v>7.9405379506648597</v>
      </c>
      <c r="D6">
        <v>9.536159297748096</v>
      </c>
      <c r="E6">
        <v>10.40523243347241</v>
      </c>
      <c r="F6">
        <v>10.992527885713999</v>
      </c>
      <c r="H6" t="s">
        <v>6</v>
      </c>
      <c r="I6" s="11">
        <v>0.20028565001973447</v>
      </c>
      <c r="J6" s="11">
        <v>0.27037434666910515</v>
      </c>
      <c r="L6" t="s">
        <v>6</v>
      </c>
      <c r="M6" s="1">
        <v>5961.6818495416974</v>
      </c>
      <c r="N6" s="1">
        <v>6198.3829011244807</v>
      </c>
    </row>
    <row r="7" spans="1:19" x14ac:dyDescent="0.15">
      <c r="A7" t="s">
        <v>53</v>
      </c>
      <c r="K7" s="1" t="s">
        <v>60</v>
      </c>
    </row>
    <row r="8" spans="1:19" x14ac:dyDescent="0.15">
      <c r="A8" s="1" t="s">
        <v>33</v>
      </c>
      <c r="B8" s="2" t="s">
        <v>38</v>
      </c>
      <c r="C8" s="2" t="s">
        <v>0</v>
      </c>
      <c r="D8" s="2" t="s">
        <v>39</v>
      </c>
      <c r="E8" s="2" t="s">
        <v>40</v>
      </c>
      <c r="F8" s="2" t="s">
        <v>41</v>
      </c>
      <c r="G8" s="2" t="s">
        <v>1</v>
      </c>
      <c r="H8" s="2" t="s">
        <v>42</v>
      </c>
      <c r="I8" s="1" t="s">
        <v>28</v>
      </c>
      <c r="K8" s="1" t="s">
        <v>33</v>
      </c>
      <c r="L8" s="2" t="s">
        <v>38</v>
      </c>
      <c r="M8" s="2" t="s">
        <v>0</v>
      </c>
      <c r="N8" s="2" t="s">
        <v>39</v>
      </c>
      <c r="O8" s="2" t="s">
        <v>40</v>
      </c>
      <c r="P8" s="2" t="s">
        <v>41</v>
      </c>
      <c r="Q8" s="2" t="s">
        <v>1</v>
      </c>
      <c r="R8" s="1" t="s">
        <v>28</v>
      </c>
      <c r="S8" s="1"/>
    </row>
    <row r="9" spans="1:19" x14ac:dyDescent="0.15">
      <c r="A9" s="2" t="s">
        <v>2</v>
      </c>
      <c r="B9" s="1">
        <v>1104.8830852746305</v>
      </c>
      <c r="C9" s="1">
        <v>223.1210709999996</v>
      </c>
      <c r="D9" s="1">
        <v>24.271361600000063</v>
      </c>
      <c r="E9" s="1">
        <v>16.050940599999969</v>
      </c>
      <c r="F9" s="1">
        <v>3.2491782599999276E-2</v>
      </c>
      <c r="G9" s="1">
        <v>5.2311770000000033</v>
      </c>
      <c r="H9" s="1">
        <v>1373.5901272572301</v>
      </c>
      <c r="I9">
        <f>SUM(C9:G9)/SUM(B9:G9)</f>
        <v>0.1956238885606662</v>
      </c>
      <c r="K9" s="2" t="s">
        <v>2</v>
      </c>
      <c r="L9" s="1">
        <f>B9/B$9*B$22</f>
        <v>3400500</v>
      </c>
      <c r="M9" s="1">
        <f t="shared" ref="L9:Q13" si="0">C9/C$9*C$22</f>
        <v>686700</v>
      </c>
      <c r="N9" s="1">
        <f t="shared" si="0"/>
        <v>74700</v>
      </c>
      <c r="O9" s="1">
        <f t="shared" si="0"/>
        <v>49400</v>
      </c>
      <c r="P9" s="1">
        <f t="shared" si="0"/>
        <v>100</v>
      </c>
      <c r="Q9" s="1">
        <f t="shared" si="0"/>
        <v>16100</v>
      </c>
      <c r="R9">
        <f>SUM(M9:Q9)/SUM(L9:Q9)</f>
        <v>0.19562389118864576</v>
      </c>
    </row>
    <row r="10" spans="1:19" x14ac:dyDescent="0.15">
      <c r="A10" s="2" t="s">
        <v>3</v>
      </c>
      <c r="B10" s="1">
        <v>1405.6224291780643</v>
      </c>
      <c r="C10" s="1">
        <v>315.66363410100115</v>
      </c>
      <c r="D10" s="1">
        <v>89.503449892791352</v>
      </c>
      <c r="E10" s="1">
        <v>57.152309624594778</v>
      </c>
      <c r="F10" s="1">
        <v>3.1527935760761125</v>
      </c>
      <c r="G10" s="1">
        <v>47.557688614955985</v>
      </c>
      <c r="H10" s="1">
        <v>1918.6523049874841</v>
      </c>
      <c r="I10">
        <f>SUM(C10:G10)/SUM(B10:G10)</f>
        <v>0.26739074843097538</v>
      </c>
      <c r="K10" s="2" t="s">
        <v>3</v>
      </c>
      <c r="L10" s="1">
        <f>B10/B$9*B$22</f>
        <v>4326085.8403239399</v>
      </c>
      <c r="M10" s="1">
        <f t="shared" si="0"/>
        <v>971518.36249996256</v>
      </c>
      <c r="N10" s="1">
        <f t="shared" si="0"/>
        <v>275464.87985212565</v>
      </c>
      <c r="O10" s="1">
        <f t="shared" si="0"/>
        <v>175897.73495610518</v>
      </c>
      <c r="P10" s="1">
        <f t="shared" si="0"/>
        <v>9703.3567375776511</v>
      </c>
      <c r="Q10" s="1">
        <f t="shared" si="0"/>
        <v>146368.35777126084</v>
      </c>
      <c r="R10">
        <f t="shared" ref="R10:R13" si="1">SUM(M10:Q10)/SUM(L10:Q10)</f>
        <v>0.26739075168143839</v>
      </c>
    </row>
    <row r="11" spans="1:19" x14ac:dyDescent="0.15">
      <c r="A11" s="2" t="s">
        <v>4</v>
      </c>
      <c r="B11" s="1">
        <v>1722.574975550302</v>
      </c>
      <c r="C11" s="1">
        <v>372.03475950191131</v>
      </c>
      <c r="D11" s="1">
        <v>144.19252529096414</v>
      </c>
      <c r="E11" s="1">
        <v>135.32603367912583</v>
      </c>
      <c r="F11" s="1">
        <v>13.062571381478545</v>
      </c>
      <c r="G11" s="1">
        <v>88.985235502020046</v>
      </c>
      <c r="H11" s="1">
        <v>2476.1761009058018</v>
      </c>
      <c r="I11">
        <f t="shared" ref="I11:I13" si="2">SUM(C11:G11)/SUM(B11:G11)</f>
        <v>0.30434068282939469</v>
      </c>
      <c r="K11" s="2" t="s">
        <v>4</v>
      </c>
      <c r="L11" s="1">
        <f t="shared" si="0"/>
        <v>5301571.0733799757</v>
      </c>
      <c r="M11" s="1">
        <f t="shared" si="0"/>
        <v>1145011.8458330766</v>
      </c>
      <c r="N11" s="1">
        <f t="shared" si="0"/>
        <v>443781.51571170992</v>
      </c>
      <c r="O11" s="1">
        <f t="shared" si="0"/>
        <v>416493.10344770883</v>
      </c>
      <c r="P11" s="1">
        <f t="shared" si="0"/>
        <v>40202.692300048919</v>
      </c>
      <c r="Q11" s="1">
        <f t="shared" si="0"/>
        <v>273869.97067438584</v>
      </c>
      <c r="R11">
        <f t="shared" si="1"/>
        <v>0.30434068633209782</v>
      </c>
    </row>
    <row r="12" spans="1:19" x14ac:dyDescent="0.15">
      <c r="A12" s="2" t="s">
        <v>5</v>
      </c>
      <c r="B12" s="1">
        <v>1967.5499866802702</v>
      </c>
      <c r="C12" s="1">
        <v>441.89231408342113</v>
      </c>
      <c r="D12" s="1">
        <v>185.64675471497242</v>
      </c>
      <c r="E12" s="1">
        <v>235.79526305428669</v>
      </c>
      <c r="F12" s="1">
        <v>21.459322786564613</v>
      </c>
      <c r="G12" s="1">
        <v>93.877383142228737</v>
      </c>
      <c r="H12" s="1">
        <v>2946.221024461744</v>
      </c>
      <c r="I12">
        <f t="shared" si="2"/>
        <v>0.33217841759182704</v>
      </c>
      <c r="K12" s="2" t="s">
        <v>5</v>
      </c>
      <c r="L12" s="1">
        <f t="shared" si="0"/>
        <v>6055530.9596790737</v>
      </c>
      <c r="M12" s="1">
        <f t="shared" si="0"/>
        <v>1360012.5291666687</v>
      </c>
      <c r="N12" s="1">
        <f t="shared" si="0"/>
        <v>571365.24953789171</v>
      </c>
      <c r="O12" s="1">
        <f t="shared" si="0"/>
        <v>725707.37660581619</v>
      </c>
      <c r="P12" s="1">
        <f t="shared" si="0"/>
        <v>66045.38461538608</v>
      </c>
      <c r="Q12" s="1">
        <f t="shared" si="0"/>
        <v>288926.53958944266</v>
      </c>
      <c r="R12">
        <f t="shared" si="1"/>
        <v>0.33217842126216052</v>
      </c>
    </row>
    <row r="13" spans="1:19" x14ac:dyDescent="0.15">
      <c r="A13" s="2" t="s">
        <v>6</v>
      </c>
      <c r="B13" s="1">
        <v>2110.2178885708663</v>
      </c>
      <c r="C13" s="1">
        <v>513.65672744757057</v>
      </c>
      <c r="D13" s="1">
        <v>253.16690112532339</v>
      </c>
      <c r="E13" s="1">
        <v>321.49144111638276</v>
      </c>
      <c r="F13" s="1">
        <v>38.730579764383855</v>
      </c>
      <c r="G13" s="1">
        <v>105.2417700090909</v>
      </c>
      <c r="H13" s="1">
        <v>3342.5053080336179</v>
      </c>
      <c r="I13">
        <f t="shared" si="2"/>
        <v>0.36867179133597283</v>
      </c>
      <c r="K13" s="2" t="s">
        <v>6</v>
      </c>
      <c r="L13" s="1">
        <f t="shared" si="0"/>
        <v>6494620.1328637497</v>
      </c>
      <c r="M13" s="1">
        <f t="shared" si="0"/>
        <v>1580881.9541667013</v>
      </c>
      <c r="N13" s="1">
        <f t="shared" si="0"/>
        <v>779172.08872458176</v>
      </c>
      <c r="O13" s="1">
        <f t="shared" si="0"/>
        <v>989454.61122380209</v>
      </c>
      <c r="P13" s="1">
        <f t="shared" si="0"/>
        <v>119201.15384615654</v>
      </c>
      <c r="Q13" s="1">
        <f t="shared" si="0"/>
        <v>323902.727272727</v>
      </c>
      <c r="R13">
        <f t="shared" si="1"/>
        <v>0.36867179518505888</v>
      </c>
    </row>
    <row r="14" spans="1:19" x14ac:dyDescent="0.15">
      <c r="A14" s="1" t="s">
        <v>37</v>
      </c>
      <c r="B14" s="2" t="s">
        <v>38</v>
      </c>
      <c r="C14" s="2" t="s">
        <v>0</v>
      </c>
      <c r="D14" s="2" t="s">
        <v>39</v>
      </c>
      <c r="E14" s="2" t="s">
        <v>40</v>
      </c>
      <c r="F14" s="2" t="s">
        <v>41</v>
      </c>
      <c r="G14" s="2" t="s">
        <v>1</v>
      </c>
      <c r="H14" s="2" t="s">
        <v>42</v>
      </c>
      <c r="I14" s="2"/>
      <c r="K14" s="1" t="s">
        <v>37</v>
      </c>
      <c r="L14" s="2" t="s">
        <v>38</v>
      </c>
      <c r="M14" s="2" t="s">
        <v>0</v>
      </c>
      <c r="N14" s="2" t="s">
        <v>39</v>
      </c>
      <c r="O14" s="2" t="s">
        <v>40</v>
      </c>
      <c r="P14" s="2" t="s">
        <v>41</v>
      </c>
      <c r="Q14" s="2" t="s">
        <v>1</v>
      </c>
      <c r="R14" s="2"/>
      <c r="S14" s="2"/>
    </row>
    <row r="15" spans="1:19" x14ac:dyDescent="0.15">
      <c r="A15" s="2" t="s">
        <v>2</v>
      </c>
      <c r="B15" s="1">
        <v>1104.8830852746305</v>
      </c>
      <c r="C15" s="1">
        <v>223.1210709999996</v>
      </c>
      <c r="D15" s="1">
        <v>24.271361600000063</v>
      </c>
      <c r="E15" s="1">
        <v>16.050940599999969</v>
      </c>
      <c r="F15" s="1">
        <v>3.2491782599999276E-2</v>
      </c>
      <c r="G15" s="1">
        <v>5.2311770000000033</v>
      </c>
      <c r="H15" s="1">
        <v>1373.5901272572301</v>
      </c>
      <c r="I15">
        <f>SUM(C15:G15)/H15</f>
        <v>0.1956238885606662</v>
      </c>
      <c r="K15" s="2" t="s">
        <v>2</v>
      </c>
      <c r="L15" s="1">
        <f>B15/B$15*B$22</f>
        <v>3400500</v>
      </c>
      <c r="M15" s="1">
        <f t="shared" ref="L15:Q19" si="3">C15/C$15*C$22</f>
        <v>686700</v>
      </c>
      <c r="N15" s="1">
        <f t="shared" si="3"/>
        <v>74700</v>
      </c>
      <c r="O15" s="1">
        <f t="shared" si="3"/>
        <v>49400</v>
      </c>
      <c r="P15" s="1">
        <f t="shared" si="3"/>
        <v>100</v>
      </c>
      <c r="Q15" s="1">
        <f t="shared" si="3"/>
        <v>16100</v>
      </c>
      <c r="R15">
        <f>SUM(M15:Q15)/SUM(L15:Q15)</f>
        <v>0.19562389118864576</v>
      </c>
    </row>
    <row r="16" spans="1:19" x14ac:dyDescent="0.15">
      <c r="A16" s="2" t="s">
        <v>3</v>
      </c>
      <c r="B16" s="1">
        <v>1405.6224291780643</v>
      </c>
      <c r="C16" s="1">
        <v>315.66363410100115</v>
      </c>
      <c r="D16" s="1">
        <v>89.503449892791352</v>
      </c>
      <c r="E16" s="1">
        <v>57.152309624594778</v>
      </c>
      <c r="F16" s="1">
        <v>3.1527935760761125</v>
      </c>
      <c r="G16" s="1">
        <v>47.557688614955985</v>
      </c>
      <c r="H16" s="1">
        <v>1918.6523049874841</v>
      </c>
      <c r="I16">
        <f>SUM(C16:G16)/H16</f>
        <v>0.26739074843097538</v>
      </c>
      <c r="K16" s="2" t="s">
        <v>3</v>
      </c>
      <c r="L16" s="1">
        <f t="shared" si="3"/>
        <v>4326085.8403239399</v>
      </c>
      <c r="M16" s="1">
        <f t="shared" si="3"/>
        <v>971518.36249996256</v>
      </c>
      <c r="N16" s="1">
        <f t="shared" si="3"/>
        <v>275464.87985212565</v>
      </c>
      <c r="O16" s="1">
        <f t="shared" si="3"/>
        <v>175897.73495610518</v>
      </c>
      <c r="P16" s="1">
        <f t="shared" si="3"/>
        <v>9703.3567375776511</v>
      </c>
      <c r="Q16" s="1">
        <f t="shared" si="3"/>
        <v>146368.35777126084</v>
      </c>
      <c r="R16">
        <f t="shared" ref="R16:R19" si="4">SUM(M16:Q16)/SUM(L16:Q16)</f>
        <v>0.26739075168143839</v>
      </c>
    </row>
    <row r="17" spans="1:29" x14ac:dyDescent="0.15">
      <c r="A17" s="2" t="s">
        <v>4</v>
      </c>
      <c r="B17" s="1">
        <v>1722.574975550302</v>
      </c>
      <c r="C17" s="1">
        <v>372.03475950191131</v>
      </c>
      <c r="D17" s="1">
        <v>144.19252529096414</v>
      </c>
      <c r="E17" s="1">
        <v>135.32603367912583</v>
      </c>
      <c r="F17" s="1">
        <v>13.062571381478545</v>
      </c>
      <c r="G17" s="1">
        <v>88.985235502020046</v>
      </c>
      <c r="H17" s="1">
        <v>2476.1761009058018</v>
      </c>
      <c r="I17">
        <f>SUM(C17:G17)/H17</f>
        <v>0.30434068282939469</v>
      </c>
      <c r="K17" s="2" t="s">
        <v>4</v>
      </c>
      <c r="L17" s="1">
        <f t="shared" si="3"/>
        <v>5301571.0733799757</v>
      </c>
      <c r="M17" s="1">
        <f t="shared" si="3"/>
        <v>1145011.8458330766</v>
      </c>
      <c r="N17" s="1">
        <f t="shared" si="3"/>
        <v>443781.51571170992</v>
      </c>
      <c r="O17" s="1">
        <f t="shared" si="3"/>
        <v>416493.10344770883</v>
      </c>
      <c r="P17" s="1">
        <f t="shared" si="3"/>
        <v>40202.692300048919</v>
      </c>
      <c r="Q17" s="1">
        <f t="shared" si="3"/>
        <v>273869.97067438584</v>
      </c>
      <c r="R17">
        <f t="shared" si="4"/>
        <v>0.30434068633209782</v>
      </c>
    </row>
    <row r="18" spans="1:29" x14ac:dyDescent="0.15">
      <c r="A18" s="2" t="s">
        <v>5</v>
      </c>
      <c r="B18" s="1">
        <v>1738.1869639906506</v>
      </c>
      <c r="C18" s="1">
        <v>482.82160202894437</v>
      </c>
      <c r="D18" s="1">
        <v>251.01343466173751</v>
      </c>
      <c r="E18" s="1">
        <v>343.03649170877628</v>
      </c>
      <c r="F18" s="1">
        <v>62.51356488042692</v>
      </c>
      <c r="G18" s="1">
        <v>108.41575980762461</v>
      </c>
      <c r="H18" s="1">
        <v>2985.9878170781603</v>
      </c>
      <c r="I18">
        <f>SUM(C18:G18)/H18</f>
        <v>0.41788544680282858</v>
      </c>
      <c r="K18" s="2" t="s">
        <v>5</v>
      </c>
      <c r="L18" s="1">
        <f t="shared" si="3"/>
        <v>5349620.1089738272</v>
      </c>
      <c r="M18" s="1">
        <f t="shared" si="3"/>
        <v>1485980.6500000022</v>
      </c>
      <c r="N18" s="1">
        <f t="shared" si="3"/>
        <v>772544.36229204969</v>
      </c>
      <c r="O18" s="1">
        <f t="shared" si="3"/>
        <v>1055763.840432727</v>
      </c>
      <c r="P18" s="1">
        <f t="shared" si="3"/>
        <v>192398.07692308121</v>
      </c>
      <c r="Q18" s="1">
        <f t="shared" si="3"/>
        <v>333671.3196480936</v>
      </c>
      <c r="R18">
        <f t="shared" si="4"/>
        <v>0.41788545082264872</v>
      </c>
    </row>
    <row r="19" spans="1:29" x14ac:dyDescent="0.15">
      <c r="A19" s="2" t="s">
        <v>6</v>
      </c>
      <c r="B19" s="1">
        <v>1691.1325389033098</v>
      </c>
      <c r="C19" s="1">
        <v>539.27433189570831</v>
      </c>
      <c r="D19" s="1">
        <v>357.83434403253233</v>
      </c>
      <c r="E19" s="1">
        <v>599.03108754991217</v>
      </c>
      <c r="F19" s="1">
        <v>131.07410043950304</v>
      </c>
      <c r="G19" s="1">
        <v>134.38448832844574</v>
      </c>
      <c r="H19" s="1">
        <v>3452.7308911494119</v>
      </c>
      <c r="I19">
        <f>SUM(C19:G19)/H19</f>
        <v>0.51020435932661601</v>
      </c>
      <c r="K19" s="2" t="s">
        <v>6</v>
      </c>
      <c r="L19" s="1">
        <f>B19/B$15*B$22</f>
        <v>5204800.648306882</v>
      </c>
      <c r="M19" s="1">
        <f t="shared" si="3"/>
        <v>1659725.2875000029</v>
      </c>
      <c r="N19" s="1">
        <f t="shared" si="3"/>
        <v>1101307.2088724554</v>
      </c>
      <c r="O19" s="1">
        <f t="shared" si="3"/>
        <v>1843638.7288708626</v>
      </c>
      <c r="P19" s="1">
        <f t="shared" si="3"/>
        <v>403406.92307693191</v>
      </c>
      <c r="Q19" s="1">
        <f t="shared" si="3"/>
        <v>413595.30791788828</v>
      </c>
      <c r="R19">
        <f t="shared" si="4"/>
        <v>0.51020436345101994</v>
      </c>
    </row>
    <row r="21" spans="1:29" x14ac:dyDescent="0.15">
      <c r="A21" s="1" t="s">
        <v>60</v>
      </c>
      <c r="B21" s="2" t="s">
        <v>38</v>
      </c>
      <c r="C21" s="2" t="s">
        <v>0</v>
      </c>
      <c r="D21" s="2" t="s">
        <v>39</v>
      </c>
      <c r="E21" s="2" t="s">
        <v>40</v>
      </c>
      <c r="F21" s="2" t="s">
        <v>41</v>
      </c>
      <c r="G21" s="2" t="s">
        <v>1</v>
      </c>
      <c r="H21" s="2" t="s">
        <v>42</v>
      </c>
      <c r="I21" s="1" t="s">
        <v>55</v>
      </c>
    </row>
    <row r="22" spans="1:29" x14ac:dyDescent="0.15">
      <c r="A22">
        <v>2010</v>
      </c>
      <c r="B22" s="1">
        <v>3400500</v>
      </c>
      <c r="C22">
        <v>686700</v>
      </c>
      <c r="D22">
        <v>74700</v>
      </c>
      <c r="E22">
        <v>49400</v>
      </c>
      <c r="F22">
        <v>100</v>
      </c>
      <c r="G22">
        <v>16100</v>
      </c>
      <c r="H22">
        <f>SUM(A22:G22)</f>
        <v>4229510</v>
      </c>
      <c r="I22">
        <f>SUM(C22:G22)</f>
        <v>827000</v>
      </c>
    </row>
    <row r="23" spans="1:29" x14ac:dyDescent="0.15">
      <c r="A23" s="1" t="s">
        <v>54</v>
      </c>
      <c r="B23">
        <f t="shared" ref="B23:G23" si="5">B13/B9*B22</f>
        <v>6494620.1328637497</v>
      </c>
      <c r="C23">
        <f t="shared" si="5"/>
        <v>1580881.9541667013</v>
      </c>
      <c r="D23">
        <f t="shared" si="5"/>
        <v>779172.08872458176</v>
      </c>
      <c r="E23">
        <f t="shared" si="5"/>
        <v>989454.61122380209</v>
      </c>
      <c r="F23">
        <f t="shared" si="5"/>
        <v>119201.15384615654</v>
      </c>
      <c r="G23">
        <f t="shared" si="5"/>
        <v>323902.727272727</v>
      </c>
      <c r="H23">
        <f>SUM(A23:G23)</f>
        <v>10287232.668097718</v>
      </c>
      <c r="I23">
        <f>SUM(C23:G23)</f>
        <v>3792612.5352339684</v>
      </c>
      <c r="K23" t="s">
        <v>150</v>
      </c>
    </row>
    <row r="24" spans="1:29" x14ac:dyDescent="0.15">
      <c r="A24" t="s">
        <v>62</v>
      </c>
      <c r="B24">
        <f>B19/B15*B22</f>
        <v>5204800.648306882</v>
      </c>
      <c r="C24">
        <f t="shared" ref="C24:G24" si="6">C19/C15*C22</f>
        <v>1659725.2875000029</v>
      </c>
      <c r="D24">
        <f t="shared" si="6"/>
        <v>1101307.2088724554</v>
      </c>
      <c r="E24">
        <f t="shared" si="6"/>
        <v>1843638.7288708626</v>
      </c>
      <c r="F24">
        <f t="shared" si="6"/>
        <v>403406.92307693191</v>
      </c>
      <c r="G24">
        <f t="shared" si="6"/>
        <v>413595.30791788828</v>
      </c>
      <c r="H24">
        <f>SUM(A24:G24)</f>
        <v>10626474.104545023</v>
      </c>
      <c r="I24">
        <f>SUM(C24:G24)</f>
        <v>5421673.4562381413</v>
      </c>
      <c r="Q24" s="1"/>
      <c r="R24" s="2"/>
      <c r="S24" s="2"/>
      <c r="T24" s="2"/>
      <c r="U24" s="2"/>
      <c r="V24" s="2"/>
      <c r="X24" s="1"/>
      <c r="Y24" s="2"/>
      <c r="Z24" s="2"/>
      <c r="AA24" s="2"/>
      <c r="AB24" s="2"/>
      <c r="AC24" s="2"/>
    </row>
    <row r="25" spans="1:29" x14ac:dyDescent="0.15">
      <c r="A25" t="s">
        <v>63</v>
      </c>
      <c r="B25">
        <f>$H23*B28</f>
        <v>5038641.6729983836</v>
      </c>
      <c r="C25">
        <f t="shared" ref="C25:G25" si="7">$H23*C28</f>
        <v>1606739.9242365099</v>
      </c>
      <c r="D25">
        <f t="shared" si="7"/>
        <v>1066148.882993896</v>
      </c>
      <c r="E25">
        <f t="shared" si="7"/>
        <v>1784782.0804173052</v>
      </c>
      <c r="F25">
        <f t="shared" si="7"/>
        <v>390528.48920403764</v>
      </c>
      <c r="G25">
        <f t="shared" si="7"/>
        <v>400391.61824758461</v>
      </c>
      <c r="H25">
        <f>SUM(B25:G25)</f>
        <v>10287232.668097718</v>
      </c>
      <c r="R25" s="1"/>
      <c r="S25" s="1"/>
      <c r="T25" s="1"/>
      <c r="U25" s="1"/>
      <c r="V25" s="1"/>
      <c r="X25" s="1"/>
      <c r="Y25" s="6"/>
      <c r="Z25" s="6"/>
      <c r="AA25" s="6"/>
      <c r="AB25" s="6"/>
      <c r="AC25" s="6"/>
    </row>
    <row r="26" spans="1:29" x14ac:dyDescent="0.15">
      <c r="A26" s="1" t="s">
        <v>61</v>
      </c>
      <c r="R26" s="1"/>
      <c r="S26" s="1"/>
      <c r="T26" s="1"/>
      <c r="U26" s="1"/>
      <c r="V26" s="1"/>
      <c r="X26" s="1"/>
      <c r="Y26" s="6"/>
      <c r="Z26" s="6"/>
      <c r="AA26" s="6"/>
      <c r="AB26" s="6"/>
      <c r="AC26" s="6"/>
    </row>
    <row r="27" spans="1:29" x14ac:dyDescent="0.15">
      <c r="A27" s="1" t="s">
        <v>54</v>
      </c>
      <c r="B27">
        <f t="shared" ref="B27:G28" si="8">B23/$H23</f>
        <v>0.63132820481494123</v>
      </c>
      <c r="C27">
        <f t="shared" si="8"/>
        <v>0.15367417119564702</v>
      </c>
      <c r="D27">
        <f t="shared" si="8"/>
        <v>7.5741660936756453E-2</v>
      </c>
      <c r="E27">
        <f t="shared" si="8"/>
        <v>9.6182777540577288E-2</v>
      </c>
      <c r="F27">
        <f t="shared" si="8"/>
        <v>1.1587290546642107E-2</v>
      </c>
      <c r="G27">
        <f t="shared" si="8"/>
        <v>3.148589496543603E-2</v>
      </c>
      <c r="J27">
        <f>B31-B30</f>
        <v>-192.76219690219523</v>
      </c>
      <c r="Q27" s="1"/>
      <c r="R27" s="2"/>
      <c r="S27" s="2"/>
      <c r="T27" s="2"/>
      <c r="U27" s="2"/>
      <c r="V27" s="2"/>
      <c r="X27" s="1"/>
      <c r="Y27" s="6"/>
      <c r="Z27" s="6"/>
      <c r="AA27" s="6"/>
      <c r="AB27" s="6"/>
      <c r="AC27" s="6"/>
    </row>
    <row r="28" spans="1:29" x14ac:dyDescent="0.15">
      <c r="A28" t="s">
        <v>62</v>
      </c>
      <c r="B28">
        <f t="shared" si="8"/>
        <v>0.48979563654898001</v>
      </c>
      <c r="C28">
        <f t="shared" si="8"/>
        <v>0.15618776944933463</v>
      </c>
      <c r="D28">
        <f t="shared" si="8"/>
        <v>0.10363806452051842</v>
      </c>
      <c r="E28">
        <f t="shared" si="8"/>
        <v>0.17349486863966707</v>
      </c>
      <c r="F28">
        <f t="shared" si="8"/>
        <v>3.7962443526248439E-2</v>
      </c>
      <c r="G28">
        <f t="shared" si="8"/>
        <v>3.8921217315251389E-2</v>
      </c>
      <c r="R28" s="1"/>
      <c r="S28" s="1"/>
      <c r="T28" s="1"/>
      <c r="U28" s="1"/>
      <c r="V28" s="1"/>
      <c r="X28" s="1"/>
      <c r="Y28" s="6"/>
      <c r="Z28" s="6"/>
      <c r="AA28" s="6"/>
      <c r="AB28" s="6"/>
      <c r="AC28" s="6"/>
    </row>
    <row r="29" spans="1:29" x14ac:dyDescent="0.15">
      <c r="A29" t="s">
        <v>69</v>
      </c>
      <c r="B29" t="s">
        <v>64</v>
      </c>
      <c r="C29" t="s">
        <v>65</v>
      </c>
      <c r="D29" t="s">
        <v>59</v>
      </c>
      <c r="F29" t="s">
        <v>112</v>
      </c>
      <c r="G29" t="s">
        <v>64</v>
      </c>
      <c r="H29" t="s">
        <v>65</v>
      </c>
      <c r="I29" t="s">
        <v>59</v>
      </c>
      <c r="L29" s="1"/>
      <c r="M29" s="1" t="s">
        <v>72</v>
      </c>
      <c r="N29" s="1" t="s">
        <v>73</v>
      </c>
      <c r="O29" s="1" t="s">
        <v>74</v>
      </c>
      <c r="R29" s="1"/>
      <c r="S29" s="1"/>
      <c r="T29" s="1"/>
      <c r="U29" s="1"/>
      <c r="V29" s="1"/>
      <c r="Y29" s="1"/>
      <c r="Z29" s="1"/>
      <c r="AA29" s="1"/>
      <c r="AB29" s="1"/>
      <c r="AC29" s="1"/>
    </row>
    <row r="30" spans="1:29" x14ac:dyDescent="0.15">
      <c r="A30" s="1" t="s">
        <v>54</v>
      </c>
      <c r="B30" s="1">
        <v>985.00887155565067</v>
      </c>
      <c r="C30" s="1">
        <v>162.21799476841525</v>
      </c>
      <c r="D30" s="1">
        <v>5.8033659671424491</v>
      </c>
      <c r="F30" s="1" t="s">
        <v>54</v>
      </c>
      <c r="G30" s="1">
        <f>B30*M$30</f>
        <v>23.054842370121143</v>
      </c>
      <c r="H30" s="1">
        <f t="shared" ref="G30:I32" si="9">C30*N$30</f>
        <v>0.61642252076098503</v>
      </c>
      <c r="I30" s="1">
        <f t="shared" si="9"/>
        <v>5.1032458233035607E-2</v>
      </c>
      <c r="J30">
        <f>SUM(G30:I30)</f>
        <v>23.722297349115163</v>
      </c>
      <c r="L30" s="1" t="s">
        <v>75</v>
      </c>
      <c r="M30" s="1">
        <v>2.3405720532963342E-2</v>
      </c>
      <c r="N30" s="1">
        <v>3.7999638797224602E-3</v>
      </c>
      <c r="O30" s="1">
        <v>8.7935964269652556E-3</v>
      </c>
      <c r="Q30" s="1"/>
      <c r="R30" s="2"/>
      <c r="S30" s="2"/>
      <c r="T30" s="2"/>
      <c r="U30" s="2"/>
      <c r="V30" s="2"/>
      <c r="X30" s="1"/>
      <c r="Y30" s="2"/>
      <c r="Z30" s="2"/>
      <c r="AA30" s="2"/>
      <c r="AB30" s="2"/>
      <c r="AC30" s="2"/>
    </row>
    <row r="31" spans="1:29" x14ac:dyDescent="0.15">
      <c r="A31" t="s">
        <v>62</v>
      </c>
      <c r="B31" s="1">
        <v>792.24667465345544</v>
      </c>
      <c r="C31" s="1">
        <v>128.41959591707322</v>
      </c>
      <c r="D31" s="1">
        <v>4.5975165586104119</v>
      </c>
      <c r="F31" t="s">
        <v>62</v>
      </c>
      <c r="G31" s="1">
        <f>B31*M$30</f>
        <v>18.543104260108311</v>
      </c>
      <c r="H31" s="1">
        <f t="shared" si="9"/>
        <v>0.48798982593343215</v>
      </c>
      <c r="I31" s="1">
        <f t="shared" si="9"/>
        <v>4.0428705182710113E-2</v>
      </c>
      <c r="J31">
        <f>SUM(G31:I31)</f>
        <v>19.071522791224453</v>
      </c>
      <c r="K31">
        <f>J30-J31</f>
        <v>4.6507745578907098</v>
      </c>
      <c r="R31" s="1"/>
      <c r="S31" s="1"/>
      <c r="T31" s="1"/>
      <c r="U31" s="1"/>
      <c r="V31" s="1"/>
      <c r="Y31" s="1"/>
      <c r="Z31" s="1"/>
      <c r="AA31" s="1"/>
      <c r="AB31" s="1"/>
      <c r="AC31" s="1"/>
    </row>
    <row r="32" spans="1:29" x14ac:dyDescent="0.15">
      <c r="A32" t="s">
        <v>63</v>
      </c>
      <c r="B32">
        <f>$B25/$B23*B30</f>
        <v>764.18738077987814</v>
      </c>
      <c r="C32">
        <f>$B25/$B23*C30</f>
        <v>125.85160206898249</v>
      </c>
      <c r="D32">
        <f>$B25/$B23*D30</f>
        <v>4.5023544114212717</v>
      </c>
      <c r="F32" t="s">
        <v>63</v>
      </c>
      <c r="G32" s="1">
        <f t="shared" si="9"/>
        <v>17.886356269351069</v>
      </c>
      <c r="H32" s="1">
        <f t="shared" si="9"/>
        <v>0.47823154206733787</v>
      </c>
      <c r="I32" s="1">
        <f t="shared" si="9"/>
        <v>3.9591887665205348E-2</v>
      </c>
      <c r="J32">
        <f>SUM(G32:I32)</f>
        <v>18.404179699083613</v>
      </c>
      <c r="R32" s="1"/>
      <c r="S32" s="1"/>
      <c r="T32" s="1"/>
      <c r="U32" s="1"/>
      <c r="V32" s="1"/>
      <c r="Y32" s="1"/>
      <c r="Z32" s="1"/>
      <c r="AA32" s="1"/>
      <c r="AB32" s="1"/>
      <c r="AC32" s="1"/>
    </row>
    <row r="33" spans="1:29" x14ac:dyDescent="0.15">
      <c r="A33" s="7" t="s">
        <v>78</v>
      </c>
      <c r="B33" s="7">
        <f>(F5-F6)*10</f>
        <v>5.3877463621280341</v>
      </c>
      <c r="D33" s="2" t="s">
        <v>0</v>
      </c>
      <c r="E33" s="2" t="s">
        <v>39</v>
      </c>
      <c r="F33" s="2" t="s">
        <v>40</v>
      </c>
      <c r="G33" s="2" t="s">
        <v>41</v>
      </c>
      <c r="H33" s="2" t="s">
        <v>1</v>
      </c>
      <c r="L33">
        <f>B33*100-M42</f>
        <v>538.77463621280344</v>
      </c>
      <c r="P33" t="s">
        <v>141</v>
      </c>
      <c r="Q33" s="1">
        <f>B34*100</f>
        <v>620.90171387308214</v>
      </c>
      <c r="R33" s="2"/>
      <c r="S33" s="2"/>
      <c r="T33" s="2"/>
      <c r="U33" s="2"/>
      <c r="V33" s="2"/>
      <c r="X33" s="1"/>
      <c r="Y33" s="2"/>
      <c r="Z33" s="2"/>
      <c r="AA33" s="2"/>
      <c r="AB33" s="2"/>
      <c r="AC33" s="2"/>
    </row>
    <row r="34" spans="1:29" x14ac:dyDescent="0.15">
      <c r="A34" s="7" t="s">
        <v>76</v>
      </c>
      <c r="B34" s="7">
        <f>U38+U40</f>
        <v>6.2090171387308217</v>
      </c>
      <c r="C34" t="s">
        <v>88</v>
      </c>
      <c r="D34">
        <f>C24-C23</f>
        <v>78843.333333301591</v>
      </c>
      <c r="E34">
        <f>D24-D23</f>
        <v>322135.12014787365</v>
      </c>
      <c r="F34">
        <f>E24-E23</f>
        <v>854184.11764706054</v>
      </c>
      <c r="G34">
        <f>F24-F23</f>
        <v>284205.76923077536</v>
      </c>
      <c r="H34">
        <f>G24-G23</f>
        <v>89692.580645161273</v>
      </c>
      <c r="I34">
        <f>SUM(D34:H34)</f>
        <v>1629060.9210041722</v>
      </c>
      <c r="L34">
        <f>B34*100</f>
        <v>620.90171387308214</v>
      </c>
      <c r="P34" t="s">
        <v>157</v>
      </c>
      <c r="Q34">
        <f>-(B35+B36)*100</f>
        <v>82.127077660276044</v>
      </c>
      <c r="R34" t="s">
        <v>158</v>
      </c>
      <c r="S34" s="1">
        <f>-B35*100</f>
        <v>66.734309214083964</v>
      </c>
      <c r="T34" s="1">
        <f>S34/Q34</f>
        <v>0.81257377122481744</v>
      </c>
      <c r="U34" s="1"/>
      <c r="V34" s="1"/>
      <c r="Y34" s="1"/>
      <c r="Z34" s="1"/>
      <c r="AA34" s="1"/>
      <c r="AB34" s="1"/>
      <c r="AC34" s="1"/>
    </row>
    <row r="35" spans="1:29" x14ac:dyDescent="0.15">
      <c r="A35" s="7" t="s">
        <v>155</v>
      </c>
      <c r="B35" s="7">
        <f>J32-J31</f>
        <v>-0.66734309214083964</v>
      </c>
      <c r="C35" t="s">
        <v>89</v>
      </c>
      <c r="D35">
        <f>D34/$I34</f>
        <v>4.8398026321017903E-2</v>
      </c>
      <c r="E35">
        <f>E34/$I34</f>
        <v>0.1977428320785608</v>
      </c>
      <c r="F35">
        <f>F34/$I34</f>
        <v>0.52434142065143363</v>
      </c>
      <c r="G35">
        <f>G34/$I34</f>
        <v>0.17445987781450653</v>
      </c>
      <c r="H35">
        <f>H34/$I34</f>
        <v>5.5057843134481255E-2</v>
      </c>
      <c r="L35">
        <f>B35*100</f>
        <v>-66.734309214083964</v>
      </c>
      <c r="P35" t="s">
        <v>142</v>
      </c>
      <c r="Q35">
        <f>Q33-Q34</f>
        <v>538.77463621280606</v>
      </c>
      <c r="R35" s="1" t="s">
        <v>159</v>
      </c>
      <c r="S35" s="1">
        <f>H41</f>
        <v>12.600194314388524</v>
      </c>
      <c r="T35" s="1">
        <f>S35/Q34</f>
        <v>0.15342314220055461</v>
      </c>
      <c r="U35" s="1"/>
      <c r="V35" s="1"/>
      <c r="Y35" s="1"/>
      <c r="Z35" s="1"/>
      <c r="AA35" s="1"/>
      <c r="AB35" s="1"/>
      <c r="AC35" s="1"/>
    </row>
    <row r="36" spans="1:29" x14ac:dyDescent="0.15">
      <c r="A36" s="7" t="s">
        <v>156</v>
      </c>
      <c r="B36" s="7">
        <f>U41</f>
        <v>-0.15392768446192087</v>
      </c>
      <c r="C36" t="s">
        <v>90</v>
      </c>
      <c r="D36">
        <f>$B34*D35*100</f>
        <v>30.050417490794558</v>
      </c>
      <c r="E36">
        <f>$B34*E35*100</f>
        <v>122.77886334369551</v>
      </c>
      <c r="F36">
        <f>$B34*F35*100</f>
        <v>325.56448673712185</v>
      </c>
      <c r="G36">
        <f>$B34*G35*100</f>
        <v>108.3224371371156</v>
      </c>
      <c r="H36">
        <f>$B34*H35*100</f>
        <v>34.18550916435472</v>
      </c>
      <c r="I36">
        <f>SUM(D36:H36)</f>
        <v>620.90171387308226</v>
      </c>
      <c r="L36">
        <f>B36*100+M42</f>
        <v>-15.392768446192088</v>
      </c>
      <c r="R36" t="s">
        <v>160</v>
      </c>
      <c r="S36">
        <f>Q34-S34-S35</f>
        <v>2.7925741318035548</v>
      </c>
      <c r="T36">
        <f>S36/Q34</f>
        <v>3.4003086574627896E-2</v>
      </c>
    </row>
    <row r="37" spans="1:29" x14ac:dyDescent="0.15">
      <c r="T37" t="s">
        <v>151</v>
      </c>
      <c r="U37">
        <v>5.3877463621280341</v>
      </c>
      <c r="X37">
        <f>U38+U40</f>
        <v>6.2090171387308217</v>
      </c>
      <c r="Y37">
        <f>U37/X37</f>
        <v>0.86772934294546611</v>
      </c>
    </row>
    <row r="38" spans="1:29" x14ac:dyDescent="0.15">
      <c r="A38" s="1" t="s">
        <v>80</v>
      </c>
      <c r="B38" s="2" t="s">
        <v>15</v>
      </c>
      <c r="C38" s="2" t="s">
        <v>16</v>
      </c>
      <c r="D38" s="2" t="s">
        <v>17</v>
      </c>
      <c r="E38" s="2" t="s">
        <v>18</v>
      </c>
      <c r="F38" s="2" t="s">
        <v>19</v>
      </c>
      <c r="G38" s="2" t="s">
        <v>20</v>
      </c>
      <c r="H38" s="2" t="s">
        <v>21</v>
      </c>
      <c r="I38" s="2" t="s">
        <v>22</v>
      </c>
      <c r="J38" s="2" t="s">
        <v>23</v>
      </c>
      <c r="K38" s="2" t="s">
        <v>24</v>
      </c>
      <c r="L38" s="2" t="s">
        <v>25</v>
      </c>
      <c r="M38" s="2" t="s">
        <v>26</v>
      </c>
      <c r="N38" s="2" t="s">
        <v>38</v>
      </c>
      <c r="O38" s="2" t="s">
        <v>27</v>
      </c>
      <c r="T38" t="s">
        <v>152</v>
      </c>
      <c r="U38">
        <v>5.3181176500315495</v>
      </c>
    </row>
    <row r="39" spans="1:29" x14ac:dyDescent="0.15">
      <c r="A39" s="1" t="s">
        <v>54</v>
      </c>
      <c r="B39" s="1">
        <v>8.8521861457409812E-2</v>
      </c>
      <c r="C39" s="1">
        <v>1.2548986827110866</v>
      </c>
      <c r="D39" s="1">
        <v>0.10932027128405802</v>
      </c>
      <c r="E39" s="1">
        <v>0.15017367880382371</v>
      </c>
      <c r="F39" s="1">
        <v>0.74240558014729718</v>
      </c>
      <c r="G39" s="1">
        <v>0.86956066425641976</v>
      </c>
      <c r="H39" s="1">
        <v>4.1849094593019531</v>
      </c>
      <c r="I39" s="1">
        <v>6.4919831428699989E-2</v>
      </c>
      <c r="J39" s="1">
        <v>3.4031647759048189E-3</v>
      </c>
      <c r="K39" s="1">
        <v>0.1688192453715707</v>
      </c>
      <c r="L39" s="1">
        <v>0.73715675259736013</v>
      </c>
      <c r="M39" s="1">
        <v>0.39446257538006363</v>
      </c>
      <c r="N39" s="1">
        <v>2.3722297349115036</v>
      </c>
      <c r="O39" s="1">
        <v>0.39052101949965123</v>
      </c>
      <c r="T39" t="s">
        <v>153</v>
      </c>
      <c r="U39">
        <v>-0.66734309214083964</v>
      </c>
    </row>
    <row r="40" spans="1:29" x14ac:dyDescent="0.15">
      <c r="A40" t="s">
        <v>62</v>
      </c>
      <c r="B40" s="1">
        <v>8.8607141197539541E-2</v>
      </c>
      <c r="C40" s="1">
        <v>1.1748017260894696</v>
      </c>
      <c r="D40" s="1">
        <v>0.10845591784900452</v>
      </c>
      <c r="E40" s="1">
        <v>0.14994154746497981</v>
      </c>
      <c r="F40" s="1">
        <v>0.74821095964818185</v>
      </c>
      <c r="G40" s="1">
        <v>0.86096422048201982</v>
      </c>
      <c r="H40" s="1">
        <v>4.1975096536163417</v>
      </c>
      <c r="I40" s="1">
        <v>6.4523282954789707E-2</v>
      </c>
      <c r="J40" s="1">
        <v>3.3941462029520803E-3</v>
      </c>
      <c r="K40" s="1">
        <v>0.16876959153152199</v>
      </c>
      <c r="L40" s="1">
        <v>0.73480838810120197</v>
      </c>
      <c r="M40" s="1">
        <v>0.39607610373790547</v>
      </c>
      <c r="N40" s="1">
        <v>1.9071522791224347</v>
      </c>
      <c r="O40" s="1">
        <v>0.38931292771565557</v>
      </c>
      <c r="T40" t="s">
        <v>154</v>
      </c>
      <c r="U40">
        <f>(C42+G42+I42)/100</f>
        <v>0.89089948869927216</v>
      </c>
    </row>
    <row r="41" spans="1:29" x14ac:dyDescent="0.15">
      <c r="B41">
        <f>(B40-B39)*1000</f>
        <v>8.5279740129728943E-2</v>
      </c>
      <c r="C41">
        <f t="shared" ref="C41:O41" si="10">(C40-C39)*1000</f>
        <v>-80.096956621616982</v>
      </c>
      <c r="D41">
        <f t="shared" si="10"/>
        <v>-0.86435343505350537</v>
      </c>
      <c r="E41">
        <f t="shared" si="10"/>
        <v>-0.23213133884389392</v>
      </c>
      <c r="F41">
        <f t="shared" si="10"/>
        <v>5.8053795008846665</v>
      </c>
      <c r="G41">
        <f t="shared" si="10"/>
        <v>-8.5964437743999422</v>
      </c>
      <c r="H41">
        <f t="shared" si="10"/>
        <v>12.600194314388524</v>
      </c>
      <c r="I41">
        <f t="shared" si="10"/>
        <v>-0.39654847391028258</v>
      </c>
      <c r="J41">
        <f t="shared" si="10"/>
        <v>-9.0185729527385988E-3</v>
      </c>
      <c r="K41">
        <f t="shared" si="10"/>
        <v>-4.9653840048707876E-2</v>
      </c>
      <c r="L41">
        <f t="shared" si="10"/>
        <v>-2.3483644961581618</v>
      </c>
      <c r="M41">
        <f t="shared" si="10"/>
        <v>1.6135283578418425</v>
      </c>
      <c r="N41">
        <f t="shared" si="10"/>
        <v>-465.07745578906889</v>
      </c>
      <c r="O41">
        <f t="shared" si="10"/>
        <v>-1.2080917839956684</v>
      </c>
      <c r="T41" t="s">
        <v>79</v>
      </c>
      <c r="U41">
        <f>-SUM(B41,D41,E41,F41,H41,J41,K41,L41,M41,O41)/100</f>
        <v>-0.15392768446192087</v>
      </c>
    </row>
    <row r="42" spans="1:29" x14ac:dyDescent="0.15">
      <c r="C42">
        <f>-C41</f>
        <v>80.096956621616982</v>
      </c>
      <c r="D42">
        <f>-D41</f>
        <v>0.86435343505350537</v>
      </c>
      <c r="E42">
        <f>-E41</f>
        <v>0.23213133884389392</v>
      </c>
      <c r="G42">
        <f>-G41</f>
        <v>8.5964437743999422</v>
      </c>
      <c r="I42">
        <f>-I41</f>
        <v>0.39654847391028258</v>
      </c>
      <c r="J42">
        <f>-J41</f>
        <v>9.0185729527385988E-3</v>
      </c>
      <c r="K42">
        <f>-K41</f>
        <v>4.9653840048707876E-2</v>
      </c>
      <c r="L42">
        <f>-L41</f>
        <v>2.3483644961581618</v>
      </c>
      <c r="N42">
        <f>-N41</f>
        <v>465.07745578906889</v>
      </c>
      <c r="O42">
        <f>-O41</f>
        <v>1.2080917839956684</v>
      </c>
    </row>
    <row r="44" spans="1:29" x14ac:dyDescent="0.15">
      <c r="A44" s="1" t="s">
        <v>33</v>
      </c>
      <c r="B44" s="1"/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</v>
      </c>
      <c r="H44" s="2" t="s">
        <v>20</v>
      </c>
      <c r="I44" s="2" t="s">
        <v>21</v>
      </c>
      <c r="J44" s="2" t="s">
        <v>22</v>
      </c>
      <c r="K44" s="2" t="s">
        <v>23</v>
      </c>
      <c r="L44" s="2" t="s">
        <v>24</v>
      </c>
      <c r="M44" s="2" t="s">
        <v>25</v>
      </c>
      <c r="N44" s="2" t="s">
        <v>26</v>
      </c>
      <c r="O44" s="2" t="s">
        <v>38</v>
      </c>
      <c r="P44" s="2" t="s">
        <v>27</v>
      </c>
    </row>
    <row r="45" spans="1:29" s="1" customFormat="1" x14ac:dyDescent="0.15">
      <c r="A45" s="2" t="s">
        <v>6</v>
      </c>
      <c r="B45" s="2" t="s">
        <v>16</v>
      </c>
      <c r="C45" s="1">
        <v>14.452966074071009</v>
      </c>
      <c r="D45" s="1">
        <v>530.38180438680752</v>
      </c>
      <c r="E45" s="1">
        <v>26.685356924331661</v>
      </c>
      <c r="F45" s="1">
        <v>16.445178394883811</v>
      </c>
      <c r="G45" s="1">
        <v>229.2548400433206</v>
      </c>
      <c r="H45" s="1">
        <v>319.42723350459408</v>
      </c>
      <c r="I45" s="1">
        <v>1409.1459477428655</v>
      </c>
      <c r="J45" s="1">
        <v>18.302117104360281</v>
      </c>
      <c r="K45" s="1">
        <v>0.46895584525525597</v>
      </c>
      <c r="L45" s="1">
        <v>19.818104956019269</v>
      </c>
      <c r="M45" s="1">
        <v>32.612773678394362</v>
      </c>
      <c r="N45" s="1">
        <v>66.477195144692317</v>
      </c>
      <c r="O45" s="1">
        <v>985.00887155565067</v>
      </c>
      <c r="P45" s="1">
        <v>31.711562372354091</v>
      </c>
    </row>
    <row r="46" spans="1:29" s="1" customFormat="1" x14ac:dyDescent="0.15">
      <c r="A46" s="2" t="s">
        <v>6</v>
      </c>
      <c r="B46" s="2" t="s">
        <v>20</v>
      </c>
      <c r="C46" s="1">
        <v>142.20316542138576</v>
      </c>
      <c r="D46" s="1">
        <v>32.688284876545893</v>
      </c>
      <c r="E46" s="1">
        <v>115.00772587198752</v>
      </c>
      <c r="F46" s="1">
        <v>241.94836318584677</v>
      </c>
      <c r="G46" s="1">
        <v>428.10750538176563</v>
      </c>
      <c r="H46" s="1">
        <v>302.97894429440032</v>
      </c>
      <c r="I46" s="1">
        <v>2157.0725512311033</v>
      </c>
      <c r="J46" s="1">
        <v>7.7002962678502014</v>
      </c>
      <c r="K46" s="1">
        <v>3.5831013641063532</v>
      </c>
      <c r="L46" s="1">
        <v>315.8097951798498</v>
      </c>
      <c r="M46" s="1">
        <v>1719.5038119860581</v>
      </c>
      <c r="N46" s="1">
        <v>554.51179376068785</v>
      </c>
      <c r="O46" s="1">
        <v>162.21799476841525</v>
      </c>
      <c r="P46" s="1">
        <v>310.96056454945165</v>
      </c>
    </row>
    <row r="47" spans="1:29" s="1" customFormat="1" x14ac:dyDescent="0.15">
      <c r="A47" s="2" t="s">
        <v>6</v>
      </c>
      <c r="B47" s="2" t="s">
        <v>108</v>
      </c>
      <c r="C47" s="1">
        <v>240.38094008935252</v>
      </c>
      <c r="D47" s="1">
        <v>120.21764298885438</v>
      </c>
      <c r="E47" s="1">
        <v>264.22386198912596</v>
      </c>
      <c r="F47" s="1">
        <v>623.62587792754505</v>
      </c>
      <c r="G47" s="1">
        <v>1619.7756399921486</v>
      </c>
      <c r="H47" s="1">
        <v>102.27046217420649</v>
      </c>
      <c r="I47" s="1">
        <v>2441.1154452155333</v>
      </c>
      <c r="J47" s="1">
        <v>9.1880555985616343</v>
      </c>
      <c r="K47" s="1">
        <v>95.015306300146761</v>
      </c>
      <c r="L47" s="1">
        <v>216.89907958736441</v>
      </c>
      <c r="M47" s="1">
        <v>134.47244729786598</v>
      </c>
      <c r="N47" s="1">
        <v>787.02899268628107</v>
      </c>
      <c r="O47" s="1">
        <v>2737.3137121724094</v>
      </c>
      <c r="P47" s="1">
        <v>721.39907755765898</v>
      </c>
    </row>
    <row r="48" spans="1:29" s="1" customFormat="1" x14ac:dyDescent="0.15">
      <c r="A48" s="2" t="s">
        <v>6</v>
      </c>
      <c r="B48" s="2" t="s">
        <v>22</v>
      </c>
      <c r="C48" s="1">
        <v>0.74709336994218545</v>
      </c>
      <c r="D48" s="1">
        <v>1.2286481570163101</v>
      </c>
      <c r="E48" s="1">
        <v>3.5921027769553282</v>
      </c>
      <c r="F48" s="1">
        <v>22.451621380220008</v>
      </c>
      <c r="G48" s="1">
        <v>49.057064545082348</v>
      </c>
      <c r="H48" s="1">
        <v>7.7184620043282095</v>
      </c>
      <c r="I48" s="1">
        <v>76.216889749262222</v>
      </c>
      <c r="J48" s="1">
        <v>21.784400738742598</v>
      </c>
      <c r="K48" s="1">
        <v>1.073479164084584</v>
      </c>
      <c r="L48" s="1">
        <v>2.7599189111970874</v>
      </c>
      <c r="M48" s="1">
        <v>8.4367850488067475</v>
      </c>
      <c r="N48" s="1">
        <v>32.01810744857729</v>
      </c>
      <c r="O48" s="1">
        <v>5.8033659671424491</v>
      </c>
      <c r="P48" s="1">
        <v>225.31615267944883</v>
      </c>
    </row>
    <row r="49" spans="1:21" s="1" customFormat="1" x14ac:dyDescent="0.15">
      <c r="A49" s="2"/>
      <c r="B49" s="2"/>
    </row>
    <row r="50" spans="1:21" x14ac:dyDescent="0.15">
      <c r="A50" s="1" t="s">
        <v>37</v>
      </c>
      <c r="B50" s="1"/>
      <c r="C50" s="2" t="s">
        <v>15</v>
      </c>
      <c r="D50" s="2" t="s">
        <v>16</v>
      </c>
      <c r="E50" s="2" t="s">
        <v>17</v>
      </c>
      <c r="F50" s="2" t="s">
        <v>18</v>
      </c>
      <c r="G50" s="2" t="s">
        <v>19</v>
      </c>
      <c r="H50" s="2" t="s">
        <v>20</v>
      </c>
      <c r="I50" s="2" t="s">
        <v>21</v>
      </c>
      <c r="J50" s="2" t="s">
        <v>22</v>
      </c>
      <c r="K50" s="2" t="s">
        <v>23</v>
      </c>
      <c r="L50" s="2" t="s">
        <v>24</v>
      </c>
      <c r="M50" s="2" t="s">
        <v>25</v>
      </c>
      <c r="N50" s="2" t="s">
        <v>26</v>
      </c>
      <c r="O50" s="2" t="s">
        <v>38</v>
      </c>
      <c r="P50" s="2" t="s">
        <v>27</v>
      </c>
    </row>
    <row r="51" spans="1:21" s="1" customFormat="1" x14ac:dyDescent="0.15">
      <c r="A51" s="2" t="s">
        <v>6</v>
      </c>
      <c r="B51" s="2" t="s">
        <v>16</v>
      </c>
      <c r="C51" s="1">
        <v>14.56146579859243</v>
      </c>
      <c r="D51" s="1">
        <v>496.52889740384148</v>
      </c>
      <c r="E51" s="1">
        <v>26.593903065146957</v>
      </c>
      <c r="F51" s="1">
        <v>16.548169248323106</v>
      </c>
      <c r="G51" s="1">
        <v>231.71683184192963</v>
      </c>
      <c r="H51" s="1">
        <v>316.26938797902346</v>
      </c>
      <c r="I51" s="1">
        <v>1416.5347448879975</v>
      </c>
      <c r="J51" s="1">
        <v>18.190322658081836</v>
      </c>
      <c r="K51" s="1">
        <v>0.4710074950874738</v>
      </c>
      <c r="L51" s="1">
        <v>19.964426220001638</v>
      </c>
      <c r="M51" s="1">
        <v>32.818154455319331</v>
      </c>
      <c r="N51" s="1">
        <v>67.174691267050051</v>
      </c>
      <c r="O51" s="1">
        <v>792.24667465345544</v>
      </c>
      <c r="P51" s="1">
        <v>31.71882522683028</v>
      </c>
    </row>
    <row r="52" spans="1:21" s="1" customFormat="1" x14ac:dyDescent="0.15">
      <c r="A52" s="2" t="s">
        <v>6</v>
      </c>
      <c r="B52" s="2" t="s">
        <v>20</v>
      </c>
      <c r="C52" s="1">
        <v>141.76380675259307</v>
      </c>
      <c r="D52" s="1">
        <v>30.601875693188305</v>
      </c>
      <c r="E52" s="1">
        <v>113.40809960853582</v>
      </c>
      <c r="F52" s="1">
        <v>240.90290941566076</v>
      </c>
      <c r="G52" s="1">
        <v>428.15389776999649</v>
      </c>
      <c r="H52" s="1">
        <v>299.98370593264553</v>
      </c>
      <c r="I52" s="1">
        <v>2145.5764782462925</v>
      </c>
      <c r="J52" s="1">
        <v>7.6532607061971092</v>
      </c>
      <c r="K52" s="1">
        <v>3.5609260156205038</v>
      </c>
      <c r="L52" s="1">
        <v>314.79534131221322</v>
      </c>
      <c r="M52" s="1">
        <v>1712.1332151814781</v>
      </c>
      <c r="N52" s="1">
        <v>554.436446180139</v>
      </c>
      <c r="O52" s="1">
        <v>128.41959591707322</v>
      </c>
      <c r="P52" s="1">
        <v>309.71908474521803</v>
      </c>
    </row>
    <row r="53" spans="1:21" s="1" customFormat="1" x14ac:dyDescent="0.15">
      <c r="A53" s="2" t="s">
        <v>6</v>
      </c>
      <c r="B53" s="2" t="s">
        <v>108</v>
      </c>
      <c r="C53" s="1">
        <v>240.5969399644197</v>
      </c>
      <c r="D53" s="1">
        <v>112.54445991177231</v>
      </c>
      <c r="E53" s="1">
        <v>261.7198235275178</v>
      </c>
      <c r="F53" s="1">
        <v>623.3155784236975</v>
      </c>
      <c r="G53" s="1">
        <v>1628.4518110080448</v>
      </c>
      <c r="H53" s="1">
        <v>101.25942026074293</v>
      </c>
      <c r="I53" s="1">
        <v>2441.642831430067</v>
      </c>
      <c r="J53" s="1">
        <v>9.1319323871233209</v>
      </c>
      <c r="K53" s="1">
        <v>94.80887893863985</v>
      </c>
      <c r="L53" s="1">
        <v>217.02901905173348</v>
      </c>
      <c r="M53" s="1">
        <v>134.37921831570389</v>
      </c>
      <c r="N53" s="1">
        <v>790.11932545295804</v>
      </c>
      <c r="O53" s="1">
        <v>2737.2845088901263</v>
      </c>
      <c r="P53" s="1">
        <v>720.53485149875553</v>
      </c>
    </row>
    <row r="54" spans="1:21" s="1" customFormat="1" x14ac:dyDescent="0.15">
      <c r="A54" s="2" t="s">
        <v>6</v>
      </c>
      <c r="B54" s="2" t="s">
        <v>22</v>
      </c>
      <c r="C54" s="1">
        <v>0.74514084036658979</v>
      </c>
      <c r="D54" s="1">
        <v>1.1502267039607075</v>
      </c>
      <c r="E54" s="1">
        <v>3.5438325541687452</v>
      </c>
      <c r="F54" s="1">
        <v>22.365285605867676</v>
      </c>
      <c r="G54" s="1">
        <v>49.085814285724197</v>
      </c>
      <c r="H54" s="1">
        <v>7.6421575814484237</v>
      </c>
      <c r="I54" s="1">
        <v>75.846902812072159</v>
      </c>
      <c r="J54" s="1">
        <v>21.651335530810165</v>
      </c>
      <c r="K54" s="1">
        <v>1.0673450926255061</v>
      </c>
      <c r="L54" s="1">
        <v>2.7523673980958816</v>
      </c>
      <c r="M54" s="1">
        <v>8.4046334255117241</v>
      </c>
      <c r="N54" s="1">
        <v>32.029047494666152</v>
      </c>
      <c r="O54" s="1">
        <v>4.5975165586104119</v>
      </c>
      <c r="P54" s="1">
        <v>224.45946886058434</v>
      </c>
    </row>
    <row r="55" spans="1:21" x14ac:dyDescent="0.15">
      <c r="S55" t="s">
        <v>57</v>
      </c>
      <c r="T55" t="s">
        <v>31</v>
      </c>
      <c r="U55" t="s">
        <v>59</v>
      </c>
    </row>
    <row r="56" spans="1:21" x14ac:dyDescent="0.15">
      <c r="A56" s="1" t="s">
        <v>84</v>
      </c>
      <c r="C56" s="2" t="s">
        <v>15</v>
      </c>
      <c r="D56" s="2" t="s">
        <v>16</v>
      </c>
      <c r="E56" s="2" t="s">
        <v>17</v>
      </c>
      <c r="F56" s="2" t="s">
        <v>18</v>
      </c>
      <c r="G56" s="2" t="s">
        <v>19</v>
      </c>
      <c r="H56" s="2" t="s">
        <v>20</v>
      </c>
      <c r="I56" s="2" t="s">
        <v>21</v>
      </c>
      <c r="J56" s="2" t="s">
        <v>22</v>
      </c>
      <c r="K56" s="2" t="s">
        <v>23</v>
      </c>
      <c r="L56" s="2" t="s">
        <v>24</v>
      </c>
      <c r="M56" s="2" t="s">
        <v>25</v>
      </c>
      <c r="N56" s="2" t="s">
        <v>26</v>
      </c>
      <c r="O56" s="2" t="s">
        <v>38</v>
      </c>
      <c r="P56" s="2" t="s">
        <v>27</v>
      </c>
      <c r="R56" s="1" t="s">
        <v>71</v>
      </c>
      <c r="S56" s="1">
        <v>178085.22621554541</v>
      </c>
      <c r="T56" s="1">
        <v>12405.309000000001</v>
      </c>
      <c r="U56" s="1">
        <v>61314.989238999995</v>
      </c>
    </row>
    <row r="57" spans="1:21" x14ac:dyDescent="0.15">
      <c r="A57" s="2" t="s">
        <v>6</v>
      </c>
      <c r="B57" s="2" t="s">
        <v>16</v>
      </c>
      <c r="C57" s="1">
        <f>C51-C45</f>
        <v>0.10849972452142076</v>
      </c>
      <c r="D57" s="1">
        <f t="shared" ref="D57:P58" si="11">D51-D45</f>
        <v>-33.852906982966033</v>
      </c>
      <c r="E57" s="1">
        <f t="shared" si="11"/>
        <v>-9.145385918470339E-2</v>
      </c>
      <c r="F57" s="1">
        <f t="shared" si="11"/>
        <v>0.10299085343929448</v>
      </c>
      <c r="G57" s="1">
        <f t="shared" si="11"/>
        <v>2.4619917986090343</v>
      </c>
      <c r="H57" s="1">
        <f t="shared" si="11"/>
        <v>-3.1578455255706217</v>
      </c>
      <c r="I57" s="1">
        <f t="shared" si="11"/>
        <v>7.3887971451320027</v>
      </c>
      <c r="J57" s="1">
        <f t="shared" si="11"/>
        <v>-0.11179444627844504</v>
      </c>
      <c r="K57" s="1">
        <f t="shared" si="11"/>
        <v>2.0516498322178389E-3</v>
      </c>
      <c r="L57" s="1">
        <f t="shared" si="11"/>
        <v>0.14632126398236878</v>
      </c>
      <c r="M57" s="1">
        <f t="shared" si="11"/>
        <v>0.2053807769249687</v>
      </c>
      <c r="N57" s="1">
        <f t="shared" si="11"/>
        <v>0.69749612235773384</v>
      </c>
      <c r="O57" s="1">
        <f t="shared" si="11"/>
        <v>-192.76219690219523</v>
      </c>
      <c r="P57" s="1">
        <f t="shared" si="11"/>
        <v>7.2628544761883518E-3</v>
      </c>
      <c r="Q57" s="1"/>
      <c r="R57" s="1" t="s">
        <v>81</v>
      </c>
      <c r="S57" s="1">
        <v>1554.3410078844583</v>
      </c>
      <c r="T57" s="1">
        <v>2812.5175251574692</v>
      </c>
      <c r="U57" s="1">
        <v>198.00789558659744</v>
      </c>
    </row>
    <row r="58" spans="1:21" x14ac:dyDescent="0.15">
      <c r="A58" s="2" t="s">
        <v>6</v>
      </c>
      <c r="B58" s="2" t="s">
        <v>65</v>
      </c>
      <c r="C58" s="1">
        <f>C52-C46</f>
        <v>-0.4393586687926927</v>
      </c>
      <c r="D58" s="1">
        <f t="shared" si="11"/>
        <v>-2.0864091833575884</v>
      </c>
      <c r="E58" s="1">
        <f t="shared" si="11"/>
        <v>-1.5996262634516967</v>
      </c>
      <c r="F58" s="1">
        <f t="shared" si="11"/>
        <v>-1.0454537701860147</v>
      </c>
      <c r="G58" s="1">
        <f t="shared" si="11"/>
        <v>4.6392388230856341E-2</v>
      </c>
      <c r="H58" s="1">
        <f t="shared" si="11"/>
        <v>-2.9952383617547866</v>
      </c>
      <c r="I58" s="1">
        <f t="shared" si="11"/>
        <v>-11.49607298481078</v>
      </c>
      <c r="J58" s="1">
        <f t="shared" si="11"/>
        <v>-4.7035561653092195E-2</v>
      </c>
      <c r="K58" s="1">
        <f t="shared" si="11"/>
        <v>-2.2175348485849344E-2</v>
      </c>
      <c r="L58" s="1">
        <f t="shared" si="11"/>
        <v>-1.0144538676365755</v>
      </c>
      <c r="M58" s="1">
        <f t="shared" si="11"/>
        <v>-7.3705968045799182</v>
      </c>
      <c r="N58" s="1">
        <f t="shared" si="11"/>
        <v>-7.5347580548850601E-2</v>
      </c>
      <c r="O58" s="1">
        <f t="shared" si="11"/>
        <v>-33.798398851342029</v>
      </c>
      <c r="P58" s="1">
        <f t="shared" si="11"/>
        <v>-1.2414798042336201</v>
      </c>
      <c r="R58" t="s">
        <v>83</v>
      </c>
      <c r="S58">
        <f>S56/S57</f>
        <v>114.57281594720902</v>
      </c>
      <c r="T58">
        <f>T56/T57</f>
        <v>4.4107490492189712</v>
      </c>
      <c r="U58">
        <f>U56/U57</f>
        <v>309.65931463164452</v>
      </c>
    </row>
    <row r="59" spans="1:21" x14ac:dyDescent="0.15">
      <c r="A59" s="2" t="s">
        <v>6</v>
      </c>
      <c r="B59" s="2" t="s">
        <v>59</v>
      </c>
      <c r="C59" s="1">
        <f>C54-C48</f>
        <v>-1.9525295755956629E-3</v>
      </c>
      <c r="D59" s="1">
        <f t="shared" ref="D59:P59" si="12">D54-D48</f>
        <v>-7.8421453055602663E-2</v>
      </c>
      <c r="E59" s="1">
        <f t="shared" si="12"/>
        <v>-4.8270222786582995E-2</v>
      </c>
      <c r="F59" s="1">
        <f t="shared" si="12"/>
        <v>-8.633577435233164E-2</v>
      </c>
      <c r="G59" s="1">
        <f t="shared" si="12"/>
        <v>2.8749740641849542E-2</v>
      </c>
      <c r="H59" s="1">
        <f t="shared" si="12"/>
        <v>-7.6304422879785783E-2</v>
      </c>
      <c r="I59" s="1">
        <f t="shared" si="12"/>
        <v>-0.36998693719006326</v>
      </c>
      <c r="J59" s="1">
        <f t="shared" si="12"/>
        <v>-0.13306520793243237</v>
      </c>
      <c r="K59" s="1">
        <f t="shared" si="12"/>
        <v>-6.13407145907785E-3</v>
      </c>
      <c r="L59" s="1">
        <f t="shared" si="12"/>
        <v>-7.5515131012058312E-3</v>
      </c>
      <c r="M59" s="1">
        <f t="shared" si="12"/>
        <v>-3.2151623295023413E-2</v>
      </c>
      <c r="N59" s="1">
        <f t="shared" si="12"/>
        <v>1.0940046088862232E-2</v>
      </c>
      <c r="O59" s="1">
        <f t="shared" si="12"/>
        <v>-1.2058494085320373</v>
      </c>
      <c r="P59" s="1">
        <f t="shared" si="12"/>
        <v>-0.85668381886449652</v>
      </c>
      <c r="S59" t="s">
        <v>70</v>
      </c>
      <c r="T59" t="s">
        <v>86</v>
      </c>
      <c r="U59" t="s">
        <v>82</v>
      </c>
    </row>
    <row r="60" spans="1:21" x14ac:dyDescent="0.15">
      <c r="A60" s="1" t="s">
        <v>93</v>
      </c>
      <c r="C60" s="2" t="s">
        <v>15</v>
      </c>
      <c r="D60" s="2" t="s">
        <v>16</v>
      </c>
      <c r="E60" s="2" t="s">
        <v>17</v>
      </c>
      <c r="F60" s="2" t="s">
        <v>18</v>
      </c>
      <c r="G60" s="2" t="s">
        <v>19</v>
      </c>
      <c r="H60" s="2" t="s">
        <v>20</v>
      </c>
      <c r="I60" s="2" t="s">
        <v>21</v>
      </c>
      <c r="J60" s="2" t="s">
        <v>22</v>
      </c>
      <c r="K60" s="2" t="s">
        <v>23</v>
      </c>
      <c r="L60" s="2" t="s">
        <v>24</v>
      </c>
      <c r="M60" s="2" t="s">
        <v>25</v>
      </c>
      <c r="N60" s="2" t="s">
        <v>26</v>
      </c>
      <c r="O60" s="2" t="s">
        <v>38</v>
      </c>
      <c r="P60" s="2" t="s">
        <v>27</v>
      </c>
      <c r="R60" t="s">
        <v>56</v>
      </c>
      <c r="S60">
        <v>178085.22621554541</v>
      </c>
      <c r="T60">
        <v>1554.3410078844583</v>
      </c>
      <c r="U60">
        <v>114.57281594720902</v>
      </c>
    </row>
    <row r="61" spans="1:21" x14ac:dyDescent="0.15">
      <c r="A61" s="2" t="s">
        <v>6</v>
      </c>
      <c r="B61" s="2" t="s">
        <v>16</v>
      </c>
      <c r="C61" s="1">
        <f>C57*$U60/100</f>
        <v>0.12431118967915623</v>
      </c>
      <c r="D61" s="1">
        <f t="shared" ref="D61:P61" si="13">D57*$U60/100</f>
        <v>-38.786228810373544</v>
      </c>
      <c r="E61" s="1">
        <f t="shared" si="13"/>
        <v>-0.10478126176030993</v>
      </c>
      <c r="F61" s="1">
        <f t="shared" si="13"/>
        <v>0.11799952095346265</v>
      </c>
      <c r="G61" s="1">
        <f t="shared" si="13"/>
        <v>2.82077333205571</v>
      </c>
      <c r="H61" s="1">
        <f t="shared" si="13"/>
        <v>-3.6180325419092036</v>
      </c>
      <c r="I61" s="1">
        <f t="shared" si="13"/>
        <v>8.4655529538047247</v>
      </c>
      <c r="J61" s="1">
        <f t="shared" si="13"/>
        <v>-0.12808604517380429</v>
      </c>
      <c r="K61" s="1">
        <f t="shared" si="13"/>
        <v>2.3506329861481671E-3</v>
      </c>
      <c r="L61" s="1">
        <f t="shared" si="13"/>
        <v>0.16764439247414922</v>
      </c>
      <c r="M61" s="1">
        <f t="shared" si="13"/>
        <v>0.23531053953719233</v>
      </c>
      <c r="N61" s="1">
        <f>N57*$U60/100</f>
        <v>0.79914094850784623</v>
      </c>
      <c r="O61" s="1">
        <f t="shared" si="13"/>
        <v>-220.85307707254881</v>
      </c>
      <c r="P61" s="1">
        <f t="shared" si="13"/>
        <v>8.3212568915169132E-3</v>
      </c>
      <c r="Q61" s="1">
        <f>-SUM(C61,F61,G61,I61,K61,L61,M61,N61,P61,O61)</f>
        <v>208.11167230565891</v>
      </c>
      <c r="R61" t="s">
        <v>58</v>
      </c>
      <c r="S61">
        <v>12405.309000000001</v>
      </c>
      <c r="T61">
        <v>2812.5175251574692</v>
      </c>
      <c r="U61">
        <v>4.4107490492189712</v>
      </c>
    </row>
    <row r="62" spans="1:21" x14ac:dyDescent="0.15">
      <c r="B62" s="1" t="s">
        <v>91</v>
      </c>
      <c r="D62">
        <f>-D61</f>
        <v>38.786228810373544</v>
      </c>
      <c r="E62">
        <f>-E61</f>
        <v>0.10478126176030993</v>
      </c>
      <c r="H62">
        <f>-H61</f>
        <v>3.6180325419092036</v>
      </c>
      <c r="J62">
        <f>-J61</f>
        <v>0.12808604517380429</v>
      </c>
      <c r="O62">
        <f>-O61</f>
        <v>220.85307707254881</v>
      </c>
      <c r="Q62">
        <f>SUM(C62:P62)</f>
        <v>263.49020573176568</v>
      </c>
    </row>
    <row r="63" spans="1:21" x14ac:dyDescent="0.15">
      <c r="A63" s="2" t="s">
        <v>6</v>
      </c>
      <c r="B63" s="2" t="s">
        <v>22</v>
      </c>
      <c r="C63" s="1">
        <f>C58*$U63/100</f>
        <v>-1.3605150425581691</v>
      </c>
      <c r="D63" s="1">
        <f t="shared" ref="D63:P63" si="14">D58*$U63/100</f>
        <v>-6.4607603775967997</v>
      </c>
      <c r="E63" s="1">
        <f t="shared" si="14"/>
        <v>-4.9533917240723078</v>
      </c>
      <c r="F63" s="1">
        <f t="shared" si="14"/>
        <v>-3.237344979548701</v>
      </c>
      <c r="G63" s="1">
        <f t="shared" si="14"/>
        <v>0.14365835143692146</v>
      </c>
      <c r="H63" s="1">
        <f t="shared" si="14"/>
        <v>-9.2750345825939693</v>
      </c>
      <c r="I63" s="1">
        <f t="shared" si="14"/>
        <v>-35.598660814318698</v>
      </c>
      <c r="J63" s="1">
        <f t="shared" si="14"/>
        <v>-0.14564999784810989</v>
      </c>
      <c r="K63" s="1">
        <f t="shared" si="14"/>
        <v>-6.8668032138459845E-2</v>
      </c>
      <c r="L63" s="1">
        <f t="shared" si="14"/>
        <v>-3.1413508937776298</v>
      </c>
      <c r="M63" s="1">
        <f t="shared" si="14"/>
        <v>-22.823739549324063</v>
      </c>
      <c r="N63" s="1">
        <f t="shared" si="14"/>
        <v>-0.23332080151909707</v>
      </c>
      <c r="O63" s="1">
        <f t="shared" si="14"/>
        <v>-104.65989023953534</v>
      </c>
      <c r="P63" s="1">
        <f t="shared" si="14"/>
        <v>-3.8443578530801101</v>
      </c>
      <c r="Q63" s="1">
        <f>-SUM(C63:P63)</f>
        <v>195.65902653647453</v>
      </c>
      <c r="R63" t="s">
        <v>22</v>
      </c>
      <c r="S63">
        <v>61314.989238999995</v>
      </c>
      <c r="T63">
        <v>198.00789558659744</v>
      </c>
      <c r="U63">
        <v>309.65931463164452</v>
      </c>
    </row>
    <row r="64" spans="1:21" x14ac:dyDescent="0.15">
      <c r="B64" s="1" t="s">
        <v>91</v>
      </c>
      <c r="D64">
        <f>-D63</f>
        <v>6.4607603775967997</v>
      </c>
      <c r="E64">
        <f>-E63</f>
        <v>4.9533917240723078</v>
      </c>
      <c r="F64">
        <f>-F63</f>
        <v>3.237344979548701</v>
      </c>
      <c r="H64">
        <f>-H63</f>
        <v>9.2750345825939693</v>
      </c>
      <c r="J64">
        <f>-J63</f>
        <v>0.14564999784810989</v>
      </c>
      <c r="K64">
        <f>-K63</f>
        <v>6.8668032138459845E-2</v>
      </c>
      <c r="M64">
        <f>-M63</f>
        <v>22.823739549324063</v>
      </c>
      <c r="O64">
        <f>-O63</f>
        <v>104.65989023953534</v>
      </c>
      <c r="P64">
        <f>-P63</f>
        <v>3.8443578530801101</v>
      </c>
      <c r="Q64">
        <f>SUM(C64:P64)</f>
        <v>155.46883733573787</v>
      </c>
    </row>
    <row r="65" spans="1:17" x14ac:dyDescent="0.15">
      <c r="A65" s="2" t="s">
        <v>6</v>
      </c>
      <c r="B65" s="2" t="s">
        <v>20</v>
      </c>
      <c r="C65" s="1">
        <f>C59*$U61/100</f>
        <v>-8.6121179691304924E-5</v>
      </c>
      <c r="D65" s="1">
        <f t="shared" ref="D65:P65" si="15">D59*$U61/100</f>
        <v>-3.4589734950336965E-3</v>
      </c>
      <c r="E65" s="1">
        <f t="shared" si="15"/>
        <v>-2.1290783926150884E-3</v>
      </c>
      <c r="F65" s="1">
        <f t="shared" si="15"/>
        <v>-3.8080543463813042E-3</v>
      </c>
      <c r="G65" s="1">
        <f t="shared" si="15"/>
        <v>1.2680789120132988E-3</v>
      </c>
      <c r="H65" s="1">
        <f t="shared" si="15"/>
        <v>-3.3655966066821748E-3</v>
      </c>
      <c r="I65" s="1">
        <f t="shared" si="15"/>
        <v>-1.6319195314345107E-2</v>
      </c>
      <c r="J65" s="1">
        <f t="shared" si="15"/>
        <v>-5.8691723937210087E-3</v>
      </c>
      <c r="K65" s="1">
        <f t="shared" si="15"/>
        <v>-2.7055849855968855E-4</v>
      </c>
      <c r="L65" s="1">
        <f t="shared" si="15"/>
        <v>-3.3307829231308227E-4</v>
      </c>
      <c r="M65" s="1">
        <f t="shared" si="15"/>
        <v>-1.4181274187937104E-3</v>
      </c>
      <c r="N65" s="1">
        <f t="shared" si="15"/>
        <v>4.8253797884860813E-4</v>
      </c>
      <c r="O65" s="1">
        <f t="shared" si="15"/>
        <v>-5.3186991321839419E-2</v>
      </c>
      <c r="P65" s="1">
        <f t="shared" si="15"/>
        <v>-3.7786173395378556E-2</v>
      </c>
      <c r="Q65" s="1">
        <f>-SUM(C65:P65)</f>
        <v>0.12628050376449224</v>
      </c>
    </row>
    <row r="66" spans="1:17" x14ac:dyDescent="0.15">
      <c r="B66" s="1" t="s">
        <v>91</v>
      </c>
      <c r="D66">
        <f>-D65</f>
        <v>3.4589734950336965E-3</v>
      </c>
      <c r="E66">
        <f>-E65</f>
        <v>2.1290783926150884E-3</v>
      </c>
      <c r="F66">
        <f>-F65</f>
        <v>3.8080543463813042E-3</v>
      </c>
      <c r="H66">
        <f>-H65</f>
        <v>3.3655966066821748E-3</v>
      </c>
      <c r="I66">
        <f>-I65</f>
        <v>1.6319195314345107E-2</v>
      </c>
      <c r="J66">
        <f>-J65</f>
        <v>5.8691723937210087E-3</v>
      </c>
      <c r="K66">
        <f>-K65</f>
        <v>2.7055849855968855E-4</v>
      </c>
      <c r="M66">
        <f>-M65</f>
        <v>1.4181274187937104E-3</v>
      </c>
      <c r="O66">
        <f>-O65</f>
        <v>5.3186991321839419E-2</v>
      </c>
      <c r="P66">
        <f>-P65</f>
        <v>3.7786173395378556E-2</v>
      </c>
      <c r="Q66">
        <f>SUM(C66:P66)</f>
        <v>0.12761192118334974</v>
      </c>
    </row>
    <row r="67" spans="1:17" x14ac:dyDescent="0.15">
      <c r="B67" s="1" t="s">
        <v>113</v>
      </c>
      <c r="C67">
        <f>C61+C63+C65</f>
        <v>-1.2362899740587041</v>
      </c>
      <c r="D67">
        <f t="shared" ref="D67:P67" si="16">D61+D63+D65</f>
        <v>-45.250448161465378</v>
      </c>
      <c r="E67">
        <f t="shared" si="16"/>
        <v>-5.0603020642252332</v>
      </c>
      <c r="F67">
        <f t="shared" si="16"/>
        <v>-3.1231535129416197</v>
      </c>
      <c r="G67">
        <f t="shared" si="16"/>
        <v>2.9656997624046451</v>
      </c>
      <c r="H67">
        <f t="shared" si="16"/>
        <v>-12.896432721109855</v>
      </c>
      <c r="I67">
        <f t="shared" si="16"/>
        <v>-27.149427055828319</v>
      </c>
      <c r="J67">
        <f t="shared" si="16"/>
        <v>-0.27960521541563521</v>
      </c>
      <c r="K67">
        <f t="shared" si="16"/>
        <v>-6.658795765087136E-2</v>
      </c>
      <c r="L67">
        <f t="shared" si="16"/>
        <v>-2.9740395795957935</v>
      </c>
      <c r="M67">
        <f t="shared" si="16"/>
        <v>-22.589847137205666</v>
      </c>
      <c r="N67">
        <f t="shared" si="16"/>
        <v>0.56630268496759772</v>
      </c>
      <c r="O67">
        <f t="shared" si="16"/>
        <v>-325.56615430340599</v>
      </c>
      <c r="P67">
        <f t="shared" si="16"/>
        <v>-3.8738227695839718</v>
      </c>
      <c r="Q67">
        <f>O68-N67-L67-I67-G67-C67</f>
        <v>353.39390846551657</v>
      </c>
    </row>
    <row r="68" spans="1:17" x14ac:dyDescent="0.15">
      <c r="B68" s="1" t="s">
        <v>91</v>
      </c>
      <c r="D68">
        <f t="shared" ref="D68:F68" si="17">-D67</f>
        <v>45.250448161465378</v>
      </c>
      <c r="E68">
        <f t="shared" si="17"/>
        <v>5.0603020642252332</v>
      </c>
      <c r="F68">
        <f t="shared" si="17"/>
        <v>3.1231535129416197</v>
      </c>
      <c r="H68">
        <f>-H67</f>
        <v>12.896432721109855</v>
      </c>
      <c r="J68">
        <f>-J67</f>
        <v>0.27960521541563521</v>
      </c>
      <c r="K68">
        <f>-K67</f>
        <v>6.658795765087136E-2</v>
      </c>
      <c r="M68">
        <f>-M67</f>
        <v>22.589847137205666</v>
      </c>
      <c r="O68">
        <f>-O67</f>
        <v>325.56615430340599</v>
      </c>
      <c r="P68">
        <f>-P67</f>
        <v>3.8738227695839718</v>
      </c>
    </row>
    <row r="69" spans="1:17" x14ac:dyDescent="0.15">
      <c r="A69" s="1" t="s">
        <v>85</v>
      </c>
      <c r="C69" t="s">
        <v>38</v>
      </c>
      <c r="D69" t="s">
        <v>87</v>
      </c>
      <c r="F69" t="s">
        <v>92</v>
      </c>
      <c r="G69" t="s">
        <v>91</v>
      </c>
    </row>
    <row r="70" spans="1:17" x14ac:dyDescent="0.15">
      <c r="A70" s="2" t="s">
        <v>6</v>
      </c>
      <c r="B70" s="2" t="s">
        <v>16</v>
      </c>
      <c r="C70">
        <v>-10318.110690702451</v>
      </c>
      <c r="D70">
        <f>SUM(C61,E61,F61,G61,I61,K61,L61,M61,N61,P61)</f>
        <v>12.636623505129595</v>
      </c>
      <c r="E70" t="s">
        <v>57</v>
      </c>
      <c r="F70">
        <f>SUM(C61,F61,G61,I61,K61,L61,M61,N61,P61)</f>
        <v>12.741404766889906</v>
      </c>
      <c r="G70">
        <f>Q62</f>
        <v>263.49020573176568</v>
      </c>
    </row>
    <row r="71" spans="1:17" x14ac:dyDescent="0.15">
      <c r="A71" s="2" t="s">
        <v>6</v>
      </c>
      <c r="B71" s="2" t="s">
        <v>22</v>
      </c>
      <c r="C71">
        <v>-176.8264776851091</v>
      </c>
      <c r="D71">
        <f>SUM(C63,E63,F63,G63,I63,K63,L63,M63,N63,P63)</f>
        <v>-75.117691338900315</v>
      </c>
      <c r="E71" t="s">
        <v>59</v>
      </c>
      <c r="F71">
        <f>SUM(C63,G63,I63,L63,N63)</f>
        <v>-40.190189200736675</v>
      </c>
      <c r="G71">
        <f>Q64</f>
        <v>155.46883733573787</v>
      </c>
    </row>
    <row r="72" spans="1:17" x14ac:dyDescent="0.15">
      <c r="A72" s="2" t="s">
        <v>6</v>
      </c>
      <c r="B72" s="2" t="s">
        <v>20</v>
      </c>
      <c r="C72">
        <v>-71.486921010515061</v>
      </c>
      <c r="D72">
        <f>SUM(C65,E65,F65,G65,I65,K65,L65,M65,N65,P65)</f>
        <v>-6.039976994721593E-2</v>
      </c>
      <c r="E72" t="s">
        <v>96</v>
      </c>
      <c r="F72">
        <f>SUM(C65,G65,L65,N65)</f>
        <v>1.3314174188575197E-3</v>
      </c>
      <c r="G72">
        <f>Q66</f>
        <v>0.12761192118334974</v>
      </c>
    </row>
    <row r="73" spans="1:17" x14ac:dyDescent="0.15">
      <c r="E73" t="s">
        <v>97</v>
      </c>
      <c r="F73">
        <f>SUM(F70:F72)</f>
        <v>-27.447453016427911</v>
      </c>
      <c r="G73">
        <f>SUM(G70:G72)</f>
        <v>419.08665498868692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N45" sqref="N45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A67" workbookViewId="0">
      <selection activeCell="A26" sqref="A26:XFD26"/>
    </sheetView>
  </sheetViews>
  <sheetFormatPr defaultRowHeight="13.5" x14ac:dyDescent="0.15"/>
  <cols>
    <col min="1" max="1" width="16.375" bestFit="1" customWidth="1"/>
    <col min="2" max="2" width="13.875" bestFit="1" customWidth="1"/>
    <col min="16" max="16" width="17.25" bestFit="1" customWidth="1"/>
    <col min="19" max="19" width="13.875" bestFit="1" customWidth="1"/>
  </cols>
  <sheetData>
    <row r="1" spans="1:19" x14ac:dyDescent="0.15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t="s">
        <v>51</v>
      </c>
      <c r="I1" t="s">
        <v>32</v>
      </c>
      <c r="J1" t="s">
        <v>36</v>
      </c>
      <c r="L1" t="s">
        <v>50</v>
      </c>
      <c r="M1" t="s">
        <v>32</v>
      </c>
      <c r="N1" t="s">
        <v>36</v>
      </c>
    </row>
    <row r="2" spans="1:19" x14ac:dyDescent="0.15">
      <c r="A2" t="s">
        <v>33</v>
      </c>
      <c r="B2" s="1">
        <v>40364.898007862663</v>
      </c>
      <c r="C2" s="1">
        <v>59572.146641981359</v>
      </c>
      <c r="D2" s="1">
        <v>81619.003625280893</v>
      </c>
      <c r="E2" s="1">
        <v>103180.51756237488</v>
      </c>
      <c r="F2" s="1">
        <v>124332.44367939362</v>
      </c>
      <c r="H2" t="s">
        <v>2</v>
      </c>
      <c r="I2" s="11">
        <v>9.8195305233858207E-2</v>
      </c>
      <c r="J2" s="11">
        <v>9.8195305233858179E-2</v>
      </c>
      <c r="L2" t="s">
        <v>2</v>
      </c>
      <c r="M2" s="1">
        <v>2792.2401149158381</v>
      </c>
      <c r="N2" s="1">
        <v>2792.2401149158381</v>
      </c>
    </row>
    <row r="3" spans="1:19" x14ac:dyDescent="0.15">
      <c r="A3" t="s">
        <v>37</v>
      </c>
      <c r="B3" s="1">
        <v>40364.898007862663</v>
      </c>
      <c r="C3" s="1">
        <v>59572.146641981613</v>
      </c>
      <c r="D3" s="1">
        <v>81619.003625282494</v>
      </c>
      <c r="E3" s="1">
        <v>102991.99152437055</v>
      </c>
      <c r="F3" s="1">
        <v>123895.01065193585</v>
      </c>
      <c r="H3" t="s">
        <v>3</v>
      </c>
      <c r="I3" s="11">
        <v>0.1372273155246635</v>
      </c>
      <c r="J3" s="11">
        <v>0.137227315498789</v>
      </c>
      <c r="L3" t="s">
        <v>3</v>
      </c>
      <c r="M3" s="1">
        <v>3763.2646332563859</v>
      </c>
      <c r="N3" s="1">
        <v>3763.2646332563859</v>
      </c>
    </row>
    <row r="4" spans="1:19" x14ac:dyDescent="0.15">
      <c r="A4" t="s">
        <v>48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4</v>
      </c>
      <c r="I4" s="11">
        <v>0.16021618785094185</v>
      </c>
      <c r="J4" s="11">
        <v>0.16021618775269625</v>
      </c>
      <c r="L4" t="s">
        <v>4</v>
      </c>
      <c r="M4" s="1">
        <v>4663.2946003247725</v>
      </c>
      <c r="N4" s="1">
        <v>4663.2946003247725</v>
      </c>
    </row>
    <row r="5" spans="1:19" x14ac:dyDescent="0.15">
      <c r="A5" t="s">
        <v>32</v>
      </c>
      <c r="B5">
        <v>6.1840876931068482</v>
      </c>
      <c r="C5">
        <v>7.9405379506648597</v>
      </c>
      <c r="D5">
        <v>9.536159297748096</v>
      </c>
      <c r="E5">
        <v>10.723105459061792</v>
      </c>
      <c r="F5">
        <v>11.531302521926802</v>
      </c>
      <c r="H5" t="s">
        <v>5</v>
      </c>
      <c r="I5" s="11">
        <v>0.17800367582754797</v>
      </c>
      <c r="J5" s="11">
        <v>0.21918093825556278</v>
      </c>
      <c r="L5" t="s">
        <v>5</v>
      </c>
      <c r="M5" s="1">
        <v>5375.4864985244649</v>
      </c>
      <c r="N5" s="1">
        <v>5495.6794904296803</v>
      </c>
    </row>
    <row r="6" spans="1:19" x14ac:dyDescent="0.15">
      <c r="A6" t="s">
        <v>36</v>
      </c>
      <c r="B6">
        <v>6.1840876931068482</v>
      </c>
      <c r="C6">
        <v>7.9405379506648597</v>
      </c>
      <c r="D6">
        <v>9.536159297748096</v>
      </c>
      <c r="E6">
        <v>10.40523243347241</v>
      </c>
      <c r="F6">
        <v>10.992527885713999</v>
      </c>
      <c r="H6" t="s">
        <v>6</v>
      </c>
      <c r="I6" s="11">
        <v>0.20028565001973447</v>
      </c>
      <c r="J6" s="11">
        <v>0.27037434666910515</v>
      </c>
      <c r="L6" t="s">
        <v>6</v>
      </c>
      <c r="M6" s="1">
        <v>5961.6818495416974</v>
      </c>
      <c r="N6" s="1">
        <v>6198.3829011244807</v>
      </c>
    </row>
    <row r="7" spans="1:19" x14ac:dyDescent="0.15">
      <c r="A7" t="s">
        <v>53</v>
      </c>
      <c r="K7" s="1" t="s">
        <v>60</v>
      </c>
    </row>
    <row r="8" spans="1:19" x14ac:dyDescent="0.15">
      <c r="A8" s="1" t="s">
        <v>33</v>
      </c>
      <c r="B8" s="2" t="s">
        <v>38</v>
      </c>
      <c r="C8" s="2" t="s">
        <v>0</v>
      </c>
      <c r="D8" s="2" t="s">
        <v>39</v>
      </c>
      <c r="E8" s="2" t="s">
        <v>40</v>
      </c>
      <c r="F8" s="2" t="s">
        <v>41</v>
      </c>
      <c r="G8" s="2" t="s">
        <v>1</v>
      </c>
      <c r="H8" s="2" t="s">
        <v>42</v>
      </c>
      <c r="I8" s="1" t="s">
        <v>28</v>
      </c>
      <c r="K8" s="1" t="s">
        <v>33</v>
      </c>
      <c r="L8" s="2" t="s">
        <v>38</v>
      </c>
      <c r="M8" s="2" t="s">
        <v>0</v>
      </c>
      <c r="N8" s="2" t="s">
        <v>39</v>
      </c>
      <c r="O8" s="2" t="s">
        <v>40</v>
      </c>
      <c r="P8" s="2" t="s">
        <v>41</v>
      </c>
      <c r="Q8" s="2" t="s">
        <v>1</v>
      </c>
      <c r="R8" s="1" t="s">
        <v>28</v>
      </c>
      <c r="S8" s="1"/>
    </row>
    <row r="9" spans="1:19" x14ac:dyDescent="0.15">
      <c r="A9" s="2" t="s">
        <v>2</v>
      </c>
      <c r="B9" s="1">
        <v>1104.8830852746305</v>
      </c>
      <c r="C9" s="1">
        <v>223.1210709999996</v>
      </c>
      <c r="D9" s="1">
        <v>24.271361600000063</v>
      </c>
      <c r="E9" s="1">
        <v>16.050940599999969</v>
      </c>
      <c r="F9" s="1">
        <v>3.2491782599999276E-2</v>
      </c>
      <c r="G9" s="1">
        <v>5.2311770000000033</v>
      </c>
      <c r="H9" s="1">
        <v>1373.5901272572301</v>
      </c>
      <c r="I9">
        <f>SUM(C9:G9)/SUM(B9:G9)</f>
        <v>0.1956238885606662</v>
      </c>
      <c r="K9" s="2" t="s">
        <v>2</v>
      </c>
      <c r="L9" s="1">
        <f>B9/B$9*B$22</f>
        <v>3400500</v>
      </c>
      <c r="M9" s="1">
        <f t="shared" ref="L9:Q13" si="0">C9/C$9*C$22</f>
        <v>686700</v>
      </c>
      <c r="N9" s="1">
        <f t="shared" si="0"/>
        <v>74700</v>
      </c>
      <c r="O9" s="1">
        <f t="shared" si="0"/>
        <v>49400</v>
      </c>
      <c r="P9" s="1">
        <f t="shared" si="0"/>
        <v>100</v>
      </c>
      <c r="Q9" s="1">
        <f t="shared" si="0"/>
        <v>16100</v>
      </c>
      <c r="R9">
        <f>SUM(M9:Q9)/SUM(L9:Q9)</f>
        <v>0.19562389118864576</v>
      </c>
    </row>
    <row r="10" spans="1:19" x14ac:dyDescent="0.15">
      <c r="A10" s="2" t="s">
        <v>3</v>
      </c>
      <c r="B10" s="1">
        <v>1405.6224291780643</v>
      </c>
      <c r="C10" s="1">
        <v>315.66363410100115</v>
      </c>
      <c r="D10" s="1">
        <v>89.503449892791352</v>
      </c>
      <c r="E10" s="1">
        <v>57.152309624594778</v>
      </c>
      <c r="F10" s="1">
        <v>3.1527935760761125</v>
      </c>
      <c r="G10" s="1">
        <v>47.557688614955985</v>
      </c>
      <c r="H10" s="1">
        <v>1918.6523049874841</v>
      </c>
      <c r="I10">
        <f>SUM(C10:G10)/SUM(B10:G10)</f>
        <v>0.26739074843097538</v>
      </c>
      <c r="K10" s="2" t="s">
        <v>3</v>
      </c>
      <c r="L10" s="1">
        <f>B10/B$9*B$22</f>
        <v>4326085.8403239399</v>
      </c>
      <c r="M10" s="1">
        <f t="shared" si="0"/>
        <v>971518.36249996256</v>
      </c>
      <c r="N10" s="1">
        <f t="shared" si="0"/>
        <v>275464.87985212565</v>
      </c>
      <c r="O10" s="1">
        <f t="shared" si="0"/>
        <v>175897.73495610518</v>
      </c>
      <c r="P10" s="1">
        <f t="shared" si="0"/>
        <v>9703.3567375776511</v>
      </c>
      <c r="Q10" s="1">
        <f t="shared" si="0"/>
        <v>146368.35777126084</v>
      </c>
      <c r="R10">
        <f t="shared" ref="R10:R13" si="1">SUM(M10:Q10)/SUM(L10:Q10)</f>
        <v>0.26739075168143839</v>
      </c>
    </row>
    <row r="11" spans="1:19" x14ac:dyDescent="0.15">
      <c r="A11" s="2" t="s">
        <v>4</v>
      </c>
      <c r="B11" s="1">
        <v>1722.574975550302</v>
      </c>
      <c r="C11" s="1">
        <v>372.03475950191131</v>
      </c>
      <c r="D11" s="1">
        <v>144.19252529096414</v>
      </c>
      <c r="E11" s="1">
        <v>135.32603367912583</v>
      </c>
      <c r="F11" s="1">
        <v>13.062571381478545</v>
      </c>
      <c r="G11" s="1">
        <v>88.985235502020046</v>
      </c>
      <c r="H11" s="1">
        <v>2476.1761009058018</v>
      </c>
      <c r="I11">
        <f t="shared" ref="I11:I13" si="2">SUM(C11:G11)/SUM(B11:G11)</f>
        <v>0.30434068282939469</v>
      </c>
      <c r="K11" s="2" t="s">
        <v>4</v>
      </c>
      <c r="L11" s="1">
        <f t="shared" si="0"/>
        <v>5301571.0733799757</v>
      </c>
      <c r="M11" s="1">
        <f t="shared" si="0"/>
        <v>1145011.8458330766</v>
      </c>
      <c r="N11" s="1">
        <f t="shared" si="0"/>
        <v>443781.51571170992</v>
      </c>
      <c r="O11" s="1">
        <f t="shared" si="0"/>
        <v>416493.10344770883</v>
      </c>
      <c r="P11" s="1">
        <f t="shared" si="0"/>
        <v>40202.692300048919</v>
      </c>
      <c r="Q11" s="1">
        <f t="shared" si="0"/>
        <v>273869.97067438584</v>
      </c>
      <c r="R11">
        <f t="shared" si="1"/>
        <v>0.30434068633209782</v>
      </c>
    </row>
    <row r="12" spans="1:19" x14ac:dyDescent="0.15">
      <c r="A12" s="2" t="s">
        <v>5</v>
      </c>
      <c r="B12" s="1">
        <v>1967.5499866802702</v>
      </c>
      <c r="C12" s="1">
        <v>441.89231408342113</v>
      </c>
      <c r="D12" s="1">
        <v>185.64675471497242</v>
      </c>
      <c r="E12" s="1">
        <v>235.79526305428669</v>
      </c>
      <c r="F12" s="1">
        <v>21.459322786564613</v>
      </c>
      <c r="G12" s="1">
        <v>93.877383142228737</v>
      </c>
      <c r="H12" s="1">
        <v>2946.221024461744</v>
      </c>
      <c r="I12">
        <f t="shared" si="2"/>
        <v>0.33217841759182704</v>
      </c>
      <c r="K12" s="2" t="s">
        <v>5</v>
      </c>
      <c r="L12" s="1">
        <f t="shared" si="0"/>
        <v>6055530.9596790737</v>
      </c>
      <c r="M12" s="1">
        <f t="shared" si="0"/>
        <v>1360012.5291666687</v>
      </c>
      <c r="N12" s="1">
        <f t="shared" si="0"/>
        <v>571365.24953789171</v>
      </c>
      <c r="O12" s="1">
        <f t="shared" si="0"/>
        <v>725707.37660581619</v>
      </c>
      <c r="P12" s="1">
        <f t="shared" si="0"/>
        <v>66045.38461538608</v>
      </c>
      <c r="Q12" s="1">
        <f t="shared" si="0"/>
        <v>288926.53958944266</v>
      </c>
      <c r="R12">
        <f t="shared" si="1"/>
        <v>0.33217842126216052</v>
      </c>
    </row>
    <row r="13" spans="1:19" x14ac:dyDescent="0.15">
      <c r="A13" s="2" t="s">
        <v>6</v>
      </c>
      <c r="B13" s="1">
        <v>2110.2178885708663</v>
      </c>
      <c r="C13" s="1">
        <v>513.65672744757057</v>
      </c>
      <c r="D13" s="1">
        <v>253.16690112532339</v>
      </c>
      <c r="E13" s="1">
        <v>321.49144111638276</v>
      </c>
      <c r="F13" s="1">
        <v>38.730579764383855</v>
      </c>
      <c r="G13" s="1">
        <v>105.2417700090909</v>
      </c>
      <c r="H13" s="1">
        <v>3342.5053080336179</v>
      </c>
      <c r="I13">
        <f t="shared" si="2"/>
        <v>0.36867179133597283</v>
      </c>
      <c r="K13" s="2" t="s">
        <v>6</v>
      </c>
      <c r="L13" s="1">
        <f t="shared" si="0"/>
        <v>6494620.1328637497</v>
      </c>
      <c r="M13" s="1">
        <f t="shared" si="0"/>
        <v>1580881.9541667013</v>
      </c>
      <c r="N13" s="1">
        <f t="shared" si="0"/>
        <v>779172.08872458176</v>
      </c>
      <c r="O13" s="1">
        <f t="shared" si="0"/>
        <v>989454.61122380209</v>
      </c>
      <c r="P13" s="1">
        <f t="shared" si="0"/>
        <v>119201.15384615654</v>
      </c>
      <c r="Q13" s="1">
        <f t="shared" si="0"/>
        <v>323902.727272727</v>
      </c>
      <c r="R13">
        <f t="shared" si="1"/>
        <v>0.36867179518505888</v>
      </c>
    </row>
    <row r="14" spans="1:19" x14ac:dyDescent="0.15">
      <c r="A14" s="1" t="s">
        <v>43</v>
      </c>
      <c r="B14" s="2" t="s">
        <v>38</v>
      </c>
      <c r="C14" s="2" t="s">
        <v>0</v>
      </c>
      <c r="D14" s="2" t="s">
        <v>39</v>
      </c>
      <c r="E14" s="2" t="s">
        <v>40</v>
      </c>
      <c r="F14" s="2" t="s">
        <v>41</v>
      </c>
      <c r="G14" s="2" t="s">
        <v>1</v>
      </c>
      <c r="H14" s="2" t="s">
        <v>42</v>
      </c>
      <c r="I14" s="2"/>
      <c r="K14" s="1" t="s">
        <v>43</v>
      </c>
      <c r="L14" s="2" t="s">
        <v>38</v>
      </c>
      <c r="M14" s="2" t="s">
        <v>0</v>
      </c>
      <c r="N14" s="2" t="s">
        <v>39</v>
      </c>
      <c r="O14" s="2" t="s">
        <v>40</v>
      </c>
      <c r="P14" s="2" t="s">
        <v>41</v>
      </c>
      <c r="Q14" s="2" t="s">
        <v>1</v>
      </c>
      <c r="R14" s="2"/>
      <c r="S14" s="2"/>
    </row>
    <row r="15" spans="1:19" x14ac:dyDescent="0.15">
      <c r="A15" s="2" t="s">
        <v>2</v>
      </c>
      <c r="B15" s="1">
        <v>1104.8830852746305</v>
      </c>
      <c r="C15" s="1">
        <v>223.1210709999996</v>
      </c>
      <c r="D15" s="1">
        <v>24.271361600000063</v>
      </c>
      <c r="E15" s="1">
        <v>16.050940599999969</v>
      </c>
      <c r="F15" s="1">
        <v>3.2491782599999276E-2</v>
      </c>
      <c r="G15" s="1">
        <v>5.2311770000000033</v>
      </c>
      <c r="H15" s="1">
        <v>1373.5901272572301</v>
      </c>
      <c r="I15">
        <f>SUM(C15:G15)/H15</f>
        <v>0.1956238885606662</v>
      </c>
      <c r="K15" s="2" t="s">
        <v>2</v>
      </c>
      <c r="L15" s="1">
        <f>B15/B$15*B$22</f>
        <v>3400500</v>
      </c>
      <c r="M15" s="1">
        <f t="shared" ref="L15:Q19" si="3">C15/C$15*C$22</f>
        <v>686700</v>
      </c>
      <c r="N15" s="1">
        <f t="shared" si="3"/>
        <v>74700</v>
      </c>
      <c r="O15" s="1">
        <f t="shared" si="3"/>
        <v>49400</v>
      </c>
      <c r="P15" s="1">
        <f t="shared" si="3"/>
        <v>100</v>
      </c>
      <c r="Q15" s="1">
        <f t="shared" si="3"/>
        <v>16100</v>
      </c>
      <c r="R15">
        <f>SUM(M15:Q15)/SUM(L15:Q15)</f>
        <v>0.19562389118864576</v>
      </c>
    </row>
    <row r="16" spans="1:19" x14ac:dyDescent="0.15">
      <c r="A16" s="2" t="s">
        <v>3</v>
      </c>
      <c r="B16" s="1">
        <v>1405.6224291780643</v>
      </c>
      <c r="C16" s="1">
        <v>315.66363410100115</v>
      </c>
      <c r="D16" s="1">
        <v>89.503449892791352</v>
      </c>
      <c r="E16" s="1">
        <v>57.152309624594778</v>
      </c>
      <c r="F16" s="1">
        <v>3.1527935760761125</v>
      </c>
      <c r="G16" s="1">
        <v>47.557688614955985</v>
      </c>
      <c r="H16" s="1">
        <v>1918.6523049874841</v>
      </c>
      <c r="I16">
        <f>SUM(C16:G16)/H16</f>
        <v>0.26739074843097538</v>
      </c>
      <c r="K16" s="2" t="s">
        <v>3</v>
      </c>
      <c r="L16" s="1">
        <f t="shared" si="3"/>
        <v>4326085.8403239399</v>
      </c>
      <c r="M16" s="1">
        <f t="shared" si="3"/>
        <v>971518.36249996256</v>
      </c>
      <c r="N16" s="1">
        <f t="shared" si="3"/>
        <v>275464.87985212565</v>
      </c>
      <c r="O16" s="1">
        <f t="shared" si="3"/>
        <v>175897.73495610518</v>
      </c>
      <c r="P16" s="1">
        <f t="shared" si="3"/>
        <v>9703.3567375776511</v>
      </c>
      <c r="Q16" s="1">
        <f t="shared" si="3"/>
        <v>146368.35777126084</v>
      </c>
      <c r="R16">
        <f t="shared" ref="R16:R19" si="4">SUM(M16:Q16)/SUM(L16:Q16)</f>
        <v>0.26739075168143839</v>
      </c>
    </row>
    <row r="17" spans="1:29" x14ac:dyDescent="0.15">
      <c r="A17" s="2" t="s">
        <v>4</v>
      </c>
      <c r="B17" s="1">
        <v>1722.574975550302</v>
      </c>
      <c r="C17" s="1">
        <v>372.03475950191131</v>
      </c>
      <c r="D17" s="1">
        <v>144.19252529096414</v>
      </c>
      <c r="E17" s="1">
        <v>135.32603367912583</v>
      </c>
      <c r="F17" s="1">
        <v>13.062571381478545</v>
      </c>
      <c r="G17" s="1">
        <v>88.985235502020046</v>
      </c>
      <c r="H17" s="1">
        <v>2476.1761009058018</v>
      </c>
      <c r="I17">
        <f>SUM(C17:G17)/H17</f>
        <v>0.30434068282939469</v>
      </c>
      <c r="K17" s="2" t="s">
        <v>4</v>
      </c>
      <c r="L17" s="1">
        <f t="shared" si="3"/>
        <v>5301571.0733799757</v>
      </c>
      <c r="M17" s="1">
        <f t="shared" si="3"/>
        <v>1145011.8458330766</v>
      </c>
      <c r="N17" s="1">
        <f t="shared" si="3"/>
        <v>443781.51571170992</v>
      </c>
      <c r="O17" s="1">
        <f t="shared" si="3"/>
        <v>416493.10344770883</v>
      </c>
      <c r="P17" s="1">
        <f t="shared" si="3"/>
        <v>40202.692300048919</v>
      </c>
      <c r="Q17" s="1">
        <f t="shared" si="3"/>
        <v>273869.97067438584</v>
      </c>
      <c r="R17">
        <f t="shared" si="4"/>
        <v>0.30434068633209782</v>
      </c>
    </row>
    <row r="18" spans="1:29" x14ac:dyDescent="0.15">
      <c r="A18" s="2" t="s">
        <v>5</v>
      </c>
      <c r="B18" s="1">
        <v>1738.1869639906506</v>
      </c>
      <c r="C18" s="1">
        <v>482.82160202894437</v>
      </c>
      <c r="D18" s="1">
        <v>251.01343466173751</v>
      </c>
      <c r="E18" s="1">
        <v>343.03649170877628</v>
      </c>
      <c r="F18" s="1">
        <v>62.51356488042692</v>
      </c>
      <c r="G18" s="1">
        <v>108.41575980762461</v>
      </c>
      <c r="H18" s="1">
        <v>2985.9878170781603</v>
      </c>
      <c r="I18">
        <f>SUM(C18:G18)/H18</f>
        <v>0.41788544680282858</v>
      </c>
      <c r="K18" s="2" t="s">
        <v>5</v>
      </c>
      <c r="L18" s="1">
        <f t="shared" si="3"/>
        <v>5349620.1089738272</v>
      </c>
      <c r="M18" s="1">
        <f t="shared" si="3"/>
        <v>1485980.6500000022</v>
      </c>
      <c r="N18" s="1">
        <f t="shared" si="3"/>
        <v>772544.36229204969</v>
      </c>
      <c r="O18" s="1">
        <f t="shared" si="3"/>
        <v>1055763.840432727</v>
      </c>
      <c r="P18" s="1">
        <f t="shared" si="3"/>
        <v>192398.07692308121</v>
      </c>
      <c r="Q18" s="1">
        <f t="shared" si="3"/>
        <v>333671.3196480936</v>
      </c>
      <c r="R18">
        <f t="shared" si="4"/>
        <v>0.41788545082264872</v>
      </c>
    </row>
    <row r="19" spans="1:29" x14ac:dyDescent="0.15">
      <c r="A19" s="2" t="s">
        <v>6</v>
      </c>
      <c r="B19" s="1">
        <v>1691.1325389033098</v>
      </c>
      <c r="C19" s="1">
        <v>539.27433189570831</v>
      </c>
      <c r="D19" s="1">
        <v>357.83434403253233</v>
      </c>
      <c r="E19" s="1">
        <v>599.03108754991217</v>
      </c>
      <c r="F19" s="1">
        <v>131.07410043950304</v>
      </c>
      <c r="G19" s="1">
        <v>134.38448832844574</v>
      </c>
      <c r="H19" s="1">
        <v>3452.7308911494119</v>
      </c>
      <c r="I19">
        <f>SUM(C19:G19)/H19</f>
        <v>0.51020435932661601</v>
      </c>
      <c r="K19" s="2" t="s">
        <v>6</v>
      </c>
      <c r="L19" s="1">
        <f>B19/B$15*B$22</f>
        <v>5204800.648306882</v>
      </c>
      <c r="M19" s="1">
        <f t="shared" si="3"/>
        <v>1659725.2875000029</v>
      </c>
      <c r="N19" s="1">
        <f t="shared" si="3"/>
        <v>1101307.2088724554</v>
      </c>
      <c r="O19" s="1">
        <f t="shared" si="3"/>
        <v>1843638.7288708626</v>
      </c>
      <c r="P19" s="1">
        <f t="shared" si="3"/>
        <v>403406.92307693191</v>
      </c>
      <c r="Q19" s="1">
        <f t="shared" si="3"/>
        <v>413595.30791788828</v>
      </c>
      <c r="R19">
        <f t="shared" si="4"/>
        <v>0.51020436345101994</v>
      </c>
    </row>
    <row r="21" spans="1:29" x14ac:dyDescent="0.15">
      <c r="A21" s="1" t="s">
        <v>60</v>
      </c>
      <c r="B21" s="2" t="s">
        <v>38</v>
      </c>
      <c r="C21" s="2" t="s">
        <v>0</v>
      </c>
      <c r="D21" s="2" t="s">
        <v>39</v>
      </c>
      <c r="E21" s="2" t="s">
        <v>40</v>
      </c>
      <c r="F21" s="2" t="s">
        <v>41</v>
      </c>
      <c r="G21" s="2" t="s">
        <v>1</v>
      </c>
      <c r="H21" s="2" t="s">
        <v>42</v>
      </c>
      <c r="I21" s="1" t="s">
        <v>55</v>
      </c>
    </row>
    <row r="22" spans="1:29" x14ac:dyDescent="0.15">
      <c r="A22">
        <v>2010</v>
      </c>
      <c r="B22" s="1">
        <v>3400500</v>
      </c>
      <c r="C22">
        <v>686700</v>
      </c>
      <c r="D22">
        <v>74700</v>
      </c>
      <c r="E22">
        <v>49400</v>
      </c>
      <c r="F22">
        <v>100</v>
      </c>
      <c r="G22">
        <v>16100</v>
      </c>
      <c r="H22">
        <f>SUM(A22:G22)</f>
        <v>4229510</v>
      </c>
      <c r="I22">
        <f>SUM(C22:G22)</f>
        <v>827000</v>
      </c>
    </row>
    <row r="23" spans="1:29" x14ac:dyDescent="0.15">
      <c r="A23" s="1" t="s">
        <v>54</v>
      </c>
      <c r="B23">
        <f t="shared" ref="B23:G23" si="5">B13/B9*B22</f>
        <v>6494620.1328637497</v>
      </c>
      <c r="C23">
        <f t="shared" si="5"/>
        <v>1580881.9541667013</v>
      </c>
      <c r="D23">
        <f t="shared" si="5"/>
        <v>779172.08872458176</v>
      </c>
      <c r="E23">
        <f t="shared" si="5"/>
        <v>989454.61122380209</v>
      </c>
      <c r="F23">
        <f t="shared" si="5"/>
        <v>119201.15384615654</v>
      </c>
      <c r="G23">
        <f t="shared" si="5"/>
        <v>323902.727272727</v>
      </c>
      <c r="H23">
        <f>SUM(A23:G23)</f>
        <v>10287232.668097718</v>
      </c>
      <c r="I23">
        <f>SUM(C23:G23)</f>
        <v>3792612.5352339684</v>
      </c>
      <c r="K23" t="s">
        <v>68</v>
      </c>
    </row>
    <row r="24" spans="1:29" x14ac:dyDescent="0.15">
      <c r="A24" t="s">
        <v>62</v>
      </c>
      <c r="B24">
        <f>B19/B15*B22</f>
        <v>5204800.648306882</v>
      </c>
      <c r="C24">
        <f t="shared" ref="C24:G24" si="6">C19/C15*C22</f>
        <v>1659725.2875000029</v>
      </c>
      <c r="D24">
        <f t="shared" si="6"/>
        <v>1101307.2088724554</v>
      </c>
      <c r="E24">
        <f t="shared" si="6"/>
        <v>1843638.7288708626</v>
      </c>
      <c r="F24">
        <f t="shared" si="6"/>
        <v>403406.92307693191</v>
      </c>
      <c r="G24">
        <f t="shared" si="6"/>
        <v>413595.30791788828</v>
      </c>
      <c r="H24">
        <f>SUM(A24:G24)</f>
        <v>10626474.104545023</v>
      </c>
      <c r="I24">
        <f>SUM(C24:G24)</f>
        <v>5421673.4562381413</v>
      </c>
      <c r="Q24" s="1"/>
      <c r="R24" s="2"/>
      <c r="S24" s="2"/>
      <c r="T24" s="2"/>
      <c r="U24" s="2"/>
      <c r="V24" s="2"/>
      <c r="X24" s="1"/>
      <c r="Y24" s="2"/>
      <c r="Z24" s="2"/>
      <c r="AA24" s="2"/>
      <c r="AB24" s="2"/>
      <c r="AC24" s="2"/>
    </row>
    <row r="25" spans="1:29" x14ac:dyDescent="0.15">
      <c r="A25" t="s">
        <v>67</v>
      </c>
      <c r="B25">
        <f t="shared" ref="B25:G25" si="7">$H24*B27</f>
        <v>6708792.8199348701</v>
      </c>
      <c r="C25">
        <f t="shared" si="7"/>
        <v>1633014.6007479618</v>
      </c>
      <c r="D25">
        <f t="shared" si="7"/>
        <v>804866.79857967177</v>
      </c>
      <c r="E25">
        <f t="shared" si="7"/>
        <v>1022083.7948381592</v>
      </c>
      <c r="F25">
        <f t="shared" si="7"/>
        <v>123132.04293573169</v>
      </c>
      <c r="G25">
        <f t="shared" si="7"/>
        <v>334584.04750863049</v>
      </c>
      <c r="H25">
        <f>SUM(B25:G25)</f>
        <v>10626474.104545023</v>
      </c>
      <c r="R25" s="1"/>
      <c r="S25" s="1"/>
      <c r="T25" s="1"/>
      <c r="U25" s="1"/>
      <c r="V25" s="1"/>
      <c r="X25" s="1"/>
      <c r="Y25" s="6"/>
      <c r="Z25" s="6"/>
      <c r="AA25" s="6"/>
      <c r="AB25" s="6"/>
      <c r="AC25" s="6"/>
    </row>
    <row r="26" spans="1:29" x14ac:dyDescent="0.15">
      <c r="A26" s="1" t="s">
        <v>61</v>
      </c>
      <c r="R26" s="1"/>
      <c r="S26" s="1"/>
      <c r="T26" s="1"/>
      <c r="U26" s="1"/>
      <c r="V26" s="1"/>
      <c r="X26" s="1"/>
      <c r="Y26" s="6"/>
      <c r="Z26" s="6"/>
      <c r="AA26" s="6"/>
      <c r="AB26" s="6"/>
      <c r="AC26" s="6"/>
    </row>
    <row r="27" spans="1:29" x14ac:dyDescent="0.15">
      <c r="A27" s="1" t="s">
        <v>54</v>
      </c>
      <c r="B27">
        <f t="shared" ref="B27:G28" si="8">B23/$H23</f>
        <v>0.63132820481494123</v>
      </c>
      <c r="C27">
        <f t="shared" si="8"/>
        <v>0.15367417119564702</v>
      </c>
      <c r="D27">
        <f t="shared" si="8"/>
        <v>7.5741660936756453E-2</v>
      </c>
      <c r="E27">
        <f t="shared" si="8"/>
        <v>9.6182777540577288E-2</v>
      </c>
      <c r="F27">
        <f t="shared" si="8"/>
        <v>1.1587290546642107E-2</v>
      </c>
      <c r="G27">
        <f t="shared" si="8"/>
        <v>3.148589496543603E-2</v>
      </c>
      <c r="J27">
        <f>B31-B30</f>
        <v>-192.76219690219523</v>
      </c>
      <c r="Q27" s="1"/>
      <c r="R27" s="2"/>
      <c r="S27" s="2"/>
      <c r="T27" s="2"/>
      <c r="U27" s="2"/>
      <c r="V27" s="2"/>
      <c r="X27" s="1"/>
      <c r="Y27" s="6"/>
      <c r="Z27" s="6"/>
      <c r="AA27" s="6"/>
      <c r="AB27" s="6"/>
      <c r="AC27" s="6"/>
    </row>
    <row r="28" spans="1:29" x14ac:dyDescent="0.15">
      <c r="A28" t="s">
        <v>62</v>
      </c>
      <c r="B28">
        <f t="shared" si="8"/>
        <v>0.48979563654898001</v>
      </c>
      <c r="C28">
        <f t="shared" si="8"/>
        <v>0.15618776944933463</v>
      </c>
      <c r="D28">
        <f t="shared" si="8"/>
        <v>0.10363806452051842</v>
      </c>
      <c r="E28">
        <f t="shared" si="8"/>
        <v>0.17349486863966707</v>
      </c>
      <c r="F28">
        <f t="shared" si="8"/>
        <v>3.7962443526248439E-2</v>
      </c>
      <c r="G28">
        <f t="shared" si="8"/>
        <v>3.8921217315251389E-2</v>
      </c>
      <c r="R28" s="1"/>
      <c r="S28" s="1"/>
      <c r="T28" s="1"/>
      <c r="U28" s="1"/>
      <c r="V28" s="1"/>
      <c r="X28" s="1"/>
      <c r="Y28" s="6"/>
      <c r="Z28" s="6"/>
      <c r="AA28" s="6"/>
      <c r="AB28" s="6"/>
      <c r="AC28" s="6"/>
    </row>
    <row r="29" spans="1:29" x14ac:dyDescent="0.15">
      <c r="A29" t="s">
        <v>69</v>
      </c>
      <c r="B29" t="s">
        <v>64</v>
      </c>
      <c r="C29" t="s">
        <v>65</v>
      </c>
      <c r="D29" t="s">
        <v>66</v>
      </c>
      <c r="F29" t="s">
        <v>112</v>
      </c>
      <c r="G29" t="s">
        <v>64</v>
      </c>
      <c r="H29" t="s">
        <v>65</v>
      </c>
      <c r="I29" t="s">
        <v>66</v>
      </c>
      <c r="L29" s="1"/>
      <c r="M29" s="1" t="s">
        <v>72</v>
      </c>
      <c r="N29" s="1" t="s">
        <v>73</v>
      </c>
      <c r="O29" s="1" t="s">
        <v>74</v>
      </c>
      <c r="R29" s="1"/>
      <c r="S29" s="1"/>
      <c r="T29" s="1"/>
      <c r="U29" s="1"/>
      <c r="V29" s="1"/>
      <c r="Y29" s="1"/>
      <c r="Z29" s="1"/>
      <c r="AA29" s="1"/>
      <c r="AB29" s="1"/>
      <c r="AC29" s="1"/>
    </row>
    <row r="30" spans="1:29" x14ac:dyDescent="0.15">
      <c r="A30" s="1" t="s">
        <v>54</v>
      </c>
      <c r="B30" s="1">
        <v>985.00887155565067</v>
      </c>
      <c r="C30" s="1">
        <v>162.21799476841525</v>
      </c>
      <c r="D30" s="1">
        <v>5.8033659671424491</v>
      </c>
      <c r="F30" s="1" t="s">
        <v>54</v>
      </c>
      <c r="G30" s="1">
        <f>B30*M$30</f>
        <v>23.054842370121143</v>
      </c>
      <c r="H30" s="1">
        <f t="shared" ref="G30:I32" si="9">C30*N$30</f>
        <v>0.61642252076098503</v>
      </c>
      <c r="I30" s="1">
        <f t="shared" si="9"/>
        <v>5.1032458233035607E-2</v>
      </c>
      <c r="J30">
        <f>SUM(G30:I30)</f>
        <v>23.722297349115163</v>
      </c>
      <c r="L30" s="1" t="s">
        <v>75</v>
      </c>
      <c r="M30" s="1">
        <v>2.3405720532963342E-2</v>
      </c>
      <c r="N30" s="1">
        <v>3.7999638797224602E-3</v>
      </c>
      <c r="O30" s="1">
        <v>8.7935964269652556E-3</v>
      </c>
      <c r="Q30" s="1"/>
      <c r="R30" s="2"/>
      <c r="S30" s="2"/>
      <c r="T30" s="2"/>
      <c r="U30" s="2"/>
      <c r="V30" s="2"/>
      <c r="X30" s="1"/>
      <c r="Y30" s="2"/>
      <c r="Z30" s="2"/>
      <c r="AA30" s="2"/>
      <c r="AB30" s="2"/>
      <c r="AC30" s="2"/>
    </row>
    <row r="31" spans="1:29" x14ac:dyDescent="0.15">
      <c r="A31" t="s">
        <v>62</v>
      </c>
      <c r="B31" s="1">
        <v>792.24667465345544</v>
      </c>
      <c r="C31" s="1">
        <v>128.41959591707322</v>
      </c>
      <c r="D31" s="1">
        <v>4.5975165586104119</v>
      </c>
      <c r="F31" t="s">
        <v>62</v>
      </c>
      <c r="G31" s="1">
        <f>B31*M$30</f>
        <v>18.543104260108311</v>
      </c>
      <c r="H31" s="1">
        <f t="shared" si="9"/>
        <v>0.48798982593343215</v>
      </c>
      <c r="I31" s="1">
        <f t="shared" si="9"/>
        <v>4.0428705182710113E-2</v>
      </c>
      <c r="J31">
        <f>SUM(G31:I31)</f>
        <v>19.071522791224453</v>
      </c>
      <c r="K31">
        <f>J30-J31</f>
        <v>4.6507745578907098</v>
      </c>
      <c r="R31" s="1"/>
      <c r="S31" s="1"/>
      <c r="T31" s="1"/>
      <c r="U31" s="1"/>
      <c r="V31" s="1"/>
      <c r="Y31" s="1"/>
      <c r="Z31" s="1"/>
      <c r="AA31" s="1"/>
      <c r="AB31" s="1"/>
      <c r="AC31" s="1"/>
    </row>
    <row r="32" spans="1:29" x14ac:dyDescent="0.15">
      <c r="A32" t="s">
        <v>63</v>
      </c>
      <c r="B32">
        <f>$B25/$B23*B30</f>
        <v>1017.4914482875008</v>
      </c>
      <c r="C32">
        <f>$B25/$B23*C30</f>
        <v>167.5674475647439</v>
      </c>
      <c r="D32">
        <f>$B25/$B23*D30</f>
        <v>5.9947432082763248</v>
      </c>
      <c r="F32" t="s">
        <v>63</v>
      </c>
      <c r="G32" s="1">
        <f t="shared" si="9"/>
        <v>23.815120483297367</v>
      </c>
      <c r="H32" s="1">
        <f t="shared" si="9"/>
        <v>0.63675024816331416</v>
      </c>
      <c r="I32" s="1">
        <f t="shared" si="9"/>
        <v>5.2715352456872921E-2</v>
      </c>
      <c r="J32">
        <f>SUM(G32:I32)</f>
        <v>24.504586083917552</v>
      </c>
      <c r="R32" s="1"/>
      <c r="S32" s="1"/>
      <c r="T32" s="1"/>
      <c r="U32" s="1"/>
      <c r="V32" s="1"/>
      <c r="Y32" s="1"/>
      <c r="Z32" s="1"/>
      <c r="AA32" s="1"/>
      <c r="AB32" s="1"/>
      <c r="AC32" s="1"/>
    </row>
    <row r="33" spans="1:29" x14ac:dyDescent="0.15">
      <c r="A33" s="7" t="s">
        <v>78</v>
      </c>
      <c r="B33" s="7">
        <f>(F5-F6)*10</f>
        <v>5.3877463621280341</v>
      </c>
      <c r="D33" s="2" t="s">
        <v>0</v>
      </c>
      <c r="E33" s="2" t="s">
        <v>39</v>
      </c>
      <c r="F33" s="2" t="s">
        <v>40</v>
      </c>
      <c r="G33" s="2" t="s">
        <v>41</v>
      </c>
      <c r="H33" s="2" t="s">
        <v>1</v>
      </c>
      <c r="L33">
        <f>B33*100-M42</f>
        <v>538.77463621280344</v>
      </c>
      <c r="P33" t="s">
        <v>141</v>
      </c>
      <c r="Q33" s="1">
        <f>C42+G42+I42+N42</f>
        <v>554.16740465899613</v>
      </c>
      <c r="R33" s="2"/>
      <c r="S33" s="2"/>
      <c r="T33" s="2"/>
      <c r="U33" s="2"/>
      <c r="V33" s="2"/>
      <c r="X33" s="1"/>
      <c r="Y33" s="2"/>
      <c r="Z33" s="2"/>
      <c r="AA33" s="2"/>
      <c r="AB33" s="2"/>
      <c r="AC33" s="2"/>
    </row>
    <row r="34" spans="1:29" x14ac:dyDescent="0.15">
      <c r="A34" s="7" t="s">
        <v>76</v>
      </c>
      <c r="B34" s="7">
        <f>J32-J31</f>
        <v>5.4330632926930988</v>
      </c>
      <c r="C34" t="s">
        <v>88</v>
      </c>
      <c r="D34">
        <f>C24-C23</f>
        <v>78843.333333301591</v>
      </c>
      <c r="E34">
        <f>D24-D23</f>
        <v>322135.12014787365</v>
      </c>
      <c r="F34">
        <f>E24-E23</f>
        <v>854184.11764706054</v>
      </c>
      <c r="G34">
        <f>F24-F23</f>
        <v>284205.76923077536</v>
      </c>
      <c r="H34">
        <f>G24-G23</f>
        <v>89692.580645161273</v>
      </c>
      <c r="I34">
        <f>SUM(D34:H34)</f>
        <v>1629060.9210041722</v>
      </c>
      <c r="L34">
        <f>B34*100</f>
        <v>543.30632926930991</v>
      </c>
      <c r="P34" t="s">
        <v>143</v>
      </c>
      <c r="Q34">
        <f>B41+D41+E41+F41+H41+J41+K41+L41+M41+O41</f>
        <v>15.392768446192088</v>
      </c>
      <c r="R34" s="1">
        <f>Q34/Q33</f>
        <v>2.7776387273560313E-2</v>
      </c>
      <c r="S34" s="1"/>
      <c r="T34" s="1"/>
      <c r="U34" s="1"/>
      <c r="V34" s="1"/>
      <c r="Y34" s="1"/>
      <c r="Z34" s="1"/>
      <c r="AA34" s="1"/>
      <c r="AB34" s="1"/>
      <c r="AC34" s="1"/>
    </row>
    <row r="35" spans="1:29" x14ac:dyDescent="0.15">
      <c r="A35" s="7" t="s">
        <v>77</v>
      </c>
      <c r="B35" s="7">
        <f>1*(J32-J30)</f>
        <v>0.78228873480238903</v>
      </c>
      <c r="C35" t="s">
        <v>89</v>
      </c>
      <c r="D35">
        <f>D34/$I34</f>
        <v>4.8398026321017903E-2</v>
      </c>
      <c r="E35">
        <f>E34/$I34</f>
        <v>0.1977428320785608</v>
      </c>
      <c r="F35">
        <f>F34/$I34</f>
        <v>0.52434142065143363</v>
      </c>
      <c r="G35">
        <f>G34/$I34</f>
        <v>0.17445987781450653</v>
      </c>
      <c r="H35">
        <f>H34/$I34</f>
        <v>5.5057843134481255E-2</v>
      </c>
      <c r="L35">
        <f>B35*100</f>
        <v>78.228873480238903</v>
      </c>
      <c r="P35" t="s">
        <v>142</v>
      </c>
      <c r="Q35">
        <f>Q33-Q34</f>
        <v>538.77463621280401</v>
      </c>
      <c r="R35" s="1"/>
      <c r="S35" s="1"/>
      <c r="T35" s="1"/>
      <c r="U35" s="1"/>
      <c r="V35" s="1"/>
      <c r="Y35" s="1"/>
      <c r="Z35" s="1"/>
      <c r="AA35" s="1"/>
      <c r="AB35" s="1"/>
      <c r="AC35" s="1"/>
    </row>
    <row r="36" spans="1:29" x14ac:dyDescent="0.15">
      <c r="A36" s="7" t="s">
        <v>79</v>
      </c>
      <c r="B36" s="7">
        <f>10*SUM(B41:M41,O41)/1000</f>
        <v>-0.7369718042373512</v>
      </c>
      <c r="C36" t="s">
        <v>90</v>
      </c>
      <c r="D36">
        <f>$B34*D35*100</f>
        <v>26.294954024351679</v>
      </c>
      <c r="E36">
        <f t="shared" ref="E36:H36" si="10">$B34*E35*100</f>
        <v>107.4349322359204</v>
      </c>
      <c r="F36">
        <f t="shared" si="10"/>
        <v>284.87801253798551</v>
      </c>
      <c r="G36">
        <f t="shared" si="10"/>
        <v>94.785155820171852</v>
      </c>
      <c r="H36">
        <f t="shared" si="10"/>
        <v>29.913274650880485</v>
      </c>
      <c r="I36">
        <f>SUM(D36:H36)</f>
        <v>543.30632926930991</v>
      </c>
      <c r="L36">
        <f>B36*100+M42</f>
        <v>-73.697180423735119</v>
      </c>
    </row>
    <row r="38" spans="1:29" x14ac:dyDescent="0.15">
      <c r="A38" s="1" t="s">
        <v>80</v>
      </c>
      <c r="B38" s="2" t="s">
        <v>15</v>
      </c>
      <c r="C38" s="2" t="s">
        <v>16</v>
      </c>
      <c r="D38" s="2" t="s">
        <v>17</v>
      </c>
      <c r="E38" s="2" t="s">
        <v>18</v>
      </c>
      <c r="F38" s="2" t="s">
        <v>19</v>
      </c>
      <c r="G38" s="2" t="s">
        <v>20</v>
      </c>
      <c r="H38" s="2" t="s">
        <v>21</v>
      </c>
      <c r="I38" s="2" t="s">
        <v>22</v>
      </c>
      <c r="J38" s="2" t="s">
        <v>23</v>
      </c>
      <c r="K38" s="2" t="s">
        <v>24</v>
      </c>
      <c r="L38" s="2" t="s">
        <v>25</v>
      </c>
      <c r="M38" s="2" t="s">
        <v>26</v>
      </c>
      <c r="N38" s="2" t="s">
        <v>38</v>
      </c>
      <c r="O38" s="2" t="s">
        <v>27</v>
      </c>
    </row>
    <row r="39" spans="1:29" x14ac:dyDescent="0.15">
      <c r="A39" s="1" t="s">
        <v>54</v>
      </c>
      <c r="B39" s="1">
        <v>8.8521861457409812E-2</v>
      </c>
      <c r="C39" s="1">
        <v>1.2548986827110866</v>
      </c>
      <c r="D39" s="1">
        <v>0.10932027128405802</v>
      </c>
      <c r="E39" s="1">
        <v>0.15017367880382371</v>
      </c>
      <c r="F39" s="1">
        <v>0.74240558014729718</v>
      </c>
      <c r="G39" s="1">
        <v>0.86956066425641976</v>
      </c>
      <c r="H39" s="1">
        <v>4.1849094593019531</v>
      </c>
      <c r="I39" s="1">
        <v>6.4919831428699989E-2</v>
      </c>
      <c r="J39" s="1">
        <v>3.4031647759048189E-3</v>
      </c>
      <c r="K39" s="1">
        <v>0.1688192453715707</v>
      </c>
      <c r="L39" s="1">
        <v>0.73715675259736013</v>
      </c>
      <c r="M39" s="1">
        <v>0.39446257538006363</v>
      </c>
      <c r="N39" s="1">
        <v>2.3722297349115036</v>
      </c>
      <c r="O39" s="1">
        <v>0.39052101949965123</v>
      </c>
    </row>
    <row r="40" spans="1:29" x14ac:dyDescent="0.15">
      <c r="A40" t="s">
        <v>62</v>
      </c>
      <c r="B40" s="1">
        <v>8.8607141197539541E-2</v>
      </c>
      <c r="C40" s="1">
        <v>1.1748017260894696</v>
      </c>
      <c r="D40" s="1">
        <v>0.10845591784900452</v>
      </c>
      <c r="E40" s="1">
        <v>0.14994154746497981</v>
      </c>
      <c r="F40" s="1">
        <v>0.74821095964818185</v>
      </c>
      <c r="G40" s="1">
        <v>0.86096422048201982</v>
      </c>
      <c r="H40" s="1">
        <v>4.1975096536163417</v>
      </c>
      <c r="I40" s="1">
        <v>6.4523282954789707E-2</v>
      </c>
      <c r="J40" s="1">
        <v>3.3941462029520803E-3</v>
      </c>
      <c r="K40" s="1">
        <v>0.16876959153152199</v>
      </c>
      <c r="L40" s="1">
        <v>0.73480838810120197</v>
      </c>
      <c r="M40" s="1">
        <v>0.39607610373790547</v>
      </c>
      <c r="N40" s="1">
        <v>1.9071522791224347</v>
      </c>
      <c r="O40" s="1">
        <v>0.38931292771565557</v>
      </c>
    </row>
    <row r="41" spans="1:29" x14ac:dyDescent="0.15">
      <c r="B41">
        <f>(B40-B39)*1000</f>
        <v>8.5279740129728943E-2</v>
      </c>
      <c r="C41">
        <f t="shared" ref="C41:O41" si="11">(C40-C39)*1000</f>
        <v>-80.096956621616982</v>
      </c>
      <c r="D41">
        <f t="shared" si="11"/>
        <v>-0.86435343505350537</v>
      </c>
      <c r="E41">
        <f t="shared" si="11"/>
        <v>-0.23213133884389392</v>
      </c>
      <c r="F41">
        <f t="shared" si="11"/>
        <v>5.8053795008846665</v>
      </c>
      <c r="G41">
        <f t="shared" si="11"/>
        <v>-8.5964437743999422</v>
      </c>
      <c r="H41">
        <f t="shared" si="11"/>
        <v>12.600194314388524</v>
      </c>
      <c r="I41">
        <f t="shared" si="11"/>
        <v>-0.39654847391028258</v>
      </c>
      <c r="J41">
        <f t="shared" si="11"/>
        <v>-9.0185729527385988E-3</v>
      </c>
      <c r="K41">
        <f t="shared" si="11"/>
        <v>-4.9653840048707876E-2</v>
      </c>
      <c r="L41">
        <f t="shared" si="11"/>
        <v>-2.3483644961581618</v>
      </c>
      <c r="M41">
        <f t="shared" si="11"/>
        <v>1.6135283578418425</v>
      </c>
      <c r="N41">
        <f t="shared" si="11"/>
        <v>-465.07745578906889</v>
      </c>
      <c r="O41">
        <f t="shared" si="11"/>
        <v>-1.2080917839956684</v>
      </c>
    </row>
    <row r="42" spans="1:29" x14ac:dyDescent="0.15">
      <c r="C42">
        <f>-C41</f>
        <v>80.096956621616982</v>
      </c>
      <c r="D42">
        <f>-D41</f>
        <v>0.86435343505350537</v>
      </c>
      <c r="E42">
        <f>-E41</f>
        <v>0.23213133884389392</v>
      </c>
      <c r="G42">
        <f>-G41</f>
        <v>8.5964437743999422</v>
      </c>
      <c r="I42">
        <f>-I41</f>
        <v>0.39654847391028258</v>
      </c>
      <c r="J42">
        <f>-J41</f>
        <v>9.0185729527385988E-3</v>
      </c>
      <c r="K42">
        <f>-K41</f>
        <v>4.9653840048707876E-2</v>
      </c>
      <c r="L42">
        <f>-L41</f>
        <v>2.3483644961581618</v>
      </c>
      <c r="N42">
        <f>-N41</f>
        <v>465.07745578906889</v>
      </c>
      <c r="O42">
        <f>-O41</f>
        <v>1.2080917839956684</v>
      </c>
    </row>
    <row r="44" spans="1:29" x14ac:dyDescent="0.15">
      <c r="A44" s="1" t="s">
        <v>33</v>
      </c>
      <c r="B44" s="1"/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</v>
      </c>
      <c r="H44" s="2" t="s">
        <v>20</v>
      </c>
      <c r="I44" s="2" t="s">
        <v>21</v>
      </c>
      <c r="J44" s="2" t="s">
        <v>22</v>
      </c>
      <c r="K44" s="2" t="s">
        <v>23</v>
      </c>
      <c r="L44" s="2" t="s">
        <v>24</v>
      </c>
      <c r="M44" s="2" t="s">
        <v>25</v>
      </c>
      <c r="N44" s="2" t="s">
        <v>26</v>
      </c>
      <c r="O44" s="2" t="s">
        <v>38</v>
      </c>
      <c r="P44" s="2" t="s">
        <v>27</v>
      </c>
    </row>
    <row r="45" spans="1:29" s="1" customFormat="1" x14ac:dyDescent="0.15">
      <c r="A45" s="2" t="s">
        <v>6</v>
      </c>
      <c r="B45" s="2" t="s">
        <v>16</v>
      </c>
      <c r="C45" s="1">
        <v>14.452966074071009</v>
      </c>
      <c r="D45" s="1">
        <v>530.38180438680752</v>
      </c>
      <c r="E45" s="1">
        <v>26.685356924331661</v>
      </c>
      <c r="F45" s="1">
        <v>16.445178394883811</v>
      </c>
      <c r="G45" s="1">
        <v>229.2548400433206</v>
      </c>
      <c r="H45" s="1">
        <v>319.42723350459408</v>
      </c>
      <c r="I45" s="1">
        <v>1409.1459477428655</v>
      </c>
      <c r="J45" s="1">
        <v>18.302117104360281</v>
      </c>
      <c r="K45" s="1">
        <v>0.46895584525525597</v>
      </c>
      <c r="L45" s="1">
        <v>19.818104956019269</v>
      </c>
      <c r="M45" s="1">
        <v>32.612773678394362</v>
      </c>
      <c r="N45" s="1">
        <v>66.477195144692317</v>
      </c>
      <c r="O45" s="1">
        <v>985.00887155565067</v>
      </c>
      <c r="P45" s="1">
        <v>31.711562372354091</v>
      </c>
    </row>
    <row r="46" spans="1:29" s="1" customFormat="1" x14ac:dyDescent="0.15">
      <c r="A46" s="2" t="s">
        <v>6</v>
      </c>
      <c r="B46" s="2" t="s">
        <v>20</v>
      </c>
      <c r="C46" s="1">
        <v>142.20316542138576</v>
      </c>
      <c r="D46" s="1">
        <v>32.688284876545893</v>
      </c>
      <c r="E46" s="1">
        <v>115.00772587198752</v>
      </c>
      <c r="F46" s="1">
        <v>241.94836318584677</v>
      </c>
      <c r="G46" s="1">
        <v>428.10750538176563</v>
      </c>
      <c r="H46" s="1">
        <v>302.97894429440032</v>
      </c>
      <c r="I46" s="1">
        <v>2157.0725512311033</v>
      </c>
      <c r="J46" s="1">
        <v>7.7002962678502014</v>
      </c>
      <c r="K46" s="1">
        <v>3.5831013641063532</v>
      </c>
      <c r="L46" s="1">
        <v>315.8097951798498</v>
      </c>
      <c r="M46" s="1">
        <v>1719.5038119860581</v>
      </c>
      <c r="N46" s="1">
        <v>554.51179376068785</v>
      </c>
      <c r="O46" s="1">
        <v>162.21799476841525</v>
      </c>
      <c r="P46" s="1">
        <v>310.96056454945165</v>
      </c>
    </row>
    <row r="47" spans="1:29" s="1" customFormat="1" x14ac:dyDescent="0.15">
      <c r="A47" s="2" t="s">
        <v>6</v>
      </c>
      <c r="B47" s="2" t="s">
        <v>108</v>
      </c>
      <c r="C47" s="1">
        <v>240.38094008935252</v>
      </c>
      <c r="D47" s="1">
        <v>120.21764298885438</v>
      </c>
      <c r="E47" s="1">
        <v>264.22386198912596</v>
      </c>
      <c r="F47" s="1">
        <v>623.62587792754505</v>
      </c>
      <c r="G47" s="1">
        <v>1619.7756399921486</v>
      </c>
      <c r="H47" s="1">
        <v>102.27046217420649</v>
      </c>
      <c r="I47" s="1">
        <v>2441.1154452155333</v>
      </c>
      <c r="J47" s="1">
        <v>9.1880555985616343</v>
      </c>
      <c r="K47" s="1">
        <v>95.015306300146761</v>
      </c>
      <c r="L47" s="1">
        <v>216.89907958736441</v>
      </c>
      <c r="M47" s="1">
        <v>134.47244729786598</v>
      </c>
      <c r="N47" s="1">
        <v>787.02899268628107</v>
      </c>
      <c r="O47" s="1">
        <v>2737.3137121724094</v>
      </c>
      <c r="P47" s="1">
        <v>721.39907755765898</v>
      </c>
    </row>
    <row r="48" spans="1:29" s="1" customFormat="1" x14ac:dyDescent="0.15">
      <c r="A48" s="2" t="s">
        <v>6</v>
      </c>
      <c r="B48" s="2" t="s">
        <v>22</v>
      </c>
      <c r="C48" s="1">
        <v>0.74709336994218545</v>
      </c>
      <c r="D48" s="1">
        <v>1.2286481570163101</v>
      </c>
      <c r="E48" s="1">
        <v>3.5921027769553282</v>
      </c>
      <c r="F48" s="1">
        <v>22.451621380220008</v>
      </c>
      <c r="G48" s="1">
        <v>49.057064545082348</v>
      </c>
      <c r="H48" s="1">
        <v>7.7184620043282095</v>
      </c>
      <c r="I48" s="1">
        <v>76.216889749262222</v>
      </c>
      <c r="J48" s="1">
        <v>21.784400738742598</v>
      </c>
      <c r="K48" s="1">
        <v>1.073479164084584</v>
      </c>
      <c r="L48" s="1">
        <v>2.7599189111970874</v>
      </c>
      <c r="M48" s="1">
        <v>8.4367850488067475</v>
      </c>
      <c r="N48" s="1">
        <v>32.01810744857729</v>
      </c>
      <c r="O48" s="1">
        <v>5.8033659671424491</v>
      </c>
      <c r="P48" s="1">
        <v>225.31615267944883</v>
      </c>
    </row>
    <row r="49" spans="1:21" s="1" customFormat="1" x14ac:dyDescent="0.15">
      <c r="A49" s="2"/>
      <c r="B49" s="2"/>
    </row>
    <row r="50" spans="1:21" x14ac:dyDescent="0.15">
      <c r="A50" s="1" t="s">
        <v>52</v>
      </c>
      <c r="B50" s="1"/>
      <c r="C50" s="2" t="s">
        <v>15</v>
      </c>
      <c r="D50" s="2" t="s">
        <v>16</v>
      </c>
      <c r="E50" s="2" t="s">
        <v>17</v>
      </c>
      <c r="F50" s="2" t="s">
        <v>18</v>
      </c>
      <c r="G50" s="2" t="s">
        <v>19</v>
      </c>
      <c r="H50" s="2" t="s">
        <v>20</v>
      </c>
      <c r="I50" s="2" t="s">
        <v>21</v>
      </c>
      <c r="J50" s="2" t="s">
        <v>22</v>
      </c>
      <c r="K50" s="2" t="s">
        <v>23</v>
      </c>
      <c r="L50" s="2" t="s">
        <v>24</v>
      </c>
      <c r="M50" s="2" t="s">
        <v>25</v>
      </c>
      <c r="N50" s="2" t="s">
        <v>26</v>
      </c>
      <c r="O50" s="2" t="s">
        <v>38</v>
      </c>
      <c r="P50" s="2" t="s">
        <v>27</v>
      </c>
    </row>
    <row r="51" spans="1:21" s="1" customFormat="1" x14ac:dyDescent="0.15">
      <c r="A51" s="2" t="s">
        <v>6</v>
      </c>
      <c r="B51" s="2" t="s">
        <v>16</v>
      </c>
      <c r="C51" s="1">
        <v>14.56146579859243</v>
      </c>
      <c r="D51" s="1">
        <v>496.52889740384148</v>
      </c>
      <c r="E51" s="1">
        <v>26.593903065146957</v>
      </c>
      <c r="F51" s="1">
        <v>16.548169248323106</v>
      </c>
      <c r="G51" s="1">
        <v>231.71683184192963</v>
      </c>
      <c r="H51" s="1">
        <v>316.26938797902346</v>
      </c>
      <c r="I51" s="1">
        <v>1416.5347448879975</v>
      </c>
      <c r="J51" s="1">
        <v>18.190322658081836</v>
      </c>
      <c r="K51" s="1">
        <v>0.4710074950874738</v>
      </c>
      <c r="L51" s="1">
        <v>19.964426220001638</v>
      </c>
      <c r="M51" s="1">
        <v>32.818154455319331</v>
      </c>
      <c r="N51" s="1">
        <v>67.174691267050051</v>
      </c>
      <c r="O51" s="1">
        <v>792.24667465345544</v>
      </c>
      <c r="P51" s="1">
        <v>31.71882522683028</v>
      </c>
    </row>
    <row r="52" spans="1:21" s="1" customFormat="1" x14ac:dyDescent="0.15">
      <c r="A52" s="2" t="s">
        <v>6</v>
      </c>
      <c r="B52" s="2" t="s">
        <v>20</v>
      </c>
      <c r="C52" s="1">
        <v>141.76380675259307</v>
      </c>
      <c r="D52" s="1">
        <v>30.601875693188305</v>
      </c>
      <c r="E52" s="1">
        <v>113.40809960853582</v>
      </c>
      <c r="F52" s="1">
        <v>240.90290941566076</v>
      </c>
      <c r="G52" s="1">
        <v>428.15389776999649</v>
      </c>
      <c r="H52" s="1">
        <v>299.98370593264553</v>
      </c>
      <c r="I52" s="1">
        <v>2145.5764782462925</v>
      </c>
      <c r="J52" s="1">
        <v>7.6532607061971092</v>
      </c>
      <c r="K52" s="1">
        <v>3.5609260156205038</v>
      </c>
      <c r="L52" s="1">
        <v>314.79534131221322</v>
      </c>
      <c r="M52" s="1">
        <v>1712.1332151814781</v>
      </c>
      <c r="N52" s="1">
        <v>554.436446180139</v>
      </c>
      <c r="O52" s="1">
        <v>128.41959591707322</v>
      </c>
      <c r="P52" s="1">
        <v>309.71908474521803</v>
      </c>
    </row>
    <row r="53" spans="1:21" s="1" customFormat="1" x14ac:dyDescent="0.15">
      <c r="A53" s="2" t="s">
        <v>6</v>
      </c>
      <c r="B53" s="2" t="s">
        <v>108</v>
      </c>
      <c r="C53" s="1">
        <v>240.5969399644197</v>
      </c>
      <c r="D53" s="1">
        <v>112.54445991177231</v>
      </c>
      <c r="E53" s="1">
        <v>261.7198235275178</v>
      </c>
      <c r="F53" s="1">
        <v>623.3155784236975</v>
      </c>
      <c r="G53" s="1">
        <v>1628.4518110080448</v>
      </c>
      <c r="H53" s="1">
        <v>101.25942026074293</v>
      </c>
      <c r="I53" s="1">
        <v>2441.642831430067</v>
      </c>
      <c r="J53" s="1">
        <v>9.1319323871233209</v>
      </c>
      <c r="K53" s="1">
        <v>94.80887893863985</v>
      </c>
      <c r="L53" s="1">
        <v>217.02901905173348</v>
      </c>
      <c r="M53" s="1">
        <v>134.37921831570389</v>
      </c>
      <c r="N53" s="1">
        <v>790.11932545295804</v>
      </c>
      <c r="O53" s="1">
        <v>2737.2845088901263</v>
      </c>
      <c r="P53" s="1">
        <v>720.53485149875553</v>
      </c>
    </row>
    <row r="54" spans="1:21" s="1" customFormat="1" x14ac:dyDescent="0.15">
      <c r="A54" s="2" t="s">
        <v>6</v>
      </c>
      <c r="B54" s="2" t="s">
        <v>22</v>
      </c>
      <c r="C54" s="1">
        <v>0.74514084036658979</v>
      </c>
      <c r="D54" s="1">
        <v>1.1502267039607075</v>
      </c>
      <c r="E54" s="1">
        <v>3.5438325541687452</v>
      </c>
      <c r="F54" s="1">
        <v>22.365285605867676</v>
      </c>
      <c r="G54" s="1">
        <v>49.085814285724197</v>
      </c>
      <c r="H54" s="1">
        <v>7.6421575814484237</v>
      </c>
      <c r="I54" s="1">
        <v>75.846902812072159</v>
      </c>
      <c r="J54" s="1">
        <v>21.651335530810165</v>
      </c>
      <c r="K54" s="1">
        <v>1.0673450926255061</v>
      </c>
      <c r="L54" s="1">
        <v>2.7523673980958816</v>
      </c>
      <c r="M54" s="1">
        <v>8.4046334255117241</v>
      </c>
      <c r="N54" s="1">
        <v>32.029047494666152</v>
      </c>
      <c r="O54" s="1">
        <v>4.5975165586104119</v>
      </c>
      <c r="P54" s="1">
        <v>224.45946886058434</v>
      </c>
    </row>
    <row r="55" spans="1:21" x14ac:dyDescent="0.15">
      <c r="S55" t="s">
        <v>57</v>
      </c>
      <c r="T55" t="s">
        <v>31</v>
      </c>
      <c r="U55" t="s">
        <v>59</v>
      </c>
    </row>
    <row r="56" spans="1:21" x14ac:dyDescent="0.15">
      <c r="A56" s="1" t="s">
        <v>84</v>
      </c>
      <c r="C56" s="2" t="s">
        <v>15</v>
      </c>
      <c r="D56" s="2" t="s">
        <v>16</v>
      </c>
      <c r="E56" s="2" t="s">
        <v>17</v>
      </c>
      <c r="F56" s="2" t="s">
        <v>18</v>
      </c>
      <c r="G56" s="2" t="s">
        <v>19</v>
      </c>
      <c r="H56" s="2" t="s">
        <v>20</v>
      </c>
      <c r="I56" s="2" t="s">
        <v>21</v>
      </c>
      <c r="J56" s="2" t="s">
        <v>22</v>
      </c>
      <c r="K56" s="2" t="s">
        <v>23</v>
      </c>
      <c r="L56" s="2" t="s">
        <v>24</v>
      </c>
      <c r="M56" s="2" t="s">
        <v>25</v>
      </c>
      <c r="N56" s="2" t="s">
        <v>26</v>
      </c>
      <c r="O56" s="2" t="s">
        <v>38</v>
      </c>
      <c r="P56" s="2" t="s">
        <v>27</v>
      </c>
      <c r="R56" s="1" t="s">
        <v>71</v>
      </c>
      <c r="S56" s="1">
        <v>178085.22621554541</v>
      </c>
      <c r="T56" s="1">
        <v>12405.309000000001</v>
      </c>
      <c r="U56" s="1">
        <v>61314.989238999995</v>
      </c>
    </row>
    <row r="57" spans="1:21" x14ac:dyDescent="0.15">
      <c r="A57" s="2" t="s">
        <v>6</v>
      </c>
      <c r="B57" s="2" t="s">
        <v>16</v>
      </c>
      <c r="C57" s="1">
        <f>C51-C45</f>
        <v>0.10849972452142076</v>
      </c>
      <c r="D57" s="1">
        <f t="shared" ref="D57:P57" si="12">D51-D45</f>
        <v>-33.852906982966033</v>
      </c>
      <c r="E57" s="1">
        <f t="shared" si="12"/>
        <v>-9.145385918470339E-2</v>
      </c>
      <c r="F57" s="1">
        <f t="shared" si="12"/>
        <v>0.10299085343929448</v>
      </c>
      <c r="G57" s="1">
        <f t="shared" si="12"/>
        <v>2.4619917986090343</v>
      </c>
      <c r="H57" s="1">
        <f t="shared" si="12"/>
        <v>-3.1578455255706217</v>
      </c>
      <c r="I57" s="1">
        <f t="shared" si="12"/>
        <v>7.3887971451320027</v>
      </c>
      <c r="J57" s="1">
        <f t="shared" si="12"/>
        <v>-0.11179444627844504</v>
      </c>
      <c r="K57" s="1">
        <f t="shared" si="12"/>
        <v>2.0516498322178389E-3</v>
      </c>
      <c r="L57" s="1">
        <f t="shared" si="12"/>
        <v>0.14632126398236878</v>
      </c>
      <c r="M57" s="1">
        <f t="shared" si="12"/>
        <v>0.2053807769249687</v>
      </c>
      <c r="N57" s="1">
        <f t="shared" si="12"/>
        <v>0.69749612235773384</v>
      </c>
      <c r="O57" s="1">
        <f t="shared" si="12"/>
        <v>-192.76219690219523</v>
      </c>
      <c r="P57" s="1">
        <f t="shared" si="12"/>
        <v>7.2628544761883518E-3</v>
      </c>
      <c r="Q57" s="1"/>
      <c r="R57" s="1" t="s">
        <v>81</v>
      </c>
      <c r="S57" s="1">
        <v>1554.3410078844583</v>
      </c>
      <c r="T57" s="1">
        <v>2812.5175251574692</v>
      </c>
      <c r="U57" s="1">
        <v>198.00789558659744</v>
      </c>
    </row>
    <row r="58" spans="1:21" x14ac:dyDescent="0.15">
      <c r="A58" s="2" t="s">
        <v>6</v>
      </c>
      <c r="B58" s="2" t="s">
        <v>144</v>
      </c>
      <c r="C58" s="1">
        <f>C52-C46</f>
        <v>-0.4393586687926927</v>
      </c>
      <c r="D58" s="1">
        <f t="shared" ref="D58:P58" si="13">D52-D46</f>
        <v>-2.0864091833575884</v>
      </c>
      <c r="E58" s="1">
        <f t="shared" si="13"/>
        <v>-1.5996262634516967</v>
      </c>
      <c r="F58" s="1">
        <f t="shared" si="13"/>
        <v>-1.0454537701860147</v>
      </c>
      <c r="G58" s="1">
        <f t="shared" si="13"/>
        <v>4.6392388230856341E-2</v>
      </c>
      <c r="H58" s="1">
        <f t="shared" si="13"/>
        <v>-2.9952383617547866</v>
      </c>
      <c r="I58" s="1">
        <f t="shared" si="13"/>
        <v>-11.49607298481078</v>
      </c>
      <c r="J58" s="1">
        <f t="shared" si="13"/>
        <v>-4.7035561653092195E-2</v>
      </c>
      <c r="K58" s="1">
        <f t="shared" si="13"/>
        <v>-2.2175348485849344E-2</v>
      </c>
      <c r="L58" s="1">
        <f t="shared" si="13"/>
        <v>-1.0144538676365755</v>
      </c>
      <c r="M58" s="1">
        <f t="shared" si="13"/>
        <v>-7.3705968045799182</v>
      </c>
      <c r="N58" s="1">
        <f t="shared" si="13"/>
        <v>-7.5347580548850601E-2</v>
      </c>
      <c r="O58" s="1">
        <f t="shared" si="13"/>
        <v>-33.798398851342029</v>
      </c>
      <c r="P58" s="1">
        <f t="shared" si="13"/>
        <v>-1.2414798042336201</v>
      </c>
      <c r="R58" t="s">
        <v>83</v>
      </c>
      <c r="S58">
        <f>S56/S57</f>
        <v>114.57281594720902</v>
      </c>
      <c r="T58">
        <f>T56/T57</f>
        <v>4.4107490492189712</v>
      </c>
      <c r="U58">
        <f>U56/U57</f>
        <v>309.65931463164452</v>
      </c>
    </row>
    <row r="59" spans="1:21" x14ac:dyDescent="0.15">
      <c r="A59" s="2" t="s">
        <v>6</v>
      </c>
      <c r="B59" s="2" t="s">
        <v>145</v>
      </c>
      <c r="C59" s="1">
        <f>C54-C48</f>
        <v>-1.9525295755956629E-3</v>
      </c>
      <c r="D59" s="1">
        <f t="shared" ref="D59:P59" si="14">D54-D48</f>
        <v>-7.8421453055602663E-2</v>
      </c>
      <c r="E59" s="1">
        <f t="shared" si="14"/>
        <v>-4.8270222786582995E-2</v>
      </c>
      <c r="F59" s="1">
        <f t="shared" si="14"/>
        <v>-8.633577435233164E-2</v>
      </c>
      <c r="G59" s="1">
        <f t="shared" si="14"/>
        <v>2.8749740641849542E-2</v>
      </c>
      <c r="H59" s="1">
        <f t="shared" si="14"/>
        <v>-7.6304422879785783E-2</v>
      </c>
      <c r="I59" s="1">
        <f t="shared" si="14"/>
        <v>-0.36998693719006326</v>
      </c>
      <c r="J59" s="1">
        <f t="shared" si="14"/>
        <v>-0.13306520793243237</v>
      </c>
      <c r="K59" s="1">
        <f t="shared" si="14"/>
        <v>-6.13407145907785E-3</v>
      </c>
      <c r="L59" s="1">
        <f t="shared" si="14"/>
        <v>-7.5515131012058312E-3</v>
      </c>
      <c r="M59" s="1">
        <f t="shared" si="14"/>
        <v>-3.2151623295023413E-2</v>
      </c>
      <c r="N59" s="1">
        <f t="shared" si="14"/>
        <v>1.0940046088862232E-2</v>
      </c>
      <c r="O59" s="1">
        <f t="shared" si="14"/>
        <v>-1.2058494085320373</v>
      </c>
      <c r="P59" s="1">
        <f t="shared" si="14"/>
        <v>-0.85668381886449652</v>
      </c>
      <c r="S59" t="s">
        <v>70</v>
      </c>
      <c r="T59" t="s">
        <v>86</v>
      </c>
      <c r="U59" t="s">
        <v>82</v>
      </c>
    </row>
    <row r="60" spans="1:21" x14ac:dyDescent="0.15">
      <c r="A60" s="1" t="s">
        <v>93</v>
      </c>
      <c r="C60" s="2" t="s">
        <v>15</v>
      </c>
      <c r="D60" s="2" t="s">
        <v>16</v>
      </c>
      <c r="E60" s="2" t="s">
        <v>17</v>
      </c>
      <c r="F60" s="2" t="s">
        <v>18</v>
      </c>
      <c r="G60" s="2" t="s">
        <v>19</v>
      </c>
      <c r="H60" s="2" t="s">
        <v>20</v>
      </c>
      <c r="I60" s="2" t="s">
        <v>21</v>
      </c>
      <c r="J60" s="2" t="s">
        <v>22</v>
      </c>
      <c r="K60" s="2" t="s">
        <v>23</v>
      </c>
      <c r="L60" s="2" t="s">
        <v>24</v>
      </c>
      <c r="M60" s="2" t="s">
        <v>25</v>
      </c>
      <c r="N60" s="2" t="s">
        <v>26</v>
      </c>
      <c r="O60" s="2" t="s">
        <v>38</v>
      </c>
      <c r="P60" s="2" t="s">
        <v>27</v>
      </c>
      <c r="R60" t="s">
        <v>56</v>
      </c>
      <c r="S60">
        <v>178085.22621554541</v>
      </c>
      <c r="T60">
        <v>1554.3410078844583</v>
      </c>
      <c r="U60">
        <v>114.57281594720902</v>
      </c>
    </row>
    <row r="61" spans="1:21" x14ac:dyDescent="0.15">
      <c r="A61" s="2" t="s">
        <v>6</v>
      </c>
      <c r="B61" s="2" t="s">
        <v>16</v>
      </c>
      <c r="C61" s="1">
        <f>C57*$U60/100</f>
        <v>0.12431118967915623</v>
      </c>
      <c r="D61" s="1">
        <f t="shared" ref="D61:P61" si="15">D57*$U60/100</f>
        <v>-38.786228810373544</v>
      </c>
      <c r="E61" s="1">
        <f t="shared" si="15"/>
        <v>-0.10478126176030993</v>
      </c>
      <c r="F61" s="1">
        <f t="shared" si="15"/>
        <v>0.11799952095346265</v>
      </c>
      <c r="G61" s="1">
        <f t="shared" si="15"/>
        <v>2.82077333205571</v>
      </c>
      <c r="H61" s="1">
        <f t="shared" si="15"/>
        <v>-3.6180325419092036</v>
      </c>
      <c r="I61" s="1">
        <f t="shared" si="15"/>
        <v>8.4655529538047247</v>
      </c>
      <c r="J61" s="1">
        <f t="shared" si="15"/>
        <v>-0.12808604517380429</v>
      </c>
      <c r="K61" s="1">
        <f t="shared" si="15"/>
        <v>2.3506329861481671E-3</v>
      </c>
      <c r="L61" s="1">
        <f t="shared" si="15"/>
        <v>0.16764439247414922</v>
      </c>
      <c r="M61" s="1">
        <f t="shared" si="15"/>
        <v>0.23531053953719233</v>
      </c>
      <c r="N61" s="1">
        <f>N57*$U60/100</f>
        <v>0.79914094850784623</v>
      </c>
      <c r="O61" s="1">
        <f t="shared" si="15"/>
        <v>-220.85307707254881</v>
      </c>
      <c r="P61" s="1">
        <f t="shared" si="15"/>
        <v>8.3212568915169132E-3</v>
      </c>
      <c r="Q61" s="1">
        <f>-SUM(C61,F61,G61,I61,K61,L61,M61,N61,P61,O61)</f>
        <v>208.11167230565891</v>
      </c>
      <c r="R61" t="s">
        <v>58</v>
      </c>
      <c r="S61">
        <v>12405.309000000001</v>
      </c>
      <c r="T61">
        <v>2812.5175251574692</v>
      </c>
      <c r="U61">
        <v>4.4107490492189712</v>
      </c>
    </row>
    <row r="62" spans="1:21" x14ac:dyDescent="0.15">
      <c r="B62" s="1" t="s">
        <v>91</v>
      </c>
      <c r="D62">
        <f>-D61</f>
        <v>38.786228810373544</v>
      </c>
      <c r="E62">
        <f>-E61</f>
        <v>0.10478126176030993</v>
      </c>
      <c r="H62">
        <f>-H61</f>
        <v>3.6180325419092036</v>
      </c>
      <c r="J62">
        <f>-J61</f>
        <v>0.12808604517380429</v>
      </c>
      <c r="O62">
        <f>-O61</f>
        <v>220.85307707254881</v>
      </c>
      <c r="Q62">
        <f>SUM(C62:P62)</f>
        <v>263.49020573176568</v>
      </c>
    </row>
    <row r="63" spans="1:21" x14ac:dyDescent="0.15">
      <c r="A63" s="2" t="s">
        <v>6</v>
      </c>
      <c r="B63" s="2" t="s">
        <v>22</v>
      </c>
      <c r="C63" s="1">
        <f>C58*$U63/100</f>
        <v>-1.3605150425581691</v>
      </c>
      <c r="D63" s="1">
        <f t="shared" ref="D63:P63" si="16">D58*$U63/100</f>
        <v>-6.4607603775967997</v>
      </c>
      <c r="E63" s="1">
        <f t="shared" si="16"/>
        <v>-4.9533917240723078</v>
      </c>
      <c r="F63" s="1">
        <f t="shared" si="16"/>
        <v>-3.237344979548701</v>
      </c>
      <c r="G63" s="1">
        <f t="shared" si="16"/>
        <v>0.14365835143692146</v>
      </c>
      <c r="H63" s="1">
        <f t="shared" si="16"/>
        <v>-9.2750345825939693</v>
      </c>
      <c r="I63" s="1">
        <f t="shared" si="16"/>
        <v>-35.598660814318698</v>
      </c>
      <c r="J63" s="1">
        <f t="shared" si="16"/>
        <v>-0.14564999784810989</v>
      </c>
      <c r="K63" s="1">
        <f t="shared" si="16"/>
        <v>-6.8668032138459845E-2</v>
      </c>
      <c r="L63" s="1">
        <f t="shared" si="16"/>
        <v>-3.1413508937776298</v>
      </c>
      <c r="M63" s="1">
        <f t="shared" si="16"/>
        <v>-22.823739549324063</v>
      </c>
      <c r="N63" s="1">
        <f t="shared" si="16"/>
        <v>-0.23332080151909707</v>
      </c>
      <c r="O63" s="1">
        <f t="shared" si="16"/>
        <v>-104.65989023953534</v>
      </c>
      <c r="P63" s="1">
        <f t="shared" si="16"/>
        <v>-3.8443578530801101</v>
      </c>
      <c r="Q63" s="1">
        <f>-SUM(C63:P63)</f>
        <v>195.65902653647453</v>
      </c>
      <c r="R63" t="s">
        <v>22</v>
      </c>
      <c r="S63">
        <v>61314.989238999995</v>
      </c>
      <c r="T63">
        <v>198.00789558659744</v>
      </c>
      <c r="U63">
        <v>309.65931463164452</v>
      </c>
    </row>
    <row r="64" spans="1:21" x14ac:dyDescent="0.15">
      <c r="B64" s="1" t="s">
        <v>91</v>
      </c>
      <c r="D64">
        <f>-D63</f>
        <v>6.4607603775967997</v>
      </c>
      <c r="E64">
        <f>-E63</f>
        <v>4.9533917240723078</v>
      </c>
      <c r="F64">
        <f>-F63</f>
        <v>3.237344979548701</v>
      </c>
      <c r="H64">
        <f>-H63</f>
        <v>9.2750345825939693</v>
      </c>
      <c r="J64">
        <f>-J63</f>
        <v>0.14564999784810989</v>
      </c>
      <c r="K64">
        <f>-K63</f>
        <v>6.8668032138459845E-2</v>
      </c>
      <c r="M64">
        <f>-M63</f>
        <v>22.823739549324063</v>
      </c>
      <c r="O64">
        <f>-O63</f>
        <v>104.65989023953534</v>
      </c>
      <c r="P64">
        <f>-P63</f>
        <v>3.8443578530801101</v>
      </c>
      <c r="Q64">
        <f>SUM(C64:P64)</f>
        <v>155.46883733573787</v>
      </c>
    </row>
    <row r="65" spans="1:17" x14ac:dyDescent="0.15">
      <c r="A65" s="2" t="s">
        <v>6</v>
      </c>
      <c r="B65" s="2" t="s">
        <v>20</v>
      </c>
      <c r="C65" s="1">
        <f>C59*$U61/100</f>
        <v>-8.6121179691304924E-5</v>
      </c>
      <c r="D65" s="1">
        <f t="shared" ref="D65:P65" si="17">D59*$U61/100</f>
        <v>-3.4589734950336965E-3</v>
      </c>
      <c r="E65" s="1">
        <f t="shared" si="17"/>
        <v>-2.1290783926150884E-3</v>
      </c>
      <c r="F65" s="1">
        <f t="shared" si="17"/>
        <v>-3.8080543463813042E-3</v>
      </c>
      <c r="G65" s="1">
        <f t="shared" si="17"/>
        <v>1.2680789120132988E-3</v>
      </c>
      <c r="H65" s="1">
        <f t="shared" si="17"/>
        <v>-3.3655966066821748E-3</v>
      </c>
      <c r="I65" s="1">
        <f t="shared" si="17"/>
        <v>-1.6319195314345107E-2</v>
      </c>
      <c r="J65" s="1">
        <f t="shared" si="17"/>
        <v>-5.8691723937210087E-3</v>
      </c>
      <c r="K65" s="1">
        <f t="shared" si="17"/>
        <v>-2.7055849855968855E-4</v>
      </c>
      <c r="L65" s="1">
        <f t="shared" si="17"/>
        <v>-3.3307829231308227E-4</v>
      </c>
      <c r="M65" s="1">
        <f t="shared" si="17"/>
        <v>-1.4181274187937104E-3</v>
      </c>
      <c r="N65" s="1">
        <f t="shared" si="17"/>
        <v>4.8253797884860813E-4</v>
      </c>
      <c r="O65" s="1">
        <f t="shared" si="17"/>
        <v>-5.3186991321839419E-2</v>
      </c>
      <c r="P65" s="1">
        <f t="shared" si="17"/>
        <v>-3.7786173395378556E-2</v>
      </c>
      <c r="Q65" s="1">
        <f>-SUM(C65:P65)</f>
        <v>0.12628050376449224</v>
      </c>
    </row>
    <row r="66" spans="1:17" x14ac:dyDescent="0.15">
      <c r="B66" s="1" t="s">
        <v>91</v>
      </c>
      <c r="D66">
        <f>-D65</f>
        <v>3.4589734950336965E-3</v>
      </c>
      <c r="E66">
        <f>-E65</f>
        <v>2.1290783926150884E-3</v>
      </c>
      <c r="F66">
        <f>-F65</f>
        <v>3.8080543463813042E-3</v>
      </c>
      <c r="H66">
        <f>-H65</f>
        <v>3.3655966066821748E-3</v>
      </c>
      <c r="I66">
        <f>-I65</f>
        <v>1.6319195314345107E-2</v>
      </c>
      <c r="J66">
        <f>-J65</f>
        <v>5.8691723937210087E-3</v>
      </c>
      <c r="K66">
        <f>-K65</f>
        <v>2.7055849855968855E-4</v>
      </c>
      <c r="M66">
        <f>-M65</f>
        <v>1.4181274187937104E-3</v>
      </c>
      <c r="O66">
        <f>-O65</f>
        <v>5.3186991321839419E-2</v>
      </c>
      <c r="P66">
        <f>-P65</f>
        <v>3.7786173395378556E-2</v>
      </c>
      <c r="Q66">
        <f>SUM(C66:P66)</f>
        <v>0.12761192118334974</v>
      </c>
    </row>
    <row r="67" spans="1:17" x14ac:dyDescent="0.15">
      <c r="B67" s="1" t="s">
        <v>113</v>
      </c>
      <c r="C67">
        <f>C61+C63+C65</f>
        <v>-1.2362899740587041</v>
      </c>
      <c r="D67">
        <f t="shared" ref="D67:P67" si="18">D61+D63+D65</f>
        <v>-45.250448161465378</v>
      </c>
      <c r="E67">
        <f t="shared" si="18"/>
        <v>-5.0603020642252332</v>
      </c>
      <c r="F67">
        <f t="shared" si="18"/>
        <v>-3.1231535129416197</v>
      </c>
      <c r="G67">
        <f t="shared" si="18"/>
        <v>2.9656997624046451</v>
      </c>
      <c r="H67">
        <f t="shared" si="18"/>
        <v>-12.896432721109855</v>
      </c>
      <c r="I67">
        <f t="shared" si="18"/>
        <v>-27.149427055828319</v>
      </c>
      <c r="J67">
        <f t="shared" si="18"/>
        <v>-0.27960521541563521</v>
      </c>
      <c r="K67">
        <f t="shared" si="18"/>
        <v>-6.658795765087136E-2</v>
      </c>
      <c r="L67">
        <f t="shared" si="18"/>
        <v>-2.9740395795957935</v>
      </c>
      <c r="M67">
        <f t="shared" si="18"/>
        <v>-22.589847137205666</v>
      </c>
      <c r="N67">
        <f t="shared" si="18"/>
        <v>0.56630268496759772</v>
      </c>
      <c r="O67">
        <f t="shared" si="18"/>
        <v>-325.56615430340599</v>
      </c>
      <c r="P67">
        <f t="shared" si="18"/>
        <v>-3.8738227695839718</v>
      </c>
      <c r="Q67">
        <f>O68-N67-L67-I67-G67-C67</f>
        <v>353.39390846551657</v>
      </c>
    </row>
    <row r="68" spans="1:17" x14ac:dyDescent="0.15">
      <c r="B68" s="1" t="s">
        <v>91</v>
      </c>
      <c r="D68">
        <f t="shared" ref="D68:F68" si="19">-D67</f>
        <v>45.250448161465378</v>
      </c>
      <c r="E68">
        <f t="shared" si="19"/>
        <v>5.0603020642252332</v>
      </c>
      <c r="F68">
        <f t="shared" si="19"/>
        <v>3.1231535129416197</v>
      </c>
      <c r="H68">
        <f>-H67</f>
        <v>12.896432721109855</v>
      </c>
      <c r="J68">
        <f>-J67</f>
        <v>0.27960521541563521</v>
      </c>
      <c r="K68">
        <f>-K67</f>
        <v>6.658795765087136E-2</v>
      </c>
      <c r="M68">
        <f>-M67</f>
        <v>22.589847137205666</v>
      </c>
      <c r="O68">
        <f>-O67</f>
        <v>325.56615430340599</v>
      </c>
      <c r="P68">
        <f>-P67</f>
        <v>3.8738227695839718</v>
      </c>
    </row>
    <row r="69" spans="1:17" x14ac:dyDescent="0.15">
      <c r="A69" s="1" t="s">
        <v>85</v>
      </c>
      <c r="C69" t="s">
        <v>38</v>
      </c>
      <c r="D69" t="s">
        <v>87</v>
      </c>
      <c r="F69" t="s">
        <v>92</v>
      </c>
      <c r="G69" t="s">
        <v>94</v>
      </c>
    </row>
    <row r="70" spans="1:17" x14ac:dyDescent="0.15">
      <c r="A70" s="2" t="s">
        <v>6</v>
      </c>
      <c r="B70" s="2" t="s">
        <v>16</v>
      </c>
      <c r="C70">
        <v>-10318.110690702451</v>
      </c>
      <c r="D70">
        <f>SUM(C61,E61,F61,G61,I61,K61,L61,M61,N61,P61)</f>
        <v>12.636623505129595</v>
      </c>
      <c r="E70" t="s">
        <v>95</v>
      </c>
      <c r="F70">
        <f>SUM(C61,F61,G61,I61,K61,L61,M61,N61,P61)</f>
        <v>12.741404766889906</v>
      </c>
      <c r="G70">
        <f>Q62</f>
        <v>263.49020573176568</v>
      </c>
    </row>
    <row r="71" spans="1:17" x14ac:dyDescent="0.15">
      <c r="A71" s="2" t="s">
        <v>6</v>
      </c>
      <c r="B71" s="2" t="s">
        <v>22</v>
      </c>
      <c r="C71">
        <v>-176.8264776851091</v>
      </c>
      <c r="D71">
        <f>SUM(C63,E63,F63,G63,I63,K63,L63,M63,N63,P63)</f>
        <v>-75.117691338900315</v>
      </c>
      <c r="E71" t="s">
        <v>59</v>
      </c>
      <c r="F71">
        <f>SUM(C63,G63,I63,L63,N63)</f>
        <v>-40.190189200736675</v>
      </c>
      <c r="G71">
        <f>Q64</f>
        <v>155.46883733573787</v>
      </c>
    </row>
    <row r="72" spans="1:17" x14ac:dyDescent="0.15">
      <c r="A72" s="2" t="s">
        <v>6</v>
      </c>
      <c r="B72" s="2" t="s">
        <v>20</v>
      </c>
      <c r="C72">
        <v>-71.486921010515061</v>
      </c>
      <c r="D72">
        <f>SUM(C65,E65,F65,G65,I65,K65,L65,M65,N65,P65)</f>
        <v>-6.039976994721593E-2</v>
      </c>
      <c r="E72" t="s">
        <v>96</v>
      </c>
      <c r="F72">
        <f>SUM(C65,G65,L65,N65)</f>
        <v>1.3314174188575197E-3</v>
      </c>
      <c r="G72">
        <f>Q66</f>
        <v>0.12761192118334974</v>
      </c>
    </row>
    <row r="73" spans="1:17" x14ac:dyDescent="0.15">
      <c r="E73" t="s">
        <v>97</v>
      </c>
      <c r="F73">
        <f>SUM(F70:F72)</f>
        <v>-27.447453016427911</v>
      </c>
      <c r="G73">
        <f>SUM(G70:G72)</f>
        <v>419.08665498868692</v>
      </c>
    </row>
  </sheetData>
  <sortState ref="A82:V97">
    <sortCondition ref="B8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I13" sqref="I13"/>
    </sheetView>
  </sheetViews>
  <sheetFormatPr defaultRowHeight="13.5" x14ac:dyDescent="0.15"/>
  <cols>
    <col min="2" max="2" width="12.75" bestFit="1" customWidth="1"/>
  </cols>
  <sheetData>
    <row r="1" spans="1:10" ht="14.25" thickBot="1" x14ac:dyDescent="0.2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J1">
        <v>2005</v>
      </c>
    </row>
    <row r="2" spans="1:10" ht="14.25" thickBot="1" x14ac:dyDescent="0.2">
      <c r="A2" s="8" t="s">
        <v>99</v>
      </c>
      <c r="B2" s="1">
        <v>40364.898007862663</v>
      </c>
      <c r="C2" s="1">
        <v>59572.146641981359</v>
      </c>
      <c r="D2" s="1">
        <v>81619.003625280893</v>
      </c>
      <c r="E2" s="1">
        <v>103180.51756237488</v>
      </c>
      <c r="F2" s="1">
        <v>124332.44367939362</v>
      </c>
      <c r="I2" t="s">
        <v>47</v>
      </c>
      <c r="J2">
        <v>23677.700810599476</v>
      </c>
    </row>
    <row r="3" spans="1:10" ht="27.75" thickBot="1" x14ac:dyDescent="0.2">
      <c r="A3" s="9" t="s">
        <v>100</v>
      </c>
      <c r="B3" s="1">
        <v>40364.898011365709</v>
      </c>
      <c r="C3" s="1">
        <v>59572.146642796033</v>
      </c>
      <c r="D3" s="1">
        <v>81619.003623134617</v>
      </c>
      <c r="E3" s="1">
        <v>103131.19864146186</v>
      </c>
      <c r="F3" s="1">
        <v>124199.54486222524</v>
      </c>
      <c r="H3">
        <f>F3-F2</f>
        <v>-132.89881716837408</v>
      </c>
      <c r="I3" t="s">
        <v>49</v>
      </c>
      <c r="J3">
        <f>51.021542849636/10</f>
        <v>5.1021542849635999</v>
      </c>
    </row>
    <row r="4" spans="1:10" ht="27.75" thickBot="1" x14ac:dyDescent="0.2">
      <c r="A4" s="9" t="s">
        <v>101</v>
      </c>
      <c r="B4" s="1">
        <v>40364.898011365709</v>
      </c>
      <c r="C4" s="1">
        <v>59572.146642796033</v>
      </c>
      <c r="D4" s="1">
        <v>81619.003623134617</v>
      </c>
      <c r="E4" s="1">
        <v>102985.47800902136</v>
      </c>
      <c r="F4" s="1">
        <v>123705.69568774455</v>
      </c>
      <c r="G4">
        <f>F4/F2</f>
        <v>0.99495909536480098</v>
      </c>
      <c r="H4">
        <f>F4-F2</f>
        <v>-626.74799164907017</v>
      </c>
    </row>
    <row r="5" spans="1:10" ht="14.25" thickBot="1" x14ac:dyDescent="0.2">
      <c r="A5" s="8" t="s">
        <v>123</v>
      </c>
      <c r="B5" s="1">
        <v>40364.898007862663</v>
      </c>
      <c r="C5" s="1">
        <v>59572.146641981613</v>
      </c>
      <c r="D5" s="1">
        <v>81619.003625282494</v>
      </c>
      <c r="E5" s="1">
        <v>102991.99152437055</v>
      </c>
      <c r="F5" s="1">
        <v>123895.01065193585</v>
      </c>
    </row>
    <row r="6" spans="1:10" ht="27.75" thickBot="1" x14ac:dyDescent="0.2">
      <c r="A6" s="9" t="s">
        <v>98</v>
      </c>
      <c r="B6" s="1">
        <v>40364.898011365709</v>
      </c>
      <c r="C6" s="1">
        <v>59572.146642796033</v>
      </c>
      <c r="D6" s="1">
        <v>81619.003623134617</v>
      </c>
      <c r="E6" s="1">
        <v>102977.92039435972</v>
      </c>
      <c r="F6" s="1">
        <v>123799.25185155123</v>
      </c>
      <c r="H6">
        <f>F6-F5</f>
        <v>-95.758800384617643</v>
      </c>
    </row>
    <row r="7" spans="1:10" ht="27.75" thickBot="1" x14ac:dyDescent="0.2">
      <c r="A7" s="9" t="s">
        <v>107</v>
      </c>
      <c r="B7" s="1">
        <v>40364.898011365709</v>
      </c>
      <c r="C7" s="1">
        <v>59572.146642796033</v>
      </c>
      <c r="D7" s="1">
        <v>81619.003623134617</v>
      </c>
      <c r="E7" s="1">
        <v>102797.07585598639</v>
      </c>
      <c r="F7" s="1">
        <v>123115.75291011768</v>
      </c>
      <c r="G7">
        <f>F7/F5</f>
        <v>0.99371033798925623</v>
      </c>
      <c r="H7">
        <f>F7-F5</f>
        <v>-779.25774181817542</v>
      </c>
    </row>
    <row r="9" spans="1:10" x14ac:dyDescent="0.15">
      <c r="A9" s="3" t="s">
        <v>7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H9">
        <f>H6/H3-1</f>
        <v>-0.27946085281332844</v>
      </c>
    </row>
    <row r="10" spans="1:10" ht="14.25" thickBot="1" x14ac:dyDescent="0.2">
      <c r="A10" s="9" t="s">
        <v>132</v>
      </c>
      <c r="B10" s="10">
        <f>B3/B$2-1</f>
        <v>8.6784357478109087E-11</v>
      </c>
      <c r="C10" s="10">
        <f t="shared" ref="B10:F14" si="0">C3/C$2-1</f>
        <v>1.3675505172727753E-11</v>
      </c>
      <c r="D10" s="10">
        <f t="shared" si="0"/>
        <v>-2.6296298472061608E-11</v>
      </c>
      <c r="E10" s="10">
        <f t="shared" si="0"/>
        <v>-4.7798675639720845E-4</v>
      </c>
      <c r="F10" s="10">
        <f t="shared" si="0"/>
        <v>-1.0688989392910742E-3</v>
      </c>
      <c r="I10">
        <f>F3-F2</f>
        <v>-132.89881716837408</v>
      </c>
    </row>
    <row r="11" spans="1:10" ht="14.25" thickBot="1" x14ac:dyDescent="0.2">
      <c r="A11" s="9" t="s">
        <v>132</v>
      </c>
      <c r="B11" s="10">
        <f t="shared" si="0"/>
        <v>8.6784357478109087E-11</v>
      </c>
      <c r="C11" s="10">
        <f t="shared" si="0"/>
        <v>1.3675505172727753E-11</v>
      </c>
      <c r="D11" s="10">
        <f t="shared" si="0"/>
        <v>-2.6296298472061608E-11</v>
      </c>
      <c r="E11" s="10">
        <f t="shared" si="0"/>
        <v>-1.8902750050232564E-3</v>
      </c>
      <c r="F11" s="10">
        <f t="shared" si="0"/>
        <v>-5.0409046351990172E-3</v>
      </c>
    </row>
    <row r="12" spans="1:10" ht="14.25" thickBot="1" x14ac:dyDescent="0.2">
      <c r="A12" s="8" t="s">
        <v>133</v>
      </c>
      <c r="B12" s="10">
        <f t="shared" si="0"/>
        <v>0</v>
      </c>
      <c r="C12" s="10">
        <f t="shared" si="0"/>
        <v>4.2188474935755949E-15</v>
      </c>
      <c r="D12" s="10">
        <f t="shared" si="0"/>
        <v>1.9539925233402755E-14</v>
      </c>
      <c r="E12" s="10">
        <f t="shared" si="0"/>
        <v>-1.8271476288181931E-3</v>
      </c>
      <c r="F12" s="10">
        <f t="shared" si="0"/>
        <v>-3.518253277364547E-3</v>
      </c>
      <c r="I12">
        <f>F5-F2</f>
        <v>-437.433027457766</v>
      </c>
    </row>
    <row r="13" spans="1:10" ht="14.25" thickBot="1" x14ac:dyDescent="0.2">
      <c r="A13" s="9" t="s">
        <v>134</v>
      </c>
      <c r="B13" s="10">
        <f t="shared" si="0"/>
        <v>8.6784357478109087E-11</v>
      </c>
      <c r="C13" s="10">
        <f t="shared" si="0"/>
        <v>1.3675505172727753E-11</v>
      </c>
      <c r="D13" s="10">
        <f t="shared" si="0"/>
        <v>-2.6296298472061608E-11</v>
      </c>
      <c r="E13" s="10">
        <f t="shared" si="0"/>
        <v>-1.9635215329548705E-3</v>
      </c>
      <c r="F13" s="10">
        <f>F6/F$2-1</f>
        <v>-4.2884368075100099E-3</v>
      </c>
      <c r="H13" s="15">
        <f>F13-F10</f>
        <v>-3.2195378682189357E-3</v>
      </c>
      <c r="I13">
        <f>F6-F2</f>
        <v>-533.19182784238365</v>
      </c>
    </row>
    <row r="14" spans="1:10" ht="14.25" thickBot="1" x14ac:dyDescent="0.2">
      <c r="A14" s="9" t="s">
        <v>134</v>
      </c>
      <c r="B14" s="10">
        <f t="shared" si="0"/>
        <v>8.6784357478109087E-11</v>
      </c>
      <c r="C14" s="10">
        <f t="shared" si="0"/>
        <v>1.3675505172727753E-11</v>
      </c>
      <c r="D14" s="10">
        <f t="shared" si="0"/>
        <v>-2.6296298472061608E-11</v>
      </c>
      <c r="E14" s="10">
        <f t="shared" si="0"/>
        <v>-3.7162219714268474E-3</v>
      </c>
      <c r="F14" s="10">
        <f>F7/F$2-1</f>
        <v>-9.7857866641254398E-3</v>
      </c>
    </row>
    <row r="15" spans="1:10" ht="14.25" thickBot="1" x14ac:dyDescent="0.2">
      <c r="A15" s="9"/>
    </row>
    <row r="17" spans="1:13" x14ac:dyDescent="0.15">
      <c r="A17" s="1">
        <v>40364.89800786016</v>
      </c>
      <c r="B17" s="1">
        <v>2792.2401149158381</v>
      </c>
      <c r="C17">
        <f>B17/A17</f>
        <v>6.9174957765831879E-2</v>
      </c>
    </row>
    <row r="18" spans="1:13" x14ac:dyDescent="0.15">
      <c r="A18" s="1">
        <v>59572.146641989188</v>
      </c>
      <c r="B18" s="1">
        <v>3791.8968300889355</v>
      </c>
      <c r="C18">
        <f t="shared" ref="C18:C21" si="1">B18/A18</f>
        <v>6.3652177130313986E-2</v>
      </c>
    </row>
    <row r="19" spans="1:13" x14ac:dyDescent="0.15">
      <c r="A19" s="1">
        <v>81619.003625288024</v>
      </c>
      <c r="B19" s="1">
        <v>4732.7132913312107</v>
      </c>
      <c r="C19">
        <f t="shared" si="1"/>
        <v>5.7985433307407755E-2</v>
      </c>
    </row>
    <row r="20" spans="1:13" x14ac:dyDescent="0.15">
      <c r="A20" s="1">
        <v>103180.51756232911</v>
      </c>
      <c r="B20" s="1">
        <v>5491.456059323039</v>
      </c>
      <c r="C20">
        <f t="shared" si="1"/>
        <v>5.3221830914016971E-2</v>
      </c>
    </row>
    <row r="21" spans="1:13" x14ac:dyDescent="0.15">
      <c r="A21" s="1">
        <v>124332.44994320169</v>
      </c>
      <c r="B21" s="1">
        <v>6128.1155581632911</v>
      </c>
      <c r="C21">
        <f t="shared" si="1"/>
        <v>4.9288142885970429E-2</v>
      </c>
      <c r="D21">
        <f>C21/C17-1</f>
        <v>-0.2874857538356792</v>
      </c>
    </row>
    <row r="24" spans="1:13" x14ac:dyDescent="0.15">
      <c r="C24" s="2"/>
      <c r="D24" s="2"/>
      <c r="E24" s="2"/>
      <c r="F24" s="2"/>
      <c r="G24" s="2"/>
      <c r="I24" s="2"/>
      <c r="J24" s="2"/>
      <c r="K24" s="2"/>
      <c r="L24" s="2"/>
      <c r="M24" s="2"/>
    </row>
    <row r="25" spans="1:13" x14ac:dyDescent="0.15">
      <c r="C25" s="1"/>
      <c r="D25" s="1"/>
      <c r="E25" s="1"/>
      <c r="F25" s="1"/>
      <c r="G25" s="1"/>
    </row>
    <row r="28" spans="1:13" x14ac:dyDescent="0.15">
      <c r="C28" s="2"/>
      <c r="D28" s="2"/>
      <c r="E28" s="2"/>
      <c r="F28" s="2"/>
      <c r="G28" s="2"/>
      <c r="I28" s="2"/>
      <c r="J28" s="2"/>
      <c r="K28" s="2"/>
      <c r="L28" s="2"/>
      <c r="M28" s="2"/>
    </row>
    <row r="29" spans="1:13" x14ac:dyDescent="0.15">
      <c r="C29" s="1"/>
      <c r="D29" s="1"/>
      <c r="E29" s="1"/>
      <c r="F29" s="1"/>
      <c r="G29" s="1"/>
    </row>
    <row r="32" spans="1:13" x14ac:dyDescent="0.15">
      <c r="C32" s="2"/>
      <c r="D32" s="2"/>
      <c r="E32" s="2"/>
      <c r="F32" s="2"/>
      <c r="G32" s="2"/>
      <c r="I32" s="2"/>
      <c r="J32" s="2"/>
      <c r="K32" s="2"/>
      <c r="L32" s="2"/>
      <c r="M32" s="2"/>
    </row>
    <row r="33" spans="3:7" x14ac:dyDescent="0.15">
      <c r="C33" s="1"/>
      <c r="D33" s="1"/>
      <c r="E33" s="1"/>
      <c r="F33" s="1"/>
      <c r="G3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abSelected="1" topLeftCell="A97" workbookViewId="0">
      <selection activeCell="K108" sqref="K108"/>
    </sheetView>
  </sheetViews>
  <sheetFormatPr defaultRowHeight="13.5" x14ac:dyDescent="0.15"/>
  <cols>
    <col min="1" max="1" width="11" bestFit="1" customWidth="1"/>
    <col min="2" max="2" width="14" bestFit="1" customWidth="1"/>
    <col min="3" max="3" width="11.625" bestFit="1" customWidth="1"/>
    <col min="4" max="4" width="12.75" bestFit="1" customWidth="1"/>
    <col min="5" max="8" width="11.625" bestFit="1" customWidth="1"/>
    <col min="10" max="10" width="14" bestFit="1" customWidth="1"/>
    <col min="12" max="12" width="20.5" bestFit="1" customWidth="1"/>
    <col min="13" max="13" width="11.625" bestFit="1" customWidth="1"/>
    <col min="14" max="16" width="12.75" bestFit="1" customWidth="1"/>
  </cols>
  <sheetData>
    <row r="1" spans="1:19" x14ac:dyDescent="0.15">
      <c r="A1" s="1" t="s">
        <v>33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46</v>
      </c>
      <c r="J1" s="2" t="s">
        <v>46</v>
      </c>
      <c r="M1" t="s">
        <v>117</v>
      </c>
      <c r="N1" t="s">
        <v>132</v>
      </c>
      <c r="O1" t="s">
        <v>133</v>
      </c>
      <c r="P1" t="s">
        <v>134</v>
      </c>
      <c r="R1" t="s">
        <v>118</v>
      </c>
      <c r="S1">
        <v>102040.865640342</v>
      </c>
    </row>
    <row r="2" spans="1:19" x14ac:dyDescent="0.15">
      <c r="A2" s="2" t="s">
        <v>2</v>
      </c>
      <c r="B2" s="1">
        <v>7.8951213577641236E-3</v>
      </c>
      <c r="C2" s="1">
        <v>1.1210713062505515E-2</v>
      </c>
      <c r="D2" s="1">
        <v>2.6018769388731249E-2</v>
      </c>
      <c r="E2" s="1">
        <v>5.6805955281942891E-2</v>
      </c>
      <c r="F2" s="1">
        <v>5.7025135150866255E-2</v>
      </c>
      <c r="G2" s="1">
        <v>4.0132269554747337E-2</v>
      </c>
      <c r="H2" s="1">
        <v>2.154686218458135E-2</v>
      </c>
      <c r="I2" s="1">
        <v>0.97124449045068983</v>
      </c>
      <c r="J2" s="1">
        <f>1-I2</f>
        <v>2.8755509549310165E-2</v>
      </c>
      <c r="L2" s="2" t="s">
        <v>6</v>
      </c>
      <c r="M2">
        <v>2.4957361470855366E-3</v>
      </c>
      <c r="N2">
        <v>2.6721828089928401E-3</v>
      </c>
      <c r="O2">
        <v>2.5535476377871458E-3</v>
      </c>
      <c r="P2">
        <v>2.6178275674999529E-3</v>
      </c>
    </row>
    <row r="3" spans="1:19" x14ac:dyDescent="0.15">
      <c r="A3" s="2" t="s">
        <v>3</v>
      </c>
      <c r="B3" s="1">
        <v>2.6475629336921089E-3</v>
      </c>
      <c r="C3" s="1">
        <v>1.787462891632517E-3</v>
      </c>
      <c r="D3" s="1">
        <v>2.8862479614154366E-3</v>
      </c>
      <c r="E3" s="1">
        <v>1.9062491734369829E-3</v>
      </c>
      <c r="F3" s="1">
        <v>4.7201889923005995E-3</v>
      </c>
      <c r="G3" s="1">
        <v>1.8784450539114691E-3</v>
      </c>
      <c r="H3" s="1">
        <v>1.7990587738438482E-3</v>
      </c>
      <c r="I3" s="1">
        <v>0.99745231147349311</v>
      </c>
      <c r="J3" s="1">
        <f>1-I3</f>
        <v>2.547688526506886E-3</v>
      </c>
      <c r="L3" t="s">
        <v>161</v>
      </c>
      <c r="M3">
        <v>13203.203317432177</v>
      </c>
      <c r="N3">
        <v>13200.867827513695</v>
      </c>
      <c r="O3">
        <v>13202.438265481094</v>
      </c>
      <c r="P3">
        <v>13201.587366134985</v>
      </c>
    </row>
    <row r="4" spans="1:19" x14ac:dyDescent="0.15">
      <c r="A4" s="2" t="s">
        <v>4</v>
      </c>
      <c r="B4" s="1">
        <v>9.6943169543103353E-3</v>
      </c>
      <c r="C4" s="1">
        <v>8.3291806671582436E-7</v>
      </c>
      <c r="D4" s="1">
        <v>5.3072274495237081E-4</v>
      </c>
      <c r="E4" s="1">
        <v>6.241173745298668E-5</v>
      </c>
      <c r="F4" s="1">
        <v>7.6253117342305636E-3</v>
      </c>
      <c r="G4" s="1">
        <v>2.2543007359924531E-3</v>
      </c>
      <c r="H4" s="1">
        <v>7.7851320423612622E-3</v>
      </c>
      <c r="I4" s="1">
        <v>0.99883323091793985</v>
      </c>
      <c r="J4" s="1">
        <f>1-I4</f>
        <v>1.1667690820601484E-3</v>
      </c>
      <c r="L4" t="s">
        <v>162</v>
      </c>
      <c r="M4">
        <f>M3/(1-M2)</f>
        <v>13236.237473746814</v>
      </c>
      <c r="N4">
        <f t="shared" ref="N4:P4" si="0">N3/(1-N2)</f>
        <v>13236.237473746789</v>
      </c>
      <c r="O4">
        <f t="shared" si="0"/>
        <v>13236.237628811336</v>
      </c>
      <c r="P4">
        <f t="shared" si="0"/>
        <v>13236.237553693021</v>
      </c>
    </row>
    <row r="5" spans="1:19" x14ac:dyDescent="0.15">
      <c r="A5" s="2" t="s">
        <v>5</v>
      </c>
      <c r="B5" s="1">
        <v>2.1383557187016126E-2</v>
      </c>
      <c r="C5" s="1">
        <v>5.5634556223346571E-6</v>
      </c>
      <c r="D5" s="1">
        <v>7.0150492331927855E-5</v>
      </c>
      <c r="E5" s="1">
        <v>1.1514057122212611E-7</v>
      </c>
      <c r="F5" s="1">
        <v>1.2014852898761409E-2</v>
      </c>
      <c r="G5" s="1">
        <v>4.5731417722929477E-3</v>
      </c>
      <c r="H5" s="1">
        <v>1.8975521339674513E-2</v>
      </c>
      <c r="I5" s="1">
        <v>0.99827577633969622</v>
      </c>
      <c r="J5" s="1">
        <f>1-I5</f>
        <v>1.7242236603037808E-3</v>
      </c>
      <c r="L5" t="s">
        <v>163</v>
      </c>
      <c r="M5">
        <f>M3*$S$1/1000</f>
        <v>1347266.2957362146</v>
      </c>
      <c r="N5">
        <f t="shared" ref="N5:P6" si="1">N3*$S$1/1000</f>
        <v>1347027.9803232383</v>
      </c>
      <c r="O5">
        <f t="shared" si="1"/>
        <v>1347188.2291728663</v>
      </c>
      <c r="P5">
        <f t="shared" si="1"/>
        <v>1347101.4026670165</v>
      </c>
    </row>
    <row r="6" spans="1:19" x14ac:dyDescent="0.15">
      <c r="A6" s="2" t="s">
        <v>6</v>
      </c>
      <c r="B6" s="1">
        <v>3.3595552151016832E-2</v>
      </c>
      <c r="C6" s="1">
        <v>4.4530780118407247E-5</v>
      </c>
      <c r="D6" s="1">
        <v>3.160838455656875E-6</v>
      </c>
      <c r="E6" s="1">
        <v>9.9999999999999995E-8</v>
      </c>
      <c r="F6" s="1">
        <v>1.6277070820224327E-2</v>
      </c>
      <c r="G6" s="1">
        <v>6.6731803397172672E-3</v>
      </c>
      <c r="H6" s="1">
        <v>3.0952534449425292E-2</v>
      </c>
      <c r="I6" s="1">
        <v>0.99750426385291446</v>
      </c>
      <c r="J6" s="1">
        <f>1-I6</f>
        <v>2.4957361470855366E-3</v>
      </c>
      <c r="L6" t="s">
        <v>164</v>
      </c>
      <c r="M6">
        <f>M4*$S$1/1000</f>
        <v>1350637.1296422586</v>
      </c>
      <c r="N6">
        <f t="shared" si="1"/>
        <v>1350637.1296422561</v>
      </c>
      <c r="O6">
        <f t="shared" si="1"/>
        <v>1350637.1454651766</v>
      </c>
      <c r="P6">
        <f t="shared" si="1"/>
        <v>1350637.1378000388</v>
      </c>
    </row>
    <row r="7" spans="1:19" x14ac:dyDescent="0.15">
      <c r="B7" s="1"/>
      <c r="C7" s="1"/>
      <c r="D7" s="1"/>
      <c r="E7" s="1"/>
      <c r="F7" s="1"/>
      <c r="L7" t="s">
        <v>165</v>
      </c>
      <c r="M7" t="s">
        <v>166</v>
      </c>
    </row>
    <row r="8" spans="1:19" x14ac:dyDescent="0.15">
      <c r="B8" s="1"/>
      <c r="C8" s="1"/>
      <c r="D8" s="1"/>
      <c r="E8" s="1"/>
      <c r="F8" s="1"/>
    </row>
    <row r="9" spans="1:19" x14ac:dyDescent="0.15">
      <c r="A9" s="1" t="s">
        <v>114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46</v>
      </c>
      <c r="J9" s="2" t="s">
        <v>46</v>
      </c>
    </row>
    <row r="10" spans="1:19" x14ac:dyDescent="0.15">
      <c r="A10" s="2" t="s">
        <v>2</v>
      </c>
      <c r="B10" s="1">
        <v>7.895121011683038E-3</v>
      </c>
      <c r="C10" s="1">
        <v>1.1210713017577487E-2</v>
      </c>
      <c r="D10" s="1">
        <v>2.6018769397423116E-2</v>
      </c>
      <c r="E10" s="1">
        <v>5.6805955246308742E-2</v>
      </c>
      <c r="F10" s="1">
        <v>5.7025135036517141E-2</v>
      </c>
      <c r="G10" s="1">
        <v>4.013226940422656E-2</v>
      </c>
      <c r="H10" s="1">
        <v>2.1546861869233987E-2</v>
      </c>
      <c r="I10" s="1">
        <v>0.97124449048751926</v>
      </c>
      <c r="J10" s="1">
        <f>1-I10</f>
        <v>2.8755509512480737E-2</v>
      </c>
    </row>
    <row r="11" spans="1:19" x14ac:dyDescent="0.15">
      <c r="A11" s="2" t="s">
        <v>3</v>
      </c>
      <c r="B11" s="1">
        <v>2.647562766276194E-3</v>
      </c>
      <c r="C11" s="1">
        <v>1.7874628942451411E-3</v>
      </c>
      <c r="D11" s="1">
        <v>2.886247985681622E-3</v>
      </c>
      <c r="E11" s="1">
        <v>1.9062491800549031E-3</v>
      </c>
      <c r="F11" s="1">
        <v>4.7201889353879695E-3</v>
      </c>
      <c r="G11" s="1">
        <v>1.878444987793359E-3</v>
      </c>
      <c r="H11" s="1">
        <v>1.7990586326199582E-3</v>
      </c>
      <c r="I11" s="1">
        <v>0.99745231147221258</v>
      </c>
      <c r="J11" s="1">
        <f>1-I11</f>
        <v>2.5476885277874173E-3</v>
      </c>
    </row>
    <row r="12" spans="1:19" x14ac:dyDescent="0.15">
      <c r="A12" s="2" t="s">
        <v>4</v>
      </c>
      <c r="B12" s="1">
        <v>9.6943167595874551E-3</v>
      </c>
      <c r="C12" s="1">
        <v>8.3291800392780355E-7</v>
      </c>
      <c r="D12" s="1">
        <v>5.3072275951666361E-4</v>
      </c>
      <c r="E12" s="1">
        <v>6.2411740673559184E-5</v>
      </c>
      <c r="F12" s="1">
        <v>7.6253116747430618E-3</v>
      </c>
      <c r="G12" s="1">
        <v>2.2543006719595153E-3</v>
      </c>
      <c r="H12" s="1">
        <v>7.7851318656148262E-3</v>
      </c>
      <c r="I12" s="1">
        <v>0.99883323092364906</v>
      </c>
      <c r="J12" s="1">
        <f>1-I12</f>
        <v>1.1667690763509375E-3</v>
      </c>
    </row>
    <row r="13" spans="1:19" x14ac:dyDescent="0.15">
      <c r="A13" s="2" t="s">
        <v>5</v>
      </c>
      <c r="B13" s="1">
        <v>2.278669856873191E-2</v>
      </c>
      <c r="C13" s="1">
        <v>1.9882856871062749E-5</v>
      </c>
      <c r="D13" s="1">
        <v>5.5856721671095328E-5</v>
      </c>
      <c r="E13" s="1">
        <v>9.9999999999999995E-8</v>
      </c>
      <c r="F13" s="1">
        <v>1.2379402575570193E-2</v>
      </c>
      <c r="G13" s="1">
        <v>4.9507438344046301E-3</v>
      </c>
      <c r="H13" s="1">
        <v>2.0334196340086676E-2</v>
      </c>
      <c r="I13" s="1">
        <v>0.99819047347201084</v>
      </c>
      <c r="J13" s="1">
        <f>1-I13</f>
        <v>1.8095265279891581E-3</v>
      </c>
    </row>
    <row r="14" spans="1:19" x14ac:dyDescent="0.15">
      <c r="A14" s="2" t="s">
        <v>6</v>
      </c>
      <c r="B14" s="1">
        <v>3.632365499725957E-2</v>
      </c>
      <c r="C14" s="1">
        <v>6.9813220607591836E-5</v>
      </c>
      <c r="D14" s="1">
        <v>2.0233467251602867E-6</v>
      </c>
      <c r="E14" s="1">
        <v>9.9999999999999995E-8</v>
      </c>
      <c r="F14" s="1">
        <v>1.696971988078335E-2</v>
      </c>
      <c r="G14" s="1">
        <v>7.3826870900616662E-3</v>
      </c>
      <c r="H14" s="1">
        <v>3.361208110290561E-2</v>
      </c>
      <c r="I14" s="1">
        <v>0.99732781719100716</v>
      </c>
      <c r="J14" s="1">
        <f>1-I14</f>
        <v>2.6721828089928401E-3</v>
      </c>
    </row>
    <row r="15" spans="1:19" x14ac:dyDescent="0.15">
      <c r="B15" s="1"/>
      <c r="C15" s="1"/>
      <c r="D15" s="1"/>
      <c r="E15" s="1"/>
      <c r="F15" s="1"/>
    </row>
    <row r="16" spans="1:19" x14ac:dyDescent="0.15">
      <c r="B16" s="1"/>
      <c r="C16" s="1"/>
      <c r="D16" s="1"/>
      <c r="E16" s="1"/>
      <c r="F16" s="1"/>
    </row>
    <row r="17" spans="1:10" x14ac:dyDescent="0.15">
      <c r="A17" s="1" t="s">
        <v>115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46</v>
      </c>
      <c r="J17" s="2" t="s">
        <v>46</v>
      </c>
    </row>
    <row r="18" spans="1:10" x14ac:dyDescent="0.15">
      <c r="A18" s="2" t="s">
        <v>2</v>
      </c>
      <c r="B18" s="1">
        <v>7.895121011683038E-3</v>
      </c>
      <c r="C18" s="1">
        <v>1.1210713017577487E-2</v>
      </c>
      <c r="D18" s="1">
        <v>2.6018769397423116E-2</v>
      </c>
      <c r="E18" s="1">
        <v>5.6805955246308742E-2</v>
      </c>
      <c r="F18" s="1">
        <v>5.7025135036517141E-2</v>
      </c>
      <c r="G18" s="1">
        <v>4.013226940422656E-2</v>
      </c>
      <c r="H18" s="1">
        <v>2.1546861869233987E-2</v>
      </c>
      <c r="I18" s="1">
        <v>0.97124449048751926</v>
      </c>
      <c r="J18" s="1">
        <f>1-I18</f>
        <v>2.8755509512480737E-2</v>
      </c>
    </row>
    <row r="19" spans="1:10" x14ac:dyDescent="0.15">
      <c r="A19" s="2" t="s">
        <v>3</v>
      </c>
      <c r="B19" s="1">
        <v>2.647562766276194E-3</v>
      </c>
      <c r="C19" s="1">
        <v>1.7874628942451411E-3</v>
      </c>
      <c r="D19" s="1">
        <v>2.886247985681622E-3</v>
      </c>
      <c r="E19" s="1">
        <v>1.9062491800549031E-3</v>
      </c>
      <c r="F19" s="1">
        <v>4.7201889353879695E-3</v>
      </c>
      <c r="G19" s="1">
        <v>1.878444987793359E-3</v>
      </c>
      <c r="H19" s="1">
        <v>1.7990586326199582E-3</v>
      </c>
      <c r="I19" s="1">
        <v>0.99745231147221258</v>
      </c>
      <c r="J19" s="1">
        <f>1-I19</f>
        <v>2.5476885277874173E-3</v>
      </c>
    </row>
    <row r="20" spans="1:10" x14ac:dyDescent="0.15">
      <c r="A20" s="2" t="s">
        <v>4</v>
      </c>
      <c r="B20" s="1">
        <v>9.6943167595874551E-3</v>
      </c>
      <c r="C20" s="1">
        <v>8.3291800392780355E-7</v>
      </c>
      <c r="D20" s="1">
        <v>5.3072275951666361E-4</v>
      </c>
      <c r="E20" s="1">
        <v>6.2411740673559184E-5</v>
      </c>
      <c r="F20" s="1">
        <v>7.6253116747430618E-3</v>
      </c>
      <c r="G20" s="1">
        <v>2.2543006719595153E-3</v>
      </c>
      <c r="H20" s="1">
        <v>7.7851318656148262E-3</v>
      </c>
      <c r="I20" s="1">
        <v>0.99883323092364906</v>
      </c>
      <c r="J20" s="1">
        <f>1-I20</f>
        <v>1.1667690763509375E-3</v>
      </c>
    </row>
    <row r="21" spans="1:10" x14ac:dyDescent="0.15">
      <c r="A21" s="2" t="s">
        <v>5</v>
      </c>
      <c r="B21" s="1">
        <v>2.5543230239014801E-2</v>
      </c>
      <c r="C21" s="1">
        <v>4.6680081591605421E-5</v>
      </c>
      <c r="D21" s="1">
        <v>3.7807501481588066E-5</v>
      </c>
      <c r="E21" s="1">
        <v>1.6580723173256575E-7</v>
      </c>
      <c r="F21" s="1">
        <v>1.3054022577535965E-2</v>
      </c>
      <c r="G21" s="1">
        <v>5.6640243375388668E-3</v>
      </c>
      <c r="H21" s="1">
        <v>2.30335648668063E-2</v>
      </c>
      <c r="I21" s="1">
        <v>0.99802171966190456</v>
      </c>
      <c r="J21" s="1">
        <f>1-I21</f>
        <v>1.9782803380954395E-3</v>
      </c>
    </row>
    <row r="22" spans="1:10" x14ac:dyDescent="0.15">
      <c r="A22" s="2" t="s">
        <v>6</v>
      </c>
      <c r="B22" s="1">
        <v>4.1692822930083619E-2</v>
      </c>
      <c r="C22" s="1">
        <v>1.1632294908859396E-4</v>
      </c>
      <c r="D22" s="1">
        <v>1.3940027087631472E-6</v>
      </c>
      <c r="E22" s="1">
        <v>1.8854584588542233E-7</v>
      </c>
      <c r="F22" s="1">
        <v>1.8155752556672754E-2</v>
      </c>
      <c r="G22" s="1">
        <v>8.690270970957906E-3</v>
      </c>
      <c r="H22" s="1">
        <v>3.8958639338765096E-2</v>
      </c>
      <c r="I22" s="1">
        <v>0.99699394750651127</v>
      </c>
      <c r="J22" s="1">
        <f>1-I22</f>
        <v>3.0060524934887312E-3</v>
      </c>
    </row>
    <row r="23" spans="1:10" x14ac:dyDescent="0.15">
      <c r="B23" s="1"/>
      <c r="C23" s="1"/>
      <c r="D23" s="1"/>
      <c r="E23" s="1"/>
      <c r="F23" s="1"/>
    </row>
    <row r="24" spans="1:10" x14ac:dyDescent="0.15">
      <c r="B24" s="1"/>
      <c r="C24" s="1"/>
      <c r="D24" s="1"/>
      <c r="E24" s="1"/>
      <c r="F24" s="1"/>
    </row>
    <row r="25" spans="1:10" x14ac:dyDescent="0.15">
      <c r="A25" s="1" t="s">
        <v>43</v>
      </c>
      <c r="B25" s="2" t="s">
        <v>8</v>
      </c>
      <c r="C25" s="2" t="s">
        <v>9</v>
      </c>
      <c r="D25" s="2" t="s">
        <v>10</v>
      </c>
      <c r="E25" s="2" t="s">
        <v>11</v>
      </c>
      <c r="F25" s="2" t="s">
        <v>12</v>
      </c>
      <c r="G25" s="2" t="s">
        <v>13</v>
      </c>
      <c r="H25" s="2" t="s">
        <v>14</v>
      </c>
      <c r="I25" s="2" t="s">
        <v>46</v>
      </c>
      <c r="J25" s="2" t="s">
        <v>46</v>
      </c>
    </row>
    <row r="26" spans="1:10" x14ac:dyDescent="0.15">
      <c r="A26" s="2" t="s">
        <v>2</v>
      </c>
      <c r="B26" s="1">
        <v>7.8951213577641236E-3</v>
      </c>
      <c r="C26" s="1">
        <v>1.1210713062505515E-2</v>
      </c>
      <c r="D26" s="1">
        <v>2.6018769388731249E-2</v>
      </c>
      <c r="E26" s="1">
        <v>5.6805955281942891E-2</v>
      </c>
      <c r="F26" s="1">
        <v>5.7025135150866255E-2</v>
      </c>
      <c r="G26" s="1">
        <v>4.0132269554747337E-2</v>
      </c>
      <c r="H26" s="1">
        <v>2.154686218458135E-2</v>
      </c>
      <c r="I26" s="1">
        <v>0.97124449045068983</v>
      </c>
      <c r="J26" s="1">
        <f>1-I26</f>
        <v>2.8755509549310165E-2</v>
      </c>
    </row>
    <row r="27" spans="1:10" x14ac:dyDescent="0.15">
      <c r="A27" s="2" t="s">
        <v>3</v>
      </c>
      <c r="B27" s="1">
        <v>2.6475629336921089E-3</v>
      </c>
      <c r="C27" s="1">
        <v>1.787462891632517E-3</v>
      </c>
      <c r="D27" s="1">
        <v>2.8862479614154366E-3</v>
      </c>
      <c r="E27" s="1">
        <v>1.9062491734369829E-3</v>
      </c>
      <c r="F27" s="1">
        <v>4.7201889923005995E-3</v>
      </c>
      <c r="G27" s="1">
        <v>1.8784450539114691E-3</v>
      </c>
      <c r="H27" s="1">
        <v>1.7990587738438482E-3</v>
      </c>
      <c r="I27" s="1">
        <v>0.99745231147349311</v>
      </c>
      <c r="J27" s="1">
        <f>1-I27</f>
        <v>2.547688526506886E-3</v>
      </c>
    </row>
    <row r="28" spans="1:10" x14ac:dyDescent="0.15">
      <c r="A28" s="2" t="s">
        <v>4</v>
      </c>
      <c r="B28" s="1">
        <v>9.6943169543103353E-3</v>
      </c>
      <c r="C28" s="1">
        <v>8.3291806671582436E-7</v>
      </c>
      <c r="D28" s="1">
        <v>5.3072274495237081E-4</v>
      </c>
      <c r="E28" s="1">
        <v>6.241173745298668E-5</v>
      </c>
      <c r="F28" s="1">
        <v>7.6253117342305636E-3</v>
      </c>
      <c r="G28" s="1">
        <v>2.2543007359924531E-3</v>
      </c>
      <c r="H28" s="1">
        <v>7.7851320423612622E-3</v>
      </c>
      <c r="I28" s="1">
        <v>0.99883323091793985</v>
      </c>
      <c r="J28" s="1">
        <f>1-I28</f>
        <v>1.1667690820601484E-3</v>
      </c>
    </row>
    <row r="29" spans="1:10" x14ac:dyDescent="0.15">
      <c r="A29" s="2" t="s">
        <v>5</v>
      </c>
      <c r="B29" s="1">
        <v>2.2030640978909565E-2</v>
      </c>
      <c r="C29" s="1">
        <v>1.4055684496686278E-5</v>
      </c>
      <c r="D29" s="1">
        <v>5.1818624967607096E-5</v>
      </c>
      <c r="E29" s="1">
        <v>1.1950875194761442E-7</v>
      </c>
      <c r="F29" s="1">
        <v>1.2172133180964989E-2</v>
      </c>
      <c r="G29" s="1">
        <v>4.747174099415918E-3</v>
      </c>
      <c r="H29" s="1">
        <v>1.9613029647230586E-2</v>
      </c>
      <c r="I29" s="1">
        <v>0.99824232204355701</v>
      </c>
      <c r="J29" s="1">
        <f>1-I29</f>
        <v>1.7576779564429934E-3</v>
      </c>
    </row>
    <row r="30" spans="1:10" x14ac:dyDescent="0.15">
      <c r="A30" s="2" t="s">
        <v>6</v>
      </c>
      <c r="B30" s="1">
        <v>3.4496312773164436E-2</v>
      </c>
      <c r="C30" s="1">
        <v>5.4574563891491426E-5</v>
      </c>
      <c r="D30" s="1">
        <v>1.928063420082596E-6</v>
      </c>
      <c r="E30" s="1">
        <v>9.9999999999999995E-8</v>
      </c>
      <c r="F30" s="1">
        <v>1.6501515810227515E-2</v>
      </c>
      <c r="G30" s="1">
        <v>6.901658903131826E-3</v>
      </c>
      <c r="H30" s="1">
        <v>3.1839541601255988E-2</v>
      </c>
      <c r="I30" s="1">
        <v>0.99744645236221285</v>
      </c>
      <c r="J30" s="1">
        <f>1-I30</f>
        <v>2.5535476377871458E-3</v>
      </c>
    </row>
    <row r="31" spans="1:10" x14ac:dyDescent="0.15">
      <c r="B31" s="1"/>
      <c r="C31" s="1"/>
      <c r="D31" s="1"/>
      <c r="E31" s="1"/>
      <c r="F31" s="1"/>
    </row>
    <row r="32" spans="1:10" x14ac:dyDescent="0.15">
      <c r="B32" s="1"/>
      <c r="C32" s="1"/>
      <c r="D32" s="1"/>
      <c r="E32" s="1"/>
      <c r="F32" s="1"/>
    </row>
    <row r="33" spans="1:10" x14ac:dyDescent="0.15">
      <c r="A33" s="1" t="s">
        <v>44</v>
      </c>
      <c r="B33" s="2" t="s">
        <v>8</v>
      </c>
      <c r="C33" s="2" t="s">
        <v>9</v>
      </c>
      <c r="D33" s="2" t="s">
        <v>10</v>
      </c>
      <c r="E33" s="2" t="s">
        <v>11</v>
      </c>
      <c r="F33" s="2" t="s">
        <v>12</v>
      </c>
      <c r="G33" s="2" t="s">
        <v>13</v>
      </c>
      <c r="H33" s="2" t="s">
        <v>14</v>
      </c>
      <c r="I33" s="2" t="s">
        <v>46</v>
      </c>
      <c r="J33" s="2" t="s">
        <v>46</v>
      </c>
    </row>
    <row r="34" spans="1:10" x14ac:dyDescent="0.15">
      <c r="A34" s="2" t="s">
        <v>2</v>
      </c>
      <c r="B34" s="1">
        <v>7.895121011683038E-3</v>
      </c>
      <c r="C34" s="1">
        <v>1.1210713017577487E-2</v>
      </c>
      <c r="D34" s="1">
        <v>2.6018769397423116E-2</v>
      </c>
      <c r="E34" s="1">
        <v>5.6805955246308742E-2</v>
      </c>
      <c r="F34" s="1">
        <v>5.7025135036517141E-2</v>
      </c>
      <c r="G34" s="1">
        <v>4.013226940422656E-2</v>
      </c>
      <c r="H34" s="1">
        <v>2.1546861869233987E-2</v>
      </c>
      <c r="I34" s="1">
        <v>0.97124449048751926</v>
      </c>
      <c r="J34" s="1">
        <f>1-I34</f>
        <v>2.8755509512480737E-2</v>
      </c>
    </row>
    <row r="35" spans="1:10" x14ac:dyDescent="0.15">
      <c r="A35" s="2" t="s">
        <v>3</v>
      </c>
      <c r="B35" s="1">
        <v>2.647562766276194E-3</v>
      </c>
      <c r="C35" s="1">
        <v>1.7874628942451411E-3</v>
      </c>
      <c r="D35" s="1">
        <v>2.886247985681622E-3</v>
      </c>
      <c r="E35" s="1">
        <v>1.9062491800549031E-3</v>
      </c>
      <c r="F35" s="1">
        <v>4.7201889353879695E-3</v>
      </c>
      <c r="G35" s="1">
        <v>1.878444987793359E-3</v>
      </c>
      <c r="H35" s="1">
        <v>1.7990586326199582E-3</v>
      </c>
      <c r="I35" s="1">
        <v>0.99745231147221258</v>
      </c>
      <c r="J35" s="1">
        <f>1-I35</f>
        <v>2.5476885277874173E-3</v>
      </c>
    </row>
    <row r="36" spans="1:10" x14ac:dyDescent="0.15">
      <c r="A36" s="2" t="s">
        <v>4</v>
      </c>
      <c r="B36" s="1">
        <v>9.6943167595874551E-3</v>
      </c>
      <c r="C36" s="1">
        <v>8.3291800392780355E-7</v>
      </c>
      <c r="D36" s="1">
        <v>5.3072275951666361E-4</v>
      </c>
      <c r="E36" s="1">
        <v>6.2411740673559184E-5</v>
      </c>
      <c r="F36" s="1">
        <v>7.6253116747430618E-3</v>
      </c>
      <c r="G36" s="1">
        <v>2.2543006719595153E-3</v>
      </c>
      <c r="H36" s="1">
        <v>7.7851318656148262E-3</v>
      </c>
      <c r="I36" s="1">
        <v>0.99883323092364906</v>
      </c>
      <c r="J36" s="1">
        <f>1-I36</f>
        <v>1.1667690763509375E-3</v>
      </c>
    </row>
    <row r="37" spans="1:10" x14ac:dyDescent="0.15">
      <c r="A37" s="2" t="s">
        <v>5</v>
      </c>
      <c r="B37" s="1">
        <v>2.2288905256469069E-2</v>
      </c>
      <c r="C37" s="1">
        <v>1.6724772795653331E-5</v>
      </c>
      <c r="D37" s="1">
        <v>4.9471824400767508E-5</v>
      </c>
      <c r="E37" s="1">
        <v>1.210237640254143E-7</v>
      </c>
      <c r="F37" s="1">
        <v>1.2238858455691339E-2</v>
      </c>
      <c r="G37" s="1">
        <v>4.8169055842615044E-3</v>
      </c>
      <c r="H37" s="1">
        <v>1.9863201472383973E-2</v>
      </c>
      <c r="I37" s="1">
        <v>0.99822648726592811</v>
      </c>
      <c r="J37" s="1">
        <f>1-I37</f>
        <v>1.7735127340718915E-3</v>
      </c>
    </row>
    <row r="38" spans="1:10" x14ac:dyDescent="0.15">
      <c r="A38" s="2" t="s">
        <v>6</v>
      </c>
      <c r="B38" s="1">
        <v>3.5487776042570932E-2</v>
      </c>
      <c r="C38" s="1">
        <v>6.4141107470154325E-5</v>
      </c>
      <c r="D38" s="1">
        <v>1.6316844286752651E-6</v>
      </c>
      <c r="E38" s="1">
        <v>9.9999999999999995E-8</v>
      </c>
      <c r="F38" s="1">
        <v>1.6750526064081256E-2</v>
      </c>
      <c r="G38" s="1">
        <v>7.164173129489527E-3</v>
      </c>
      <c r="H38" s="1">
        <v>3.2805115535536097E-2</v>
      </c>
      <c r="I38" s="1">
        <v>0.99738217243250005</v>
      </c>
      <c r="J38" s="1">
        <f>1-I38</f>
        <v>2.6178275674999529E-3</v>
      </c>
    </row>
    <row r="39" spans="1:10" x14ac:dyDescent="0.15">
      <c r="B39" s="2"/>
      <c r="C39" s="2"/>
      <c r="D39" s="2"/>
      <c r="E39" s="2"/>
      <c r="F39" s="2"/>
    </row>
    <row r="40" spans="1:10" x14ac:dyDescent="0.15">
      <c r="B40" s="1"/>
      <c r="C40" s="1"/>
      <c r="D40" s="1"/>
      <c r="E40" s="1"/>
      <c r="F40" s="1"/>
    </row>
    <row r="41" spans="1:10" x14ac:dyDescent="0.15">
      <c r="A41" s="1" t="s">
        <v>45</v>
      </c>
      <c r="B41" s="2" t="s">
        <v>8</v>
      </c>
      <c r="C41" s="2" t="s">
        <v>9</v>
      </c>
      <c r="D41" s="2" t="s">
        <v>10</v>
      </c>
      <c r="E41" s="2" t="s">
        <v>11</v>
      </c>
      <c r="F41" s="2" t="s">
        <v>12</v>
      </c>
      <c r="G41" s="2" t="s">
        <v>13</v>
      </c>
      <c r="H41" s="2" t="s">
        <v>14</v>
      </c>
      <c r="I41" s="2" t="s">
        <v>46</v>
      </c>
      <c r="J41" s="2" t="s">
        <v>46</v>
      </c>
    </row>
    <row r="42" spans="1:10" x14ac:dyDescent="0.15">
      <c r="A42" s="2" t="s">
        <v>2</v>
      </c>
      <c r="B42" s="1">
        <v>7.895121011683038E-3</v>
      </c>
      <c r="C42" s="1">
        <v>1.1210713017577487E-2</v>
      </c>
      <c r="D42" s="1">
        <v>2.6018769397423116E-2</v>
      </c>
      <c r="E42" s="1">
        <v>5.6805955246308742E-2</v>
      </c>
      <c r="F42" s="1">
        <v>5.7025135036517141E-2</v>
      </c>
      <c r="G42" s="1">
        <v>4.013226940422656E-2</v>
      </c>
      <c r="H42" s="1">
        <v>2.1546861869233987E-2</v>
      </c>
      <c r="I42" s="1">
        <v>0.97124449048751926</v>
      </c>
      <c r="J42" s="1">
        <f>1-I42</f>
        <v>2.8755509512480737E-2</v>
      </c>
    </row>
    <row r="43" spans="1:10" x14ac:dyDescent="0.15">
      <c r="A43" s="2" t="s">
        <v>3</v>
      </c>
      <c r="B43" s="1">
        <v>2.647562766276194E-3</v>
      </c>
      <c r="C43" s="1">
        <v>1.7874628942451411E-3</v>
      </c>
      <c r="D43" s="1">
        <v>2.886247985681622E-3</v>
      </c>
      <c r="E43" s="1">
        <v>1.9062491800549031E-3</v>
      </c>
      <c r="F43" s="1">
        <v>4.7201889353879695E-3</v>
      </c>
      <c r="G43" s="1">
        <v>1.878444987793359E-3</v>
      </c>
      <c r="H43" s="1">
        <v>1.7990586326199582E-3</v>
      </c>
      <c r="I43" s="1">
        <v>0.99745231147221258</v>
      </c>
      <c r="J43" s="1">
        <f>1-I43</f>
        <v>2.5476885277874173E-3</v>
      </c>
    </row>
    <row r="44" spans="1:10" x14ac:dyDescent="0.15">
      <c r="A44" s="2" t="s">
        <v>4</v>
      </c>
      <c r="B44" s="1">
        <v>9.6943167595874551E-3</v>
      </c>
      <c r="C44" s="1">
        <v>8.3291800392780355E-7</v>
      </c>
      <c r="D44" s="1">
        <v>5.3072275951666361E-4</v>
      </c>
      <c r="E44" s="1">
        <v>6.2411740673559184E-5</v>
      </c>
      <c r="F44" s="1">
        <v>7.6253116747430618E-3</v>
      </c>
      <c r="G44" s="1">
        <v>2.2543006719595153E-3</v>
      </c>
      <c r="H44" s="1">
        <v>7.7851318656148262E-3</v>
      </c>
      <c r="I44" s="1">
        <v>0.99883323092364906</v>
      </c>
      <c r="J44" s="1">
        <f>1-I44</f>
        <v>1.1667690763509375E-3</v>
      </c>
    </row>
    <row r="45" spans="1:10" x14ac:dyDescent="0.15">
      <c r="A45" s="2" t="s">
        <v>5</v>
      </c>
      <c r="B45" s="1">
        <v>2.4886489124009915E-2</v>
      </c>
      <c r="C45" s="1">
        <v>4.2542390065140703E-5</v>
      </c>
      <c r="D45" s="1">
        <v>3.2727376929786008E-5</v>
      </c>
      <c r="E45" s="1">
        <v>2.0527101178747605E-7</v>
      </c>
      <c r="F45" s="1">
        <v>1.2882214931507091E-2</v>
      </c>
      <c r="G45" s="1">
        <v>5.5005707479210018E-3</v>
      </c>
      <c r="H45" s="1">
        <v>2.2398592984069175E-2</v>
      </c>
      <c r="I45" s="1">
        <v>0.99806634734458466</v>
      </c>
      <c r="J45" s="1">
        <f>1-I45</f>
        <v>1.933652655415341E-3</v>
      </c>
    </row>
    <row r="46" spans="1:10" x14ac:dyDescent="0.15">
      <c r="A46" s="2" t="s">
        <v>6</v>
      </c>
      <c r="B46" s="1">
        <v>4.0235372917320156E-2</v>
      </c>
      <c r="C46" s="1">
        <v>1.0829078340644279E-4</v>
      </c>
      <c r="D46" s="1">
        <v>1.0414885134634829E-6</v>
      </c>
      <c r="E46" s="1">
        <v>3.4909457633052521E-7</v>
      </c>
      <c r="F46" s="1">
        <v>1.7813632408316377E-2</v>
      </c>
      <c r="G46" s="1">
        <v>8.3683984865451557E-3</v>
      </c>
      <c r="H46" s="1">
        <v>3.7504812699196463E-2</v>
      </c>
      <c r="I46" s="1">
        <v>0.99708369493488536</v>
      </c>
      <c r="J46" s="1">
        <f>1-I46</f>
        <v>2.9163050651146438E-3</v>
      </c>
    </row>
    <row r="51" spans="1:10" x14ac:dyDescent="0.15">
      <c r="A51" s="1" t="s">
        <v>34</v>
      </c>
      <c r="B51" s="2" t="s">
        <v>8</v>
      </c>
      <c r="C51" s="2" t="s">
        <v>9</v>
      </c>
      <c r="D51" s="2" t="s">
        <v>10</v>
      </c>
      <c r="E51" s="2" t="s">
        <v>11</v>
      </c>
      <c r="F51" s="2" t="s">
        <v>12</v>
      </c>
      <c r="G51" s="2" t="s">
        <v>13</v>
      </c>
      <c r="H51" s="2" t="s">
        <v>14</v>
      </c>
      <c r="I51" s="2"/>
      <c r="J51" s="2" t="s">
        <v>46</v>
      </c>
    </row>
    <row r="52" spans="1:10" x14ac:dyDescent="0.15">
      <c r="A52" s="2" t="s">
        <v>2</v>
      </c>
      <c r="B52" s="1">
        <f>(B10-B2)*100</f>
        <v>-3.4608108566425155E-8</v>
      </c>
      <c r="C52" s="1">
        <f t="shared" ref="C52:H52" si="2">(C10-C2)*100</f>
        <v>-4.4928028311574941E-9</v>
      </c>
      <c r="D52" s="1">
        <f t="shared" si="2"/>
        <v>8.6918666708513115E-10</v>
      </c>
      <c r="E52" s="1">
        <f t="shared" si="2"/>
        <v>-3.5634148409791067E-9</v>
      </c>
      <c r="F52" s="1">
        <f t="shared" si="2"/>
        <v>-1.1434911351138055E-8</v>
      </c>
      <c r="G52" s="1">
        <f t="shared" si="2"/>
        <v>-1.5052077639854389E-8</v>
      </c>
      <c r="H52" s="1">
        <f t="shared" si="2"/>
        <v>-3.153473628059178E-8</v>
      </c>
      <c r="I52" s="1"/>
      <c r="J52" s="1">
        <f>(J10-J2)*100</f>
        <v>-3.6829428395890318E-9</v>
      </c>
    </row>
    <row r="53" spans="1:10" x14ac:dyDescent="0.15">
      <c r="A53" s="2" t="s">
        <v>3</v>
      </c>
      <c r="B53" s="1">
        <f t="shared" ref="B53:H56" si="3">(B11-B3)*100</f>
        <v>-1.6741591489857766E-8</v>
      </c>
      <c r="C53" s="1">
        <f t="shared" si="3"/>
        <v>2.6126240927626387E-10</v>
      </c>
      <c r="D53" s="1">
        <f t="shared" si="3"/>
        <v>2.4266185415233732E-9</v>
      </c>
      <c r="E53" s="1">
        <f t="shared" si="3"/>
        <v>6.6179201875515847E-10</v>
      </c>
      <c r="F53" s="1">
        <f t="shared" si="3"/>
        <v>-5.69126299906908E-9</v>
      </c>
      <c r="G53" s="1">
        <f t="shared" si="3"/>
        <v>-6.6118110118862372E-9</v>
      </c>
      <c r="H53" s="1">
        <f t="shared" si="3"/>
        <v>-1.4122389000413571E-8</v>
      </c>
      <c r="I53" s="1"/>
      <c r="J53" s="1">
        <f t="shared" ref="J53" si="4">(J11-J3)*100</f>
        <v>1.2805312366026556E-10</v>
      </c>
    </row>
    <row r="54" spans="1:10" x14ac:dyDescent="0.15">
      <c r="A54" s="2" t="s">
        <v>4</v>
      </c>
      <c r="B54" s="1">
        <f t="shared" si="3"/>
        <v>-1.9472288018129724E-8</v>
      </c>
      <c r="C54" s="1">
        <f t="shared" si="3"/>
        <v>-6.2788020810240178E-12</v>
      </c>
      <c r="D54" s="1">
        <f t="shared" si="3"/>
        <v>1.4564292805628598E-9</v>
      </c>
      <c r="E54" s="1">
        <f t="shared" si="3"/>
        <v>3.2205725038854036E-10</v>
      </c>
      <c r="F54" s="1">
        <f t="shared" si="3"/>
        <v>-5.9487501730126624E-9</v>
      </c>
      <c r="G54" s="1">
        <f t="shared" si="3"/>
        <v>-6.403293780626873E-9</v>
      </c>
      <c r="H54" s="1">
        <f t="shared" si="3"/>
        <v>-1.7674643606330198E-8</v>
      </c>
      <c r="I54" s="1"/>
      <c r="J54" s="1">
        <f t="shared" ref="J54" si="5">(J12-J4)*100</f>
        <v>-5.709210881832405E-10</v>
      </c>
    </row>
    <row r="55" spans="1:10" x14ac:dyDescent="0.15">
      <c r="A55" s="2" t="s">
        <v>5</v>
      </c>
      <c r="B55" s="1">
        <f t="shared" si="3"/>
        <v>0.1403141381715784</v>
      </c>
      <c r="C55" s="1">
        <f t="shared" si="3"/>
        <v>1.4319401248728092E-3</v>
      </c>
      <c r="D55" s="1">
        <f t="shared" si="3"/>
        <v>-1.4293770660832527E-3</v>
      </c>
      <c r="E55" s="1">
        <f t="shared" si="3"/>
        <v>-1.5140571222126113E-6</v>
      </c>
      <c r="F55" s="1">
        <f t="shared" si="3"/>
        <v>3.6454967680878483E-2</v>
      </c>
      <c r="G55" s="1">
        <f t="shared" si="3"/>
        <v>3.776020621116824E-2</v>
      </c>
      <c r="H55" s="1">
        <f t="shared" si="3"/>
        <v>0.13586750004121634</v>
      </c>
      <c r="I55" s="1"/>
      <c r="J55" s="1">
        <f t="shared" ref="J55" si="6">(J13-J5)*100</f>
        <v>8.5302867685377315E-3</v>
      </c>
    </row>
    <row r="56" spans="1:10" x14ac:dyDescent="0.15">
      <c r="A56" s="2" t="s">
        <v>6</v>
      </c>
      <c r="B56" s="1">
        <f t="shared" si="3"/>
        <v>0.27281028462427387</v>
      </c>
      <c r="C56" s="1">
        <f t="shared" si="3"/>
        <v>2.5282440489184589E-3</v>
      </c>
      <c r="D56" s="1">
        <f t="shared" si="3"/>
        <v>-1.1374917304965883E-4</v>
      </c>
      <c r="E56" s="1">
        <f t="shared" si="3"/>
        <v>0</v>
      </c>
      <c r="F56" s="1">
        <f t="shared" si="3"/>
        <v>6.9264906055902312E-2</v>
      </c>
      <c r="G56" s="1">
        <f t="shared" si="3"/>
        <v>7.09506750344399E-2</v>
      </c>
      <c r="H56" s="1">
        <f t="shared" si="3"/>
        <v>0.26595466534803169</v>
      </c>
      <c r="I56" s="1"/>
      <c r="J56" s="1">
        <f t="shared" ref="J56" si="7">(J14-J6)*100</f>
        <v>1.7644666190730351E-2</v>
      </c>
    </row>
    <row r="59" spans="1:10" x14ac:dyDescent="0.15">
      <c r="A59" s="1" t="s">
        <v>35</v>
      </c>
      <c r="B59" s="2" t="s">
        <v>8</v>
      </c>
      <c r="C59" s="2" t="s">
        <v>9</v>
      </c>
      <c r="D59" s="2" t="s">
        <v>10</v>
      </c>
      <c r="E59" s="2" t="s">
        <v>11</v>
      </c>
      <c r="F59" s="2" t="s">
        <v>12</v>
      </c>
      <c r="G59" s="2" t="s">
        <v>13</v>
      </c>
      <c r="H59" s="2" t="s">
        <v>14</v>
      </c>
      <c r="I59" s="2"/>
      <c r="J59" s="2" t="s">
        <v>46</v>
      </c>
    </row>
    <row r="60" spans="1:10" x14ac:dyDescent="0.15">
      <c r="A60" s="2" t="s">
        <v>2</v>
      </c>
      <c r="B60" s="1">
        <f>(B18-B2)*100</f>
        <v>-3.4608108566425155E-8</v>
      </c>
      <c r="C60" s="1">
        <f t="shared" ref="C60:H60" si="8">(C18-C2)*100</f>
        <v>-4.4928028311574941E-9</v>
      </c>
      <c r="D60" s="1">
        <f t="shared" si="8"/>
        <v>8.6918666708513115E-10</v>
      </c>
      <c r="E60" s="1">
        <f t="shared" si="8"/>
        <v>-3.5634148409791067E-9</v>
      </c>
      <c r="F60" s="1">
        <f t="shared" si="8"/>
        <v>-1.1434911351138055E-8</v>
      </c>
      <c r="G60" s="1">
        <f t="shared" si="8"/>
        <v>-1.5052077639854389E-8</v>
      </c>
      <c r="H60" s="1">
        <f t="shared" si="8"/>
        <v>-3.153473628059178E-8</v>
      </c>
      <c r="I60" s="1"/>
      <c r="J60" s="1">
        <f>(J18-J2)*100</f>
        <v>-3.6829428395890318E-9</v>
      </c>
    </row>
    <row r="61" spans="1:10" x14ac:dyDescent="0.15">
      <c r="A61" s="2" t="s">
        <v>3</v>
      </c>
      <c r="B61" s="1">
        <f t="shared" ref="B61:H64" si="9">(B19-B3)*100</f>
        <v>-1.6741591489857766E-8</v>
      </c>
      <c r="C61" s="1">
        <f t="shared" si="9"/>
        <v>2.6126240927626387E-10</v>
      </c>
      <c r="D61" s="1">
        <f t="shared" si="9"/>
        <v>2.4266185415233732E-9</v>
      </c>
      <c r="E61" s="1">
        <f t="shared" si="9"/>
        <v>6.6179201875515847E-10</v>
      </c>
      <c r="F61" s="1">
        <f t="shared" si="9"/>
        <v>-5.69126299906908E-9</v>
      </c>
      <c r="G61" s="1">
        <f t="shared" si="9"/>
        <v>-6.6118110118862372E-9</v>
      </c>
      <c r="H61" s="1">
        <f t="shared" si="9"/>
        <v>-1.4122389000413571E-8</v>
      </c>
      <c r="I61" s="1"/>
      <c r="J61" s="1">
        <f t="shared" ref="J61" si="10">(J19-J3)*100</f>
        <v>1.2805312366026556E-10</v>
      </c>
    </row>
    <row r="62" spans="1:10" x14ac:dyDescent="0.15">
      <c r="A62" s="2" t="s">
        <v>4</v>
      </c>
      <c r="B62" s="1">
        <f t="shared" si="9"/>
        <v>-1.9472288018129724E-8</v>
      </c>
      <c r="C62" s="1">
        <f t="shared" si="9"/>
        <v>-6.2788020810240178E-12</v>
      </c>
      <c r="D62" s="1">
        <f t="shared" si="9"/>
        <v>1.4564292805628598E-9</v>
      </c>
      <c r="E62" s="1">
        <f t="shared" si="9"/>
        <v>3.2205725038854036E-10</v>
      </c>
      <c r="F62" s="1">
        <f t="shared" si="9"/>
        <v>-5.9487501730126624E-9</v>
      </c>
      <c r="G62" s="1">
        <f t="shared" si="9"/>
        <v>-6.403293780626873E-9</v>
      </c>
      <c r="H62" s="1">
        <f t="shared" si="9"/>
        <v>-1.7674643606330198E-8</v>
      </c>
      <c r="I62" s="1"/>
      <c r="J62" s="1">
        <f t="shared" ref="J62" si="11">(J20-J4)*100</f>
        <v>-5.709210881832405E-10</v>
      </c>
    </row>
    <row r="63" spans="1:10" x14ac:dyDescent="0.15">
      <c r="A63" s="2" t="s">
        <v>5</v>
      </c>
      <c r="B63" s="1">
        <f t="shared" si="9"/>
        <v>0.41596730519986752</v>
      </c>
      <c r="C63" s="1">
        <f t="shared" si="9"/>
        <v>4.1116625969270766E-3</v>
      </c>
      <c r="D63" s="1">
        <f t="shared" si="9"/>
        <v>-3.2342990850339789E-3</v>
      </c>
      <c r="E63" s="1">
        <f t="shared" si="9"/>
        <v>5.0666660510439643E-6</v>
      </c>
      <c r="F63" s="1">
        <f t="shared" si="9"/>
        <v>0.10391696787745569</v>
      </c>
      <c r="G63" s="1">
        <f t="shared" si="9"/>
        <v>0.10908825652459192</v>
      </c>
      <c r="H63" s="1">
        <f t="shared" si="9"/>
        <v>0.40580435271317872</v>
      </c>
      <c r="I63" s="1"/>
      <c r="J63" s="1">
        <f t="shared" ref="J63" si="12">(J21-J5)*100</f>
        <v>2.5405667779165864E-2</v>
      </c>
    </row>
    <row r="64" spans="1:10" x14ac:dyDescent="0.15">
      <c r="A64" s="2" t="s">
        <v>6</v>
      </c>
      <c r="B64" s="1">
        <f t="shared" si="9"/>
        <v>0.80972707790667875</v>
      </c>
      <c r="C64" s="1">
        <f t="shared" si="9"/>
        <v>7.1792168970186716E-3</v>
      </c>
      <c r="D64" s="1">
        <f t="shared" si="9"/>
        <v>-1.7668357468937277E-4</v>
      </c>
      <c r="E64" s="1">
        <f t="shared" si="9"/>
        <v>8.8545845885422335E-6</v>
      </c>
      <c r="F64" s="1">
        <f t="shared" si="9"/>
        <v>0.18786817364484265</v>
      </c>
      <c r="G64" s="1">
        <f t="shared" si="9"/>
        <v>0.20170906312406389</v>
      </c>
      <c r="H64" s="1">
        <f t="shared" si="9"/>
        <v>0.80061048893398035</v>
      </c>
      <c r="I64" s="1"/>
      <c r="J64" s="1">
        <f t="shared" ref="J64" si="13">(J22-J6)*100</f>
        <v>5.1031634640319457E-2</v>
      </c>
    </row>
    <row r="67" spans="1:10" x14ac:dyDescent="0.15">
      <c r="A67" s="1" t="s">
        <v>138</v>
      </c>
      <c r="B67" s="2" t="s">
        <v>8</v>
      </c>
      <c r="C67" s="2" t="s">
        <v>9</v>
      </c>
      <c r="D67" s="2" t="s">
        <v>10</v>
      </c>
      <c r="E67" s="2" t="s">
        <v>11</v>
      </c>
      <c r="F67" s="2" t="s">
        <v>12</v>
      </c>
      <c r="G67" s="2" t="s">
        <v>13</v>
      </c>
      <c r="H67" s="2" t="s">
        <v>14</v>
      </c>
      <c r="J67" s="2" t="s">
        <v>46</v>
      </c>
    </row>
    <row r="68" spans="1:10" x14ac:dyDescent="0.15">
      <c r="A68" s="2" t="s">
        <v>2</v>
      </c>
      <c r="B68" s="1">
        <f>(B26-B2)*100</f>
        <v>0</v>
      </c>
      <c r="C68" s="1">
        <f t="shared" ref="C68:H68" si="14">(C26-C2)*100</f>
        <v>0</v>
      </c>
      <c r="D68" s="1">
        <f t="shared" si="14"/>
        <v>0</v>
      </c>
      <c r="E68" s="1">
        <f t="shared" si="14"/>
        <v>0</v>
      </c>
      <c r="F68" s="1">
        <f t="shared" si="14"/>
        <v>0</v>
      </c>
      <c r="G68" s="1">
        <f t="shared" si="14"/>
        <v>0</v>
      </c>
      <c r="H68" s="1">
        <f t="shared" si="14"/>
        <v>0</v>
      </c>
      <c r="J68" s="1">
        <f>(J26-J2)*100</f>
        <v>0</v>
      </c>
    </row>
    <row r="69" spans="1:10" x14ac:dyDescent="0.15">
      <c r="A69" s="2" t="s">
        <v>3</v>
      </c>
      <c r="B69" s="1">
        <f t="shared" ref="B69:H69" si="15">(B27-B3)*100</f>
        <v>0</v>
      </c>
      <c r="C69" s="1">
        <f t="shared" si="15"/>
        <v>0</v>
      </c>
      <c r="D69" s="1">
        <f t="shared" si="15"/>
        <v>0</v>
      </c>
      <c r="E69" s="1">
        <f t="shared" si="15"/>
        <v>0</v>
      </c>
      <c r="F69" s="1">
        <f t="shared" si="15"/>
        <v>0</v>
      </c>
      <c r="G69" s="1">
        <f t="shared" si="15"/>
        <v>0</v>
      </c>
      <c r="H69" s="1">
        <f t="shared" si="15"/>
        <v>0</v>
      </c>
      <c r="J69" s="1">
        <f>(J27-J3)*100</f>
        <v>0</v>
      </c>
    </row>
    <row r="70" spans="1:10" x14ac:dyDescent="0.15">
      <c r="A70" s="2" t="s">
        <v>4</v>
      </c>
      <c r="B70" s="1">
        <f t="shared" ref="B70:H70" si="16">(B28-B4)*100</f>
        <v>0</v>
      </c>
      <c r="C70" s="1">
        <f t="shared" si="16"/>
        <v>0</v>
      </c>
      <c r="D70" s="1">
        <f t="shared" si="16"/>
        <v>0</v>
      </c>
      <c r="E70" s="1">
        <f t="shared" si="16"/>
        <v>0</v>
      </c>
      <c r="F70" s="1">
        <f t="shared" si="16"/>
        <v>0</v>
      </c>
      <c r="G70" s="1">
        <f t="shared" si="16"/>
        <v>0</v>
      </c>
      <c r="H70" s="1">
        <f t="shared" si="16"/>
        <v>0</v>
      </c>
      <c r="J70" s="1">
        <f>(J28-J4)*100</f>
        <v>0</v>
      </c>
    </row>
    <row r="71" spans="1:10" x14ac:dyDescent="0.15">
      <c r="A71" s="2" t="s">
        <v>5</v>
      </c>
      <c r="B71" s="1">
        <f t="shared" ref="B71:H71" si="17">(B29-B5)*100</f>
        <v>6.470837918934394E-2</v>
      </c>
      <c r="C71" s="1">
        <f t="shared" si="17"/>
        <v>8.4922288743516199E-4</v>
      </c>
      <c r="D71" s="1">
        <f t="shared" si="17"/>
        <v>-1.833186736432076E-3</v>
      </c>
      <c r="E71" s="1">
        <f t="shared" si="17"/>
        <v>4.3681807254883061E-7</v>
      </c>
      <c r="F71" s="1">
        <f t="shared" si="17"/>
        <v>1.5728028220358091E-2</v>
      </c>
      <c r="G71" s="1">
        <f t="shared" si="17"/>
        <v>1.7403232712297038E-2</v>
      </c>
      <c r="H71" s="1">
        <f t="shared" si="17"/>
        <v>6.375083075560728E-2</v>
      </c>
      <c r="J71" s="1">
        <f>(J29-J5)*100</f>
        <v>3.345429613921258E-3</v>
      </c>
    </row>
    <row r="72" spans="1:10" x14ac:dyDescent="0.15">
      <c r="A72" s="2" t="s">
        <v>6</v>
      </c>
      <c r="B72" s="1">
        <f t="shared" ref="B72:H72" si="18">(B30-B6)*100</f>
        <v>9.0076062214760472E-2</v>
      </c>
      <c r="C72" s="1">
        <f t="shared" si="18"/>
        <v>1.004378377308418E-3</v>
      </c>
      <c r="D72" s="1">
        <f t="shared" si="18"/>
        <v>-1.2327750355742791E-4</v>
      </c>
      <c r="E72" s="1">
        <f t="shared" si="18"/>
        <v>0</v>
      </c>
      <c r="F72" s="1">
        <f t="shared" si="18"/>
        <v>2.2444499000318779E-2</v>
      </c>
      <c r="G72" s="1">
        <f t="shared" si="18"/>
        <v>2.2847856341455877E-2</v>
      </c>
      <c r="H72" s="1">
        <f t="shared" si="18"/>
        <v>8.8700715183069601E-2</v>
      </c>
      <c r="J72" s="1">
        <f>(J30-J6)*100</f>
        <v>5.7811490701609181E-3</v>
      </c>
    </row>
    <row r="75" spans="1:10" x14ac:dyDescent="0.15">
      <c r="A75" s="1" t="s">
        <v>139</v>
      </c>
      <c r="B75" s="2" t="s">
        <v>8</v>
      </c>
      <c r="C75" s="2" t="s">
        <v>9</v>
      </c>
      <c r="D75" s="2" t="s">
        <v>10</v>
      </c>
      <c r="E75" s="2" t="s">
        <v>11</v>
      </c>
      <c r="F75" s="2" t="s">
        <v>12</v>
      </c>
      <c r="G75" s="2" t="s">
        <v>13</v>
      </c>
      <c r="H75" s="2" t="s">
        <v>14</v>
      </c>
      <c r="I75" s="2"/>
      <c r="J75" s="2" t="s">
        <v>46</v>
      </c>
    </row>
    <row r="76" spans="1:10" x14ac:dyDescent="0.15">
      <c r="A76" s="2" t="s">
        <v>2</v>
      </c>
      <c r="B76" s="1">
        <f>(B34-B2)*100</f>
        <v>-3.4608108566425155E-8</v>
      </c>
      <c r="C76" s="1">
        <f t="shared" ref="C76:H76" si="19">(C34-C2)*100</f>
        <v>-4.4928028311574941E-9</v>
      </c>
      <c r="D76" s="1">
        <f t="shared" si="19"/>
        <v>8.6918666708513115E-10</v>
      </c>
      <c r="E76" s="1">
        <f t="shared" si="19"/>
        <v>-3.5634148409791067E-9</v>
      </c>
      <c r="F76" s="1">
        <f t="shared" si="19"/>
        <v>-1.1434911351138055E-8</v>
      </c>
      <c r="G76" s="1">
        <f t="shared" si="19"/>
        <v>-1.5052077639854389E-8</v>
      </c>
      <c r="H76" s="1">
        <f t="shared" si="19"/>
        <v>-3.153473628059178E-8</v>
      </c>
      <c r="I76" s="1"/>
      <c r="J76" s="1">
        <f>(J34-J2)*100</f>
        <v>-3.6829428395890318E-9</v>
      </c>
    </row>
    <row r="77" spans="1:10" x14ac:dyDescent="0.15">
      <c r="A77" s="2" t="s">
        <v>3</v>
      </c>
      <c r="B77" s="1">
        <f t="shared" ref="B77:H80" si="20">(B35-B3)*100</f>
        <v>-1.6741591489857766E-8</v>
      </c>
      <c r="C77" s="1">
        <f t="shared" si="20"/>
        <v>2.6126240927626387E-10</v>
      </c>
      <c r="D77" s="1">
        <f t="shared" si="20"/>
        <v>2.4266185415233732E-9</v>
      </c>
      <c r="E77" s="1">
        <f t="shared" si="20"/>
        <v>6.6179201875515847E-10</v>
      </c>
      <c r="F77" s="1">
        <f t="shared" si="20"/>
        <v>-5.69126299906908E-9</v>
      </c>
      <c r="G77" s="1">
        <f t="shared" si="20"/>
        <v>-6.6118110118862372E-9</v>
      </c>
      <c r="H77" s="1">
        <f t="shared" si="20"/>
        <v>-1.4122389000413571E-8</v>
      </c>
      <c r="I77" s="1"/>
      <c r="J77" s="1">
        <f>(J35-J3)*100</f>
        <v>1.2805312366026556E-10</v>
      </c>
    </row>
    <row r="78" spans="1:10" x14ac:dyDescent="0.15">
      <c r="A78" s="2" t="s">
        <v>4</v>
      </c>
      <c r="B78" s="1">
        <f t="shared" si="20"/>
        <v>-1.9472288018129724E-8</v>
      </c>
      <c r="C78" s="1">
        <f t="shared" si="20"/>
        <v>-6.2788020810240178E-12</v>
      </c>
      <c r="D78" s="1">
        <f t="shared" si="20"/>
        <v>1.4564292805628598E-9</v>
      </c>
      <c r="E78" s="1">
        <f t="shared" si="20"/>
        <v>3.2205725038854036E-10</v>
      </c>
      <c r="F78" s="1">
        <f t="shared" si="20"/>
        <v>-5.9487501730126624E-9</v>
      </c>
      <c r="G78" s="1">
        <f t="shared" si="20"/>
        <v>-6.403293780626873E-9</v>
      </c>
      <c r="H78" s="1">
        <f t="shared" si="20"/>
        <v>-1.7674643606330198E-8</v>
      </c>
      <c r="I78" s="1"/>
      <c r="J78" s="1">
        <f>(J36-J4)*100</f>
        <v>-5.709210881832405E-10</v>
      </c>
    </row>
    <row r="79" spans="1:10" x14ac:dyDescent="0.15">
      <c r="A79" s="2" t="s">
        <v>5</v>
      </c>
      <c r="B79" s="1">
        <f t="shared" si="20"/>
        <v>9.0534806945294366E-2</v>
      </c>
      <c r="C79" s="1">
        <f t="shared" si="20"/>
        <v>1.1161317173318673E-3</v>
      </c>
      <c r="D79" s="1">
        <f t="shared" si="20"/>
        <v>-2.0678667931160345E-3</v>
      </c>
      <c r="E79" s="1">
        <f t="shared" si="20"/>
        <v>5.8831928032881904E-7</v>
      </c>
      <c r="F79" s="1">
        <f t="shared" si="20"/>
        <v>2.2400555692993034E-2</v>
      </c>
      <c r="G79" s="1">
        <f t="shared" si="20"/>
        <v>2.4376381196855677E-2</v>
      </c>
      <c r="H79" s="1">
        <f t="shared" si="20"/>
        <v>8.8768013270945981E-2</v>
      </c>
      <c r="I79" s="1"/>
      <c r="J79" s="1">
        <f>(J37-J5)*100</f>
        <v>4.9289073768110647E-3</v>
      </c>
    </row>
    <row r="80" spans="1:10" x14ac:dyDescent="0.15">
      <c r="A80" s="2" t="s">
        <v>6</v>
      </c>
      <c r="B80" s="1">
        <f t="shared" si="20"/>
        <v>0.18922238915540998</v>
      </c>
      <c r="C80" s="1">
        <f t="shared" si="20"/>
        <v>1.9610327351747077E-3</v>
      </c>
      <c r="D80" s="1">
        <f t="shared" si="20"/>
        <v>-1.52915402698161E-4</v>
      </c>
      <c r="E80" s="1">
        <f t="shared" si="20"/>
        <v>0</v>
      </c>
      <c r="F80" s="1">
        <f t="shared" si="20"/>
        <v>4.734552438569288E-2</v>
      </c>
      <c r="G80" s="1">
        <f t="shared" si="20"/>
        <v>4.9099278977225977E-2</v>
      </c>
      <c r="H80" s="1">
        <f t="shared" si="20"/>
        <v>0.1852581086110805</v>
      </c>
      <c r="I80" s="1"/>
      <c r="J80" s="1">
        <f>(J38-J6)*100</f>
        <v>1.2209142041441634E-2</v>
      </c>
    </row>
    <row r="83" spans="1:12" x14ac:dyDescent="0.15">
      <c r="A83" s="1" t="s">
        <v>140</v>
      </c>
      <c r="B83" s="2" t="s">
        <v>8</v>
      </c>
      <c r="C83" s="2" t="s">
        <v>9</v>
      </c>
      <c r="D83" s="2" t="s">
        <v>10</v>
      </c>
      <c r="E83" s="2" t="s">
        <v>11</v>
      </c>
      <c r="F83" s="2" t="s">
        <v>12</v>
      </c>
      <c r="G83" s="2" t="s">
        <v>13</v>
      </c>
      <c r="H83" s="2" t="s">
        <v>14</v>
      </c>
      <c r="I83" s="2"/>
      <c r="J83" s="2" t="s">
        <v>46</v>
      </c>
    </row>
    <row r="84" spans="1:12" x14ac:dyDescent="0.15">
      <c r="A84" s="2" t="s">
        <v>2</v>
      </c>
      <c r="B84" s="1">
        <f>(B42-B2)*100</f>
        <v>-3.4608108566425155E-8</v>
      </c>
      <c r="C84" s="1">
        <f t="shared" ref="C84:H84" si="21">(C42-C2)*100</f>
        <v>-4.4928028311574941E-9</v>
      </c>
      <c r="D84" s="1">
        <f t="shared" si="21"/>
        <v>8.6918666708513115E-10</v>
      </c>
      <c r="E84" s="1">
        <f t="shared" si="21"/>
        <v>-3.5634148409791067E-9</v>
      </c>
      <c r="F84" s="1">
        <f t="shared" si="21"/>
        <v>-1.1434911351138055E-8</v>
      </c>
      <c r="G84" s="1">
        <f t="shared" si="21"/>
        <v>-1.5052077639854389E-8</v>
      </c>
      <c r="H84" s="1">
        <f t="shared" si="21"/>
        <v>-3.153473628059178E-8</v>
      </c>
      <c r="I84" s="1"/>
      <c r="J84" s="1">
        <f>(J42-J2)*100</f>
        <v>-3.6829428395890318E-9</v>
      </c>
    </row>
    <row r="85" spans="1:12" x14ac:dyDescent="0.15">
      <c r="A85" s="2" t="s">
        <v>3</v>
      </c>
      <c r="B85" s="1">
        <f t="shared" ref="B85:H88" si="22">(B43-B3)*100</f>
        <v>-1.6741591489857766E-8</v>
      </c>
      <c r="C85" s="1">
        <f t="shared" si="22"/>
        <v>2.6126240927626387E-10</v>
      </c>
      <c r="D85" s="1">
        <f t="shared" si="22"/>
        <v>2.4266185415233732E-9</v>
      </c>
      <c r="E85" s="1">
        <f t="shared" si="22"/>
        <v>6.6179201875515847E-10</v>
      </c>
      <c r="F85" s="1">
        <f t="shared" si="22"/>
        <v>-5.69126299906908E-9</v>
      </c>
      <c r="G85" s="1">
        <f t="shared" si="22"/>
        <v>-6.6118110118862372E-9</v>
      </c>
      <c r="H85" s="1">
        <f t="shared" si="22"/>
        <v>-1.4122389000413571E-8</v>
      </c>
      <c r="I85" s="1"/>
      <c r="J85" s="1">
        <f>(J43-J3)*100</f>
        <v>1.2805312366026556E-10</v>
      </c>
    </row>
    <row r="86" spans="1:12" x14ac:dyDescent="0.15">
      <c r="A86" s="2" t="s">
        <v>4</v>
      </c>
      <c r="B86" s="1">
        <f t="shared" si="22"/>
        <v>-1.9472288018129724E-8</v>
      </c>
      <c r="C86" s="1">
        <f t="shared" si="22"/>
        <v>-6.2788020810240178E-12</v>
      </c>
      <c r="D86" s="1">
        <f t="shared" si="22"/>
        <v>1.4564292805628598E-9</v>
      </c>
      <c r="E86" s="1">
        <f t="shared" si="22"/>
        <v>3.2205725038854036E-10</v>
      </c>
      <c r="F86" s="1">
        <f t="shared" si="22"/>
        <v>-5.9487501730126624E-9</v>
      </c>
      <c r="G86" s="1">
        <f t="shared" si="22"/>
        <v>-6.403293780626873E-9</v>
      </c>
      <c r="H86" s="1">
        <f t="shared" si="22"/>
        <v>-1.7674643606330198E-8</v>
      </c>
      <c r="I86" s="1"/>
      <c r="J86" s="1">
        <f>(J44-J4)*100</f>
        <v>-5.709210881832405E-10</v>
      </c>
    </row>
    <row r="87" spans="1:12" x14ac:dyDescent="0.15">
      <c r="A87" s="2" t="s">
        <v>5</v>
      </c>
      <c r="B87" s="1">
        <f t="shared" si="22"/>
        <v>0.35029319369937889</v>
      </c>
      <c r="C87" s="1">
        <f t="shared" si="22"/>
        <v>3.6978934442806048E-3</v>
      </c>
      <c r="D87" s="1">
        <f t="shared" si="22"/>
        <v>-3.7423115402141845E-3</v>
      </c>
      <c r="E87" s="1">
        <f t="shared" si="22"/>
        <v>9.0130440565349941E-6</v>
      </c>
      <c r="F87" s="1">
        <f t="shared" si="22"/>
        <v>8.6736203274568296E-2</v>
      </c>
      <c r="G87" s="1">
        <f t="shared" si="22"/>
        <v>9.2742897562805418E-2</v>
      </c>
      <c r="H87" s="1">
        <f t="shared" si="22"/>
        <v>0.34230716443946624</v>
      </c>
      <c r="I87" s="1"/>
      <c r="J87" s="1">
        <f>(J45-J5)*100</f>
        <v>2.0942899511156021E-2</v>
      </c>
    </row>
    <row r="88" spans="1:12" x14ac:dyDescent="0.15">
      <c r="A88" s="2" t="s">
        <v>6</v>
      </c>
      <c r="B88" s="1">
        <f t="shared" si="22"/>
        <v>0.66398207663033237</v>
      </c>
      <c r="C88" s="1">
        <f t="shared" si="22"/>
        <v>6.3760003288035544E-3</v>
      </c>
      <c r="D88" s="1">
        <f t="shared" si="22"/>
        <v>-2.1193499421933923E-4</v>
      </c>
      <c r="E88" s="1">
        <f t="shared" si="22"/>
        <v>2.4909457633052521E-5</v>
      </c>
      <c r="F88" s="1">
        <f t="shared" si="22"/>
        <v>0.15365615880920497</v>
      </c>
      <c r="G88" s="1">
        <f t="shared" si="22"/>
        <v>0.16952181468278885</v>
      </c>
      <c r="H88" s="1">
        <f t="shared" si="22"/>
        <v>0.65522782497711707</v>
      </c>
      <c r="I88" s="1"/>
      <c r="J88" s="1">
        <f>(J46-J6)*100</f>
        <v>4.2056891802910723E-2</v>
      </c>
      <c r="L88" s="21">
        <f>1-J92</f>
        <v>0.98235533380926965</v>
      </c>
    </row>
    <row r="89" spans="1:12" x14ac:dyDescent="0.15">
      <c r="L89" s="22">
        <f>1-J93</f>
        <v>0.99421885092983908</v>
      </c>
    </row>
    <row r="91" spans="1:12" x14ac:dyDescent="0.15">
      <c r="B91" s="2" t="s">
        <v>8</v>
      </c>
      <c r="C91" s="2" t="s">
        <v>9</v>
      </c>
      <c r="D91" s="2" t="s">
        <v>10</v>
      </c>
      <c r="E91" s="2" t="s">
        <v>11</v>
      </c>
      <c r="F91" s="2" t="s">
        <v>12</v>
      </c>
      <c r="G91" s="2" t="s">
        <v>13</v>
      </c>
      <c r="H91" s="2" t="s">
        <v>14</v>
      </c>
      <c r="J91" s="2" t="s">
        <v>46</v>
      </c>
    </row>
    <row r="92" spans="1:12" x14ac:dyDescent="0.15">
      <c r="A92" t="s">
        <v>132</v>
      </c>
      <c r="B92" s="19">
        <f>B56</f>
        <v>0.27281028462427387</v>
      </c>
      <c r="C92" s="19">
        <f t="shared" ref="C92:H92" si="23">C56</f>
        <v>2.5282440489184589E-3</v>
      </c>
      <c r="D92" s="19">
        <f t="shared" si="23"/>
        <v>-1.1374917304965883E-4</v>
      </c>
      <c r="E92" s="19">
        <f t="shared" si="23"/>
        <v>0</v>
      </c>
      <c r="F92" s="19">
        <f t="shared" si="23"/>
        <v>6.9264906055902312E-2</v>
      </c>
      <c r="G92" s="19">
        <f t="shared" si="23"/>
        <v>7.09506750344399E-2</v>
      </c>
      <c r="H92" s="19">
        <f t="shared" si="23"/>
        <v>0.26595466534803169</v>
      </c>
      <c r="J92" s="19">
        <f>J56</f>
        <v>1.7644666190730351E-2</v>
      </c>
    </row>
    <row r="93" spans="1:12" x14ac:dyDescent="0.15">
      <c r="A93" t="s">
        <v>133</v>
      </c>
      <c r="B93" s="19">
        <f>B72</f>
        <v>9.0076062214760472E-2</v>
      </c>
      <c r="C93" s="19">
        <f t="shared" ref="C93:H93" si="24">C72</f>
        <v>1.004378377308418E-3</v>
      </c>
      <c r="D93" s="19">
        <f t="shared" si="24"/>
        <v>-1.2327750355742791E-4</v>
      </c>
      <c r="E93" s="19">
        <f t="shared" si="24"/>
        <v>0</v>
      </c>
      <c r="F93" s="19">
        <f t="shared" si="24"/>
        <v>2.2444499000318779E-2</v>
      </c>
      <c r="G93" s="19">
        <f t="shared" si="24"/>
        <v>2.2847856341455877E-2</v>
      </c>
      <c r="H93" s="19">
        <f t="shared" si="24"/>
        <v>8.8700715183069601E-2</v>
      </c>
      <c r="J93" s="19">
        <f>J72</f>
        <v>5.7811490701609181E-3</v>
      </c>
    </row>
    <row r="94" spans="1:12" x14ac:dyDescent="0.15">
      <c r="A94" t="s">
        <v>134</v>
      </c>
      <c r="B94" s="19">
        <f>B80</f>
        <v>0.18922238915540998</v>
      </c>
      <c r="C94" s="19">
        <f t="shared" ref="C94:H94" si="25">C80</f>
        <v>1.9610327351747077E-3</v>
      </c>
      <c r="D94" s="19">
        <f t="shared" si="25"/>
        <v>-1.52915402698161E-4</v>
      </c>
      <c r="E94" s="19">
        <f t="shared" si="25"/>
        <v>0</v>
      </c>
      <c r="F94" s="19">
        <f t="shared" si="25"/>
        <v>4.734552438569288E-2</v>
      </c>
      <c r="G94" s="19">
        <f t="shared" si="25"/>
        <v>4.9099278977225977E-2</v>
      </c>
      <c r="H94" s="19">
        <f t="shared" si="25"/>
        <v>0.1852581086110805</v>
      </c>
      <c r="J94" s="19">
        <f>J80</f>
        <v>1.2209142041441634E-2</v>
      </c>
    </row>
    <row r="97" spans="1:10" x14ac:dyDescent="0.15">
      <c r="A97" t="s">
        <v>116</v>
      </c>
      <c r="I97" t="s">
        <v>118</v>
      </c>
      <c r="J97">
        <v>102040.865640342</v>
      </c>
    </row>
    <row r="98" spans="1:10" x14ac:dyDescent="0.15">
      <c r="A98" t="s">
        <v>117</v>
      </c>
      <c r="B98" s="1">
        <v>436.64815300372697</v>
      </c>
      <c r="C98" s="1">
        <v>3158.1258506463746</v>
      </c>
      <c r="D98" s="1">
        <v>6459.4398431229592</v>
      </c>
      <c r="E98" s="1">
        <v>1836.0187516499955</v>
      </c>
      <c r="F98" s="1">
        <v>775.84835475699219</v>
      </c>
      <c r="G98" s="1">
        <v>487.65874317061218</v>
      </c>
      <c r="H98" s="1">
        <v>49.463621081515988</v>
      </c>
      <c r="I98">
        <f>SUM(B98:H98)</f>
        <v>13203.203317432177</v>
      </c>
    </row>
    <row r="99" spans="1:10" x14ac:dyDescent="0.15">
      <c r="A99" t="s">
        <v>132</v>
      </c>
      <c r="B99" s="1">
        <v>435.41552098130057</v>
      </c>
      <c r="C99" s="1">
        <v>3158.0460019618022</v>
      </c>
      <c r="D99" s="1">
        <v>6459.4471907055467</v>
      </c>
      <c r="E99" s="1">
        <v>1836.0187516499884</v>
      </c>
      <c r="F99" s="1">
        <v>775.30207224379001</v>
      </c>
      <c r="G99" s="1">
        <v>487.31042158772959</v>
      </c>
      <c r="H99" s="1">
        <v>49.327868383538743</v>
      </c>
      <c r="I99">
        <f t="shared" ref="I99:I101" si="26">SUM(B99:H99)</f>
        <v>13200.867827513695</v>
      </c>
    </row>
    <row r="100" spans="1:10" x14ac:dyDescent="0.15">
      <c r="A100" t="s">
        <v>133</v>
      </c>
      <c r="B100" s="1">
        <v>436.24116453959886</v>
      </c>
      <c r="C100" s="1">
        <v>3158.0941297007212</v>
      </c>
      <c r="D100" s="1">
        <v>6459.4478061843729</v>
      </c>
      <c r="E100" s="1">
        <v>1836.0189067143988</v>
      </c>
      <c r="F100" s="1">
        <v>775.67133816920591</v>
      </c>
      <c r="G100" s="1">
        <v>487.54657508365204</v>
      </c>
      <c r="H100" s="1">
        <v>49.418345089144466</v>
      </c>
      <c r="I100">
        <f t="shared" si="26"/>
        <v>13202.438265481094</v>
      </c>
    </row>
    <row r="101" spans="1:10" x14ac:dyDescent="0.15">
      <c r="A101" t="s">
        <v>134</v>
      </c>
      <c r="B101" s="1">
        <v>435.7931941206669</v>
      </c>
      <c r="C101" s="1">
        <v>3158.0639160066512</v>
      </c>
      <c r="D101" s="1">
        <v>6459.4497206326214</v>
      </c>
      <c r="E101" s="1">
        <v>1836.018831596162</v>
      </c>
      <c r="F101" s="1">
        <v>775.47494730547282</v>
      </c>
      <c r="G101" s="1">
        <v>487.41769770398258</v>
      </c>
      <c r="H101" s="1">
        <v>49.369058769428356</v>
      </c>
      <c r="I101">
        <f t="shared" si="26"/>
        <v>13201.587366134985</v>
      </c>
    </row>
    <row r="102" spans="1:10" x14ac:dyDescent="0.15">
      <c r="A102" t="s">
        <v>120</v>
      </c>
    </row>
    <row r="103" spans="1:10" x14ac:dyDescent="0.15">
      <c r="A103" t="s">
        <v>132</v>
      </c>
      <c r="B103">
        <f>B99-B98</f>
        <v>-1.2326320224264009</v>
      </c>
      <c r="C103">
        <f t="shared" ref="C103:H103" si="27">C99-C98</f>
        <v>-7.9848684572425555E-2</v>
      </c>
      <c r="D103">
        <f t="shared" si="27"/>
        <v>7.3475825874993461E-3</v>
      </c>
      <c r="E103">
        <f t="shared" si="27"/>
        <v>-7.0485839387401938E-12</v>
      </c>
      <c r="F103">
        <f t="shared" si="27"/>
        <v>-0.54628251320218624</v>
      </c>
      <c r="G103">
        <f t="shared" si="27"/>
        <v>-0.34832158288259052</v>
      </c>
      <c r="H103">
        <f t="shared" si="27"/>
        <v>-0.13575269797724587</v>
      </c>
      <c r="I103">
        <f t="shared" ref="I103:I105" si="28">SUM(B103:H103)</f>
        <v>-2.3354899184803983</v>
      </c>
    </row>
    <row r="104" spans="1:10" x14ac:dyDescent="0.15">
      <c r="A104" t="s">
        <v>133</v>
      </c>
      <c r="B104">
        <f>B100-B98</f>
        <v>-0.40698846412811918</v>
      </c>
      <c r="C104">
        <f t="shared" ref="C104:H104" si="29">C100-C98</f>
        <v>-3.1720945653432864E-2</v>
      </c>
      <c r="D104">
        <f t="shared" si="29"/>
        <v>7.9630614136476652E-3</v>
      </c>
      <c r="E104">
        <f t="shared" si="29"/>
        <v>1.5506440331591875E-4</v>
      </c>
      <c r="F104">
        <f t="shared" si="29"/>
        <v>-0.17701658778628371</v>
      </c>
      <c r="G104">
        <f t="shared" si="29"/>
        <v>-0.11216808696013914</v>
      </c>
      <c r="H104">
        <f t="shared" si="29"/>
        <v>-4.5275992371522022E-2</v>
      </c>
      <c r="I104">
        <f t="shared" si="28"/>
        <v>-0.76505195108253332</v>
      </c>
    </row>
    <row r="105" spans="1:10" x14ac:dyDescent="0.15">
      <c r="A105" t="s">
        <v>134</v>
      </c>
      <c r="B105">
        <f>B101-B98</f>
        <v>-0.85495888306007828</v>
      </c>
      <c r="C105">
        <f t="shared" ref="C105:H105" si="30">C101-C98</f>
        <v>-6.1934639723403961E-2</v>
      </c>
      <c r="D105">
        <f t="shared" si="30"/>
        <v>9.8775096621466218E-3</v>
      </c>
      <c r="E105">
        <f t="shared" si="30"/>
        <v>7.9946166579247802E-5</v>
      </c>
      <c r="F105">
        <f t="shared" si="30"/>
        <v>-0.37340745151936972</v>
      </c>
      <c r="G105">
        <f t="shared" si="30"/>
        <v>-0.24104546662960047</v>
      </c>
      <c r="H105">
        <f t="shared" si="30"/>
        <v>-9.4562312087631994E-2</v>
      </c>
      <c r="I105">
        <f t="shared" si="28"/>
        <v>-1.6159512971913585</v>
      </c>
    </row>
    <row r="106" spans="1:10" x14ac:dyDescent="0.15">
      <c r="A106" t="s">
        <v>119</v>
      </c>
      <c r="B106" s="2" t="s">
        <v>8</v>
      </c>
      <c r="C106" s="2" t="s">
        <v>9</v>
      </c>
      <c r="D106" s="2" t="s">
        <v>10</v>
      </c>
      <c r="E106" s="2" t="s">
        <v>11</v>
      </c>
      <c r="F106" s="2" t="s">
        <v>12</v>
      </c>
      <c r="G106" s="2" t="s">
        <v>13</v>
      </c>
      <c r="H106" s="2" t="s">
        <v>14</v>
      </c>
      <c r="J106" s="2" t="s">
        <v>46</v>
      </c>
    </row>
    <row r="107" spans="1:10" x14ac:dyDescent="0.15">
      <c r="A107" t="s">
        <v>132</v>
      </c>
      <c r="B107">
        <f>B103*$J$97/1000</f>
        <v>-125.7788385843954</v>
      </c>
      <c r="C107">
        <f t="shared" ref="C107:H107" si="31">C103*$J$97/1000</f>
        <v>-8.1478288940129246</v>
      </c>
      <c r="D107">
        <f t="shared" si="31"/>
        <v>0.74975368759233718</v>
      </c>
      <c r="E107">
        <f t="shared" si="31"/>
        <v>-7.1924360664766067E-10</v>
      </c>
      <c r="F107">
        <f t="shared" si="31"/>
        <v>-55.743140531332642</v>
      </c>
      <c r="G107">
        <f t="shared" si="31"/>
        <v>-35.543035838553671</v>
      </c>
      <c r="H107">
        <f t="shared" si="31"/>
        <v>-13.852322814610075</v>
      </c>
      <c r="J107">
        <f>SUM(B107:H107)</f>
        <v>-238.31541297603158</v>
      </c>
    </row>
    <row r="108" spans="1:10" x14ac:dyDescent="0.15">
      <c r="A108" t="s">
        <v>133</v>
      </c>
      <c r="B108">
        <f t="shared" ref="B108:H108" si="32">B104*$J$97/1000</f>
        <v>-41.529455185266563</v>
      </c>
      <c r="C108">
        <f t="shared" si="32"/>
        <v>-3.2368327534065333</v>
      </c>
      <c r="D108">
        <f t="shared" si="32"/>
        <v>0.81255767979581317</v>
      </c>
      <c r="E108">
        <f t="shared" si="32"/>
        <v>1.5822905944359467E-2</v>
      </c>
      <c r="F108">
        <f t="shared" si="32"/>
        <v>-18.062925850411983</v>
      </c>
      <c r="G108">
        <f t="shared" si="32"/>
        <v>-11.445728690633755</v>
      </c>
      <c r="H108">
        <f t="shared" si="32"/>
        <v>-4.6200014543156289</v>
      </c>
      <c r="J108">
        <f>SUM(B108:H108)</f>
        <v>-78.066563348294281</v>
      </c>
    </row>
    <row r="109" spans="1:10" x14ac:dyDescent="0.15">
      <c r="A109" t="s">
        <v>134</v>
      </c>
      <c r="B109">
        <f t="shared" ref="B109:H109" si="33">B105*$J$97/1000</f>
        <v>-87.240744514350311</v>
      </c>
      <c r="C109">
        <f t="shared" si="33"/>
        <v>-6.3198642504988518</v>
      </c>
      <c r="D109">
        <f t="shared" si="33"/>
        <v>1.0079096362962834</v>
      </c>
      <c r="E109">
        <f t="shared" si="33"/>
        <v>8.1577760423734262E-3</v>
      </c>
      <c r="F109">
        <f t="shared" si="33"/>
        <v>-38.102819589590524</v>
      </c>
      <c r="G109">
        <f t="shared" si="33"/>
        <v>-24.596488073564604</v>
      </c>
      <c r="H109">
        <f t="shared" si="33"/>
        <v>-9.6492201823741457</v>
      </c>
      <c r="J109">
        <f>SUM(B109:H109)</f>
        <v>-164.8930691980398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opLeftCell="A16" workbookViewId="0">
      <selection activeCell="X48" sqref="X48"/>
    </sheetView>
  </sheetViews>
  <sheetFormatPr defaultRowHeight="13.5" x14ac:dyDescent="0.15"/>
  <cols>
    <col min="3" max="3" width="12.75" bestFit="1" customWidth="1"/>
  </cols>
  <sheetData>
    <row r="1" spans="1:22" x14ac:dyDescent="0.15">
      <c r="A1" s="1" t="s">
        <v>111</v>
      </c>
      <c r="B1" s="1"/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110</v>
      </c>
      <c r="P1" s="2" t="s">
        <v>38</v>
      </c>
      <c r="Q1" s="2" t="s">
        <v>0</v>
      </c>
      <c r="R1" s="2" t="s">
        <v>39</v>
      </c>
      <c r="S1" s="2" t="s">
        <v>40</v>
      </c>
      <c r="T1" s="2" t="s">
        <v>41</v>
      </c>
      <c r="U1" s="2" t="s">
        <v>1</v>
      </c>
      <c r="V1" s="2" t="s">
        <v>42</v>
      </c>
    </row>
    <row r="2" spans="1:22" x14ac:dyDescent="0.15">
      <c r="A2" s="2" t="s">
        <v>6</v>
      </c>
      <c r="B2" s="2" t="s">
        <v>8</v>
      </c>
      <c r="C2" s="1">
        <v>74.075015009812091</v>
      </c>
      <c r="D2" s="1">
        <v>27.267481991764424</v>
      </c>
      <c r="E2" s="1">
        <v>33.267210521069657</v>
      </c>
      <c r="F2" s="1">
        <v>33.973654595864915</v>
      </c>
      <c r="G2" s="1">
        <v>37.799308764822364</v>
      </c>
      <c r="H2" s="1">
        <v>6.6780988321562278</v>
      </c>
      <c r="I2" s="1">
        <v>37.870882949324361</v>
      </c>
      <c r="J2" s="1">
        <v>4.8072573242126539</v>
      </c>
      <c r="K2" s="1">
        <v>8.4317266419176331</v>
      </c>
      <c r="L2" s="1">
        <v>52.190839979432511</v>
      </c>
      <c r="M2" s="1">
        <v>36.199985912857315</v>
      </c>
      <c r="N2" s="1">
        <v>45.239656350851597</v>
      </c>
      <c r="O2" s="1">
        <v>33.461999318733724</v>
      </c>
      <c r="P2" s="1">
        <v>3.4252861755562902</v>
      </c>
      <c r="Q2" s="1">
        <v>0.51534940070442969</v>
      </c>
      <c r="R2" s="1">
        <v>0.83261126521161211</v>
      </c>
      <c r="S2" s="1">
        <v>0.34049964094776752</v>
      </c>
      <c r="T2" s="1">
        <v>1.7963503356396078E-2</v>
      </c>
      <c r="U2" s="1">
        <v>0.25332482513102089</v>
      </c>
      <c r="V2" s="1">
        <v>436.64815300372697</v>
      </c>
    </row>
    <row r="3" spans="1:22" x14ac:dyDescent="0.15">
      <c r="A3" s="2" t="s">
        <v>6</v>
      </c>
      <c r="B3" s="2" t="s">
        <v>9</v>
      </c>
      <c r="C3" s="1">
        <v>956.76854095006092</v>
      </c>
      <c r="D3" s="1">
        <v>53.456841729676007</v>
      </c>
      <c r="E3" s="1">
        <v>35.236528044318575</v>
      </c>
      <c r="F3" s="1">
        <v>40.250734288513428</v>
      </c>
      <c r="G3" s="1">
        <v>419.42712413886949</v>
      </c>
      <c r="H3" s="1">
        <v>5.6585988060919981</v>
      </c>
      <c r="I3" s="1">
        <v>238.88175375880974</v>
      </c>
      <c r="J3" s="1">
        <v>2.6568079912492122</v>
      </c>
      <c r="K3" s="1">
        <v>5.1826193018774251</v>
      </c>
      <c r="L3" s="1">
        <v>332.988185010466</v>
      </c>
      <c r="M3" s="1">
        <v>134.56743968602729</v>
      </c>
      <c r="N3" s="1">
        <v>866.49849963169549</v>
      </c>
      <c r="O3" s="1">
        <v>57.326613506145513</v>
      </c>
      <c r="P3" s="1">
        <v>5.8681507664002925</v>
      </c>
      <c r="Q3" s="1">
        <v>0.88288914422685416</v>
      </c>
      <c r="R3" s="1">
        <v>1.4264175876717669</v>
      </c>
      <c r="S3" s="1">
        <v>0.58333906270338531</v>
      </c>
      <c r="T3" s="1">
        <v>3.0774814268631889E-2</v>
      </c>
      <c r="U3" s="1">
        <v>0.43399242730291354</v>
      </c>
      <c r="V3" s="1">
        <v>3158.1258506463746</v>
      </c>
    </row>
    <row r="4" spans="1:22" x14ac:dyDescent="0.15">
      <c r="A4" s="2" t="s">
        <v>6</v>
      </c>
      <c r="B4" s="2" t="s">
        <v>10</v>
      </c>
      <c r="C4" s="1">
        <v>2117.577028059568</v>
      </c>
      <c r="D4" s="1">
        <v>41.550285413279255</v>
      </c>
      <c r="E4" s="1">
        <v>26.263530837172855</v>
      </c>
      <c r="F4" s="1">
        <v>30.207508017176163</v>
      </c>
      <c r="G4" s="1">
        <v>1015.6561293656854</v>
      </c>
      <c r="H4" s="1">
        <v>4.153072541959034</v>
      </c>
      <c r="I4" s="1">
        <v>299.04135209603453</v>
      </c>
      <c r="J4" s="1">
        <v>1.822747236792464</v>
      </c>
      <c r="K4" s="1">
        <v>3.6444100917594757</v>
      </c>
      <c r="L4" s="1">
        <v>435.06958861039186</v>
      </c>
      <c r="M4" s="1">
        <v>113.95629769995257</v>
      </c>
      <c r="N4" s="1">
        <v>2319.3154838271194</v>
      </c>
      <c r="O4" s="1">
        <v>44.087426069768711</v>
      </c>
      <c r="P4" s="1">
        <v>4.5129416843726808</v>
      </c>
      <c r="Q4" s="1">
        <v>0.67899196362588854</v>
      </c>
      <c r="R4" s="1">
        <v>1.0969962487438818</v>
      </c>
      <c r="S4" s="1">
        <v>0.44862091650053731</v>
      </c>
      <c r="T4" s="1">
        <v>2.3667582523892176E-2</v>
      </c>
      <c r="U4" s="1">
        <v>0.33376486053295917</v>
      </c>
      <c r="V4" s="1">
        <v>6459.4398431229592</v>
      </c>
    </row>
    <row r="5" spans="1:22" x14ac:dyDescent="0.15">
      <c r="A5" s="2" t="s">
        <v>6</v>
      </c>
      <c r="B5" s="2" t="s">
        <v>11</v>
      </c>
      <c r="C5" s="1">
        <v>560.904477009022</v>
      </c>
      <c r="D5" s="1">
        <v>28.814420988364407</v>
      </c>
      <c r="E5" s="1">
        <v>18.884649697237677</v>
      </c>
      <c r="F5" s="1">
        <v>21.59444805349149</v>
      </c>
      <c r="G5" s="1">
        <v>248.46216884667047</v>
      </c>
      <c r="H5" s="1">
        <v>3.0247651035800813</v>
      </c>
      <c r="I5" s="1">
        <v>134.09795904100372</v>
      </c>
      <c r="J5" s="1">
        <v>1.3999694482229463</v>
      </c>
      <c r="K5" s="1">
        <v>2.7462054879480839</v>
      </c>
      <c r="L5" s="1">
        <v>187.3290597677948</v>
      </c>
      <c r="M5" s="1">
        <v>73.241408586380004</v>
      </c>
      <c r="N5" s="1">
        <v>519.69419127980882</v>
      </c>
      <c r="O5" s="1">
        <v>30.85890853959463</v>
      </c>
      <c r="P5" s="1">
        <v>3.1588247987437317</v>
      </c>
      <c r="Q5" s="1">
        <v>0.47525911254124864</v>
      </c>
      <c r="R5" s="1">
        <v>0.76784040061669445</v>
      </c>
      <c r="S5" s="1">
        <v>0.31401134248697082</v>
      </c>
      <c r="T5" s="1">
        <v>1.6566078560992188E-2</v>
      </c>
      <c r="U5" s="1">
        <v>0.23361806792653594</v>
      </c>
      <c r="V5" s="1">
        <v>1836.0187516499955</v>
      </c>
    </row>
    <row r="6" spans="1:22" x14ac:dyDescent="0.15">
      <c r="A6" s="2" t="s">
        <v>6</v>
      </c>
      <c r="B6" s="2" t="s">
        <v>12</v>
      </c>
      <c r="C6" s="1">
        <v>202.36093029120838</v>
      </c>
      <c r="D6" s="1">
        <v>19.33885485458298</v>
      </c>
      <c r="E6" s="1">
        <v>13.383641869741323</v>
      </c>
      <c r="F6" s="1">
        <v>15.185498913611337</v>
      </c>
      <c r="G6" s="1">
        <v>81.631390161909465</v>
      </c>
      <c r="H6" s="1">
        <v>2.172372954920387</v>
      </c>
      <c r="I6" s="1">
        <v>58.011074093188221</v>
      </c>
      <c r="J6" s="1">
        <v>1.0214107179040746</v>
      </c>
      <c r="K6" s="1">
        <v>1.9993757784860167</v>
      </c>
      <c r="L6" s="1">
        <v>79.081444842753228</v>
      </c>
      <c r="M6" s="1">
        <v>43.831055831162089</v>
      </c>
      <c r="N6" s="1">
        <v>233.43005173875071</v>
      </c>
      <c r="O6" s="1">
        <v>21.018714025253022</v>
      </c>
      <c r="P6" s="1">
        <v>2.1515483934971109</v>
      </c>
      <c r="Q6" s="1">
        <v>0.32370993658308533</v>
      </c>
      <c r="R6" s="1">
        <v>0.52299379951221692</v>
      </c>
      <c r="S6" s="1">
        <v>0.21388036419973677</v>
      </c>
      <c r="T6" s="1">
        <v>1.1283537996472885E-2</v>
      </c>
      <c r="U6" s="1">
        <v>0.15912265173245391</v>
      </c>
      <c r="V6" s="1">
        <v>775.84835475699219</v>
      </c>
    </row>
    <row r="7" spans="1:22" x14ac:dyDescent="0.15">
      <c r="A7" s="2" t="s">
        <v>6</v>
      </c>
      <c r="B7" s="2" t="s">
        <v>13</v>
      </c>
      <c r="C7" s="1">
        <v>131.94865084804675</v>
      </c>
      <c r="D7" s="1">
        <v>15.723225993751859</v>
      </c>
      <c r="E7" s="1">
        <v>11.585737790570402</v>
      </c>
      <c r="F7" s="1">
        <v>13.021094927958554</v>
      </c>
      <c r="G7" s="1">
        <v>64.608611974540295</v>
      </c>
      <c r="H7" s="1">
        <v>1.9123662999247646</v>
      </c>
      <c r="I7" s="1">
        <v>45.329539222415207</v>
      </c>
      <c r="J7" s="1">
        <v>0.92245705289820235</v>
      </c>
      <c r="K7" s="1">
        <v>1.794699471822979</v>
      </c>
      <c r="L7" s="1">
        <v>62.989604359527711</v>
      </c>
      <c r="M7" s="1">
        <v>32.476473064578038</v>
      </c>
      <c r="N7" s="1">
        <v>85.185293788458452</v>
      </c>
      <c r="O7" s="1">
        <v>17.366241574561254</v>
      </c>
      <c r="P7" s="1">
        <v>1.7776686522405161</v>
      </c>
      <c r="Q7" s="1">
        <v>0.26745808322528281</v>
      </c>
      <c r="R7" s="1">
        <v>0.43211191002499061</v>
      </c>
      <c r="S7" s="1">
        <v>0.17671385943749887</v>
      </c>
      <c r="T7" s="1">
        <v>9.3227704836930519E-3</v>
      </c>
      <c r="U7" s="1">
        <v>0.13147152614572027</v>
      </c>
      <c r="V7" s="1">
        <v>487.65874317061218</v>
      </c>
    </row>
    <row r="8" spans="1:22" x14ac:dyDescent="0.15">
      <c r="A8" s="2" t="s">
        <v>6</v>
      </c>
      <c r="B8" s="2" t="s">
        <v>14</v>
      </c>
      <c r="C8" s="1">
        <v>8.8981631679433022</v>
      </c>
      <c r="D8" s="1">
        <v>2.9943471876399239</v>
      </c>
      <c r="E8" s="1">
        <v>4.0006921303733618</v>
      </c>
      <c r="F8" s="1">
        <v>4.0032981766755915</v>
      </c>
      <c r="G8" s="1">
        <v>4.601206623509202</v>
      </c>
      <c r="H8" s="1">
        <v>0.83644492045291396</v>
      </c>
      <c r="I8" s="1">
        <v>3.8759986826550068</v>
      </c>
      <c r="J8" s="1">
        <v>0.58345703559476714</v>
      </c>
      <c r="K8" s="1">
        <v>1.056930540609097</v>
      </c>
      <c r="L8" s="1">
        <v>5.3472436415673235</v>
      </c>
      <c r="M8" s="1">
        <v>3.7656855959546456</v>
      </c>
      <c r="N8" s="1">
        <v>5.1670249566031705</v>
      </c>
      <c r="O8" s="1">
        <v>3.7324635855756192</v>
      </c>
      <c r="P8" s="1">
        <v>0.38206790337914337</v>
      </c>
      <c r="Q8" s="1">
        <v>5.7483799964194747E-2</v>
      </c>
      <c r="R8" s="1">
        <v>9.2872251948745141E-2</v>
      </c>
      <c r="S8" s="1">
        <v>3.7980471407775281E-2</v>
      </c>
      <c r="T8" s="1">
        <v>2.0037093794183828E-3</v>
      </c>
      <c r="U8" s="1">
        <v>2.8256700282792598E-2</v>
      </c>
      <c r="V8" s="1">
        <v>49.463621081515988</v>
      </c>
    </row>
    <row r="9" spans="1:22" x14ac:dyDescent="0.15">
      <c r="C9">
        <f>SUM(C2:C8)</f>
        <v>4052.5328053356616</v>
      </c>
      <c r="D9">
        <f t="shared" ref="D9:V9" si="0">SUM(D2:D8)</f>
        <v>189.14545815905888</v>
      </c>
      <c r="E9">
        <f t="shared" si="0"/>
        <v>142.62199089048383</v>
      </c>
      <c r="F9">
        <f t="shared" si="0"/>
        <v>158.23623697329148</v>
      </c>
      <c r="G9">
        <f t="shared" si="0"/>
        <v>1872.1859398760064</v>
      </c>
      <c r="H9">
        <f t="shared" si="0"/>
        <v>24.435719459085405</v>
      </c>
      <c r="I9">
        <f t="shared" si="0"/>
        <v>817.10855984343073</v>
      </c>
      <c r="J9">
        <f t="shared" si="0"/>
        <v>13.214106806874321</v>
      </c>
      <c r="K9">
        <f t="shared" si="0"/>
        <v>24.855967314420713</v>
      </c>
      <c r="L9">
        <f t="shared" si="0"/>
        <v>1154.9959662119334</v>
      </c>
      <c r="M9">
        <f t="shared" si="0"/>
        <v>438.03834637691193</v>
      </c>
      <c r="N9">
        <f t="shared" si="0"/>
        <v>4074.5302015732873</v>
      </c>
      <c r="O9">
        <f t="shared" si="0"/>
        <v>207.85236661963248</v>
      </c>
      <c r="P9">
        <f t="shared" si="0"/>
        <v>21.276488374189768</v>
      </c>
      <c r="Q9">
        <f t="shared" si="0"/>
        <v>3.201141440870984</v>
      </c>
      <c r="R9">
        <f t="shared" si="0"/>
        <v>5.1718434637299078</v>
      </c>
      <c r="S9">
        <f t="shared" si="0"/>
        <v>2.1150456576836718</v>
      </c>
      <c r="T9">
        <f t="shared" si="0"/>
        <v>0.11158199656949665</v>
      </c>
      <c r="U9">
        <f t="shared" si="0"/>
        <v>1.5735510590543962</v>
      </c>
      <c r="V9">
        <f t="shared" si="0"/>
        <v>13203.203317432177</v>
      </c>
    </row>
    <row r="11" spans="1:22" s="1" customFormat="1" x14ac:dyDescent="0.15">
      <c r="A11" s="2" t="s">
        <v>6</v>
      </c>
      <c r="B11" s="2" t="s">
        <v>8</v>
      </c>
      <c r="C11" s="1">
        <v>73.973918661281147</v>
      </c>
      <c r="D11" s="1">
        <v>24.273470229311744</v>
      </c>
      <c r="E11" s="1">
        <v>33.691720839246798</v>
      </c>
      <c r="F11" s="1">
        <v>34.448909729388198</v>
      </c>
      <c r="G11" s="1">
        <v>37.852545106854208</v>
      </c>
      <c r="H11" s="1">
        <v>6.7446414555492114</v>
      </c>
      <c r="I11" s="1">
        <v>38.62736990931635</v>
      </c>
      <c r="J11" s="1">
        <v>4.7206937562699114</v>
      </c>
      <c r="K11" s="1">
        <v>8.5317233369803471</v>
      </c>
      <c r="L11" s="1">
        <v>52.308764109791625</v>
      </c>
      <c r="M11" s="1">
        <v>36.610737901648221</v>
      </c>
      <c r="N11" s="1">
        <v>45.19101837887969</v>
      </c>
      <c r="O11" s="1">
        <v>32.83415198715921</v>
      </c>
      <c r="P11" s="1">
        <v>3.5293310673191716</v>
      </c>
      <c r="Q11" s="1">
        <v>0.54653907210539299</v>
      </c>
      <c r="R11" s="1">
        <v>0.86537735332931931</v>
      </c>
      <c r="S11" s="1">
        <v>0.37512773176618897</v>
      </c>
      <c r="T11" s="1">
        <v>1.9089523351448742E-2</v>
      </c>
      <c r="U11" s="1">
        <v>0.27039083175240408</v>
      </c>
      <c r="V11" s="1">
        <v>435.41552098130057</v>
      </c>
    </row>
    <row r="12" spans="1:22" s="1" customFormat="1" x14ac:dyDescent="0.15">
      <c r="A12" s="2" t="s">
        <v>6</v>
      </c>
      <c r="B12" s="2" t="s">
        <v>9</v>
      </c>
      <c r="C12" s="1">
        <v>955.46275915755609</v>
      </c>
      <c r="D12" s="1">
        <v>47.587197698351034</v>
      </c>
      <c r="E12" s="1">
        <v>35.686168080175435</v>
      </c>
      <c r="F12" s="1">
        <v>40.813799061092404</v>
      </c>
      <c r="G12" s="1">
        <v>420.01784303209081</v>
      </c>
      <c r="H12" s="1">
        <v>5.7149828187802605</v>
      </c>
      <c r="I12" s="1">
        <v>243.65351817582552</v>
      </c>
      <c r="J12" s="1">
        <v>2.6089672447381052</v>
      </c>
      <c r="K12" s="1">
        <v>5.24408296453693</v>
      </c>
      <c r="L12" s="1">
        <v>333.740564971254</v>
      </c>
      <c r="M12" s="1">
        <v>136.09434203374079</v>
      </c>
      <c r="N12" s="1">
        <v>865.56691143809962</v>
      </c>
      <c r="O12" s="1">
        <v>56.250994533853948</v>
      </c>
      <c r="P12" s="1">
        <v>6.0463989710891237</v>
      </c>
      <c r="Q12" s="1">
        <v>0.9363228384433856</v>
      </c>
      <c r="R12" s="1">
        <v>1.4825519763392345</v>
      </c>
      <c r="S12" s="1">
        <v>0.64266340731943239</v>
      </c>
      <c r="T12" s="1">
        <v>3.2703895446339511E-2</v>
      </c>
      <c r="U12" s="1">
        <v>0.46322966306988195</v>
      </c>
      <c r="V12" s="1">
        <v>3158.0460019618022</v>
      </c>
    </row>
    <row r="13" spans="1:22" s="1" customFormat="1" x14ac:dyDescent="0.15">
      <c r="A13" s="2" t="s">
        <v>6</v>
      </c>
      <c r="B13" s="2" t="s">
        <v>10</v>
      </c>
      <c r="C13" s="1">
        <v>2114.6869941494638</v>
      </c>
      <c r="D13" s="1">
        <v>36.987999709810289</v>
      </c>
      <c r="E13" s="1">
        <v>26.598669842142389</v>
      </c>
      <c r="F13" s="1">
        <v>30.63007878346211</v>
      </c>
      <c r="G13" s="1">
        <v>1017.0865739652428</v>
      </c>
      <c r="H13" s="1">
        <v>4.1944550295545477</v>
      </c>
      <c r="I13" s="1">
        <v>305.01483002264456</v>
      </c>
      <c r="J13" s="1">
        <v>1.7899252982871496</v>
      </c>
      <c r="K13" s="1">
        <v>3.6876312468212911</v>
      </c>
      <c r="L13" s="1">
        <v>436.05261940473804</v>
      </c>
      <c r="M13" s="1">
        <v>115.24933068698697</v>
      </c>
      <c r="N13" s="1">
        <v>2316.8219458430649</v>
      </c>
      <c r="O13" s="1">
        <v>43.260213907392135</v>
      </c>
      <c r="P13" s="1">
        <v>4.6500246914608381</v>
      </c>
      <c r="Q13" s="1">
        <v>0.72008551336212334</v>
      </c>
      <c r="R13" s="1">
        <v>1.1401667861278566</v>
      </c>
      <c r="S13" s="1">
        <v>0.49424471156940519</v>
      </c>
      <c r="T13" s="1">
        <v>2.5151155668157076E-2</v>
      </c>
      <c r="U13" s="1">
        <v>0.35624995774715651</v>
      </c>
      <c r="V13" s="1">
        <v>6459.4471907055467</v>
      </c>
    </row>
    <row r="14" spans="1:22" s="1" customFormat="1" x14ac:dyDescent="0.15">
      <c r="A14" s="2" t="s">
        <v>6</v>
      </c>
      <c r="B14" s="2" t="s">
        <v>11</v>
      </c>
      <c r="C14" s="1">
        <v>560.13896390729997</v>
      </c>
      <c r="D14" s="1">
        <v>25.650552927738836</v>
      </c>
      <c r="E14" s="1">
        <v>19.125629584822807</v>
      </c>
      <c r="F14" s="1">
        <v>21.896531312272632</v>
      </c>
      <c r="G14" s="1">
        <v>248.81210162149949</v>
      </c>
      <c r="H14" s="1">
        <v>3.0549047900684858</v>
      </c>
      <c r="I14" s="1">
        <v>136.77662268641703</v>
      </c>
      <c r="J14" s="1">
        <v>1.3747604065020815</v>
      </c>
      <c r="K14" s="1">
        <v>2.7787743180845705</v>
      </c>
      <c r="L14" s="1">
        <v>187.75232592853897</v>
      </c>
      <c r="M14" s="1">
        <v>74.072460131845347</v>
      </c>
      <c r="N14" s="1">
        <v>519.13545866448135</v>
      </c>
      <c r="O14" s="1">
        <v>30.279902987734502</v>
      </c>
      <c r="P14" s="1">
        <v>3.2547757842784861</v>
      </c>
      <c r="Q14" s="1">
        <v>0.50402246325090938</v>
      </c>
      <c r="R14" s="1">
        <v>0.798057534684113</v>
      </c>
      <c r="S14" s="1">
        <v>0.34594562956987929</v>
      </c>
      <c r="T14" s="1">
        <v>1.7604502710736263E-2</v>
      </c>
      <c r="U14" s="1">
        <v>0.24935646818812482</v>
      </c>
      <c r="V14" s="1">
        <v>1836.0187516499884</v>
      </c>
    </row>
    <row r="15" spans="1:22" s="1" customFormat="1" x14ac:dyDescent="0.15">
      <c r="A15" s="2" t="s">
        <v>6</v>
      </c>
      <c r="B15" s="2" t="s">
        <v>12</v>
      </c>
      <c r="C15" s="1">
        <v>202.08475145904674</v>
      </c>
      <c r="D15" s="1">
        <v>17.215418633942061</v>
      </c>
      <c r="E15" s="1">
        <v>13.554425472559311</v>
      </c>
      <c r="F15" s="1">
        <v>15.397927820646979</v>
      </c>
      <c r="G15" s="1">
        <v>81.746359370320974</v>
      </c>
      <c r="H15" s="1">
        <v>2.1940191448078905</v>
      </c>
      <c r="I15" s="1">
        <v>59.169869919135785</v>
      </c>
      <c r="J15" s="1">
        <v>1.0030183269597817</v>
      </c>
      <c r="K15" s="1">
        <v>2.0230875256201215</v>
      </c>
      <c r="L15" s="1">
        <v>79.260127742171946</v>
      </c>
      <c r="M15" s="1">
        <v>44.32839562009999</v>
      </c>
      <c r="N15" s="1">
        <v>233.1790868723109</v>
      </c>
      <c r="O15" s="1">
        <v>20.624339995531045</v>
      </c>
      <c r="P15" s="1">
        <v>2.2169028217844495</v>
      </c>
      <c r="Q15" s="1">
        <v>0.34330131776535178</v>
      </c>
      <c r="R15" s="1">
        <v>0.54357538618517232</v>
      </c>
      <c r="S15" s="1">
        <v>0.23563154330574251</v>
      </c>
      <c r="T15" s="1">
        <v>1.1990832623077055E-2</v>
      </c>
      <c r="U15" s="1">
        <v>0.16984243897270407</v>
      </c>
      <c r="V15" s="1">
        <v>775.30207224379001</v>
      </c>
    </row>
    <row r="16" spans="1:22" s="1" customFormat="1" x14ac:dyDescent="0.15">
      <c r="A16" s="2" t="s">
        <v>6</v>
      </c>
      <c r="B16" s="2" t="s">
        <v>13</v>
      </c>
      <c r="C16" s="1">
        <v>131.76856952383031</v>
      </c>
      <c r="D16" s="1">
        <v>13.996791422961167</v>
      </c>
      <c r="E16" s="1">
        <v>11.733579017975895</v>
      </c>
      <c r="F16" s="1">
        <v>13.203246135481558</v>
      </c>
      <c r="G16" s="1">
        <v>64.699606394218151</v>
      </c>
      <c r="H16" s="1">
        <v>1.9314217038179473</v>
      </c>
      <c r="I16" s="1">
        <v>46.235016007049147</v>
      </c>
      <c r="J16" s="1">
        <v>0.905846505888241</v>
      </c>
      <c r="K16" s="1">
        <v>1.8159838449335719</v>
      </c>
      <c r="L16" s="1">
        <v>63.13192807607814</v>
      </c>
      <c r="M16" s="1">
        <v>32.844975304670122</v>
      </c>
      <c r="N16" s="1">
        <v>85.093709539905163</v>
      </c>
      <c r="O16" s="1">
        <v>17.040398867787829</v>
      </c>
      <c r="P16" s="1">
        <v>1.8316662842727045</v>
      </c>
      <c r="Q16" s="1">
        <v>0.28364502303335382</v>
      </c>
      <c r="R16" s="1">
        <v>0.44911698491668234</v>
      </c>
      <c r="S16" s="1">
        <v>0.19468528389023174</v>
      </c>
      <c r="T16" s="1">
        <v>9.9071568233536477E-3</v>
      </c>
      <c r="U16" s="1">
        <v>0.1403285101960034</v>
      </c>
      <c r="V16" s="1">
        <v>487.31042158772959</v>
      </c>
    </row>
    <row r="17" spans="1:22" s="1" customFormat="1" x14ac:dyDescent="0.15">
      <c r="A17" s="2" t="s">
        <v>6</v>
      </c>
      <c r="B17" s="2" t="s">
        <v>14</v>
      </c>
      <c r="C17" s="1">
        <v>8.886019102838592</v>
      </c>
      <c r="D17" s="1">
        <v>2.665563227926711</v>
      </c>
      <c r="E17" s="1">
        <v>4.0517434527593474</v>
      </c>
      <c r="F17" s="1">
        <v>4.0593000414181928</v>
      </c>
      <c r="G17" s="1">
        <v>4.6076869380327388</v>
      </c>
      <c r="H17" s="1">
        <v>0.84477951398463347</v>
      </c>
      <c r="I17" s="1">
        <v>3.9534234013841205</v>
      </c>
      <c r="J17" s="1">
        <v>0.57295081149729787</v>
      </c>
      <c r="K17" s="1">
        <v>1.0694652876971171</v>
      </c>
      <c r="L17" s="1">
        <v>5.3593256286841937</v>
      </c>
      <c r="M17" s="1">
        <v>3.8084138680435666</v>
      </c>
      <c r="N17" s="1">
        <v>5.1614697947100652</v>
      </c>
      <c r="O17" s="1">
        <v>3.6624313893496527</v>
      </c>
      <c r="P17" s="1">
        <v>0.39367341941947764</v>
      </c>
      <c r="Q17" s="1">
        <v>6.0962800481729501E-2</v>
      </c>
      <c r="R17" s="1">
        <v>9.6527091269552404E-2</v>
      </c>
      <c r="S17" s="1">
        <v>4.1843004741361524E-2</v>
      </c>
      <c r="T17" s="1">
        <v>2.129309424172254E-3</v>
      </c>
      <c r="U17" s="1">
        <v>3.01602998762204E-2</v>
      </c>
      <c r="V17" s="1">
        <v>49.327868383538743</v>
      </c>
    </row>
    <row r="18" spans="1:22" x14ac:dyDescent="0.15">
      <c r="C18">
        <f>SUM(C11:C17)</f>
        <v>4047.0019759613165</v>
      </c>
      <c r="D18">
        <f t="shared" ref="D18" si="1">SUM(D11:D17)</f>
        <v>168.3769938500418</v>
      </c>
      <c r="E18">
        <f t="shared" ref="E18" si="2">SUM(E11:E17)</f>
        <v>144.44193628968199</v>
      </c>
      <c r="F18">
        <f t="shared" ref="F18" si="3">SUM(F11:F17)</f>
        <v>160.44979288376206</v>
      </c>
      <c r="G18">
        <f t="shared" ref="G18" si="4">SUM(G11:G17)</f>
        <v>1874.8227164282591</v>
      </c>
      <c r="H18">
        <f t="shared" ref="H18" si="5">SUM(H11:H17)</f>
        <v>24.679204456562971</v>
      </c>
      <c r="I18">
        <f t="shared" ref="I18" si="6">SUM(I11:I17)</f>
        <v>833.43065012177249</v>
      </c>
      <c r="J18">
        <f t="shared" ref="J18" si="7">SUM(J11:J17)</f>
        <v>12.976162350142568</v>
      </c>
      <c r="K18">
        <f t="shared" ref="K18" si="8">SUM(K11:K17)</f>
        <v>25.150748524673951</v>
      </c>
      <c r="L18">
        <f t="shared" ref="L18" si="9">SUM(L11:L17)</f>
        <v>1157.605655861257</v>
      </c>
      <c r="M18">
        <f t="shared" ref="M18" si="10">SUM(M11:M17)</f>
        <v>443.00865554703495</v>
      </c>
      <c r="N18">
        <f t="shared" ref="N18" si="11">SUM(N11:N17)</f>
        <v>4070.1496005314521</v>
      </c>
      <c r="O18">
        <f t="shared" ref="O18" si="12">SUM(O11:O17)</f>
        <v>203.95243366880828</v>
      </c>
      <c r="P18">
        <f t="shared" ref="P18" si="13">SUM(P11:P17)</f>
        <v>21.92277303962425</v>
      </c>
      <c r="Q18">
        <f t="shared" ref="Q18" si="14">SUM(Q11:Q17)</f>
        <v>3.3948790284422463</v>
      </c>
      <c r="R18">
        <f t="shared" ref="R18" si="15">SUM(R11:R17)</f>
        <v>5.3753731128519311</v>
      </c>
      <c r="S18">
        <f t="shared" ref="S18" si="16">SUM(S11:S17)</f>
        <v>2.3301413121622412</v>
      </c>
      <c r="T18">
        <f t="shared" ref="T18" si="17">SUM(T11:T17)</f>
        <v>0.11857637604728455</v>
      </c>
      <c r="U18">
        <f t="shared" ref="U18" si="18">SUM(U11:U17)</f>
        <v>1.6795581698024953</v>
      </c>
      <c r="V18">
        <f t="shared" ref="V18" si="19">SUM(V11:V17)</f>
        <v>13200.867827513695</v>
      </c>
    </row>
    <row r="20" spans="1:22" s="1" customFormat="1" x14ac:dyDescent="0.15">
      <c r="A20" s="2" t="s">
        <v>6</v>
      </c>
      <c r="B20" s="2" t="s">
        <v>8</v>
      </c>
      <c r="C20" s="1">
        <v>73.875372005996255</v>
      </c>
      <c r="D20" s="1">
        <v>25.700145394003385</v>
      </c>
      <c r="E20" s="1">
        <v>33.220062615421298</v>
      </c>
      <c r="F20" s="1">
        <v>34.245861878908933</v>
      </c>
      <c r="G20" s="1">
        <v>37.915257266299498</v>
      </c>
      <c r="H20" s="1">
        <v>6.7722898892251662</v>
      </c>
      <c r="I20" s="1">
        <v>38.078645503940074</v>
      </c>
      <c r="J20" s="1">
        <v>4.8210640082628657</v>
      </c>
      <c r="K20" s="1">
        <v>8.4787243526196576</v>
      </c>
      <c r="L20" s="1">
        <v>52.365008132957406</v>
      </c>
      <c r="M20" s="1">
        <v>36.461771490928399</v>
      </c>
      <c r="N20" s="1">
        <v>45.249511437938665</v>
      </c>
      <c r="O20" s="1">
        <v>33.461642326326341</v>
      </c>
      <c r="P20" s="1">
        <v>2.7781119386218758</v>
      </c>
      <c r="Q20" s="1">
        <v>0.56096978420647048</v>
      </c>
      <c r="R20" s="1">
        <v>1.2116998073398539</v>
      </c>
      <c r="S20" s="1">
        <v>0.6481103849152815</v>
      </c>
      <c r="T20" s="1">
        <v>6.196031075177319E-2</v>
      </c>
      <c r="U20" s="1">
        <v>0.33495601093560179</v>
      </c>
      <c r="V20" s="1">
        <v>436.24116453959886</v>
      </c>
    </row>
    <row r="21" spans="1:22" s="1" customFormat="1" x14ac:dyDescent="0.15">
      <c r="A21" s="2" t="s">
        <v>6</v>
      </c>
      <c r="B21" s="2" t="s">
        <v>9</v>
      </c>
      <c r="C21" s="1">
        <v>954.18990974159658</v>
      </c>
      <c r="D21" s="1">
        <v>50.384139069821089</v>
      </c>
      <c r="E21" s="1">
        <v>35.186589126279237</v>
      </c>
      <c r="F21" s="1">
        <v>40.573235448648738</v>
      </c>
      <c r="G21" s="1">
        <v>420.71370709797435</v>
      </c>
      <c r="H21" s="1">
        <v>5.7384103537301376</v>
      </c>
      <c r="I21" s="1">
        <v>240.19227729422411</v>
      </c>
      <c r="J21" s="1">
        <v>2.6644384770009326</v>
      </c>
      <c r="K21" s="1">
        <v>5.2115067709537444</v>
      </c>
      <c r="L21" s="1">
        <v>334.09941329021268</v>
      </c>
      <c r="M21" s="1">
        <v>135.54058412515926</v>
      </c>
      <c r="N21" s="1">
        <v>866.68725920379438</v>
      </c>
      <c r="O21" s="1">
        <v>57.326001911913863</v>
      </c>
      <c r="P21" s="1">
        <v>4.7594212180306776</v>
      </c>
      <c r="Q21" s="1">
        <v>0.96104532582784574</v>
      </c>
      <c r="R21" s="1">
        <v>2.075866599917767</v>
      </c>
      <c r="S21" s="1">
        <v>1.1103333425329691</v>
      </c>
      <c r="T21" s="1">
        <v>0.10614950867774879</v>
      </c>
      <c r="U21" s="1">
        <v>0.57384179442523175</v>
      </c>
      <c r="V21" s="1">
        <v>3158.0941297007212</v>
      </c>
    </row>
    <row r="22" spans="1:22" s="1" customFormat="1" x14ac:dyDescent="0.15">
      <c r="A22" s="2" t="s">
        <v>6</v>
      </c>
      <c r="B22" s="2" t="s">
        <v>10</v>
      </c>
      <c r="C22" s="1">
        <v>2111.8698481334181</v>
      </c>
      <c r="D22" s="1">
        <v>39.161972367163798</v>
      </c>
      <c r="E22" s="1">
        <v>26.226308886353756</v>
      </c>
      <c r="F22" s="1">
        <v>30.449539785106328</v>
      </c>
      <c r="G22" s="1">
        <v>1018.7716309466458</v>
      </c>
      <c r="H22" s="1">
        <v>4.2116494367674022</v>
      </c>
      <c r="I22" s="1">
        <v>300.68191578002217</v>
      </c>
      <c r="J22" s="1">
        <v>1.8279822582411884</v>
      </c>
      <c r="K22" s="1">
        <v>3.664723716530061</v>
      </c>
      <c r="L22" s="1">
        <v>436.52147685233172</v>
      </c>
      <c r="M22" s="1">
        <v>114.78038960264105</v>
      </c>
      <c r="N22" s="1">
        <v>2319.8207276313215</v>
      </c>
      <c r="O22" s="1">
        <v>44.086955719021944</v>
      </c>
      <c r="P22" s="1">
        <v>3.6602656038291141</v>
      </c>
      <c r="Q22" s="1">
        <v>0.73909851217930855</v>
      </c>
      <c r="R22" s="1">
        <v>1.596459474899939</v>
      </c>
      <c r="S22" s="1">
        <v>0.85390949037391595</v>
      </c>
      <c r="T22" s="1">
        <v>8.1635009542915901E-2</v>
      </c>
      <c r="U22" s="1">
        <v>0.44131697798182928</v>
      </c>
      <c r="V22" s="1">
        <v>6459.4478061843729</v>
      </c>
    </row>
    <row r="23" spans="1:22" s="1" customFormat="1" x14ac:dyDescent="0.15">
      <c r="A23" s="2" t="s">
        <v>6</v>
      </c>
      <c r="B23" s="2" t="s">
        <v>11</v>
      </c>
      <c r="C23" s="1">
        <v>559.39275737414914</v>
      </c>
      <c r="D23" s="1">
        <v>27.158166238769354</v>
      </c>
      <c r="E23" s="1">
        <v>18.857885454964833</v>
      </c>
      <c r="F23" s="1">
        <v>21.767469357893393</v>
      </c>
      <c r="G23" s="1">
        <v>249.22432077729889</v>
      </c>
      <c r="H23" s="1">
        <v>3.0674278178722942</v>
      </c>
      <c r="I23" s="1">
        <v>134.83363068025204</v>
      </c>
      <c r="J23" s="1">
        <v>1.403990230666651</v>
      </c>
      <c r="K23" s="1">
        <v>2.7615125984050648</v>
      </c>
      <c r="L23" s="1">
        <v>187.95420311582615</v>
      </c>
      <c r="M23" s="1">
        <v>73.771064717508949</v>
      </c>
      <c r="N23" s="1">
        <v>519.80740238543672</v>
      </c>
      <c r="O23" s="1">
        <v>30.858579318499867</v>
      </c>
      <c r="P23" s="1">
        <v>2.5619958262259921</v>
      </c>
      <c r="Q23" s="1">
        <v>0.51733057502346924</v>
      </c>
      <c r="R23" s="1">
        <v>1.1174387188462331</v>
      </c>
      <c r="S23" s="1">
        <v>0.59769229559397363</v>
      </c>
      <c r="T23" s="1">
        <v>5.7140266862916241E-2</v>
      </c>
      <c r="U23" s="1">
        <v>0.30889896430277891</v>
      </c>
      <c r="V23" s="1">
        <v>1836.0189067143988</v>
      </c>
    </row>
    <row r="24" spans="1:22" s="1" customFormat="1" x14ac:dyDescent="0.15">
      <c r="A24" s="2" t="s">
        <v>6</v>
      </c>
      <c r="B24" s="2" t="s">
        <v>12</v>
      </c>
      <c r="C24" s="1">
        <v>201.81553797541943</v>
      </c>
      <c r="D24" s="1">
        <v>18.227256248538929</v>
      </c>
      <c r="E24" s="1">
        <v>13.364673922798302</v>
      </c>
      <c r="F24" s="1">
        <v>15.307169762688764</v>
      </c>
      <c r="G24" s="1">
        <v>81.88179255475896</v>
      </c>
      <c r="H24" s="1">
        <v>2.2030131281365501</v>
      </c>
      <c r="I24" s="1">
        <v>58.329327273757833</v>
      </c>
      <c r="J24" s="1">
        <v>1.0243442606950073</v>
      </c>
      <c r="K24" s="1">
        <v>2.0105201251201663</v>
      </c>
      <c r="L24" s="1">
        <v>79.345350716499851</v>
      </c>
      <c r="M24" s="1">
        <v>44.148026625456005</v>
      </c>
      <c r="N24" s="1">
        <v>233.4809025558034</v>
      </c>
      <c r="O24" s="1">
        <v>21.018489785175539</v>
      </c>
      <c r="P24" s="1">
        <v>1.7450344211097324</v>
      </c>
      <c r="Q24" s="1">
        <v>0.35236577945426284</v>
      </c>
      <c r="R24" s="1">
        <v>0.76111327408935636</v>
      </c>
      <c r="S24" s="1">
        <v>0.40710200099322841</v>
      </c>
      <c r="T24" s="1">
        <v>3.8919552983074847E-2</v>
      </c>
      <c r="U24" s="1">
        <v>0.21039820572749326</v>
      </c>
      <c r="V24" s="1">
        <v>775.67133816920591</v>
      </c>
    </row>
    <row r="25" spans="1:22" s="1" customFormat="1" x14ac:dyDescent="0.15">
      <c r="A25" s="2" t="s">
        <v>6</v>
      </c>
      <c r="B25" s="2" t="s">
        <v>13</v>
      </c>
      <c r="C25" s="1">
        <v>131.59302992780448</v>
      </c>
      <c r="D25" s="1">
        <v>14.819453964405033</v>
      </c>
      <c r="E25" s="1">
        <v>11.569317920564453</v>
      </c>
      <c r="F25" s="1">
        <v>13.12542391213058</v>
      </c>
      <c r="G25" s="1">
        <v>64.806797390775657</v>
      </c>
      <c r="H25" s="1">
        <v>1.9393392165916432</v>
      </c>
      <c r="I25" s="1">
        <v>45.578220534678351</v>
      </c>
      <c r="J25" s="1">
        <v>0.92510639580212983</v>
      </c>
      <c r="K25" s="1">
        <v>1.804702970531594</v>
      </c>
      <c r="L25" s="1">
        <v>63.199809504470494</v>
      </c>
      <c r="M25" s="1">
        <v>32.711331506108557</v>
      </c>
      <c r="N25" s="1">
        <v>85.203850704150113</v>
      </c>
      <c r="O25" s="1">
        <v>17.366056301220954</v>
      </c>
      <c r="P25" s="1">
        <v>1.441795590962901</v>
      </c>
      <c r="Q25" s="1">
        <v>0.29113433143820372</v>
      </c>
      <c r="R25" s="1">
        <v>0.62885279121639637</v>
      </c>
      <c r="S25" s="1">
        <v>0.33635890816540154</v>
      </c>
      <c r="T25" s="1">
        <v>3.2156408734791996E-2</v>
      </c>
      <c r="U25" s="1">
        <v>0.17383680390032791</v>
      </c>
      <c r="V25" s="1">
        <v>487.54657508365204</v>
      </c>
    </row>
    <row r="26" spans="1:22" s="1" customFormat="1" x14ac:dyDescent="0.15">
      <c r="A26" s="2" t="s">
        <v>6</v>
      </c>
      <c r="B26" s="2" t="s">
        <v>14</v>
      </c>
      <c r="C26" s="1">
        <v>8.8741813162615131</v>
      </c>
      <c r="D26" s="1">
        <v>2.8222319210007689</v>
      </c>
      <c r="E26" s="1">
        <v>3.9950221552796736</v>
      </c>
      <c r="F26" s="1">
        <v>4.035373822726946</v>
      </c>
      <c r="G26" s="1">
        <v>4.615320717930925</v>
      </c>
      <c r="H26" s="1">
        <v>0.84824253429744667</v>
      </c>
      <c r="I26" s="1">
        <v>3.8972627072903205</v>
      </c>
      <c r="J26" s="1">
        <v>0.58513275345300564</v>
      </c>
      <c r="K26" s="1">
        <v>1.0628217794845054</v>
      </c>
      <c r="L26" s="1">
        <v>5.3650881436268136</v>
      </c>
      <c r="M26" s="1">
        <v>3.7929177109876191</v>
      </c>
      <c r="N26" s="1">
        <v>5.1681505504965788</v>
      </c>
      <c r="O26" s="1">
        <v>3.7324237654456804</v>
      </c>
      <c r="P26" s="1">
        <v>0.30987991932365894</v>
      </c>
      <c r="Q26" s="1">
        <v>6.2572450491267376E-2</v>
      </c>
      <c r="R26" s="1">
        <v>0.13515705887658389</v>
      </c>
      <c r="S26" s="1">
        <v>7.2292404992970571E-2</v>
      </c>
      <c r="T26" s="1">
        <v>6.9112607569837238E-3</v>
      </c>
      <c r="U26" s="1">
        <v>3.7362116421206973E-2</v>
      </c>
      <c r="V26" s="1">
        <v>49.418345089144466</v>
      </c>
    </row>
    <row r="27" spans="1:22" x14ac:dyDescent="0.15">
      <c r="C27">
        <f>SUM(C20:C26)</f>
        <v>4041.6106364746452</v>
      </c>
      <c r="D27">
        <f t="shared" ref="D27" si="20">SUM(D20:D26)</f>
        <v>178.27336520370235</v>
      </c>
      <c r="E27">
        <f t="shared" ref="E27" si="21">SUM(E20:E26)</f>
        <v>142.41986008166157</v>
      </c>
      <c r="F27">
        <f t="shared" ref="F27" si="22">SUM(F20:F26)</f>
        <v>159.50407396810365</v>
      </c>
      <c r="G27">
        <f t="shared" ref="G27" si="23">SUM(G20:G26)</f>
        <v>1877.928826751684</v>
      </c>
      <c r="H27">
        <f t="shared" ref="H27" si="24">SUM(H20:H26)</f>
        <v>24.78037237662064</v>
      </c>
      <c r="I27">
        <f t="shared" ref="I27" si="25">SUM(I20:I26)</f>
        <v>821.59127977416506</v>
      </c>
      <c r="J27">
        <f t="shared" ref="J27" si="26">SUM(J20:J26)</f>
        <v>13.252058384121781</v>
      </c>
      <c r="K27">
        <f t="shared" ref="K27" si="27">SUM(K20:K26)</f>
        <v>24.994512313644794</v>
      </c>
      <c r="L27">
        <f t="shared" ref="L27" si="28">SUM(L20:L26)</f>
        <v>1158.850349755925</v>
      </c>
      <c r="M27">
        <f t="shared" ref="M27" si="29">SUM(M20:M26)</f>
        <v>441.20608577878977</v>
      </c>
      <c r="N27">
        <f t="shared" ref="N27" si="30">SUM(N20:N26)</f>
        <v>4075.4178044689411</v>
      </c>
      <c r="O27">
        <f t="shared" ref="O27" si="31">SUM(O20:O26)</f>
        <v>207.8501491276042</v>
      </c>
      <c r="P27">
        <f t="shared" ref="P27" si="32">SUM(P20:P26)</f>
        <v>17.256504518103952</v>
      </c>
      <c r="Q27">
        <f t="shared" ref="Q27" si="33">SUM(Q20:Q26)</f>
        <v>3.4845167586208272</v>
      </c>
      <c r="R27">
        <f t="shared" ref="R27" si="34">SUM(R20:R26)</f>
        <v>7.52658772518613</v>
      </c>
      <c r="S27">
        <f t="shared" ref="S27" si="35">SUM(S20:S26)</f>
        <v>4.0257988275677405</v>
      </c>
      <c r="T27">
        <f t="shared" ref="T27" si="36">SUM(T20:T26)</f>
        <v>0.38487231831020469</v>
      </c>
      <c r="U27">
        <f t="shared" ref="U27" si="37">SUM(U20:U26)</f>
        <v>2.0806108736944697</v>
      </c>
      <c r="V27">
        <f t="shared" ref="V27" si="38">SUM(V20:V26)</f>
        <v>13202.438265481094</v>
      </c>
    </row>
    <row r="29" spans="1:22" s="1" customFormat="1" x14ac:dyDescent="0.15">
      <c r="A29" s="2" t="s">
        <v>6</v>
      </c>
      <c r="B29" s="2" t="s">
        <v>8</v>
      </c>
      <c r="C29" s="1">
        <v>73.815337035660704</v>
      </c>
      <c r="D29" s="1">
        <v>24.552433807925119</v>
      </c>
      <c r="E29" s="1">
        <v>33.377358093707777</v>
      </c>
      <c r="F29" s="1">
        <v>34.431863640644877</v>
      </c>
      <c r="G29" s="1">
        <v>37.944361222871947</v>
      </c>
      <c r="H29" s="1">
        <v>6.8071725102902949</v>
      </c>
      <c r="I29" s="1">
        <v>38.365667746788482</v>
      </c>
      <c r="J29" s="1">
        <v>4.7918040665496289</v>
      </c>
      <c r="K29" s="1">
        <v>8.5172536719131706</v>
      </c>
      <c r="L29" s="1">
        <v>52.41356132186467</v>
      </c>
      <c r="M29" s="1">
        <v>36.626028791045513</v>
      </c>
      <c r="N29" s="1">
        <v>45.237224676345548</v>
      </c>
      <c r="O29" s="1">
        <v>33.23004905917275</v>
      </c>
      <c r="P29" s="1">
        <v>2.7909191813531953</v>
      </c>
      <c r="Q29" s="1">
        <v>0.5750699025734477</v>
      </c>
      <c r="R29" s="1">
        <v>1.2324119908327136</v>
      </c>
      <c r="S29" s="1">
        <v>0.67668256060880383</v>
      </c>
      <c r="T29" s="1">
        <v>6.3672983341234668E-2</v>
      </c>
      <c r="U29" s="1">
        <v>0.34432185717703695</v>
      </c>
      <c r="V29" s="1">
        <v>435.7931941206669</v>
      </c>
    </row>
    <row r="30" spans="1:22" s="1" customFormat="1" x14ac:dyDescent="0.15">
      <c r="A30" s="2" t="s">
        <v>6</v>
      </c>
      <c r="B30" s="2" t="s">
        <v>9</v>
      </c>
      <c r="C30" s="1">
        <v>953.4144853833792</v>
      </c>
      <c r="D30" s="1">
        <v>48.134094983358253</v>
      </c>
      <c r="E30" s="1">
        <v>35.353196017721956</v>
      </c>
      <c r="F30" s="1">
        <v>40.793603483170997</v>
      </c>
      <c r="G30" s="1">
        <v>421.03664921530759</v>
      </c>
      <c r="H30" s="1">
        <v>5.7679676817771615</v>
      </c>
      <c r="I30" s="1">
        <v>242.00275466891753</v>
      </c>
      <c r="J30" s="1">
        <v>2.6482675001373326</v>
      </c>
      <c r="K30" s="1">
        <v>5.2351890844749214</v>
      </c>
      <c r="L30" s="1">
        <v>334.40919252076486</v>
      </c>
      <c r="M30" s="1">
        <v>136.15118337731667</v>
      </c>
      <c r="N30" s="1">
        <v>866.45192451417597</v>
      </c>
      <c r="O30" s="1">
        <v>56.929239674538927</v>
      </c>
      <c r="P30" s="1">
        <v>4.7813624011603064</v>
      </c>
      <c r="Q30" s="1">
        <v>0.98520144480557548</v>
      </c>
      <c r="R30" s="1">
        <v>2.1113504133703644</v>
      </c>
      <c r="S30" s="1">
        <v>1.1592827808996677</v>
      </c>
      <c r="T30" s="1">
        <v>0.10908363459951043</v>
      </c>
      <c r="U30" s="1">
        <v>0.58988722677464345</v>
      </c>
      <c r="V30" s="1">
        <v>3158.0639160066512</v>
      </c>
    </row>
    <row r="31" spans="1:22" s="1" customFormat="1" x14ac:dyDescent="0.15">
      <c r="A31" s="2" t="s">
        <v>6</v>
      </c>
      <c r="B31" s="2" t="s">
        <v>10</v>
      </c>
      <c r="C31" s="1">
        <v>2110.1536328340226</v>
      </c>
      <c r="D31" s="1">
        <v>37.41308539666602</v>
      </c>
      <c r="E31" s="1">
        <v>26.350489260356206</v>
      </c>
      <c r="F31" s="1">
        <v>30.614922337430599</v>
      </c>
      <c r="G31" s="1">
        <v>1019.5536455613974</v>
      </c>
      <c r="H31" s="1">
        <v>4.2333427449046779</v>
      </c>
      <c r="I31" s="1">
        <v>302.94834087757999</v>
      </c>
      <c r="J31" s="1">
        <v>1.8168878910564139</v>
      </c>
      <c r="K31" s="1">
        <v>3.6813770837495134</v>
      </c>
      <c r="L31" s="1">
        <v>436.92622251137709</v>
      </c>
      <c r="M31" s="1">
        <v>115.29746587544945</v>
      </c>
      <c r="N31" s="1">
        <v>2319.1908184165381</v>
      </c>
      <c r="O31" s="1">
        <v>43.781822993788339</v>
      </c>
      <c r="P31" s="1">
        <v>3.6771396215379162</v>
      </c>
      <c r="Q31" s="1">
        <v>0.75767594148118589</v>
      </c>
      <c r="R31" s="1">
        <v>1.6237485454954319</v>
      </c>
      <c r="S31" s="1">
        <v>0.89155439246651069</v>
      </c>
      <c r="T31" s="1">
        <v>8.389151925838044E-2</v>
      </c>
      <c r="U31" s="1">
        <v>0.4536568280653297</v>
      </c>
      <c r="V31" s="1">
        <v>6459.4497206326214</v>
      </c>
    </row>
    <row r="32" spans="1:22" s="1" customFormat="1" x14ac:dyDescent="0.15">
      <c r="A32" s="2" t="s">
        <v>6</v>
      </c>
      <c r="B32" s="2" t="s">
        <v>11</v>
      </c>
      <c r="C32" s="1">
        <v>558.93816571954267</v>
      </c>
      <c r="D32" s="1">
        <v>25.945342670224562</v>
      </c>
      <c r="E32" s="1">
        <v>18.947176680765629</v>
      </c>
      <c r="F32" s="1">
        <v>21.885696420287601</v>
      </c>
      <c r="G32" s="1">
        <v>249.41562671405555</v>
      </c>
      <c r="H32" s="1">
        <v>3.0832274844497265</v>
      </c>
      <c r="I32" s="1">
        <v>135.84995493698634</v>
      </c>
      <c r="J32" s="1">
        <v>1.3954691506219032</v>
      </c>
      <c r="K32" s="1">
        <v>2.77406156169388</v>
      </c>
      <c r="L32" s="1">
        <v>188.12847552129637</v>
      </c>
      <c r="M32" s="1">
        <v>74.103397333884374</v>
      </c>
      <c r="N32" s="1">
        <v>519.66625722332367</v>
      </c>
      <c r="O32" s="1">
        <v>30.645002258103553</v>
      </c>
      <c r="P32" s="1">
        <v>2.5738067622674605</v>
      </c>
      <c r="Q32" s="1">
        <v>0.53033381075568575</v>
      </c>
      <c r="R32" s="1">
        <v>1.1365396509802246</v>
      </c>
      <c r="S32" s="1">
        <v>0.62404177197616117</v>
      </c>
      <c r="T32" s="1">
        <v>5.8719706469064929E-2</v>
      </c>
      <c r="U32" s="1">
        <v>0.31753621847749092</v>
      </c>
      <c r="V32" s="1">
        <v>1836.018831596162</v>
      </c>
    </row>
    <row r="33" spans="1:24" s="1" customFormat="1" x14ac:dyDescent="0.15">
      <c r="A33" s="2" t="s">
        <v>6</v>
      </c>
      <c r="B33" s="2" t="s">
        <v>12</v>
      </c>
      <c r="C33" s="1">
        <v>201.65153217068894</v>
      </c>
      <c r="D33" s="1">
        <v>17.413267344657211</v>
      </c>
      <c r="E33" s="1">
        <v>13.427955043040786</v>
      </c>
      <c r="F33" s="1">
        <v>15.390308582588188</v>
      </c>
      <c r="G33" s="1">
        <v>81.944645461646815</v>
      </c>
      <c r="H33" s="1">
        <v>2.2143603789789208</v>
      </c>
      <c r="I33" s="1">
        <v>58.768991398266174</v>
      </c>
      <c r="J33" s="1">
        <v>1.0181273232490708</v>
      </c>
      <c r="K33" s="1">
        <v>2.0196564018317509</v>
      </c>
      <c r="L33" s="1">
        <v>79.418920261117705</v>
      </c>
      <c r="M33" s="1">
        <v>44.346909876666118</v>
      </c>
      <c r="N33" s="1">
        <v>233.41750465171367</v>
      </c>
      <c r="O33" s="1">
        <v>20.873017525550271</v>
      </c>
      <c r="P33" s="1">
        <v>1.7530791219351232</v>
      </c>
      <c r="Q33" s="1">
        <v>0.36122258304450505</v>
      </c>
      <c r="R33" s="1">
        <v>0.77412335934009091</v>
      </c>
      <c r="S33" s="1">
        <v>0.4250492367856058</v>
      </c>
      <c r="T33" s="1">
        <v>3.9995345708764153E-2</v>
      </c>
      <c r="U33" s="1">
        <v>0.21628123866311183</v>
      </c>
      <c r="V33" s="1">
        <v>775.47494730547282</v>
      </c>
    </row>
    <row r="34" spans="1:24" s="1" customFormat="1" x14ac:dyDescent="0.15">
      <c r="A34" s="2" t="s">
        <v>6</v>
      </c>
      <c r="B34" s="2" t="s">
        <v>13</v>
      </c>
      <c r="C34" s="1">
        <v>131.48609058613266</v>
      </c>
      <c r="D34" s="1">
        <v>14.157649964717557</v>
      </c>
      <c r="E34" s="1">
        <v>11.62409811218633</v>
      </c>
      <c r="F34" s="1">
        <v>13.196712874861896</v>
      </c>
      <c r="G34" s="1">
        <v>64.856543439011944</v>
      </c>
      <c r="H34" s="1">
        <v>1.9493283393426848</v>
      </c>
      <c r="I34" s="1">
        <v>45.92177170121208</v>
      </c>
      <c r="J34" s="1">
        <v>0.91949175157145357</v>
      </c>
      <c r="K34" s="1">
        <v>1.8129039656447419</v>
      </c>
      <c r="L34" s="1">
        <v>63.258408794324176</v>
      </c>
      <c r="M34" s="1">
        <v>32.858693380661649</v>
      </c>
      <c r="N34" s="1">
        <v>85.180714997992183</v>
      </c>
      <c r="O34" s="1">
        <v>17.24586310576597</v>
      </c>
      <c r="P34" s="1">
        <v>1.4484423447692174</v>
      </c>
      <c r="Q34" s="1">
        <v>0.29845206699106652</v>
      </c>
      <c r="R34" s="1">
        <v>0.63960208268510232</v>
      </c>
      <c r="S34" s="1">
        <v>0.3511874096735812</v>
      </c>
      <c r="T34" s="1">
        <v>3.3045258373332935E-2</v>
      </c>
      <c r="U34" s="1">
        <v>0.17869752806492875</v>
      </c>
      <c r="V34" s="1">
        <v>487.41769770398258</v>
      </c>
    </row>
    <row r="35" spans="1:24" s="1" customFormat="1" x14ac:dyDescent="0.15">
      <c r="A35" s="2" t="s">
        <v>6</v>
      </c>
      <c r="B35" s="2" t="s">
        <v>14</v>
      </c>
      <c r="C35" s="1">
        <v>8.8669696948834051</v>
      </c>
      <c r="D35" s="1">
        <v>2.6961972926095892</v>
      </c>
      <c r="E35" s="1">
        <v>4.0139384026075176</v>
      </c>
      <c r="F35" s="1">
        <v>4.0572914092354804</v>
      </c>
      <c r="G35" s="1">
        <v>4.6188634630796424</v>
      </c>
      <c r="H35" s="1">
        <v>0.85261165070847011</v>
      </c>
      <c r="I35" s="1">
        <v>3.9266387806356868</v>
      </c>
      <c r="J35" s="1">
        <v>0.58158147302378982</v>
      </c>
      <c r="K35" s="1">
        <v>1.0676514918316471</v>
      </c>
      <c r="L35" s="1">
        <v>5.3700626895579484</v>
      </c>
      <c r="M35" s="1">
        <v>3.8100044952358347</v>
      </c>
      <c r="N35" s="1">
        <v>5.1667472241031343</v>
      </c>
      <c r="O35" s="1">
        <v>3.7065910760094782</v>
      </c>
      <c r="P35" s="1">
        <v>0.31130848211451195</v>
      </c>
      <c r="Q35" s="1">
        <v>6.4145224967323583E-2</v>
      </c>
      <c r="R35" s="1">
        <v>0.13746736526340489</v>
      </c>
      <c r="S35" s="1">
        <v>7.5479441252289933E-2</v>
      </c>
      <c r="T35" s="1">
        <v>7.102297998622607E-3</v>
      </c>
      <c r="U35" s="1">
        <v>3.8406814310575202E-2</v>
      </c>
      <c r="V35" s="1">
        <v>49.369058769428356</v>
      </c>
    </row>
    <row r="36" spans="1:24" x14ac:dyDescent="0.15">
      <c r="C36">
        <f>SUM(C29:C35)</f>
        <v>4038.32621342431</v>
      </c>
      <c r="D36">
        <f t="shared" ref="D36" si="39">SUM(D29:D35)</f>
        <v>170.31207146015831</v>
      </c>
      <c r="E36">
        <f t="shared" ref="E36" si="40">SUM(E29:E35)</f>
        <v>143.0942116103862</v>
      </c>
      <c r="F36">
        <f t="shared" ref="F36" si="41">SUM(F29:F35)</f>
        <v>160.37039874821966</v>
      </c>
      <c r="G36">
        <f t="shared" ref="G36" si="42">SUM(G29:G35)</f>
        <v>1879.370335077371</v>
      </c>
      <c r="H36">
        <f t="shared" ref="H36" si="43">SUM(H29:H35)</f>
        <v>24.908010790451936</v>
      </c>
      <c r="I36">
        <f t="shared" ref="I36" si="44">SUM(I29:I35)</f>
        <v>827.7841201103862</v>
      </c>
      <c r="J36">
        <f t="shared" ref="J36" si="45">SUM(J29:J35)</f>
        <v>13.17162915620959</v>
      </c>
      <c r="K36">
        <f t="shared" ref="K36" si="46">SUM(K29:K35)</f>
        <v>25.108093261139626</v>
      </c>
      <c r="L36">
        <f t="shared" ref="L36" si="47">SUM(L29:L35)</f>
        <v>1159.9248436203029</v>
      </c>
      <c r="M36">
        <f t="shared" ref="M36" si="48">SUM(M29:M35)</f>
        <v>443.19368313025961</v>
      </c>
      <c r="N36">
        <f t="shared" ref="N36" si="49">SUM(N29:N35)</f>
        <v>4074.3111917041924</v>
      </c>
      <c r="O36">
        <f t="shared" ref="O36" si="50">SUM(O29:O35)</f>
        <v>206.41158569292929</v>
      </c>
      <c r="P36">
        <f t="shared" ref="P36" si="51">SUM(P29:P35)</f>
        <v>17.336057915137729</v>
      </c>
      <c r="Q36">
        <f t="shared" ref="Q36" si="52">SUM(Q29:Q35)</f>
        <v>3.5721009746187904</v>
      </c>
      <c r="R36">
        <f t="shared" ref="R36" si="53">SUM(R29:R35)</f>
        <v>7.6552434079673333</v>
      </c>
      <c r="S36">
        <f t="shared" ref="S36" si="54">SUM(S29:S35)</f>
        <v>4.2032775936626203</v>
      </c>
      <c r="T36">
        <f t="shared" ref="T36" si="55">SUM(T29:T35)</f>
        <v>0.39551074574891021</v>
      </c>
      <c r="U36">
        <f t="shared" ref="U36" si="56">SUM(U29:U35)</f>
        <v>2.1387877115331166</v>
      </c>
      <c r="V36">
        <f t="shared" ref="V36" si="57">SUM(V29:V35)</f>
        <v>13201.587366134985</v>
      </c>
    </row>
    <row r="39" spans="1:24" x14ac:dyDescent="0.15">
      <c r="C39" s="2" t="s">
        <v>15</v>
      </c>
      <c r="D39" s="2" t="s">
        <v>16</v>
      </c>
      <c r="E39" s="2" t="s">
        <v>17</v>
      </c>
      <c r="F39" s="2" t="s">
        <v>18</v>
      </c>
      <c r="G39" s="2" t="s">
        <v>19</v>
      </c>
      <c r="H39" s="2" t="s">
        <v>20</v>
      </c>
      <c r="I39" s="2" t="s">
        <v>21</v>
      </c>
      <c r="J39" s="2" t="s">
        <v>22</v>
      </c>
      <c r="K39" s="2" t="s">
        <v>23</v>
      </c>
      <c r="L39" s="2" t="s">
        <v>24</v>
      </c>
      <c r="M39" s="2" t="s">
        <v>25</v>
      </c>
      <c r="N39" s="2" t="s">
        <v>26</v>
      </c>
      <c r="O39" s="2" t="s">
        <v>110</v>
      </c>
      <c r="P39" s="2" t="s">
        <v>38</v>
      </c>
      <c r="Q39" s="2" t="s">
        <v>0</v>
      </c>
      <c r="R39" s="2" t="s">
        <v>39</v>
      </c>
      <c r="S39" s="2" t="s">
        <v>40</v>
      </c>
      <c r="T39" s="2" t="s">
        <v>41</v>
      </c>
      <c r="U39" s="2" t="s">
        <v>1</v>
      </c>
      <c r="V39" s="2" t="s">
        <v>42</v>
      </c>
    </row>
    <row r="40" spans="1:24" x14ac:dyDescent="0.15">
      <c r="B40" t="s">
        <v>146</v>
      </c>
      <c r="C40">
        <f>C9</f>
        <v>4052.5328053356616</v>
      </c>
      <c r="D40">
        <f t="shared" ref="D40:V40" si="58">D9</f>
        <v>189.14545815905888</v>
      </c>
      <c r="E40">
        <f t="shared" si="58"/>
        <v>142.62199089048383</v>
      </c>
      <c r="F40">
        <f t="shared" si="58"/>
        <v>158.23623697329148</v>
      </c>
      <c r="G40">
        <f t="shared" si="58"/>
        <v>1872.1859398760064</v>
      </c>
      <c r="H40">
        <f t="shared" si="58"/>
        <v>24.435719459085405</v>
      </c>
      <c r="I40">
        <f t="shared" si="58"/>
        <v>817.10855984343073</v>
      </c>
      <c r="J40">
        <f t="shared" si="58"/>
        <v>13.214106806874321</v>
      </c>
      <c r="K40">
        <f t="shared" si="58"/>
        <v>24.855967314420713</v>
      </c>
      <c r="L40">
        <f t="shared" si="58"/>
        <v>1154.9959662119334</v>
      </c>
      <c r="M40">
        <f t="shared" si="58"/>
        <v>438.03834637691193</v>
      </c>
      <c r="N40">
        <f t="shared" si="58"/>
        <v>4074.5302015732873</v>
      </c>
      <c r="O40">
        <f t="shared" si="58"/>
        <v>207.85236661963248</v>
      </c>
      <c r="P40">
        <f t="shared" si="58"/>
        <v>21.276488374189768</v>
      </c>
      <c r="Q40">
        <f t="shared" si="58"/>
        <v>3.201141440870984</v>
      </c>
      <c r="R40">
        <f t="shared" si="58"/>
        <v>5.1718434637299078</v>
      </c>
      <c r="S40">
        <f t="shared" si="58"/>
        <v>2.1150456576836718</v>
      </c>
      <c r="T40">
        <f t="shared" si="58"/>
        <v>0.11158199656949665</v>
      </c>
      <c r="U40">
        <f t="shared" si="58"/>
        <v>1.5735510590543962</v>
      </c>
      <c r="V40">
        <f t="shared" si="58"/>
        <v>13203.203317432177</v>
      </c>
    </row>
    <row r="41" spans="1:24" x14ac:dyDescent="0.15">
      <c r="B41" t="s">
        <v>147</v>
      </c>
      <c r="C41">
        <f>C18</f>
        <v>4047.0019759613165</v>
      </c>
      <c r="D41">
        <f t="shared" ref="D41:V41" si="59">D18</f>
        <v>168.3769938500418</v>
      </c>
      <c r="E41">
        <f t="shared" si="59"/>
        <v>144.44193628968199</v>
      </c>
      <c r="F41">
        <f t="shared" si="59"/>
        <v>160.44979288376206</v>
      </c>
      <c r="G41">
        <f t="shared" si="59"/>
        <v>1874.8227164282591</v>
      </c>
      <c r="H41">
        <f t="shared" si="59"/>
        <v>24.679204456562971</v>
      </c>
      <c r="I41">
        <f t="shared" si="59"/>
        <v>833.43065012177249</v>
      </c>
      <c r="J41">
        <f t="shared" si="59"/>
        <v>12.976162350142568</v>
      </c>
      <c r="K41">
        <f t="shared" si="59"/>
        <v>25.150748524673951</v>
      </c>
      <c r="L41">
        <f t="shared" si="59"/>
        <v>1157.605655861257</v>
      </c>
      <c r="M41">
        <f t="shared" si="59"/>
        <v>443.00865554703495</v>
      </c>
      <c r="N41">
        <f t="shared" si="59"/>
        <v>4070.1496005314521</v>
      </c>
      <c r="O41">
        <f t="shared" si="59"/>
        <v>203.95243366880828</v>
      </c>
      <c r="P41">
        <f t="shared" si="59"/>
        <v>21.92277303962425</v>
      </c>
      <c r="Q41">
        <f t="shared" si="59"/>
        <v>3.3948790284422463</v>
      </c>
      <c r="R41">
        <f t="shared" si="59"/>
        <v>5.3753731128519311</v>
      </c>
      <c r="S41">
        <f t="shared" si="59"/>
        <v>2.3301413121622412</v>
      </c>
      <c r="T41">
        <f t="shared" si="59"/>
        <v>0.11857637604728455</v>
      </c>
      <c r="U41">
        <f t="shared" si="59"/>
        <v>1.6795581698024953</v>
      </c>
      <c r="V41">
        <f t="shared" si="59"/>
        <v>13200.867827513695</v>
      </c>
    </row>
    <row r="42" spans="1:24" x14ac:dyDescent="0.15">
      <c r="B42" t="s">
        <v>148</v>
      </c>
      <c r="C42">
        <f>C27</f>
        <v>4041.6106364746452</v>
      </c>
      <c r="D42">
        <f t="shared" ref="D42:V42" si="60">D27</f>
        <v>178.27336520370235</v>
      </c>
      <c r="E42">
        <f t="shared" si="60"/>
        <v>142.41986008166157</v>
      </c>
      <c r="F42">
        <f t="shared" si="60"/>
        <v>159.50407396810365</v>
      </c>
      <c r="G42">
        <f t="shared" si="60"/>
        <v>1877.928826751684</v>
      </c>
      <c r="H42">
        <f t="shared" si="60"/>
        <v>24.78037237662064</v>
      </c>
      <c r="I42">
        <f t="shared" si="60"/>
        <v>821.59127977416506</v>
      </c>
      <c r="J42">
        <f t="shared" si="60"/>
        <v>13.252058384121781</v>
      </c>
      <c r="K42">
        <f t="shared" si="60"/>
        <v>24.994512313644794</v>
      </c>
      <c r="L42">
        <f t="shared" si="60"/>
        <v>1158.850349755925</v>
      </c>
      <c r="M42">
        <f t="shared" si="60"/>
        <v>441.20608577878977</v>
      </c>
      <c r="N42">
        <f t="shared" si="60"/>
        <v>4075.4178044689411</v>
      </c>
      <c r="O42">
        <f t="shared" si="60"/>
        <v>207.8501491276042</v>
      </c>
      <c r="P42">
        <f t="shared" si="60"/>
        <v>17.256504518103952</v>
      </c>
      <c r="Q42">
        <f t="shared" si="60"/>
        <v>3.4845167586208272</v>
      </c>
      <c r="R42">
        <f t="shared" si="60"/>
        <v>7.52658772518613</v>
      </c>
      <c r="S42">
        <f t="shared" si="60"/>
        <v>4.0257988275677405</v>
      </c>
      <c r="T42">
        <f t="shared" si="60"/>
        <v>0.38487231831020469</v>
      </c>
      <c r="U42">
        <f t="shared" si="60"/>
        <v>2.0806108736944697</v>
      </c>
      <c r="V42">
        <f t="shared" si="60"/>
        <v>13202.438265481094</v>
      </c>
    </row>
    <row r="43" spans="1:24" x14ac:dyDescent="0.15">
      <c r="B43" t="s">
        <v>149</v>
      </c>
      <c r="C43">
        <f>C36</f>
        <v>4038.32621342431</v>
      </c>
      <c r="D43">
        <f t="shared" ref="D43:V43" si="61">D36</f>
        <v>170.31207146015831</v>
      </c>
      <c r="E43">
        <f t="shared" si="61"/>
        <v>143.0942116103862</v>
      </c>
      <c r="F43">
        <f t="shared" si="61"/>
        <v>160.37039874821966</v>
      </c>
      <c r="G43">
        <f t="shared" si="61"/>
        <v>1879.370335077371</v>
      </c>
      <c r="H43">
        <f t="shared" si="61"/>
        <v>24.908010790451936</v>
      </c>
      <c r="I43">
        <f t="shared" si="61"/>
        <v>827.7841201103862</v>
      </c>
      <c r="J43">
        <f t="shared" si="61"/>
        <v>13.17162915620959</v>
      </c>
      <c r="K43">
        <f t="shared" si="61"/>
        <v>25.108093261139626</v>
      </c>
      <c r="L43">
        <f t="shared" si="61"/>
        <v>1159.9248436203029</v>
      </c>
      <c r="M43">
        <f t="shared" si="61"/>
        <v>443.19368313025961</v>
      </c>
      <c r="N43">
        <f t="shared" si="61"/>
        <v>4074.3111917041924</v>
      </c>
      <c r="O43">
        <f t="shared" si="61"/>
        <v>206.41158569292929</v>
      </c>
      <c r="P43">
        <f t="shared" si="61"/>
        <v>17.336057915137729</v>
      </c>
      <c r="Q43">
        <f t="shared" si="61"/>
        <v>3.5721009746187904</v>
      </c>
      <c r="R43">
        <f t="shared" si="61"/>
        <v>7.6552434079673333</v>
      </c>
      <c r="S43">
        <f t="shared" si="61"/>
        <v>4.2032775936626203</v>
      </c>
      <c r="T43">
        <f t="shared" si="61"/>
        <v>0.39551074574891021</v>
      </c>
      <c r="U43">
        <f t="shared" si="61"/>
        <v>2.1387877115331166</v>
      </c>
      <c r="V43">
        <f t="shared" si="61"/>
        <v>13201.587366134985</v>
      </c>
    </row>
    <row r="45" spans="1:24" x14ac:dyDescent="0.15">
      <c r="C45" s="2" t="s">
        <v>15</v>
      </c>
      <c r="D45" s="2" t="s">
        <v>16</v>
      </c>
      <c r="E45" s="2" t="s">
        <v>17</v>
      </c>
      <c r="F45" s="2" t="s">
        <v>18</v>
      </c>
      <c r="G45" s="2" t="s">
        <v>19</v>
      </c>
      <c r="H45" s="2" t="s">
        <v>20</v>
      </c>
      <c r="I45" s="2" t="s">
        <v>21</v>
      </c>
      <c r="J45" s="2" t="s">
        <v>22</v>
      </c>
      <c r="K45" s="2" t="s">
        <v>23</v>
      </c>
      <c r="L45" s="2" t="s">
        <v>24</v>
      </c>
      <c r="M45" s="2" t="s">
        <v>25</v>
      </c>
      <c r="N45" s="2" t="s">
        <v>26</v>
      </c>
      <c r="O45" s="2" t="s">
        <v>110</v>
      </c>
      <c r="P45" s="2" t="s">
        <v>38</v>
      </c>
      <c r="Q45" s="2" t="s">
        <v>0</v>
      </c>
      <c r="R45" s="2" t="s">
        <v>39</v>
      </c>
      <c r="S45" s="2" t="s">
        <v>40</v>
      </c>
      <c r="T45" s="2" t="s">
        <v>41</v>
      </c>
      <c r="U45" s="2" t="s">
        <v>1</v>
      </c>
      <c r="V45" s="2" t="s">
        <v>42</v>
      </c>
    </row>
    <row r="46" spans="1:24" x14ac:dyDescent="0.15">
      <c r="B46" t="s">
        <v>147</v>
      </c>
      <c r="C46">
        <f>C41-C40</f>
        <v>-5.5308293743451031</v>
      </c>
      <c r="D46">
        <f t="shared" ref="D46:V46" si="62">D41-D40</f>
        <v>-20.768464309017077</v>
      </c>
      <c r="E46">
        <f t="shared" si="62"/>
        <v>1.8199453991981613</v>
      </c>
      <c r="F46">
        <f t="shared" si="62"/>
        <v>2.2135559104705749</v>
      </c>
      <c r="G46">
        <f t="shared" si="62"/>
        <v>2.6367765522527407</v>
      </c>
      <c r="H46">
        <f t="shared" si="62"/>
        <v>0.24348499747756591</v>
      </c>
      <c r="I46">
        <f t="shared" si="62"/>
        <v>16.322090278341761</v>
      </c>
      <c r="J46">
        <f t="shared" si="62"/>
        <v>-0.23794445673175346</v>
      </c>
      <c r="K46">
        <f t="shared" si="62"/>
        <v>0.29478121025323745</v>
      </c>
      <c r="L46">
        <f t="shared" si="62"/>
        <v>2.6096896493236272</v>
      </c>
      <c r="M46">
        <f t="shared" si="62"/>
        <v>4.9703091701230164</v>
      </c>
      <c r="N46">
        <f t="shared" si="62"/>
        <v>-4.3806010418352344</v>
      </c>
      <c r="O46">
        <f t="shared" si="62"/>
        <v>-3.8999329508241942</v>
      </c>
      <c r="P46">
        <f t="shared" si="62"/>
        <v>0.64628466543448226</v>
      </c>
      <c r="Q46">
        <f t="shared" si="62"/>
        <v>0.19373758757126236</v>
      </c>
      <c r="R46">
        <f t="shared" si="62"/>
        <v>0.20352964912202332</v>
      </c>
      <c r="S46">
        <f t="shared" si="62"/>
        <v>0.21509565447856938</v>
      </c>
      <c r="T46">
        <f t="shared" si="62"/>
        <v>6.9943794777879015E-3</v>
      </c>
      <c r="U46">
        <f t="shared" si="62"/>
        <v>0.1060071107480991</v>
      </c>
      <c r="V46">
        <f t="shared" si="62"/>
        <v>-2.3354899184814712</v>
      </c>
    </row>
    <row r="47" spans="1:24" x14ac:dyDescent="0.15">
      <c r="B47" t="s">
        <v>148</v>
      </c>
      <c r="C47">
        <f>C42-C40</f>
        <v>-10.922168861016416</v>
      </c>
      <c r="D47">
        <f t="shared" ref="D47:V47" si="63">D42-D40</f>
        <v>-10.872092955356521</v>
      </c>
      <c r="E47">
        <f t="shared" si="63"/>
        <v>-0.20213080882226109</v>
      </c>
      <c r="F47">
        <f t="shared" si="63"/>
        <v>1.2678369948121713</v>
      </c>
      <c r="G47">
        <f t="shared" si="63"/>
        <v>5.742886875677641</v>
      </c>
      <c r="H47">
        <f t="shared" si="63"/>
        <v>0.3446529175352353</v>
      </c>
      <c r="I47">
        <f t="shared" si="63"/>
        <v>4.4827199307343335</v>
      </c>
      <c r="J47">
        <f t="shared" si="63"/>
        <v>3.7951577247460122E-2</v>
      </c>
      <c r="K47">
        <f t="shared" si="63"/>
        <v>0.13854499922408081</v>
      </c>
      <c r="L47">
        <f t="shared" si="63"/>
        <v>3.8543835439916165</v>
      </c>
      <c r="M47">
        <f t="shared" si="63"/>
        <v>3.1677394018778386</v>
      </c>
      <c r="N47">
        <f t="shared" si="63"/>
        <v>0.88760289565379935</v>
      </c>
      <c r="O47">
        <f t="shared" si="63"/>
        <v>-2.2174920282793664E-3</v>
      </c>
      <c r="P47">
        <f t="shared" si="63"/>
        <v>-4.0199838560858154</v>
      </c>
      <c r="Q47">
        <f t="shared" si="63"/>
        <v>0.28337531774984326</v>
      </c>
      <c r="R47">
        <f t="shared" si="63"/>
        <v>2.3547442614562222</v>
      </c>
      <c r="S47">
        <f t="shared" si="63"/>
        <v>1.9107531698840687</v>
      </c>
      <c r="T47">
        <f t="shared" si="63"/>
        <v>0.27329032174070805</v>
      </c>
      <c r="U47">
        <f t="shared" si="63"/>
        <v>0.50705981464007355</v>
      </c>
      <c r="V47">
        <f t="shared" si="63"/>
        <v>-0.76505195108256885</v>
      </c>
    </row>
    <row r="48" spans="1:24" x14ac:dyDescent="0.15">
      <c r="B48" t="s">
        <v>149</v>
      </c>
      <c r="C48">
        <f>C43-C40</f>
        <v>-14.206591911351552</v>
      </c>
      <c r="D48">
        <f t="shared" ref="D48:V48" si="64">D43-D40</f>
        <v>-18.833386698900568</v>
      </c>
      <c r="E48">
        <f t="shared" si="64"/>
        <v>0.47222071990236714</v>
      </c>
      <c r="F48">
        <f t="shared" si="64"/>
        <v>2.1341617749281738</v>
      </c>
      <c r="G48">
        <f t="shared" si="64"/>
        <v>7.1843952013646231</v>
      </c>
      <c r="H48">
        <f t="shared" si="64"/>
        <v>0.4722913313665309</v>
      </c>
      <c r="I48">
        <f t="shared" si="64"/>
        <v>10.675560266955472</v>
      </c>
      <c r="J48">
        <f t="shared" si="64"/>
        <v>-4.2477650664730859E-2</v>
      </c>
      <c r="K48">
        <f t="shared" si="64"/>
        <v>0.25212594671891253</v>
      </c>
      <c r="L48">
        <f t="shared" si="64"/>
        <v>4.9288774083695444</v>
      </c>
      <c r="M48">
        <f t="shared" si="64"/>
        <v>5.155336753347683</v>
      </c>
      <c r="N48">
        <f t="shared" si="64"/>
        <v>-0.21900986909486164</v>
      </c>
      <c r="O48">
        <f t="shared" si="64"/>
        <v>-1.4407809267031837</v>
      </c>
      <c r="P48">
        <f t="shared" si="64"/>
        <v>-3.9404304590520383</v>
      </c>
      <c r="Q48">
        <f t="shared" si="64"/>
        <v>0.37095953374780644</v>
      </c>
      <c r="R48">
        <f t="shared" si="64"/>
        <v>2.4833999442374255</v>
      </c>
      <c r="S48">
        <f t="shared" si="64"/>
        <v>2.0882319359789485</v>
      </c>
      <c r="T48">
        <f t="shared" si="64"/>
        <v>0.28392874917941358</v>
      </c>
      <c r="U48">
        <f t="shared" si="64"/>
        <v>0.56523665247872046</v>
      </c>
      <c r="V48">
        <f t="shared" si="64"/>
        <v>-1.6159512971917138</v>
      </c>
      <c r="X48">
        <f>V48-V46</f>
        <v>0.71953862128975743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topLeftCell="L80" workbookViewId="0">
      <selection activeCell="M89" sqref="M89"/>
    </sheetView>
  </sheetViews>
  <sheetFormatPr defaultRowHeight="13.5" x14ac:dyDescent="0.15"/>
  <cols>
    <col min="2" max="2" width="13" bestFit="1" customWidth="1"/>
    <col min="3" max="3" width="10.5" bestFit="1" customWidth="1"/>
    <col min="4" max="14" width="9.5" bestFit="1" customWidth="1"/>
  </cols>
  <sheetData>
    <row r="1" spans="1:29" x14ac:dyDescent="0.15">
      <c r="A1" s="1" t="s">
        <v>33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108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P1" s="1"/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108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15">
      <c r="A2" s="2" t="s">
        <v>2</v>
      </c>
      <c r="B2" s="1">
        <v>6932.6366856692757</v>
      </c>
      <c r="C2" s="1">
        <v>1982.8673572310493</v>
      </c>
      <c r="D2" s="1">
        <v>1152.9314486026251</v>
      </c>
      <c r="E2" s="1">
        <v>1641.8838396183753</v>
      </c>
      <c r="F2" s="1">
        <v>41885.396053760654</v>
      </c>
      <c r="G2" s="1">
        <v>2884.5172445156913</v>
      </c>
      <c r="H2" s="1">
        <v>20846.137627587952</v>
      </c>
      <c r="I2" s="1">
        <v>4225.7058757602354</v>
      </c>
      <c r="J2" s="1">
        <v>216.42828204815797</v>
      </c>
      <c r="K2" s="1">
        <v>171.12434319050502</v>
      </c>
      <c r="L2" s="1">
        <v>9989.4344297100597</v>
      </c>
      <c r="M2" s="1">
        <v>4839.2629972970526</v>
      </c>
      <c r="N2" s="1">
        <v>25661.154290085466</v>
      </c>
      <c r="P2" s="2" t="s">
        <v>2</v>
      </c>
      <c r="Q2" s="1">
        <v>0.99999999899340686</v>
      </c>
      <c r="R2" s="1">
        <v>1.0000000026115474</v>
      </c>
      <c r="S2" s="1">
        <v>1.0000000059180902</v>
      </c>
      <c r="T2" s="1">
        <v>1.0000000013488446</v>
      </c>
      <c r="U2" s="1">
        <v>0.99999999918947624</v>
      </c>
      <c r="V2" s="1">
        <v>1.0000000030294205</v>
      </c>
      <c r="W2" s="1">
        <v>0.9999999998540815</v>
      </c>
      <c r="X2" s="1">
        <v>1.0000000009224508</v>
      </c>
      <c r="Y2" s="1">
        <v>1.0000000040957788</v>
      </c>
      <c r="Z2" s="1">
        <v>1.0000000038934433</v>
      </c>
      <c r="AA2" s="1">
        <v>1.0000000007013141</v>
      </c>
      <c r="AB2" s="1">
        <v>1.0000000007683703</v>
      </c>
      <c r="AC2" s="1">
        <v>1.0000000009408931</v>
      </c>
    </row>
    <row r="3" spans="1:29" x14ac:dyDescent="0.15">
      <c r="A3" s="2" t="s">
        <v>3</v>
      </c>
      <c r="B3" s="1">
        <v>10157.60238344971</v>
      </c>
      <c r="C3" s="1">
        <v>2549.5040794376901</v>
      </c>
      <c r="D3" s="1">
        <v>1875.5026997656284</v>
      </c>
      <c r="E3" s="1">
        <v>2791.0003990868722</v>
      </c>
      <c r="F3" s="1">
        <v>60261.407919625519</v>
      </c>
      <c r="G3" s="1">
        <v>3909.3849838317537</v>
      </c>
      <c r="H3" s="1">
        <v>30653.020506962195</v>
      </c>
      <c r="I3" s="1">
        <v>5894.1739528299031</v>
      </c>
      <c r="J3" s="1">
        <v>287.93670974380348</v>
      </c>
      <c r="K3" s="1">
        <v>255.09736342583301</v>
      </c>
      <c r="L3" s="1">
        <v>14842.223039709765</v>
      </c>
      <c r="M3" s="1">
        <v>7018.2396195482897</v>
      </c>
      <c r="N3" s="1">
        <v>37733.039745717731</v>
      </c>
      <c r="P3" s="2" t="s">
        <v>3</v>
      </c>
      <c r="Q3" s="1">
        <v>1.1721546281067223</v>
      </c>
      <c r="R3" s="1">
        <v>1.0711988929491278</v>
      </c>
      <c r="S3" s="1">
        <v>1.1388990534988626</v>
      </c>
      <c r="T3" s="1">
        <v>0.9773703058658455</v>
      </c>
      <c r="U3" s="1">
        <v>1.0011680544711039</v>
      </c>
      <c r="V3" s="1">
        <v>1.0725627851955213</v>
      </c>
      <c r="W3" s="1">
        <v>0.97618778288328878</v>
      </c>
      <c r="X3" s="1">
        <v>0.96608132870144059</v>
      </c>
      <c r="Y3" s="1">
        <v>1.1103370215057156</v>
      </c>
      <c r="Z3" s="1">
        <v>0.95872835384577715</v>
      </c>
      <c r="AA3" s="1">
        <v>1.0034523047475701</v>
      </c>
      <c r="AB3" s="1">
        <v>0.97743746504379292</v>
      </c>
      <c r="AC3" s="1">
        <v>0.97801896396043797</v>
      </c>
    </row>
    <row r="4" spans="1:29" x14ac:dyDescent="0.15">
      <c r="A4" s="2" t="s">
        <v>4</v>
      </c>
      <c r="B4" s="1">
        <v>13727.960638787128</v>
      </c>
      <c r="C4" s="1">
        <v>3054.8285583239413</v>
      </c>
      <c r="D4" s="1">
        <v>2655.6605410711109</v>
      </c>
      <c r="E4" s="1">
        <v>4141.221334656806</v>
      </c>
      <c r="F4" s="1">
        <v>81024.604920496698</v>
      </c>
      <c r="G4" s="1">
        <v>4937.0909861269693</v>
      </c>
      <c r="H4" s="1">
        <v>41811.316214294784</v>
      </c>
      <c r="I4" s="1">
        <v>7572.8325036076531</v>
      </c>
      <c r="J4" s="1">
        <v>358.49571972071789</v>
      </c>
      <c r="K4" s="1">
        <v>354.69093464751921</v>
      </c>
      <c r="L4" s="1">
        <v>20351.218345263645</v>
      </c>
      <c r="M4" s="1">
        <v>9496.4207914089293</v>
      </c>
      <c r="N4" s="1">
        <v>51735.083671595778</v>
      </c>
      <c r="P4" s="2" t="s">
        <v>4</v>
      </c>
      <c r="Q4" s="1">
        <v>1.4361383804608137</v>
      </c>
      <c r="R4" s="1">
        <v>1.1314288804289823</v>
      </c>
      <c r="S4" s="1">
        <v>1.2493078354094915</v>
      </c>
      <c r="T4" s="1">
        <v>0.93506370511591097</v>
      </c>
      <c r="U4" s="1">
        <v>1.005754748852898</v>
      </c>
      <c r="V4" s="1">
        <v>1.1161080545025384</v>
      </c>
      <c r="W4" s="1">
        <v>0.94077593728156306</v>
      </c>
      <c r="X4" s="1">
        <v>0.9276163529064787</v>
      </c>
      <c r="Y4" s="1">
        <v>1.1930017944161195</v>
      </c>
      <c r="Z4" s="1">
        <v>0.88635433622542925</v>
      </c>
      <c r="AA4" s="1">
        <v>1.0071822254352039</v>
      </c>
      <c r="AB4" s="1">
        <v>0.93815067606018321</v>
      </c>
      <c r="AC4" s="1">
        <v>0.94521056261504044</v>
      </c>
    </row>
    <row r="5" spans="1:29" x14ac:dyDescent="0.15">
      <c r="A5" s="2" t="s">
        <v>5</v>
      </c>
      <c r="B5" s="1">
        <v>17154.241484474769</v>
      </c>
      <c r="C5" s="1">
        <v>3424.1127491480643</v>
      </c>
      <c r="D5" s="1">
        <v>3306.8789424077841</v>
      </c>
      <c r="E5" s="1">
        <v>5461.7545317261483</v>
      </c>
      <c r="F5" s="1">
        <v>101170.33080912591</v>
      </c>
      <c r="G5" s="1">
        <v>5755.2615951106636</v>
      </c>
      <c r="H5" s="1">
        <v>52691.754155348091</v>
      </c>
      <c r="I5" s="1">
        <v>8964.1712450257928</v>
      </c>
      <c r="J5" s="1">
        <v>415.82212781391723</v>
      </c>
      <c r="K5" s="1">
        <v>453.59347253806516</v>
      </c>
      <c r="L5" s="1">
        <v>25794.463220518821</v>
      </c>
      <c r="M5" s="1">
        <v>11912.863760174594</v>
      </c>
      <c r="N5" s="1">
        <v>65391.430946550048</v>
      </c>
      <c r="P5" s="2" t="s">
        <v>5</v>
      </c>
      <c r="Q5" s="1">
        <v>1.6715358432933307</v>
      </c>
      <c r="R5" s="1">
        <v>1.1578617005736622</v>
      </c>
      <c r="S5" s="1">
        <v>1.3255694116999157</v>
      </c>
      <c r="T5" s="1">
        <v>0.89699000573060028</v>
      </c>
      <c r="U5" s="1">
        <v>1.0119171544864092</v>
      </c>
      <c r="V5" s="1">
        <v>1.1403104894231422</v>
      </c>
      <c r="W5" s="1">
        <v>0.90610321181841313</v>
      </c>
      <c r="X5" s="1">
        <v>0.88768846930903011</v>
      </c>
      <c r="Y5" s="1">
        <v>1.2449802141258441</v>
      </c>
      <c r="Z5" s="1">
        <v>0.82251076576126925</v>
      </c>
      <c r="AA5" s="1">
        <v>1.0019359204785487</v>
      </c>
      <c r="AB5" s="1">
        <v>0.8975854199078257</v>
      </c>
      <c r="AC5" s="1">
        <v>0.92253051179251611</v>
      </c>
    </row>
    <row r="6" spans="1:29" x14ac:dyDescent="0.15">
      <c r="A6" s="2" t="s">
        <v>6</v>
      </c>
      <c r="B6" s="1">
        <v>20451.362198503437</v>
      </c>
      <c r="C6" s="1">
        <v>3665.033573107592</v>
      </c>
      <c r="D6" s="1">
        <v>3846.8634800521336</v>
      </c>
      <c r="E6" s="1">
        <v>6766.1078712644194</v>
      </c>
      <c r="F6" s="1">
        <v>120819.24355381077</v>
      </c>
      <c r="G6" s="1">
        <v>6391.4117811394372</v>
      </c>
      <c r="H6" s="1">
        <v>63396.697042415995</v>
      </c>
      <c r="I6" s="1">
        <v>10117.784899217007</v>
      </c>
      <c r="J6" s="1">
        <v>462.40751376361186</v>
      </c>
      <c r="K6" s="1">
        <v>552.66902963545272</v>
      </c>
      <c r="L6" s="1">
        <v>31276.108179707695</v>
      </c>
      <c r="M6" s="1">
        <v>14289.390542078903</v>
      </c>
      <c r="N6" s="1">
        <v>78690.180309494448</v>
      </c>
      <c r="P6" s="2" t="s">
        <v>6</v>
      </c>
      <c r="Q6" s="1">
        <v>1.9042621024421602</v>
      </c>
      <c r="R6" s="1">
        <v>1.1560168241135544</v>
      </c>
      <c r="S6" s="1">
        <v>1.3719280368465199</v>
      </c>
      <c r="T6" s="1">
        <v>0.85731889824422081</v>
      </c>
      <c r="U6" s="1">
        <v>1.020025784627395</v>
      </c>
      <c r="V6" s="1">
        <v>1.145465764186884</v>
      </c>
      <c r="W6" s="1">
        <v>0.8684722808292612</v>
      </c>
      <c r="X6" s="1">
        <v>0.84226218086590265</v>
      </c>
      <c r="Y6" s="1">
        <v>1.2701284446560783</v>
      </c>
      <c r="Z6" s="1">
        <v>0.75836026541496337</v>
      </c>
      <c r="AA6" s="1">
        <v>0.98725772889097863</v>
      </c>
      <c r="AB6" s="1">
        <v>0.85130315049306249</v>
      </c>
      <c r="AC6" s="1">
        <v>0.90678641223976719</v>
      </c>
    </row>
    <row r="8" spans="1:29" x14ac:dyDescent="0.1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29" x14ac:dyDescent="0.15">
      <c r="A9" s="1" t="s">
        <v>109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108</v>
      </c>
      <c r="J9" s="2" t="s">
        <v>22</v>
      </c>
      <c r="K9" s="2" t="s">
        <v>23</v>
      </c>
      <c r="L9" s="2" t="s">
        <v>24</v>
      </c>
      <c r="M9" s="2" t="s">
        <v>25</v>
      </c>
      <c r="N9" s="2" t="s">
        <v>26</v>
      </c>
      <c r="P9" s="1"/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2" t="s">
        <v>20</v>
      </c>
      <c r="W9" s="2" t="s">
        <v>21</v>
      </c>
      <c r="X9" s="2" t="s">
        <v>108</v>
      </c>
      <c r="Y9" s="2" t="s">
        <v>22</v>
      </c>
      <c r="Z9" s="2" t="s">
        <v>23</v>
      </c>
      <c r="AA9" s="2" t="s">
        <v>24</v>
      </c>
      <c r="AB9" s="2" t="s">
        <v>25</v>
      </c>
      <c r="AC9" s="2" t="s">
        <v>26</v>
      </c>
    </row>
    <row r="10" spans="1:29" x14ac:dyDescent="0.15">
      <c r="A10" s="2" t="s">
        <v>2</v>
      </c>
      <c r="B10" s="1">
        <v>6932.6366869393833</v>
      </c>
      <c r="C10" s="1">
        <v>1982.8673769726913</v>
      </c>
      <c r="D10" s="1">
        <v>1152.9314463158869</v>
      </c>
      <c r="E10" s="1">
        <v>1641.8838401534429</v>
      </c>
      <c r="F10" s="1">
        <v>41885.39606123788</v>
      </c>
      <c r="G10" s="1">
        <v>2884.5172398968089</v>
      </c>
      <c r="H10" s="1">
        <v>20846.137632424739</v>
      </c>
      <c r="I10" s="1">
        <v>4225.7058723990649</v>
      </c>
      <c r="J10" s="1">
        <v>216.42828262144286</v>
      </c>
      <c r="K10" s="1">
        <v>171.12434321285733</v>
      </c>
      <c r="L10" s="1">
        <v>9989.4344303924991</v>
      </c>
      <c r="M10" s="1">
        <v>4839.2629988892513</v>
      </c>
      <c r="N10" s="1">
        <v>25661.154294331784</v>
      </c>
      <c r="P10" s="2" t="s">
        <v>2</v>
      </c>
      <c r="Q10" s="1">
        <v>0.99999999908461912</v>
      </c>
      <c r="R10" s="1">
        <v>1.0000000038245089</v>
      </c>
      <c r="S10" s="1">
        <v>1.000000005375661</v>
      </c>
      <c r="T10" s="1">
        <v>1.0000000014254935</v>
      </c>
      <c r="U10" s="1">
        <v>0.9999999992002816</v>
      </c>
      <c r="V10" s="1">
        <v>1.0000000027709466</v>
      </c>
      <c r="W10" s="1">
        <v>0.99999999990783939</v>
      </c>
      <c r="X10" s="1">
        <v>1.0000000013108634</v>
      </c>
      <c r="Y10" s="1">
        <v>1.0000000041800994</v>
      </c>
      <c r="Z10" s="1">
        <v>1.0000000041112622</v>
      </c>
      <c r="AA10" s="1">
        <v>1.0000000007296483</v>
      </c>
      <c r="AB10" s="1">
        <v>1.0000000007171383</v>
      </c>
      <c r="AC10" s="1">
        <v>1.0000000008879864</v>
      </c>
    </row>
    <row r="11" spans="1:29" x14ac:dyDescent="0.15">
      <c r="A11" s="2" t="s">
        <v>3</v>
      </c>
      <c r="B11" s="1">
        <v>10157.602384572005</v>
      </c>
      <c r="C11" s="1">
        <v>2549.5041048669259</v>
      </c>
      <c r="D11" s="1">
        <v>1875.5026968039683</v>
      </c>
      <c r="E11" s="1">
        <v>2791.0003994811</v>
      </c>
      <c r="F11" s="1">
        <v>60261.407925430824</v>
      </c>
      <c r="G11" s="1">
        <v>3909.3849779149764</v>
      </c>
      <c r="H11" s="1">
        <v>30653.020510800303</v>
      </c>
      <c r="I11" s="1">
        <v>5894.1739471207375</v>
      </c>
      <c r="J11" s="1">
        <v>287.93671049459226</v>
      </c>
      <c r="K11" s="1">
        <v>255.09736342321617</v>
      </c>
      <c r="L11" s="1">
        <v>14842.223038902519</v>
      </c>
      <c r="M11" s="1">
        <v>7018.2396211193882</v>
      </c>
      <c r="N11" s="1">
        <v>37733.039750065982</v>
      </c>
      <c r="P11" s="2" t="s">
        <v>3</v>
      </c>
      <c r="Q11" s="1">
        <v>1.1721546280674784</v>
      </c>
      <c r="R11" s="1">
        <v>1.0711988944582245</v>
      </c>
      <c r="S11" s="1">
        <v>1.1388990530721321</v>
      </c>
      <c r="T11" s="1">
        <v>0.97737030616790244</v>
      </c>
      <c r="U11" s="1">
        <v>1.0011680544898502</v>
      </c>
      <c r="V11" s="1">
        <v>1.0725627850846664</v>
      </c>
      <c r="W11" s="1">
        <v>0.97618778309307208</v>
      </c>
      <c r="X11" s="1">
        <v>0.96608132943630054</v>
      </c>
      <c r="Y11" s="1">
        <v>1.1103370218932638</v>
      </c>
      <c r="Z11" s="1">
        <v>0.95872835446816995</v>
      </c>
      <c r="AA11" s="1">
        <v>1.0034523048722603</v>
      </c>
      <c r="AB11" s="1">
        <v>0.97743746513575003</v>
      </c>
      <c r="AC11" s="1">
        <v>0.97801896381870324</v>
      </c>
    </row>
    <row r="12" spans="1:29" x14ac:dyDescent="0.15">
      <c r="A12" s="2" t="s">
        <v>4</v>
      </c>
      <c r="B12" s="1">
        <v>13727.960639710594</v>
      </c>
      <c r="C12" s="1">
        <v>3054.8285892752269</v>
      </c>
      <c r="D12" s="1">
        <v>2655.6605377988735</v>
      </c>
      <c r="E12" s="1">
        <v>4141.2213348385549</v>
      </c>
      <c r="F12" s="1">
        <v>81024.604924056854</v>
      </c>
      <c r="G12" s="1">
        <v>4937.0909795143943</v>
      </c>
      <c r="H12" s="1">
        <v>41811.316216571286</v>
      </c>
      <c r="I12" s="1">
        <v>7572.8324954263089</v>
      </c>
      <c r="J12" s="1">
        <v>358.49572070638379</v>
      </c>
      <c r="K12" s="1">
        <v>354.69093463695719</v>
      </c>
      <c r="L12" s="1">
        <v>20351.218342237858</v>
      </c>
      <c r="M12" s="1">
        <v>9496.4207928670767</v>
      </c>
      <c r="N12" s="1">
        <v>51735.083676370501</v>
      </c>
      <c r="P12" s="2" t="s">
        <v>4</v>
      </c>
      <c r="Q12" s="1">
        <v>1.4361383802989036</v>
      </c>
      <c r="R12" s="1">
        <v>1.1314288821087122</v>
      </c>
      <c r="S12" s="1">
        <v>1.249307834948713</v>
      </c>
      <c r="T12" s="1">
        <v>0.93506370543315021</v>
      </c>
      <c r="U12" s="1">
        <v>1.0057547488685432</v>
      </c>
      <c r="V12" s="1">
        <v>1.1161080543599045</v>
      </c>
      <c r="W12" s="1">
        <v>0.94077593760246347</v>
      </c>
      <c r="X12" s="1">
        <v>0.92761635387866581</v>
      </c>
      <c r="Y12" s="1">
        <v>1.1930017947512228</v>
      </c>
      <c r="Z12" s="1">
        <v>0.88635433670385777</v>
      </c>
      <c r="AA12" s="1">
        <v>1.0071822256594991</v>
      </c>
      <c r="AB12" s="1">
        <v>0.93815067624687132</v>
      </c>
      <c r="AC12" s="1">
        <v>0.94521056240923351</v>
      </c>
    </row>
    <row r="13" spans="1:29" x14ac:dyDescent="0.15">
      <c r="A13" s="2" t="s">
        <v>5</v>
      </c>
      <c r="B13" s="1">
        <v>17139.294587952678</v>
      </c>
      <c r="C13" s="1">
        <v>3264.8684711364058</v>
      </c>
      <c r="D13" s="1">
        <v>3306.893183181407</v>
      </c>
      <c r="E13" s="1">
        <v>5453.3471686234971</v>
      </c>
      <c r="F13" s="1">
        <v>101047.05679228254</v>
      </c>
      <c r="G13" s="1">
        <v>5760.8628492645958</v>
      </c>
      <c r="H13" s="1">
        <v>52618.503795729383</v>
      </c>
      <c r="I13" s="1">
        <v>8881.9200796635287</v>
      </c>
      <c r="J13" s="1">
        <v>412.23104068878132</v>
      </c>
      <c r="K13" s="1">
        <v>452.92610255953667</v>
      </c>
      <c r="L13" s="1">
        <v>25784.436750225308</v>
      </c>
      <c r="M13" s="1">
        <v>11891.875841209874</v>
      </c>
      <c r="N13" s="1">
        <v>65332.73962717969</v>
      </c>
      <c r="P13" s="2" t="s">
        <v>5</v>
      </c>
      <c r="Q13" s="1">
        <v>1.6653858146913316</v>
      </c>
      <c r="R13" s="1">
        <v>1.160357593244737</v>
      </c>
      <c r="S13" s="1">
        <v>1.3258764918944139</v>
      </c>
      <c r="T13" s="1">
        <v>0.89893417749022908</v>
      </c>
      <c r="U13" s="1">
        <v>1.0125598058881051</v>
      </c>
      <c r="V13" s="1">
        <v>1.148185156263213</v>
      </c>
      <c r="W13" s="1">
        <v>0.91148524084727345</v>
      </c>
      <c r="X13" s="1">
        <v>0.91075671210390496</v>
      </c>
      <c r="Y13" s="1">
        <v>1.2483577566735755</v>
      </c>
      <c r="Z13" s="1">
        <v>0.8234699252442893</v>
      </c>
      <c r="AA13" s="1">
        <v>1.0015722679454677</v>
      </c>
      <c r="AB13" s="1">
        <v>0.89776755451757928</v>
      </c>
      <c r="AC13" s="1">
        <v>0.92168785961478161</v>
      </c>
    </row>
    <row r="14" spans="1:29" x14ac:dyDescent="0.15">
      <c r="A14" s="2" t="s">
        <v>6</v>
      </c>
      <c r="B14" s="1">
        <v>20414.837962391044</v>
      </c>
      <c r="C14" s="1">
        <v>3313.2705157919386</v>
      </c>
      <c r="D14" s="1">
        <v>3845.879496674057</v>
      </c>
      <c r="E14" s="1">
        <v>6745.6989324753285</v>
      </c>
      <c r="F14" s="1">
        <v>120522.5232973883</v>
      </c>
      <c r="G14" s="1">
        <v>6403.1692873368711</v>
      </c>
      <c r="H14" s="1">
        <v>63220.571195787808</v>
      </c>
      <c r="I14" s="1">
        <v>9927.9449500283772</v>
      </c>
      <c r="J14" s="1">
        <v>453.78156134797644</v>
      </c>
      <c r="K14" s="1">
        <v>550.9680140372401</v>
      </c>
      <c r="L14" s="1">
        <v>31250.17586270587</v>
      </c>
      <c r="M14" s="1">
        <v>14239.416400894625</v>
      </c>
      <c r="N14" s="1">
        <v>78541.393235375828</v>
      </c>
      <c r="P14" s="2" t="s">
        <v>6</v>
      </c>
      <c r="Q14" s="1">
        <v>1.8900274909848822</v>
      </c>
      <c r="R14" s="1">
        <v>1.161889194749788</v>
      </c>
      <c r="S14" s="1">
        <v>1.3728063156435519</v>
      </c>
      <c r="T14" s="1">
        <v>0.86138912708947823</v>
      </c>
      <c r="U14" s="1">
        <v>1.0212422783479356</v>
      </c>
      <c r="V14" s="1">
        <v>1.1627689199224684</v>
      </c>
      <c r="W14" s="1">
        <v>0.87949666515995506</v>
      </c>
      <c r="X14" s="1">
        <v>0.8893318845072653</v>
      </c>
      <c r="Y14" s="1">
        <v>1.277684817918062</v>
      </c>
      <c r="Z14" s="1">
        <v>0.7605514287007985</v>
      </c>
      <c r="AA14" s="1">
        <v>0.98647126775866467</v>
      </c>
      <c r="AB14" s="1">
        <v>0.85214706463297785</v>
      </c>
      <c r="AC14" s="1">
        <v>0.90528885939996284</v>
      </c>
    </row>
    <row r="15" spans="1:29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9" x14ac:dyDescent="0.1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9" x14ac:dyDescent="0.15">
      <c r="A17" s="1" t="s">
        <v>35</v>
      </c>
      <c r="B17" s="2" t="s">
        <v>15</v>
      </c>
      <c r="C17" s="2" t="s">
        <v>16</v>
      </c>
      <c r="D17" s="2" t="s">
        <v>17</v>
      </c>
      <c r="E17" s="2" t="s">
        <v>18</v>
      </c>
      <c r="F17" s="2" t="s">
        <v>19</v>
      </c>
      <c r="G17" s="2" t="s">
        <v>20</v>
      </c>
      <c r="H17" s="2" t="s">
        <v>21</v>
      </c>
      <c r="I17" s="2" t="s">
        <v>108</v>
      </c>
      <c r="J17" s="2" t="s">
        <v>22</v>
      </c>
      <c r="K17" s="2" t="s">
        <v>23</v>
      </c>
      <c r="L17" s="2" t="s">
        <v>24</v>
      </c>
      <c r="M17" s="2" t="s">
        <v>25</v>
      </c>
      <c r="N17" s="2" t="s">
        <v>26</v>
      </c>
      <c r="P17" s="1"/>
      <c r="Q17" s="2" t="s">
        <v>15</v>
      </c>
      <c r="R17" s="2" t="s">
        <v>16</v>
      </c>
      <c r="S17" s="2" t="s">
        <v>17</v>
      </c>
      <c r="T17" s="2" t="s">
        <v>18</v>
      </c>
      <c r="U17" s="2" t="s">
        <v>19</v>
      </c>
      <c r="V17" s="2" t="s">
        <v>20</v>
      </c>
      <c r="W17" s="2" t="s">
        <v>21</v>
      </c>
      <c r="X17" s="2" t="s">
        <v>108</v>
      </c>
      <c r="Y17" s="2" t="s">
        <v>22</v>
      </c>
      <c r="Z17" s="2" t="s">
        <v>23</v>
      </c>
      <c r="AA17" s="2" t="s">
        <v>24</v>
      </c>
      <c r="AB17" s="2" t="s">
        <v>25</v>
      </c>
      <c r="AC17" s="2" t="s">
        <v>26</v>
      </c>
    </row>
    <row r="18" spans="1:29" x14ac:dyDescent="0.15">
      <c r="A18" s="2" t="s">
        <v>2</v>
      </c>
      <c r="B18" s="1">
        <v>6932.6366869393833</v>
      </c>
      <c r="C18" s="1">
        <v>1982.8673769726913</v>
      </c>
      <c r="D18" s="1">
        <v>1152.9314463158869</v>
      </c>
      <c r="E18" s="1">
        <v>1641.8838401534429</v>
      </c>
      <c r="F18" s="1">
        <v>41885.39606123788</v>
      </c>
      <c r="G18" s="1">
        <v>2884.5172398968089</v>
      </c>
      <c r="H18" s="1">
        <v>20846.137632424739</v>
      </c>
      <c r="I18" s="1">
        <v>4225.7058723990649</v>
      </c>
      <c r="J18" s="1">
        <v>216.42828262144286</v>
      </c>
      <c r="K18" s="1">
        <v>171.12434321285733</v>
      </c>
      <c r="L18" s="1">
        <v>9989.4344303924991</v>
      </c>
      <c r="M18" s="1">
        <v>4839.2629988892513</v>
      </c>
      <c r="N18" s="1">
        <v>25661.154294331784</v>
      </c>
      <c r="P18" s="2" t="s">
        <v>2</v>
      </c>
      <c r="Q18" s="1">
        <v>0.99999999908461912</v>
      </c>
      <c r="R18" s="1">
        <v>1.0000000038245089</v>
      </c>
      <c r="S18" s="1">
        <v>1.000000005375661</v>
      </c>
      <c r="T18" s="1">
        <v>1.0000000014254935</v>
      </c>
      <c r="U18" s="1">
        <v>0.9999999992002816</v>
      </c>
      <c r="V18" s="1">
        <v>1.0000000027709466</v>
      </c>
      <c r="W18" s="1">
        <v>0.99999999990783939</v>
      </c>
      <c r="X18" s="1">
        <v>1.0000000013108634</v>
      </c>
      <c r="Y18" s="1">
        <v>1.0000000041800994</v>
      </c>
      <c r="Z18" s="1">
        <v>1.0000000041112622</v>
      </c>
      <c r="AA18" s="1">
        <v>1.0000000007296483</v>
      </c>
      <c r="AB18" s="1">
        <v>1.0000000007171383</v>
      </c>
      <c r="AC18" s="1">
        <v>1.0000000008879864</v>
      </c>
    </row>
    <row r="19" spans="1:29" x14ac:dyDescent="0.15">
      <c r="A19" s="2" t="s">
        <v>3</v>
      </c>
      <c r="B19" s="1">
        <v>10157.602384572005</v>
      </c>
      <c r="C19" s="1">
        <v>2549.5041048669259</v>
      </c>
      <c r="D19" s="1">
        <v>1875.5026968039683</v>
      </c>
      <c r="E19" s="1">
        <v>2791.0003994811</v>
      </c>
      <c r="F19" s="1">
        <v>60261.407925430824</v>
      </c>
      <c r="G19" s="1">
        <v>3909.3849779149764</v>
      </c>
      <c r="H19" s="1">
        <v>30653.020510800303</v>
      </c>
      <c r="I19" s="1">
        <v>5894.1739471207375</v>
      </c>
      <c r="J19" s="1">
        <v>287.93671049459226</v>
      </c>
      <c r="K19" s="1">
        <v>255.09736342321617</v>
      </c>
      <c r="L19" s="1">
        <v>14842.223038902519</v>
      </c>
      <c r="M19" s="1">
        <v>7018.2396211193882</v>
      </c>
      <c r="N19" s="1">
        <v>37733.039750065982</v>
      </c>
      <c r="P19" s="2" t="s">
        <v>3</v>
      </c>
      <c r="Q19" s="1">
        <v>1.1721546280674784</v>
      </c>
      <c r="R19" s="1">
        <v>1.0711988944582245</v>
      </c>
      <c r="S19" s="1">
        <v>1.1388990530721321</v>
      </c>
      <c r="T19" s="1">
        <v>0.97737030616790244</v>
      </c>
      <c r="U19" s="1">
        <v>1.0011680544898502</v>
      </c>
      <c r="V19" s="1">
        <v>1.0725627850846664</v>
      </c>
      <c r="W19" s="1">
        <v>0.97618778309307208</v>
      </c>
      <c r="X19" s="1">
        <v>0.96608132943630054</v>
      </c>
      <c r="Y19" s="1">
        <v>1.1103370218932638</v>
      </c>
      <c r="Z19" s="1">
        <v>0.95872835446816995</v>
      </c>
      <c r="AA19" s="1">
        <v>1.0034523048722603</v>
      </c>
      <c r="AB19" s="1">
        <v>0.97743746513575003</v>
      </c>
      <c r="AC19" s="1">
        <v>0.97801896381870324</v>
      </c>
    </row>
    <row r="20" spans="1:29" x14ac:dyDescent="0.15">
      <c r="A20" s="2" t="s">
        <v>4</v>
      </c>
      <c r="B20" s="1">
        <v>13727.960639710594</v>
      </c>
      <c r="C20" s="1">
        <v>3054.8285892752269</v>
      </c>
      <c r="D20" s="1">
        <v>2655.6605377988735</v>
      </c>
      <c r="E20" s="1">
        <v>4141.2213348385549</v>
      </c>
      <c r="F20" s="1">
        <v>81024.604924056854</v>
      </c>
      <c r="G20" s="1">
        <v>4937.0909795143943</v>
      </c>
      <c r="H20" s="1">
        <v>41811.316216571286</v>
      </c>
      <c r="I20" s="1">
        <v>7572.8324954263089</v>
      </c>
      <c r="J20" s="1">
        <v>358.49572070638379</v>
      </c>
      <c r="K20" s="1">
        <v>354.69093463695719</v>
      </c>
      <c r="L20" s="1">
        <v>20351.218342237858</v>
      </c>
      <c r="M20" s="1">
        <v>9496.4207928670767</v>
      </c>
      <c r="N20" s="1">
        <v>51735.083676370501</v>
      </c>
      <c r="P20" s="2" t="s">
        <v>4</v>
      </c>
      <c r="Q20" s="1">
        <v>1.4361383802989036</v>
      </c>
      <c r="R20" s="1">
        <v>1.1314288821087122</v>
      </c>
      <c r="S20" s="1">
        <v>1.249307834948713</v>
      </c>
      <c r="T20" s="1">
        <v>0.93506370543315021</v>
      </c>
      <c r="U20" s="1">
        <v>1.0057547488685432</v>
      </c>
      <c r="V20" s="1">
        <v>1.1161080543599045</v>
      </c>
      <c r="W20" s="1">
        <v>0.94077593760246347</v>
      </c>
      <c r="X20" s="1">
        <v>0.92761635387866581</v>
      </c>
      <c r="Y20" s="1">
        <v>1.1930017947512228</v>
      </c>
      <c r="Z20" s="1">
        <v>0.88635433670385777</v>
      </c>
      <c r="AA20" s="1">
        <v>1.0071822256594991</v>
      </c>
      <c r="AB20" s="1">
        <v>0.93815067624687132</v>
      </c>
      <c r="AC20" s="1">
        <v>0.94521056240923351</v>
      </c>
    </row>
    <row r="21" spans="1:29" x14ac:dyDescent="0.15">
      <c r="A21" s="2" t="s">
        <v>5</v>
      </c>
      <c r="B21" s="1">
        <v>17104.296769794499</v>
      </c>
      <c r="C21" s="1">
        <v>2975.6581116056209</v>
      </c>
      <c r="D21" s="1">
        <v>3301.7251194522105</v>
      </c>
      <c r="E21" s="1">
        <v>5433.2532323555879</v>
      </c>
      <c r="F21" s="1">
        <v>100760.07326138072</v>
      </c>
      <c r="G21" s="1">
        <v>5764.1615609384571</v>
      </c>
      <c r="H21" s="1">
        <v>52446.340813988274</v>
      </c>
      <c r="I21" s="1">
        <v>8706.3327563422699</v>
      </c>
      <c r="J21" s="1">
        <v>404.38755454979156</v>
      </c>
      <c r="K21" s="1">
        <v>451.31682242503234</v>
      </c>
      <c r="L21" s="1">
        <v>25740.929540138452</v>
      </c>
      <c r="M21" s="1">
        <v>11845.580073601644</v>
      </c>
      <c r="N21" s="1">
        <v>65206.554503233005</v>
      </c>
      <c r="P21" s="2" t="s">
        <v>5</v>
      </c>
      <c r="Q21" s="1">
        <v>1.6517862079828636</v>
      </c>
      <c r="R21" s="1">
        <v>1.1707010531543751</v>
      </c>
      <c r="S21" s="1">
        <v>1.3267878152573518</v>
      </c>
      <c r="T21" s="1">
        <v>0.90416560274581614</v>
      </c>
      <c r="U21" s="1">
        <v>1.0138324275829693</v>
      </c>
      <c r="V21" s="1">
        <v>1.1661996384909277</v>
      </c>
      <c r="W21" s="1">
        <v>0.92355048284390762</v>
      </c>
      <c r="X21" s="1">
        <v>0.96252649331140394</v>
      </c>
      <c r="Y21" s="1">
        <v>1.2570975910620825</v>
      </c>
      <c r="Z21" s="1">
        <v>0.82711246718942133</v>
      </c>
      <c r="AA21" s="1">
        <v>1.0017276182574852</v>
      </c>
      <c r="AB21" s="1">
        <v>0.8993428333821043</v>
      </c>
      <c r="AC21" s="1">
        <v>0.91923861378500493</v>
      </c>
    </row>
    <row r="22" spans="1:29" x14ac:dyDescent="0.15">
      <c r="A22" s="2" t="s">
        <v>6</v>
      </c>
      <c r="B22" s="1">
        <v>20317.075504916531</v>
      </c>
      <c r="C22" s="1">
        <v>2735.297475678422</v>
      </c>
      <c r="D22" s="1">
        <v>3817.1750225095711</v>
      </c>
      <c r="E22" s="1">
        <v>6686.8940342599608</v>
      </c>
      <c r="F22" s="1">
        <v>119720.80658950144</v>
      </c>
      <c r="G22" s="1">
        <v>6386.0319495925824</v>
      </c>
      <c r="H22" s="1">
        <v>62728.237123228202</v>
      </c>
      <c r="I22" s="1">
        <v>9491.4456589799956</v>
      </c>
      <c r="J22" s="1">
        <v>433.3905308563713</v>
      </c>
      <c r="K22" s="1">
        <v>546.1672872842388</v>
      </c>
      <c r="L22" s="1">
        <v>31070.01764545824</v>
      </c>
      <c r="M22" s="1">
        <v>14114.954063574236</v>
      </c>
      <c r="N22" s="1">
        <v>78210.372577837348</v>
      </c>
      <c r="P22" s="2" t="s">
        <v>6</v>
      </c>
      <c r="Q22" s="1">
        <v>1.8541143935548208</v>
      </c>
      <c r="R22" s="1">
        <v>1.1990258575271582</v>
      </c>
      <c r="S22" s="1">
        <v>1.3754533843422865</v>
      </c>
      <c r="T22" s="1">
        <v>0.87534694007382752</v>
      </c>
      <c r="U22" s="1">
        <v>1.0234820215759493</v>
      </c>
      <c r="V22" s="1">
        <v>1.2082902907361919</v>
      </c>
      <c r="W22" s="1">
        <v>0.90781245945097955</v>
      </c>
      <c r="X22" s="1">
        <v>1.0105175622467819</v>
      </c>
      <c r="Y22" s="1">
        <v>1.3017986140789037</v>
      </c>
      <c r="Z22" s="1">
        <v>0.7719049361134529</v>
      </c>
      <c r="AA22" s="1">
        <v>0.98928957824235186</v>
      </c>
      <c r="AB22" s="1">
        <v>0.85942660406390714</v>
      </c>
      <c r="AC22" s="1">
        <v>0.89877340119518345</v>
      </c>
    </row>
    <row r="25" spans="1:29" x14ac:dyDescent="0.15">
      <c r="A25" s="1" t="s">
        <v>104</v>
      </c>
      <c r="B25" s="2" t="s">
        <v>15</v>
      </c>
      <c r="C25" s="2" t="s">
        <v>16</v>
      </c>
      <c r="D25" s="2" t="s">
        <v>17</v>
      </c>
      <c r="E25" s="2" t="s">
        <v>18</v>
      </c>
      <c r="F25" s="2" t="s">
        <v>19</v>
      </c>
      <c r="G25" s="2" t="s">
        <v>20</v>
      </c>
      <c r="H25" s="2" t="s">
        <v>21</v>
      </c>
      <c r="I25" s="2" t="s">
        <v>108</v>
      </c>
      <c r="J25" s="2" t="s">
        <v>22</v>
      </c>
      <c r="K25" s="2" t="s">
        <v>23</v>
      </c>
      <c r="L25" s="2" t="s">
        <v>24</v>
      </c>
      <c r="M25" s="2" t="s">
        <v>25</v>
      </c>
      <c r="N25" s="2" t="s">
        <v>26</v>
      </c>
      <c r="P25" s="1"/>
      <c r="Q25" s="2" t="s">
        <v>15</v>
      </c>
      <c r="R25" s="2" t="s">
        <v>16</v>
      </c>
      <c r="S25" s="2" t="s">
        <v>17</v>
      </c>
      <c r="T25" s="2" t="s">
        <v>18</v>
      </c>
      <c r="U25" s="2" t="s">
        <v>19</v>
      </c>
      <c r="V25" s="2" t="s">
        <v>20</v>
      </c>
      <c r="W25" s="2" t="s">
        <v>21</v>
      </c>
      <c r="X25" s="2" t="s">
        <v>108</v>
      </c>
      <c r="Y25" s="2" t="s">
        <v>22</v>
      </c>
      <c r="Z25" s="2" t="s">
        <v>23</v>
      </c>
      <c r="AA25" s="2" t="s">
        <v>24</v>
      </c>
      <c r="AB25" s="2" t="s">
        <v>25</v>
      </c>
      <c r="AC25" s="2" t="s">
        <v>26</v>
      </c>
    </row>
    <row r="26" spans="1:29" x14ac:dyDescent="0.15">
      <c r="A26" s="2" t="s">
        <v>2</v>
      </c>
      <c r="B26" s="1">
        <v>6932.6366856692757</v>
      </c>
      <c r="C26" s="1">
        <v>1982.8673572310493</v>
      </c>
      <c r="D26" s="1">
        <v>1152.9314486026251</v>
      </c>
      <c r="E26" s="1">
        <v>1641.8838396183753</v>
      </c>
      <c r="F26" s="1">
        <v>41885.396053760654</v>
      </c>
      <c r="G26" s="1">
        <v>2884.5172445156913</v>
      </c>
      <c r="H26" s="1">
        <v>20846.137627587952</v>
      </c>
      <c r="I26" s="1">
        <v>4225.7058757602354</v>
      </c>
      <c r="J26" s="1">
        <v>216.42828204815797</v>
      </c>
      <c r="K26" s="1">
        <v>171.12434319050502</v>
      </c>
      <c r="L26" s="1">
        <v>9989.4344297100597</v>
      </c>
      <c r="M26" s="1">
        <v>4839.2629972970526</v>
      </c>
      <c r="N26" s="1">
        <v>25661.154290085466</v>
      </c>
      <c r="P26" s="2" t="s">
        <v>2</v>
      </c>
      <c r="Q26" s="1">
        <v>0.99999999899340686</v>
      </c>
      <c r="R26" s="1">
        <v>1.0000000026115474</v>
      </c>
      <c r="S26" s="1">
        <v>1.0000000059180902</v>
      </c>
      <c r="T26" s="1">
        <v>1.0000000013488446</v>
      </c>
      <c r="U26" s="1">
        <v>0.99999999918947624</v>
      </c>
      <c r="V26" s="1">
        <v>1.0000000030294205</v>
      </c>
      <c r="W26" s="1">
        <v>0.9999999998540815</v>
      </c>
      <c r="X26" s="1">
        <v>1.0000000009224508</v>
      </c>
      <c r="Y26" s="1">
        <v>1.0000000040957788</v>
      </c>
      <c r="Z26" s="1">
        <v>1.0000000038934433</v>
      </c>
      <c r="AA26" s="1">
        <v>1.0000000007013141</v>
      </c>
      <c r="AB26" s="1">
        <v>1.0000000007683703</v>
      </c>
      <c r="AC26" s="1">
        <v>1.0000000009408931</v>
      </c>
    </row>
    <row r="27" spans="1:29" x14ac:dyDescent="0.15">
      <c r="A27" s="2" t="s">
        <v>3</v>
      </c>
      <c r="B27" s="1">
        <v>10157.60238344971</v>
      </c>
      <c r="C27" s="1">
        <v>2549.5040794376901</v>
      </c>
      <c r="D27" s="1">
        <v>1875.5026997656284</v>
      </c>
      <c r="E27" s="1">
        <v>2791.0003990868722</v>
      </c>
      <c r="F27" s="1">
        <v>60261.407919625519</v>
      </c>
      <c r="G27" s="1">
        <v>3909.3849838317537</v>
      </c>
      <c r="H27" s="1">
        <v>30653.020506962195</v>
      </c>
      <c r="I27" s="1">
        <v>5894.1739528299031</v>
      </c>
      <c r="J27" s="1">
        <v>287.93670974380348</v>
      </c>
      <c r="K27" s="1">
        <v>255.09736342583301</v>
      </c>
      <c r="L27" s="1">
        <v>14842.223039709765</v>
      </c>
      <c r="M27" s="1">
        <v>7018.2396195482897</v>
      </c>
      <c r="N27" s="1">
        <v>37733.039745717731</v>
      </c>
      <c r="P27" s="2" t="s">
        <v>3</v>
      </c>
      <c r="Q27" s="1">
        <v>1.1721546281067223</v>
      </c>
      <c r="R27" s="1">
        <v>1.0711988929491278</v>
      </c>
      <c r="S27" s="1">
        <v>1.1388990534988626</v>
      </c>
      <c r="T27" s="1">
        <v>0.9773703058658455</v>
      </c>
      <c r="U27" s="1">
        <v>1.0011680544711039</v>
      </c>
      <c r="V27" s="1">
        <v>1.0725627851955213</v>
      </c>
      <c r="W27" s="1">
        <v>0.97618778288328878</v>
      </c>
      <c r="X27" s="1">
        <v>0.96608132870144059</v>
      </c>
      <c r="Y27" s="1">
        <v>1.1103370215057156</v>
      </c>
      <c r="Z27" s="1">
        <v>0.95872835384577715</v>
      </c>
      <c r="AA27" s="1">
        <v>1.0034523047475701</v>
      </c>
      <c r="AB27" s="1">
        <v>0.97743746504379292</v>
      </c>
      <c r="AC27" s="1">
        <v>0.97801896396043797</v>
      </c>
    </row>
    <row r="28" spans="1:29" x14ac:dyDescent="0.15">
      <c r="A28" s="2" t="s">
        <v>4</v>
      </c>
      <c r="B28" s="1">
        <v>13727.960638787128</v>
      </c>
      <c r="C28" s="1">
        <v>3054.8285583239413</v>
      </c>
      <c r="D28" s="1">
        <v>2655.6605410711109</v>
      </c>
      <c r="E28" s="1">
        <v>4141.221334656806</v>
      </c>
      <c r="F28" s="1">
        <v>81024.604920496698</v>
      </c>
      <c r="G28" s="1">
        <v>4937.0909861269693</v>
      </c>
      <c r="H28" s="1">
        <v>41811.316214294784</v>
      </c>
      <c r="I28" s="1">
        <v>7572.8325036076531</v>
      </c>
      <c r="J28" s="1">
        <v>358.49571972071789</v>
      </c>
      <c r="K28" s="1">
        <v>354.69093464751921</v>
      </c>
      <c r="L28" s="1">
        <v>20351.218345263645</v>
      </c>
      <c r="M28" s="1">
        <v>9496.4207914089293</v>
      </c>
      <c r="N28" s="1">
        <v>51735.083671595778</v>
      </c>
      <c r="P28" s="2" t="s">
        <v>4</v>
      </c>
      <c r="Q28" s="1">
        <v>1.4361383804608137</v>
      </c>
      <c r="R28" s="1">
        <v>1.1314288804289823</v>
      </c>
      <c r="S28" s="1">
        <v>1.2493078354094915</v>
      </c>
      <c r="T28" s="1">
        <v>0.93506370511591097</v>
      </c>
      <c r="U28" s="1">
        <v>1.005754748852898</v>
      </c>
      <c r="V28" s="1">
        <v>1.1161080545025384</v>
      </c>
      <c r="W28" s="1">
        <v>0.94077593728156306</v>
      </c>
      <c r="X28" s="1">
        <v>0.9276163529064787</v>
      </c>
      <c r="Y28" s="1">
        <v>1.1930017944161195</v>
      </c>
      <c r="Z28" s="1">
        <v>0.88635433622542925</v>
      </c>
      <c r="AA28" s="1">
        <v>1.0071822254352039</v>
      </c>
      <c r="AB28" s="1">
        <v>0.93815067606018321</v>
      </c>
      <c r="AC28" s="1">
        <v>0.94521056261504044</v>
      </c>
    </row>
    <row r="29" spans="1:29" x14ac:dyDescent="0.15">
      <c r="A29" s="2" t="s">
        <v>5</v>
      </c>
      <c r="B29" s="1">
        <v>17125.095095065899</v>
      </c>
      <c r="C29" s="1">
        <v>3294.7041480151406</v>
      </c>
      <c r="D29" s="1">
        <v>3285.2157059462274</v>
      </c>
      <c r="E29" s="1">
        <v>5451.5771220677661</v>
      </c>
      <c r="F29" s="1">
        <v>101023.49139732323</v>
      </c>
      <c r="G29" s="1">
        <v>5719.8196009485309</v>
      </c>
      <c r="H29" s="1">
        <v>52600.341963491082</v>
      </c>
      <c r="I29" s="1">
        <v>8960.6684965057702</v>
      </c>
      <c r="J29" s="1">
        <v>414.29235121373125</v>
      </c>
      <c r="K29" s="1">
        <v>452.66094497329334</v>
      </c>
      <c r="L29" s="1">
        <v>25778.749510671809</v>
      </c>
      <c r="M29" s="1">
        <v>11885.487276489723</v>
      </c>
      <c r="N29" s="1">
        <v>65208.341388453344</v>
      </c>
      <c r="P29" s="2" t="s">
        <v>5</v>
      </c>
      <c r="Q29" s="1">
        <v>1.667607159856775</v>
      </c>
      <c r="R29" s="1">
        <v>1.1459508437498236</v>
      </c>
      <c r="S29" s="1">
        <v>1.3198138205885452</v>
      </c>
      <c r="T29" s="1">
        <v>0.89511220896400079</v>
      </c>
      <c r="U29" s="1">
        <v>1.0118489574615404</v>
      </c>
      <c r="V29" s="1">
        <v>1.1358082887592897</v>
      </c>
      <c r="W29" s="1">
        <v>0.90446297011226062</v>
      </c>
      <c r="X29" s="1">
        <v>0.8812367315219849</v>
      </c>
      <c r="Y29" s="1">
        <v>1.2396276933495793</v>
      </c>
      <c r="Z29" s="1">
        <v>0.8200032069929275</v>
      </c>
      <c r="AA29" s="1">
        <v>0.9995972628325589</v>
      </c>
      <c r="AB29" s="1">
        <v>0.89579336278999078</v>
      </c>
      <c r="AC29" s="1">
        <v>0.92499774985929384</v>
      </c>
    </row>
    <row r="30" spans="1:29" x14ac:dyDescent="0.15">
      <c r="A30" s="2" t="s">
        <v>6</v>
      </c>
      <c r="B30" s="1">
        <v>20391.112493614452</v>
      </c>
      <c r="C30" s="1">
        <v>3446.3049870678256</v>
      </c>
      <c r="D30" s="1">
        <v>3807.9206590079048</v>
      </c>
      <c r="E30" s="1">
        <v>6745.3505178318637</v>
      </c>
      <c r="F30" s="1">
        <v>120527.69533198765</v>
      </c>
      <c r="G30" s="1">
        <v>6328.2265264768594</v>
      </c>
      <c r="H30" s="1">
        <v>63211.213091268342</v>
      </c>
      <c r="I30" s="1">
        <v>10117.676956701256</v>
      </c>
      <c r="J30" s="1">
        <v>459.54277345028527</v>
      </c>
      <c r="K30" s="1">
        <v>550.64739005404795</v>
      </c>
      <c r="L30" s="1">
        <v>31237.173751777467</v>
      </c>
      <c r="M30" s="1">
        <v>14234.058865680305</v>
      </c>
      <c r="N30" s="1">
        <v>78287.889388645504</v>
      </c>
      <c r="P30" s="2" t="s">
        <v>6</v>
      </c>
      <c r="Q30" s="1">
        <v>1.8965572729823537</v>
      </c>
      <c r="R30" s="1">
        <v>1.1362773557219663</v>
      </c>
      <c r="S30" s="1">
        <v>1.3619912289436522</v>
      </c>
      <c r="T30" s="1">
        <v>0.85419438796524971</v>
      </c>
      <c r="U30" s="1">
        <v>1.0198978290932776</v>
      </c>
      <c r="V30" s="1">
        <v>1.137874380086958</v>
      </c>
      <c r="W30" s="1">
        <v>0.86576506188036984</v>
      </c>
      <c r="X30" s="1">
        <v>0.83084040843555684</v>
      </c>
      <c r="Y30" s="1">
        <v>1.2611085374240512</v>
      </c>
      <c r="Z30" s="1">
        <v>0.75423273205560093</v>
      </c>
      <c r="AA30" s="1">
        <v>0.98303939254494144</v>
      </c>
      <c r="AB30" s="1">
        <v>0.84824619834494219</v>
      </c>
      <c r="AC30" s="1">
        <v>0.91123032999802756</v>
      </c>
    </row>
    <row r="31" spans="1:29" x14ac:dyDescent="0.1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9" x14ac:dyDescent="0.1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29" x14ac:dyDescent="0.15">
      <c r="A33" s="1" t="s">
        <v>44</v>
      </c>
      <c r="B33" s="2" t="s">
        <v>15</v>
      </c>
      <c r="C33" s="2" t="s">
        <v>16</v>
      </c>
      <c r="D33" s="2" t="s">
        <v>17</v>
      </c>
      <c r="E33" s="2" t="s">
        <v>18</v>
      </c>
      <c r="F33" s="2" t="s">
        <v>19</v>
      </c>
      <c r="G33" s="2" t="s">
        <v>20</v>
      </c>
      <c r="H33" s="2" t="s">
        <v>21</v>
      </c>
      <c r="I33" s="2" t="s">
        <v>108</v>
      </c>
      <c r="J33" s="2" t="s">
        <v>22</v>
      </c>
      <c r="K33" s="2" t="s">
        <v>23</v>
      </c>
      <c r="L33" s="2" t="s">
        <v>24</v>
      </c>
      <c r="M33" s="2" t="s">
        <v>25</v>
      </c>
      <c r="N33" s="2" t="s">
        <v>26</v>
      </c>
      <c r="P33" s="1"/>
      <c r="Q33" s="2" t="s">
        <v>15</v>
      </c>
      <c r="R33" s="2" t="s">
        <v>16</v>
      </c>
      <c r="S33" s="2" t="s">
        <v>17</v>
      </c>
      <c r="T33" s="2" t="s">
        <v>18</v>
      </c>
      <c r="U33" s="2" t="s">
        <v>19</v>
      </c>
      <c r="V33" s="2" t="s">
        <v>20</v>
      </c>
      <c r="W33" s="2" t="s">
        <v>21</v>
      </c>
      <c r="X33" s="2" t="s">
        <v>108</v>
      </c>
      <c r="Y33" s="2" t="s">
        <v>22</v>
      </c>
      <c r="Z33" s="2" t="s">
        <v>23</v>
      </c>
      <c r="AA33" s="2" t="s">
        <v>24</v>
      </c>
      <c r="AB33" s="2" t="s">
        <v>25</v>
      </c>
      <c r="AC33" s="2" t="s">
        <v>26</v>
      </c>
    </row>
    <row r="34" spans="1:29" x14ac:dyDescent="0.15">
      <c r="A34" s="2" t="s">
        <v>2</v>
      </c>
      <c r="B34" s="1">
        <v>6932.6366869393833</v>
      </c>
      <c r="C34" s="1">
        <v>1982.8673769726913</v>
      </c>
      <c r="D34" s="1">
        <v>1152.9314463158869</v>
      </c>
      <c r="E34" s="1">
        <v>1641.8838401534429</v>
      </c>
      <c r="F34" s="1">
        <v>41885.39606123788</v>
      </c>
      <c r="G34" s="1">
        <v>2884.5172398968089</v>
      </c>
      <c r="H34" s="1">
        <v>20846.137632424739</v>
      </c>
      <c r="I34" s="1">
        <v>4225.7058723990649</v>
      </c>
      <c r="J34" s="1">
        <v>216.42828262144286</v>
      </c>
      <c r="K34" s="1">
        <v>171.12434321285733</v>
      </c>
      <c r="L34" s="1">
        <v>9989.4344303924991</v>
      </c>
      <c r="M34" s="1">
        <v>4839.2629988892513</v>
      </c>
      <c r="N34" s="1">
        <v>25661.154294331784</v>
      </c>
      <c r="P34" s="2" t="s">
        <v>2</v>
      </c>
      <c r="Q34" s="1">
        <v>0.99999999908461912</v>
      </c>
      <c r="R34" s="1">
        <v>1.0000000038245089</v>
      </c>
      <c r="S34" s="1">
        <v>1.000000005375661</v>
      </c>
      <c r="T34" s="1">
        <v>1.0000000014254935</v>
      </c>
      <c r="U34" s="1">
        <v>0.9999999992002816</v>
      </c>
      <c r="V34" s="1">
        <v>1.0000000027709466</v>
      </c>
      <c r="W34" s="1">
        <v>0.99999999990783939</v>
      </c>
      <c r="X34" s="1">
        <v>1.0000000013108634</v>
      </c>
      <c r="Y34" s="1">
        <v>1.0000000041800994</v>
      </c>
      <c r="Z34" s="1">
        <v>1.0000000041112622</v>
      </c>
      <c r="AA34" s="1">
        <v>1.0000000007296483</v>
      </c>
      <c r="AB34" s="1">
        <v>1.0000000007171383</v>
      </c>
      <c r="AC34" s="1">
        <v>1.0000000008879864</v>
      </c>
    </row>
    <row r="35" spans="1:29" x14ac:dyDescent="0.15">
      <c r="A35" s="2" t="s">
        <v>3</v>
      </c>
      <c r="B35" s="1">
        <v>10157.602384572005</v>
      </c>
      <c r="C35" s="1">
        <v>2549.5041048669259</v>
      </c>
      <c r="D35" s="1">
        <v>1875.5026968039683</v>
      </c>
      <c r="E35" s="1">
        <v>2791.0003994811</v>
      </c>
      <c r="F35" s="1">
        <v>60261.407925430824</v>
      </c>
      <c r="G35" s="1">
        <v>3909.3849779149764</v>
      </c>
      <c r="H35" s="1">
        <v>30653.020510800303</v>
      </c>
      <c r="I35" s="1">
        <v>5894.1739471207375</v>
      </c>
      <c r="J35" s="1">
        <v>287.93671049459226</v>
      </c>
      <c r="K35" s="1">
        <v>255.09736342321617</v>
      </c>
      <c r="L35" s="1">
        <v>14842.223038902519</v>
      </c>
      <c r="M35" s="1">
        <v>7018.2396211193882</v>
      </c>
      <c r="N35" s="1">
        <v>37733.039750065982</v>
      </c>
      <c r="P35" s="2" t="s">
        <v>3</v>
      </c>
      <c r="Q35" s="1">
        <v>1.1721546280674784</v>
      </c>
      <c r="R35" s="1">
        <v>1.0711988944582245</v>
      </c>
      <c r="S35" s="1">
        <v>1.1388990530721321</v>
      </c>
      <c r="T35" s="1">
        <v>0.97737030616790244</v>
      </c>
      <c r="U35" s="1">
        <v>1.0011680544898502</v>
      </c>
      <c r="V35" s="1">
        <v>1.0725627850846664</v>
      </c>
      <c r="W35" s="1">
        <v>0.97618778309307208</v>
      </c>
      <c r="X35" s="1">
        <v>0.96608132943630054</v>
      </c>
      <c r="Y35" s="1">
        <v>1.1103370218932638</v>
      </c>
      <c r="Z35" s="1">
        <v>0.95872835446816995</v>
      </c>
      <c r="AA35" s="1">
        <v>1.0034523048722603</v>
      </c>
      <c r="AB35" s="1">
        <v>0.97743746513575003</v>
      </c>
      <c r="AC35" s="1">
        <v>0.97801896381870324</v>
      </c>
    </row>
    <row r="36" spans="1:29" x14ac:dyDescent="0.15">
      <c r="A36" s="2" t="s">
        <v>4</v>
      </c>
      <c r="B36" s="1">
        <v>13727.960639710594</v>
      </c>
      <c r="C36" s="1">
        <v>3054.8285892752269</v>
      </c>
      <c r="D36" s="1">
        <v>2655.6605377988735</v>
      </c>
      <c r="E36" s="1">
        <v>4141.2213348385549</v>
      </c>
      <c r="F36" s="1">
        <v>81024.604924056854</v>
      </c>
      <c r="G36" s="1">
        <v>4937.0909795143943</v>
      </c>
      <c r="H36" s="1">
        <v>41811.316216571286</v>
      </c>
      <c r="I36" s="1">
        <v>7572.8324954263089</v>
      </c>
      <c r="J36" s="1">
        <v>358.49572070638379</v>
      </c>
      <c r="K36" s="1">
        <v>354.69093463695719</v>
      </c>
      <c r="L36" s="1">
        <v>20351.218342237858</v>
      </c>
      <c r="M36" s="1">
        <v>9496.4207928670767</v>
      </c>
      <c r="N36" s="1">
        <v>51735.083676370501</v>
      </c>
      <c r="P36" s="2" t="s">
        <v>4</v>
      </c>
      <c r="Q36" s="1">
        <v>1.4361383802989036</v>
      </c>
      <c r="R36" s="1">
        <v>1.1314288821087122</v>
      </c>
      <c r="S36" s="1">
        <v>1.249307834948713</v>
      </c>
      <c r="T36" s="1">
        <v>0.93506370543315021</v>
      </c>
      <c r="U36" s="1">
        <v>1.0057547488685432</v>
      </c>
      <c r="V36" s="1">
        <v>1.1161080543599045</v>
      </c>
      <c r="W36" s="1">
        <v>0.94077593760246347</v>
      </c>
      <c r="X36" s="1">
        <v>0.92761635387866581</v>
      </c>
      <c r="Y36" s="1">
        <v>1.1930017947512228</v>
      </c>
      <c r="Z36" s="1">
        <v>0.88635433670385777</v>
      </c>
      <c r="AA36" s="1">
        <v>1.0071822256594991</v>
      </c>
      <c r="AB36" s="1">
        <v>0.93815067624687132</v>
      </c>
      <c r="AC36" s="1">
        <v>0.94521056240923351</v>
      </c>
    </row>
    <row r="37" spans="1:29" x14ac:dyDescent="0.15">
      <c r="A37" s="2" t="s">
        <v>5</v>
      </c>
      <c r="B37" s="1">
        <v>17121.594080960513</v>
      </c>
      <c r="C37" s="1">
        <v>3264.4530097342263</v>
      </c>
      <c r="D37" s="1">
        <v>3284.950397725846</v>
      </c>
      <c r="E37" s="1">
        <v>5449.7638678113854</v>
      </c>
      <c r="F37" s="1">
        <v>100996.6134336151</v>
      </c>
      <c r="G37" s="1">
        <v>5720.4244863310087</v>
      </c>
      <c r="H37" s="1">
        <v>52584.555492547319</v>
      </c>
      <c r="I37" s="1">
        <v>8945.5175918897403</v>
      </c>
      <c r="J37" s="1">
        <v>413.62317146239275</v>
      </c>
      <c r="K37" s="1">
        <v>452.51499909930988</v>
      </c>
      <c r="L37" s="1">
        <v>25776.0398859017</v>
      </c>
      <c r="M37" s="1">
        <v>11881.046956044702</v>
      </c>
      <c r="N37" s="1">
        <v>65193.567779848228</v>
      </c>
      <c r="P37" s="2" t="s">
        <v>5</v>
      </c>
      <c r="Q37" s="1">
        <v>1.6663913643346244</v>
      </c>
      <c r="R37" s="1">
        <v>1.1461953233982949</v>
      </c>
      <c r="S37" s="1">
        <v>1.3198118849068854</v>
      </c>
      <c r="T37" s="1">
        <v>0.89544721336345368</v>
      </c>
      <c r="U37" s="1">
        <v>1.0119629908982104</v>
      </c>
      <c r="V37" s="1">
        <v>1.1371607198160341</v>
      </c>
      <c r="W37" s="1">
        <v>0.90541954510542755</v>
      </c>
      <c r="X37" s="1">
        <v>0.88526519367481538</v>
      </c>
      <c r="Y37" s="1">
        <v>1.2401609088757075</v>
      </c>
      <c r="Z37" s="1">
        <v>0.82016063626946956</v>
      </c>
      <c r="AA37" s="1">
        <v>0.99950272973397281</v>
      </c>
      <c r="AB37" s="1">
        <v>0.89581075844535862</v>
      </c>
      <c r="AC37" s="1">
        <v>0.92488429370997227</v>
      </c>
    </row>
    <row r="38" spans="1:29" x14ac:dyDescent="0.15">
      <c r="A38" s="2" t="s">
        <v>6</v>
      </c>
      <c r="B38" s="1">
        <v>20370.887414615579</v>
      </c>
      <c r="C38" s="1">
        <v>3309.7636741257993</v>
      </c>
      <c r="D38" s="1">
        <v>3805.5533823829751</v>
      </c>
      <c r="E38" s="1">
        <v>6735.3227799453225</v>
      </c>
      <c r="F38" s="1">
        <v>120379.80380399062</v>
      </c>
      <c r="G38" s="1">
        <v>6329.4636414536881</v>
      </c>
      <c r="H38" s="1">
        <v>63124.746191390179</v>
      </c>
      <c r="I38" s="1">
        <v>10047.650929898515</v>
      </c>
      <c r="J38" s="1">
        <v>456.29576035997007</v>
      </c>
      <c r="K38" s="1">
        <v>549.80858613994735</v>
      </c>
      <c r="L38" s="1">
        <v>31218.613245197786</v>
      </c>
      <c r="M38" s="1">
        <v>14210.325879320011</v>
      </c>
      <c r="N38" s="1">
        <v>78197.231400880308</v>
      </c>
      <c r="P38" s="2" t="s">
        <v>6</v>
      </c>
      <c r="Q38" s="1">
        <v>1.8905263820621261</v>
      </c>
      <c r="R38" s="1">
        <v>1.1369649935445736</v>
      </c>
      <c r="S38" s="1">
        <v>1.361915332587804</v>
      </c>
      <c r="T38" s="1">
        <v>0.8555567868220727</v>
      </c>
      <c r="U38" s="1">
        <v>1.0203041432473448</v>
      </c>
      <c r="V38" s="1">
        <v>1.1435927236386019</v>
      </c>
      <c r="W38" s="1">
        <v>0.86963565983066538</v>
      </c>
      <c r="X38" s="1">
        <v>0.84668760426319223</v>
      </c>
      <c r="Y38" s="1">
        <v>1.2632799441525291</v>
      </c>
      <c r="Z38" s="1">
        <v>0.75491485451183593</v>
      </c>
      <c r="AA38" s="1">
        <v>0.98259689906619085</v>
      </c>
      <c r="AB38" s="1">
        <v>0.84847939572753561</v>
      </c>
      <c r="AC38" s="1">
        <v>0.91096555168973481</v>
      </c>
    </row>
    <row r="39" spans="1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29" x14ac:dyDescent="0.1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29" x14ac:dyDescent="0.15">
      <c r="A41" s="1" t="s">
        <v>45</v>
      </c>
      <c r="B41" s="2" t="s">
        <v>15</v>
      </c>
      <c r="C41" s="2" t="s">
        <v>16</v>
      </c>
      <c r="D41" s="2" t="s">
        <v>17</v>
      </c>
      <c r="E41" s="2" t="s">
        <v>18</v>
      </c>
      <c r="F41" s="2" t="s">
        <v>19</v>
      </c>
      <c r="G41" s="2" t="s">
        <v>20</v>
      </c>
      <c r="H41" s="2" t="s">
        <v>21</v>
      </c>
      <c r="I41" s="2" t="s">
        <v>108</v>
      </c>
      <c r="J41" s="2" t="s">
        <v>22</v>
      </c>
      <c r="K41" s="2" t="s">
        <v>23</v>
      </c>
      <c r="L41" s="2" t="s">
        <v>24</v>
      </c>
      <c r="M41" s="2" t="s">
        <v>25</v>
      </c>
      <c r="N41" s="2" t="s">
        <v>26</v>
      </c>
      <c r="P41" s="1"/>
      <c r="Q41" s="2" t="s">
        <v>15</v>
      </c>
      <c r="R41" s="2" t="s">
        <v>16</v>
      </c>
      <c r="S41" s="2" t="s">
        <v>17</v>
      </c>
      <c r="T41" s="2" t="s">
        <v>18</v>
      </c>
      <c r="U41" s="2" t="s">
        <v>19</v>
      </c>
      <c r="V41" s="2" t="s">
        <v>20</v>
      </c>
      <c r="W41" s="2" t="s">
        <v>21</v>
      </c>
      <c r="X41" s="2" t="s">
        <v>108</v>
      </c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</row>
    <row r="42" spans="1:29" x14ac:dyDescent="0.15">
      <c r="A42" s="2" t="s">
        <v>2</v>
      </c>
      <c r="B42" s="1">
        <v>6932.6366869393833</v>
      </c>
      <c r="C42" s="1">
        <v>1982.8673769726913</v>
      </c>
      <c r="D42" s="1">
        <v>1152.9314463158869</v>
      </c>
      <c r="E42" s="1">
        <v>1641.8838401534429</v>
      </c>
      <c r="F42" s="1">
        <v>41885.39606123788</v>
      </c>
      <c r="G42" s="1">
        <v>2884.5172398968089</v>
      </c>
      <c r="H42" s="1">
        <v>20846.137632424739</v>
      </c>
      <c r="I42" s="1">
        <v>4225.7058723990649</v>
      </c>
      <c r="J42" s="1">
        <v>216.42828262144286</v>
      </c>
      <c r="K42" s="1">
        <v>171.12434321285733</v>
      </c>
      <c r="L42" s="1">
        <v>9989.4344303924991</v>
      </c>
      <c r="M42" s="1">
        <v>4839.2629988892513</v>
      </c>
      <c r="N42" s="1">
        <v>25661.154294331784</v>
      </c>
      <c r="P42" s="2" t="s">
        <v>2</v>
      </c>
      <c r="Q42" s="1">
        <v>0.99999999908461912</v>
      </c>
      <c r="R42" s="1">
        <v>1.0000000038245089</v>
      </c>
      <c r="S42" s="1">
        <v>1.000000005375661</v>
      </c>
      <c r="T42" s="1">
        <v>1.0000000014254935</v>
      </c>
      <c r="U42" s="1">
        <v>0.9999999992002816</v>
      </c>
      <c r="V42" s="1">
        <v>1.0000000027709466</v>
      </c>
      <c r="W42" s="1">
        <v>0.99999999990783939</v>
      </c>
      <c r="X42" s="1">
        <v>1.0000000013108634</v>
      </c>
      <c r="Y42" s="1">
        <v>1.0000000041800994</v>
      </c>
      <c r="Z42" s="1">
        <v>1.0000000041112622</v>
      </c>
      <c r="AA42" s="1">
        <v>1.0000000007296483</v>
      </c>
      <c r="AB42" s="1">
        <v>1.0000000007171383</v>
      </c>
      <c r="AC42" s="1">
        <v>1.0000000008879864</v>
      </c>
    </row>
    <row r="43" spans="1:29" x14ac:dyDescent="0.15">
      <c r="A43" s="2" t="s">
        <v>3</v>
      </c>
      <c r="B43" s="1">
        <v>10157.602384572005</v>
      </c>
      <c r="C43" s="1">
        <v>2549.5041048669259</v>
      </c>
      <c r="D43" s="1">
        <v>1875.5026968039683</v>
      </c>
      <c r="E43" s="1">
        <v>2791.0003994811</v>
      </c>
      <c r="F43" s="1">
        <v>60261.407925430824</v>
      </c>
      <c r="G43" s="1">
        <v>3909.3849779149764</v>
      </c>
      <c r="H43" s="1">
        <v>30653.020510800303</v>
      </c>
      <c r="I43" s="1">
        <v>5894.1739471207375</v>
      </c>
      <c r="J43" s="1">
        <v>287.93671049459226</v>
      </c>
      <c r="K43" s="1">
        <v>255.09736342321617</v>
      </c>
      <c r="L43" s="1">
        <v>14842.223038902519</v>
      </c>
      <c r="M43" s="1">
        <v>7018.2396211193882</v>
      </c>
      <c r="N43" s="1">
        <v>37733.039750065982</v>
      </c>
      <c r="P43" s="2" t="s">
        <v>3</v>
      </c>
      <c r="Q43" s="1">
        <v>1.1721546280674784</v>
      </c>
      <c r="R43" s="1">
        <v>1.0711988944582245</v>
      </c>
      <c r="S43" s="1">
        <v>1.1388990530721321</v>
      </c>
      <c r="T43" s="1">
        <v>0.97737030616790244</v>
      </c>
      <c r="U43" s="1">
        <v>1.0011680544898502</v>
      </c>
      <c r="V43" s="1">
        <v>1.0725627850846664</v>
      </c>
      <c r="W43" s="1">
        <v>0.97618778309307208</v>
      </c>
      <c r="X43" s="1">
        <v>0.96608132943630054</v>
      </c>
      <c r="Y43" s="1">
        <v>1.1103370218932638</v>
      </c>
      <c r="Z43" s="1">
        <v>0.95872835446816995</v>
      </c>
      <c r="AA43" s="1">
        <v>1.0034523048722603</v>
      </c>
      <c r="AB43" s="1">
        <v>0.97743746513575003</v>
      </c>
      <c r="AC43" s="1">
        <v>0.97801896381870324</v>
      </c>
    </row>
    <row r="44" spans="1:29" x14ac:dyDescent="0.15">
      <c r="A44" s="2" t="s">
        <v>4</v>
      </c>
      <c r="B44" s="1">
        <v>13727.960639710594</v>
      </c>
      <c r="C44" s="1">
        <v>3054.8285892752269</v>
      </c>
      <c r="D44" s="1">
        <v>2655.6605377988735</v>
      </c>
      <c r="E44" s="1">
        <v>4141.2213348385549</v>
      </c>
      <c r="F44" s="1">
        <v>81024.604924056854</v>
      </c>
      <c r="G44" s="1">
        <v>4937.0909795143943</v>
      </c>
      <c r="H44" s="1">
        <v>41811.316216571286</v>
      </c>
      <c r="I44" s="1">
        <v>7572.8324954263089</v>
      </c>
      <c r="J44" s="1">
        <v>358.49572070638379</v>
      </c>
      <c r="K44" s="1">
        <v>354.69093463695719</v>
      </c>
      <c r="L44" s="1">
        <v>20351.218342237858</v>
      </c>
      <c r="M44" s="1">
        <v>9496.4207928670767</v>
      </c>
      <c r="N44" s="1">
        <v>51735.083676370501</v>
      </c>
      <c r="P44" s="2" t="s">
        <v>4</v>
      </c>
      <c r="Q44" s="1">
        <v>1.4361383802989036</v>
      </c>
      <c r="R44" s="1">
        <v>1.1314288821087122</v>
      </c>
      <c r="S44" s="1">
        <v>1.249307834948713</v>
      </c>
      <c r="T44" s="1">
        <v>0.93506370543315021</v>
      </c>
      <c r="U44" s="1">
        <v>1.0057547488685432</v>
      </c>
      <c r="V44" s="1">
        <v>1.1161080543599045</v>
      </c>
      <c r="W44" s="1">
        <v>0.94077593760246347</v>
      </c>
      <c r="X44" s="1">
        <v>0.92761635387866581</v>
      </c>
      <c r="Y44" s="1">
        <v>1.1930017947512228</v>
      </c>
      <c r="Z44" s="1">
        <v>0.88635433670385777</v>
      </c>
      <c r="AA44" s="1">
        <v>1.0071822256594991</v>
      </c>
      <c r="AB44" s="1">
        <v>0.93815067624687132</v>
      </c>
      <c r="AC44" s="1">
        <v>0.94521056240923351</v>
      </c>
    </row>
    <row r="45" spans="1:29" x14ac:dyDescent="0.15">
      <c r="A45" s="2" t="s">
        <v>5</v>
      </c>
      <c r="B45" s="1">
        <v>17081.511152121377</v>
      </c>
      <c r="C45" s="1">
        <v>2974.4788324752485</v>
      </c>
      <c r="D45" s="1">
        <v>3278.7348901092732</v>
      </c>
      <c r="E45" s="1">
        <v>5428.6765650253456</v>
      </c>
      <c r="F45" s="1">
        <v>100689.1284215245</v>
      </c>
      <c r="G45" s="1">
        <v>5721.3671866974291</v>
      </c>
      <c r="H45" s="1">
        <v>52402.983615525911</v>
      </c>
      <c r="I45" s="1">
        <v>8782.2454764886152</v>
      </c>
      <c r="J45" s="1">
        <v>406.30993069843788</v>
      </c>
      <c r="K45" s="1">
        <v>450.81494144389239</v>
      </c>
      <c r="L45" s="1">
        <v>25731.114220261181</v>
      </c>
      <c r="M45" s="1">
        <v>11832.094148462227</v>
      </c>
      <c r="N45" s="1">
        <v>65032.953806104932</v>
      </c>
      <c r="P45" s="2" t="s">
        <v>5</v>
      </c>
      <c r="Q45" s="1">
        <v>1.6529679193364581</v>
      </c>
      <c r="R45" s="1">
        <v>1.152136386311611</v>
      </c>
      <c r="S45" s="1">
        <v>1.3199894580894342</v>
      </c>
      <c r="T45" s="1">
        <v>0.89977130878212097</v>
      </c>
      <c r="U45" s="1">
        <v>1.0131168284076324</v>
      </c>
      <c r="V45" s="1">
        <v>1.1524630166220096</v>
      </c>
      <c r="W45" s="1">
        <v>0.91609041531535129</v>
      </c>
      <c r="X45" s="1">
        <v>0.93013821843225086</v>
      </c>
      <c r="Y45" s="1">
        <v>1.2468696812839557</v>
      </c>
      <c r="Z45" s="1">
        <v>0.82291295603692083</v>
      </c>
      <c r="AA45" s="1">
        <v>0.99913709845014942</v>
      </c>
      <c r="AB45" s="1">
        <v>0.89680364734393925</v>
      </c>
      <c r="AC45" s="1">
        <v>0.92322164981798238</v>
      </c>
    </row>
    <row r="46" spans="1:29" x14ac:dyDescent="0.15">
      <c r="A46" s="2" t="s">
        <v>6</v>
      </c>
      <c r="B46" s="1">
        <v>20245.978091647841</v>
      </c>
      <c r="C46" s="1">
        <v>2727.7431287750501</v>
      </c>
      <c r="D46" s="1">
        <v>3774.8193475461771</v>
      </c>
      <c r="E46" s="1">
        <v>6670.2363813222382</v>
      </c>
      <c r="F46" s="1">
        <v>119455.90133019748</v>
      </c>
      <c r="G46" s="1">
        <v>6307.1520549445977</v>
      </c>
      <c r="H46" s="1">
        <v>62574.68379278011</v>
      </c>
      <c r="I46" s="1">
        <v>9657.8800568545812</v>
      </c>
      <c r="J46" s="1">
        <v>437.963833336439</v>
      </c>
      <c r="K46" s="1">
        <v>544.44737775842304</v>
      </c>
      <c r="L46" s="1">
        <v>31023.764619262336</v>
      </c>
      <c r="M46" s="1">
        <v>14070.48912567385</v>
      </c>
      <c r="N46" s="1">
        <v>77691.437387326136</v>
      </c>
      <c r="P46" s="2" t="s">
        <v>6</v>
      </c>
      <c r="Q46" s="1">
        <v>1.8547416284192026</v>
      </c>
      <c r="R46" s="1">
        <v>1.1567950029745324</v>
      </c>
      <c r="S46" s="1">
        <v>1.3622537246745898</v>
      </c>
      <c r="T46" s="1">
        <v>0.86635459734463027</v>
      </c>
      <c r="U46" s="1">
        <v>1.0221138755350974</v>
      </c>
      <c r="V46" s="1">
        <v>1.1787384495014286</v>
      </c>
      <c r="W46" s="1">
        <v>0.8929905146600029</v>
      </c>
      <c r="X46" s="1">
        <v>0.94186692924764615</v>
      </c>
      <c r="Y46" s="1">
        <v>1.2796800206434402</v>
      </c>
      <c r="Z46" s="1">
        <v>0.76327589986423006</v>
      </c>
      <c r="AA46" s="1">
        <v>0.98352142648486363</v>
      </c>
      <c r="AB46" s="1">
        <v>0.85362640561088932</v>
      </c>
      <c r="AC46" s="1">
        <v>0.90735646718447094</v>
      </c>
    </row>
    <row r="47" spans="1:29" x14ac:dyDescent="0.1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29" x14ac:dyDescent="0.1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9" x14ac:dyDescent="0.15">
      <c r="A49" s="1" t="s">
        <v>109</v>
      </c>
      <c r="B49" s="2" t="s">
        <v>15</v>
      </c>
      <c r="C49" s="2" t="s">
        <v>16</v>
      </c>
      <c r="D49" s="2" t="s">
        <v>17</v>
      </c>
      <c r="E49" s="2" t="s">
        <v>18</v>
      </c>
      <c r="F49" s="2" t="s">
        <v>19</v>
      </c>
      <c r="G49" s="2" t="s">
        <v>20</v>
      </c>
      <c r="H49" s="2" t="s">
        <v>21</v>
      </c>
      <c r="I49" s="2" t="s">
        <v>108</v>
      </c>
      <c r="J49" s="2" t="s">
        <v>22</v>
      </c>
      <c r="K49" s="2" t="s">
        <v>23</v>
      </c>
      <c r="L49" s="2" t="s">
        <v>24</v>
      </c>
      <c r="M49" s="2" t="s">
        <v>25</v>
      </c>
      <c r="N49" s="2" t="s">
        <v>26</v>
      </c>
      <c r="P49" s="1" t="s">
        <v>34</v>
      </c>
      <c r="Q49" s="2" t="s">
        <v>15</v>
      </c>
      <c r="R49" s="2" t="s">
        <v>16</v>
      </c>
      <c r="S49" s="2" t="s">
        <v>17</v>
      </c>
      <c r="T49" s="2" t="s">
        <v>18</v>
      </c>
      <c r="U49" s="2" t="s">
        <v>19</v>
      </c>
      <c r="V49" s="2" t="s">
        <v>20</v>
      </c>
      <c r="W49" s="2" t="s">
        <v>21</v>
      </c>
      <c r="X49" s="2" t="s">
        <v>108</v>
      </c>
      <c r="Y49" s="2" t="s">
        <v>22</v>
      </c>
      <c r="Z49" s="2" t="s">
        <v>23</v>
      </c>
      <c r="AA49" s="2" t="s">
        <v>24</v>
      </c>
      <c r="AB49" s="2" t="s">
        <v>25</v>
      </c>
      <c r="AC49" s="2" t="s">
        <v>26</v>
      </c>
    </row>
    <row r="50" spans="1:29" x14ac:dyDescent="0.15">
      <c r="A50" s="2" t="s">
        <v>2</v>
      </c>
      <c r="B50" s="5">
        <f t="shared" ref="B50:N50" si="0">B10/B2-1</f>
        <v>1.8320700512219901E-10</v>
      </c>
      <c r="C50" s="5">
        <f t="shared" si="0"/>
        <v>9.9561081601251544E-9</v>
      </c>
      <c r="D50" s="5">
        <f t="shared" si="0"/>
        <v>-1.9834121012252126E-9</v>
      </c>
      <c r="E50" s="5">
        <f t="shared" si="0"/>
        <v>3.258864289534813E-10</v>
      </c>
      <c r="F50" s="5">
        <f t="shared" si="0"/>
        <v>1.7851631284315772E-10</v>
      </c>
      <c r="G50" s="5">
        <f t="shared" si="0"/>
        <v>-1.6012671189002958E-9</v>
      </c>
      <c r="H50" s="5">
        <f t="shared" si="0"/>
        <v>2.3202328947036222E-10</v>
      </c>
      <c r="I50" s="5">
        <f t="shared" si="0"/>
        <v>-7.954104042084964E-10</v>
      </c>
      <c r="J50" s="5">
        <f t="shared" si="0"/>
        <v>2.6488446991379533E-9</v>
      </c>
      <c r="K50" s="5">
        <f t="shared" si="0"/>
        <v>1.3062018133780384E-10</v>
      </c>
      <c r="L50" s="5">
        <f t="shared" si="0"/>
        <v>6.8316019508074532E-11</v>
      </c>
      <c r="M50" s="5">
        <f t="shared" si="0"/>
        <v>3.2901681379371439E-10</v>
      </c>
      <c r="N50" s="5">
        <f t="shared" si="0"/>
        <v>1.6547652137433033E-10</v>
      </c>
      <c r="P50" s="2" t="s">
        <v>2</v>
      </c>
      <c r="Q50" s="5">
        <f t="shared" ref="Q50:AC50" si="1">Q10/Q2-1</f>
        <v>9.1212370989524061E-11</v>
      </c>
      <c r="R50" s="5">
        <f t="shared" si="1"/>
        <v>1.2129615090117341E-9</v>
      </c>
      <c r="S50" s="5">
        <f t="shared" si="1"/>
        <v>-5.4242921265768018E-10</v>
      </c>
      <c r="T50" s="5">
        <f t="shared" si="1"/>
        <v>7.6648909441701107E-11</v>
      </c>
      <c r="U50" s="5">
        <f t="shared" si="1"/>
        <v>1.0805356609466799E-11</v>
      </c>
      <c r="V50" s="5">
        <f t="shared" si="1"/>
        <v>-2.5847390894284672E-10</v>
      </c>
      <c r="W50" s="5">
        <f t="shared" si="1"/>
        <v>5.375788703076978E-11</v>
      </c>
      <c r="X50" s="5">
        <f t="shared" si="1"/>
        <v>3.8841263538813564E-10</v>
      </c>
      <c r="Y50" s="5">
        <f t="shared" si="1"/>
        <v>8.4320550541860939E-11</v>
      </c>
      <c r="Z50" s="5">
        <f t="shared" si="1"/>
        <v>2.1781887404870304E-10</v>
      </c>
      <c r="AA50" s="5">
        <f t="shared" si="1"/>
        <v>2.8334223856063545E-11</v>
      </c>
      <c r="AB50" s="5">
        <f t="shared" si="1"/>
        <v>-5.1231907605142624E-11</v>
      </c>
      <c r="AC50" s="5">
        <f t="shared" si="1"/>
        <v>-5.2906790060092135E-11</v>
      </c>
    </row>
    <row r="51" spans="1:29" x14ac:dyDescent="0.15">
      <c r="A51" s="2" t="s">
        <v>3</v>
      </c>
      <c r="B51" s="5">
        <f t="shared" ref="B51:N51" si="2">B11/B3-1</f>
        <v>1.1048806314306603E-10</v>
      </c>
      <c r="C51" s="5">
        <f t="shared" si="2"/>
        <v>9.9741890302595948E-9</v>
      </c>
      <c r="D51" s="5">
        <f t="shared" si="2"/>
        <v>-1.5791287166777579E-9</v>
      </c>
      <c r="E51" s="5">
        <f t="shared" si="2"/>
        <v>1.4124967862017002E-10</v>
      </c>
      <c r="F51" s="5">
        <f t="shared" si="2"/>
        <v>9.6335384114354383E-11</v>
      </c>
      <c r="G51" s="5">
        <f t="shared" si="2"/>
        <v>-1.5134803410532527E-9</v>
      </c>
      <c r="H51" s="5">
        <f t="shared" si="2"/>
        <v>1.25211396806435E-10</v>
      </c>
      <c r="I51" s="5">
        <f t="shared" si="2"/>
        <v>-9.6861163534356365E-10</v>
      </c>
      <c r="J51" s="5">
        <f t="shared" si="2"/>
        <v>2.6074784553742347E-9</v>
      </c>
      <c r="K51" s="5">
        <f t="shared" si="2"/>
        <v>-1.0258238702931521E-11</v>
      </c>
      <c r="L51" s="5">
        <f t="shared" si="2"/>
        <v>-5.4388493708756869E-11</v>
      </c>
      <c r="M51" s="5">
        <f t="shared" si="2"/>
        <v>2.2385937548108359E-10</v>
      </c>
      <c r="N51" s="5">
        <f t="shared" si="2"/>
        <v>1.152371531532026E-10</v>
      </c>
      <c r="P51" s="2" t="s">
        <v>3</v>
      </c>
      <c r="Q51" s="5">
        <f t="shared" ref="Q51:AC51" si="3">Q11/Q3-1</f>
        <v>-3.3480218597503608E-11</v>
      </c>
      <c r="R51" s="5">
        <f t="shared" si="3"/>
        <v>1.4087921940131309E-9</v>
      </c>
      <c r="S51" s="5">
        <f t="shared" si="3"/>
        <v>-3.7468683711239237E-10</v>
      </c>
      <c r="T51" s="5">
        <f t="shared" si="3"/>
        <v>3.0905056291885558E-10</v>
      </c>
      <c r="U51" s="5">
        <f t="shared" si="3"/>
        <v>1.872457744411804E-11</v>
      </c>
      <c r="V51" s="5">
        <f t="shared" si="3"/>
        <v>-1.0335510225445432E-10</v>
      </c>
      <c r="W51" s="5">
        <f t="shared" si="3"/>
        <v>2.1490054180617335E-10</v>
      </c>
      <c r="X51" s="5">
        <f t="shared" si="3"/>
        <v>7.6066064558233393E-10</v>
      </c>
      <c r="Y51" s="5">
        <f t="shared" si="3"/>
        <v>3.4903657741836014E-10</v>
      </c>
      <c r="Z51" s="5">
        <f t="shared" si="3"/>
        <v>6.4918581621498106E-10</v>
      </c>
      <c r="AA51" s="5">
        <f t="shared" si="3"/>
        <v>1.242612679419608E-10</v>
      </c>
      <c r="AB51" s="5">
        <f t="shared" si="3"/>
        <v>9.4079855017525915E-11</v>
      </c>
      <c r="AC51" s="5">
        <f t="shared" si="3"/>
        <v>-1.4492018696188325E-10</v>
      </c>
    </row>
    <row r="52" spans="1:29" x14ac:dyDescent="0.15">
      <c r="A52" s="2" t="s">
        <v>4</v>
      </c>
      <c r="B52" s="5">
        <f t="shared" ref="B52:N52" si="4">B12/B4-1</f>
        <v>6.726907919585301E-11</v>
      </c>
      <c r="C52" s="5">
        <f t="shared" si="4"/>
        <v>1.0131922412170979E-8</v>
      </c>
      <c r="D52" s="5">
        <f t="shared" si="4"/>
        <v>-1.2321745845866872E-9</v>
      </c>
      <c r="E52" s="5">
        <f t="shared" si="4"/>
        <v>4.3887782297247213E-11</v>
      </c>
      <c r="F52" s="5">
        <f t="shared" si="4"/>
        <v>4.393929664558982E-11</v>
      </c>
      <c r="G52" s="5">
        <f t="shared" si="4"/>
        <v>-1.339366617614246E-9</v>
      </c>
      <c r="H52" s="5">
        <f t="shared" si="4"/>
        <v>5.4447113484457077E-11</v>
      </c>
      <c r="I52" s="5">
        <f t="shared" si="4"/>
        <v>-1.0803545835713635E-9</v>
      </c>
      <c r="J52" s="5">
        <f t="shared" si="4"/>
        <v>2.7494495569158062E-9</v>
      </c>
      <c r="K52" s="5">
        <f t="shared" si="4"/>
        <v>-2.9778068899588561E-11</v>
      </c>
      <c r="L52" s="5">
        <f t="shared" si="4"/>
        <v>-1.4867840292254186E-10</v>
      </c>
      <c r="M52" s="5">
        <f t="shared" si="4"/>
        <v>1.535469529301281E-10</v>
      </c>
      <c r="N52" s="5">
        <f t="shared" si="4"/>
        <v>9.2291729814064638E-11</v>
      </c>
      <c r="P52" s="2" t="s">
        <v>4</v>
      </c>
      <c r="Q52" s="5">
        <f t="shared" ref="Q52:AC52" si="5">Q12/Q4-1</f>
        <v>-1.1273981748161077E-10</v>
      </c>
      <c r="R52" s="5">
        <f t="shared" si="5"/>
        <v>1.4846093243647829E-9</v>
      </c>
      <c r="S52" s="5">
        <f t="shared" si="5"/>
        <v>-3.6882707998842079E-10</v>
      </c>
      <c r="T52" s="5">
        <f t="shared" si="5"/>
        <v>3.3927016751533756E-10</v>
      </c>
      <c r="U52" s="5">
        <f t="shared" si="5"/>
        <v>1.5555778887232918E-11</v>
      </c>
      <c r="V52" s="5">
        <f t="shared" si="5"/>
        <v>-1.2779577396315744E-10</v>
      </c>
      <c r="W52" s="5">
        <f t="shared" si="5"/>
        <v>3.4110181346136415E-10</v>
      </c>
      <c r="X52" s="5">
        <f t="shared" si="5"/>
        <v>1.0480487588893084E-9</v>
      </c>
      <c r="Y52" s="5">
        <f t="shared" si="5"/>
        <v>2.8089086612226311E-10</v>
      </c>
      <c r="Z52" s="5">
        <f t="shared" si="5"/>
        <v>5.3977111669212263E-10</v>
      </c>
      <c r="AA52" s="5">
        <f t="shared" si="5"/>
        <v>2.2269586175127642E-10</v>
      </c>
      <c r="AB52" s="5">
        <f t="shared" si="5"/>
        <v>1.9899593084460321E-10</v>
      </c>
      <c r="AC52" s="5">
        <f t="shared" si="5"/>
        <v>-2.1773660652257831E-10</v>
      </c>
    </row>
    <row r="53" spans="1:29" x14ac:dyDescent="0.15">
      <c r="A53" s="2" t="s">
        <v>5</v>
      </c>
      <c r="B53" s="5">
        <f t="shared" ref="B53:N53" si="6">B13/B5-1</f>
        <v>-8.713236627582166E-4</v>
      </c>
      <c r="C53" s="5">
        <f t="shared" si="6"/>
        <v>-4.6506727341638854E-2</v>
      </c>
      <c r="D53" s="5">
        <f t="shared" si="6"/>
        <v>4.306409115972798E-6</v>
      </c>
      <c r="E53" s="5">
        <f t="shared" si="6"/>
        <v>-1.5393154441150081E-3</v>
      </c>
      <c r="F53" s="5">
        <f t="shared" si="6"/>
        <v>-1.2184799224976839E-3</v>
      </c>
      <c r="G53" s="5">
        <f t="shared" si="6"/>
        <v>9.7324058365844124E-4</v>
      </c>
      <c r="H53" s="5">
        <f t="shared" si="6"/>
        <v>-1.3901674141033604E-3</v>
      </c>
      <c r="I53" s="5">
        <f t="shared" si="6"/>
        <v>-9.175545972295529E-3</v>
      </c>
      <c r="J53" s="5">
        <f t="shared" si="6"/>
        <v>-8.6361135806196643E-3</v>
      </c>
      <c r="K53" s="5">
        <f t="shared" si="6"/>
        <v>-1.4712953755579017E-3</v>
      </c>
      <c r="L53" s="5">
        <f t="shared" si="6"/>
        <v>-3.8870629746379226E-4</v>
      </c>
      <c r="M53" s="5">
        <f t="shared" si="6"/>
        <v>-1.761786199124038E-3</v>
      </c>
      <c r="N53" s="5">
        <f t="shared" si="6"/>
        <v>-8.9753838569972544E-4</v>
      </c>
      <c r="P53" s="2" t="s">
        <v>5</v>
      </c>
      <c r="Q53" s="5">
        <f t="shared" ref="Q53:AC53" si="7">Q13/Q5-1</f>
        <v>-3.6792681572905828E-3</v>
      </c>
      <c r="R53" s="5">
        <f t="shared" si="7"/>
        <v>2.1556051727404935E-3</v>
      </c>
      <c r="S53" s="5">
        <f t="shared" si="7"/>
        <v>2.316590830988563E-4</v>
      </c>
      <c r="T53" s="5">
        <f t="shared" si="7"/>
        <v>2.1674397119344491E-3</v>
      </c>
      <c r="U53" s="5">
        <f t="shared" si="7"/>
        <v>6.3508301924386501E-4</v>
      </c>
      <c r="V53" s="5">
        <f t="shared" si="7"/>
        <v>6.9057216548578104E-3</v>
      </c>
      <c r="W53" s="5">
        <f t="shared" si="7"/>
        <v>5.93975273309022E-3</v>
      </c>
      <c r="X53" s="5">
        <f t="shared" si="7"/>
        <v>2.598686768211711E-2</v>
      </c>
      <c r="Y53" s="5">
        <f t="shared" si="7"/>
        <v>2.7129286950979825E-3</v>
      </c>
      <c r="Z53" s="5">
        <f t="shared" si="7"/>
        <v>1.1661360834982482E-3</v>
      </c>
      <c r="AA53" s="5">
        <f t="shared" si="7"/>
        <v>-3.6294989095442265E-4</v>
      </c>
      <c r="AB53" s="5">
        <f t="shared" si="7"/>
        <v>2.0291618570666969E-4</v>
      </c>
      <c r="AC53" s="5">
        <f t="shared" si="7"/>
        <v>-9.1341388383692212E-4</v>
      </c>
    </row>
    <row r="54" spans="1:29" x14ac:dyDescent="0.15">
      <c r="A54" s="2" t="s">
        <v>6</v>
      </c>
      <c r="B54" s="5">
        <f t="shared" ref="B54:N54" si="8">B14/B6-1</f>
        <v>-1.7859072543864318E-3</v>
      </c>
      <c r="C54" s="5">
        <f t="shared" si="8"/>
        <v>-9.5978126884494697E-2</v>
      </c>
      <c r="D54" s="5">
        <f t="shared" si="8"/>
        <v>-2.5578848409335553E-4</v>
      </c>
      <c r="E54" s="5">
        <f t="shared" si="8"/>
        <v>-3.0163484203034052E-3</v>
      </c>
      <c r="F54" s="5">
        <f t="shared" si="8"/>
        <v>-2.4559022858831048E-3</v>
      </c>
      <c r="G54" s="5">
        <f>G14/G6-1</f>
        <v>1.8395788911815814E-3</v>
      </c>
      <c r="H54" s="5">
        <f t="shared" si="8"/>
        <v>-2.7781549330614386E-3</v>
      </c>
      <c r="I54" s="5">
        <f t="shared" si="8"/>
        <v>-1.8762995169359753E-2</v>
      </c>
      <c r="J54" s="5">
        <f t="shared" si="8"/>
        <v>-1.8654438258209449E-2</v>
      </c>
      <c r="K54" s="5">
        <f t="shared" si="8"/>
        <v>-3.0778196479267494E-3</v>
      </c>
      <c r="L54" s="5">
        <f t="shared" si="8"/>
        <v>-8.2914142810930347E-4</v>
      </c>
      <c r="M54" s="5">
        <f t="shared" si="8"/>
        <v>-3.4972898975024203E-3</v>
      </c>
      <c r="N54" s="5">
        <f t="shared" si="8"/>
        <v>-1.8907959485342518E-3</v>
      </c>
      <c r="P54" s="2" t="s">
        <v>6</v>
      </c>
      <c r="Q54" s="5">
        <f t="shared" ref="Q54:AC54" si="9">Q14/Q6-1</f>
        <v>-7.4751324615569548E-3</v>
      </c>
      <c r="R54" s="5">
        <f t="shared" si="9"/>
        <v>5.0798314641626874E-3</v>
      </c>
      <c r="S54" s="5">
        <f t="shared" si="9"/>
        <v>6.4017847397512817E-4</v>
      </c>
      <c r="T54" s="5">
        <f t="shared" si="9"/>
        <v>4.747625246093623E-3</v>
      </c>
      <c r="U54" s="5">
        <f t="shared" si="9"/>
        <v>1.1926107544280029E-3</v>
      </c>
      <c r="V54" s="5">
        <f t="shared" si="9"/>
        <v>1.510578166242027E-2</v>
      </c>
      <c r="W54" s="5">
        <f t="shared" si="9"/>
        <v>1.2693996773468941E-2</v>
      </c>
      <c r="X54" s="5">
        <f t="shared" si="9"/>
        <v>5.5884859501790451E-2</v>
      </c>
      <c r="Y54" s="5">
        <f t="shared" si="9"/>
        <v>5.9492985089628636E-3</v>
      </c>
      <c r="Z54" s="5">
        <f t="shared" si="9"/>
        <v>2.8893434766603665E-3</v>
      </c>
      <c r="AA54" s="5">
        <f t="shared" si="9"/>
        <v>-7.9661177552636797E-4</v>
      </c>
      <c r="AB54" s="5">
        <f t="shared" si="9"/>
        <v>9.9132035330362633E-4</v>
      </c>
      <c r="AC54" s="5">
        <f t="shared" si="9"/>
        <v>-1.6514945742354126E-3</v>
      </c>
    </row>
    <row r="55" spans="1:29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9" x14ac:dyDescent="0.1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x14ac:dyDescent="0.15">
      <c r="A57" s="1" t="s">
        <v>35</v>
      </c>
      <c r="B57" s="2" t="s">
        <v>15</v>
      </c>
      <c r="C57" s="2" t="s">
        <v>16</v>
      </c>
      <c r="D57" s="2" t="s">
        <v>17</v>
      </c>
      <c r="E57" s="2" t="s">
        <v>18</v>
      </c>
      <c r="F57" s="2" t="s">
        <v>19</v>
      </c>
      <c r="G57" s="2" t="s">
        <v>20</v>
      </c>
      <c r="H57" s="2" t="s">
        <v>21</v>
      </c>
      <c r="I57" s="2" t="s">
        <v>108</v>
      </c>
      <c r="J57" s="2" t="s">
        <v>22</v>
      </c>
      <c r="K57" s="2" t="s">
        <v>23</v>
      </c>
      <c r="L57" s="2" t="s">
        <v>24</v>
      </c>
      <c r="M57" s="2" t="s">
        <v>25</v>
      </c>
      <c r="N57" s="2" t="s">
        <v>26</v>
      </c>
      <c r="P57" s="1" t="s">
        <v>35</v>
      </c>
      <c r="Q57" s="2" t="s">
        <v>15</v>
      </c>
      <c r="R57" s="2" t="s">
        <v>16</v>
      </c>
      <c r="S57" s="2" t="s">
        <v>17</v>
      </c>
      <c r="T57" s="2" t="s">
        <v>18</v>
      </c>
      <c r="U57" s="2" t="s">
        <v>19</v>
      </c>
      <c r="V57" s="2" t="s">
        <v>20</v>
      </c>
      <c r="W57" s="2" t="s">
        <v>21</v>
      </c>
      <c r="X57" s="2" t="s">
        <v>108</v>
      </c>
      <c r="Y57" s="2" t="s">
        <v>22</v>
      </c>
      <c r="Z57" s="2" t="s">
        <v>23</v>
      </c>
      <c r="AA57" s="2" t="s">
        <v>24</v>
      </c>
      <c r="AB57" s="2" t="s">
        <v>25</v>
      </c>
      <c r="AC57" s="2" t="s">
        <v>26</v>
      </c>
    </row>
    <row r="58" spans="1:29" x14ac:dyDescent="0.15">
      <c r="A58" s="2" t="s">
        <v>2</v>
      </c>
      <c r="B58" s="5">
        <f t="shared" ref="B58:N58" si="10">B18/B2-1</f>
        <v>1.8320700512219901E-10</v>
      </c>
      <c r="C58" s="5">
        <f t="shared" si="10"/>
        <v>9.9561081601251544E-9</v>
      </c>
      <c r="D58" s="5">
        <f t="shared" si="10"/>
        <v>-1.9834121012252126E-9</v>
      </c>
      <c r="E58" s="5">
        <f t="shared" si="10"/>
        <v>3.258864289534813E-10</v>
      </c>
      <c r="F58" s="5">
        <f t="shared" si="10"/>
        <v>1.7851631284315772E-10</v>
      </c>
      <c r="G58" s="5">
        <f t="shared" si="10"/>
        <v>-1.6012671189002958E-9</v>
      </c>
      <c r="H58" s="5">
        <f t="shared" si="10"/>
        <v>2.3202328947036222E-10</v>
      </c>
      <c r="I58" s="5">
        <f t="shared" si="10"/>
        <v>-7.954104042084964E-10</v>
      </c>
      <c r="J58" s="5">
        <f t="shared" si="10"/>
        <v>2.6488446991379533E-9</v>
      </c>
      <c r="K58" s="5">
        <f t="shared" si="10"/>
        <v>1.3062018133780384E-10</v>
      </c>
      <c r="L58" s="5">
        <f t="shared" si="10"/>
        <v>6.8316019508074532E-11</v>
      </c>
      <c r="M58" s="5">
        <f t="shared" si="10"/>
        <v>3.2901681379371439E-10</v>
      </c>
      <c r="N58" s="5">
        <f t="shared" si="10"/>
        <v>1.6547652137433033E-10</v>
      </c>
      <c r="P58" s="2" t="s">
        <v>2</v>
      </c>
      <c r="Q58" s="5">
        <f t="shared" ref="Q58:AC58" si="11">Q18/Q2-1</f>
        <v>9.1212370989524061E-11</v>
      </c>
      <c r="R58" s="5">
        <f t="shared" si="11"/>
        <v>1.2129615090117341E-9</v>
      </c>
      <c r="S58" s="5">
        <f t="shared" si="11"/>
        <v>-5.4242921265768018E-10</v>
      </c>
      <c r="T58" s="5">
        <f t="shared" si="11"/>
        <v>7.6648909441701107E-11</v>
      </c>
      <c r="U58" s="5">
        <f t="shared" si="11"/>
        <v>1.0805356609466799E-11</v>
      </c>
      <c r="V58" s="5">
        <f t="shared" si="11"/>
        <v>-2.5847390894284672E-10</v>
      </c>
      <c r="W58" s="5">
        <f t="shared" si="11"/>
        <v>5.375788703076978E-11</v>
      </c>
      <c r="X58" s="5">
        <f t="shared" si="11"/>
        <v>3.8841263538813564E-10</v>
      </c>
      <c r="Y58" s="5">
        <f t="shared" si="11"/>
        <v>8.4320550541860939E-11</v>
      </c>
      <c r="Z58" s="5">
        <f t="shared" si="11"/>
        <v>2.1781887404870304E-10</v>
      </c>
      <c r="AA58" s="5">
        <f t="shared" si="11"/>
        <v>2.8334223856063545E-11</v>
      </c>
      <c r="AB58" s="5">
        <f t="shared" si="11"/>
        <v>-5.1231907605142624E-11</v>
      </c>
      <c r="AC58" s="5">
        <f t="shared" si="11"/>
        <v>-5.2906790060092135E-11</v>
      </c>
    </row>
    <row r="59" spans="1:29" x14ac:dyDescent="0.15">
      <c r="A59" s="2" t="s">
        <v>3</v>
      </c>
      <c r="B59" s="5">
        <f t="shared" ref="B59:N59" si="12">B19/B3-1</f>
        <v>1.1048806314306603E-10</v>
      </c>
      <c r="C59" s="5">
        <f t="shared" si="12"/>
        <v>9.9741890302595948E-9</v>
      </c>
      <c r="D59" s="5">
        <f t="shared" si="12"/>
        <v>-1.5791287166777579E-9</v>
      </c>
      <c r="E59" s="5">
        <f t="shared" si="12"/>
        <v>1.4124967862017002E-10</v>
      </c>
      <c r="F59" s="5">
        <f t="shared" si="12"/>
        <v>9.6335384114354383E-11</v>
      </c>
      <c r="G59" s="5">
        <f t="shared" si="12"/>
        <v>-1.5134803410532527E-9</v>
      </c>
      <c r="H59" s="5">
        <f t="shared" si="12"/>
        <v>1.25211396806435E-10</v>
      </c>
      <c r="I59" s="5">
        <f t="shared" si="12"/>
        <v>-9.6861163534356365E-10</v>
      </c>
      <c r="J59" s="5">
        <f t="shared" si="12"/>
        <v>2.6074784553742347E-9</v>
      </c>
      <c r="K59" s="5">
        <f t="shared" si="12"/>
        <v>-1.0258238702931521E-11</v>
      </c>
      <c r="L59" s="5">
        <f t="shared" si="12"/>
        <v>-5.4388493708756869E-11</v>
      </c>
      <c r="M59" s="5">
        <f t="shared" si="12"/>
        <v>2.2385937548108359E-10</v>
      </c>
      <c r="N59" s="5">
        <f t="shared" si="12"/>
        <v>1.152371531532026E-10</v>
      </c>
      <c r="P59" s="2" t="s">
        <v>3</v>
      </c>
      <c r="Q59" s="5">
        <f t="shared" ref="Q59:AC59" si="13">Q19/Q3-1</f>
        <v>-3.3480218597503608E-11</v>
      </c>
      <c r="R59" s="5">
        <f t="shared" si="13"/>
        <v>1.4087921940131309E-9</v>
      </c>
      <c r="S59" s="5">
        <f t="shared" si="13"/>
        <v>-3.7468683711239237E-10</v>
      </c>
      <c r="T59" s="5">
        <f t="shared" si="13"/>
        <v>3.0905056291885558E-10</v>
      </c>
      <c r="U59" s="5">
        <f t="shared" si="13"/>
        <v>1.872457744411804E-11</v>
      </c>
      <c r="V59" s="5">
        <f t="shared" si="13"/>
        <v>-1.0335510225445432E-10</v>
      </c>
      <c r="W59" s="5">
        <f t="shared" si="13"/>
        <v>2.1490054180617335E-10</v>
      </c>
      <c r="X59" s="5">
        <f t="shared" si="13"/>
        <v>7.6066064558233393E-10</v>
      </c>
      <c r="Y59" s="5">
        <f t="shared" si="13"/>
        <v>3.4903657741836014E-10</v>
      </c>
      <c r="Z59" s="5">
        <f t="shared" si="13"/>
        <v>6.4918581621498106E-10</v>
      </c>
      <c r="AA59" s="5">
        <f t="shared" si="13"/>
        <v>1.242612679419608E-10</v>
      </c>
      <c r="AB59" s="5">
        <f t="shared" si="13"/>
        <v>9.4079855017525915E-11</v>
      </c>
      <c r="AC59" s="5">
        <f t="shared" si="13"/>
        <v>-1.4492018696188325E-10</v>
      </c>
    </row>
    <row r="60" spans="1:29" x14ac:dyDescent="0.15">
      <c r="A60" s="2" t="s">
        <v>4</v>
      </c>
      <c r="B60" s="5">
        <f t="shared" ref="B60:N60" si="14">B20/B4-1</f>
        <v>6.726907919585301E-11</v>
      </c>
      <c r="C60" s="5">
        <f t="shared" si="14"/>
        <v>1.0131922412170979E-8</v>
      </c>
      <c r="D60" s="5">
        <f t="shared" si="14"/>
        <v>-1.2321745845866872E-9</v>
      </c>
      <c r="E60" s="5">
        <f t="shared" si="14"/>
        <v>4.3887782297247213E-11</v>
      </c>
      <c r="F60" s="5">
        <f t="shared" si="14"/>
        <v>4.393929664558982E-11</v>
      </c>
      <c r="G60" s="5">
        <f t="shared" si="14"/>
        <v>-1.339366617614246E-9</v>
      </c>
      <c r="H60" s="5">
        <f t="shared" si="14"/>
        <v>5.4447113484457077E-11</v>
      </c>
      <c r="I60" s="5">
        <f t="shared" si="14"/>
        <v>-1.0803545835713635E-9</v>
      </c>
      <c r="J60" s="5">
        <f t="shared" si="14"/>
        <v>2.7494495569158062E-9</v>
      </c>
      <c r="K60" s="5">
        <f t="shared" si="14"/>
        <v>-2.9778068899588561E-11</v>
      </c>
      <c r="L60" s="5">
        <f t="shared" si="14"/>
        <v>-1.4867840292254186E-10</v>
      </c>
      <c r="M60" s="5">
        <f t="shared" si="14"/>
        <v>1.535469529301281E-10</v>
      </c>
      <c r="N60" s="5">
        <f t="shared" si="14"/>
        <v>9.2291729814064638E-11</v>
      </c>
      <c r="P60" s="2" t="s">
        <v>4</v>
      </c>
      <c r="Q60" s="5">
        <f t="shared" ref="Q60:AC60" si="15">Q20/Q4-1</f>
        <v>-1.1273981748161077E-10</v>
      </c>
      <c r="R60" s="5">
        <f t="shared" si="15"/>
        <v>1.4846093243647829E-9</v>
      </c>
      <c r="S60" s="5">
        <f t="shared" si="15"/>
        <v>-3.6882707998842079E-10</v>
      </c>
      <c r="T60" s="5">
        <f t="shared" si="15"/>
        <v>3.3927016751533756E-10</v>
      </c>
      <c r="U60" s="5">
        <f t="shared" si="15"/>
        <v>1.5555778887232918E-11</v>
      </c>
      <c r="V60" s="5">
        <f t="shared" si="15"/>
        <v>-1.2779577396315744E-10</v>
      </c>
      <c r="W60" s="5">
        <f t="shared" si="15"/>
        <v>3.4110181346136415E-10</v>
      </c>
      <c r="X60" s="5">
        <f t="shared" si="15"/>
        <v>1.0480487588893084E-9</v>
      </c>
      <c r="Y60" s="5">
        <f t="shared" si="15"/>
        <v>2.8089086612226311E-10</v>
      </c>
      <c r="Z60" s="5">
        <f t="shared" si="15"/>
        <v>5.3977111669212263E-10</v>
      </c>
      <c r="AA60" s="5">
        <f t="shared" si="15"/>
        <v>2.2269586175127642E-10</v>
      </c>
      <c r="AB60" s="5">
        <f t="shared" si="15"/>
        <v>1.9899593084460321E-10</v>
      </c>
      <c r="AC60" s="5">
        <f t="shared" si="15"/>
        <v>-2.1773660652257831E-10</v>
      </c>
    </row>
    <row r="61" spans="1:29" x14ac:dyDescent="0.15">
      <c r="A61" s="2" t="s">
        <v>5</v>
      </c>
      <c r="B61" s="5">
        <f t="shared" ref="B61:N61" si="16">B21/B5-1</f>
        <v>-2.9115081961200717E-3</v>
      </c>
      <c r="C61" s="5">
        <f t="shared" si="16"/>
        <v>-0.13096958844419504</v>
      </c>
      <c r="D61" s="5">
        <f t="shared" si="16"/>
        <v>-1.5585157622435286E-3</v>
      </c>
      <c r="E61" s="5">
        <f t="shared" si="16"/>
        <v>-5.2183413232876896E-3</v>
      </c>
      <c r="F61" s="5">
        <f t="shared" si="16"/>
        <v>-4.0551171916123341E-3</v>
      </c>
      <c r="G61" s="5">
        <f t="shared" si="16"/>
        <v>1.5464050904923088E-3</v>
      </c>
      <c r="H61" s="5">
        <f t="shared" si="16"/>
        <v>-4.6575283987752014E-3</v>
      </c>
      <c r="I61" s="5">
        <f t="shared" si="16"/>
        <v>-2.8763226586796531E-2</v>
      </c>
      <c r="J61" s="5">
        <f t="shared" si="16"/>
        <v>-2.7498712789144064E-2</v>
      </c>
      <c r="K61" s="5">
        <f t="shared" si="16"/>
        <v>-5.0191421412965065E-3</v>
      </c>
      <c r="L61" s="5">
        <f t="shared" si="16"/>
        <v>-2.0753942395584923E-3</v>
      </c>
      <c r="M61" s="5">
        <f t="shared" si="16"/>
        <v>-5.6479859022549039E-3</v>
      </c>
      <c r="N61" s="5">
        <f t="shared" si="16"/>
        <v>-2.827227369716967E-3</v>
      </c>
      <c r="P61" s="2" t="s">
        <v>5</v>
      </c>
      <c r="Q61" s="5">
        <f t="shared" ref="Q61:AC61" si="17">Q21/Q5-1</f>
        <v>-1.1815262825328077E-2</v>
      </c>
      <c r="R61" s="5">
        <f t="shared" si="17"/>
        <v>1.1088848153757658E-2</v>
      </c>
      <c r="S61" s="5">
        <f t="shared" si="17"/>
        <v>9.1915485276139464E-4</v>
      </c>
      <c r="T61" s="5">
        <f t="shared" si="17"/>
        <v>7.9996398726553952E-3</v>
      </c>
      <c r="U61" s="5">
        <f t="shared" si="17"/>
        <v>1.8927172921900937E-3</v>
      </c>
      <c r="V61" s="5">
        <f t="shared" si="17"/>
        <v>2.2703596351974387E-2</v>
      </c>
      <c r="W61" s="5">
        <f t="shared" si="17"/>
        <v>1.9255279970237016E-2</v>
      </c>
      <c r="X61" s="5">
        <f t="shared" si="17"/>
        <v>8.4306630749216849E-2</v>
      </c>
      <c r="Y61" s="5">
        <f t="shared" si="17"/>
        <v>9.732987559763373E-3</v>
      </c>
      <c r="Z61" s="5">
        <f t="shared" si="17"/>
        <v>5.59470054339406E-3</v>
      </c>
      <c r="AA61" s="5">
        <f t="shared" si="17"/>
        <v>-2.0789974369217479E-4</v>
      </c>
      <c r="AB61" s="5">
        <f t="shared" si="17"/>
        <v>1.9579345155351646E-3</v>
      </c>
      <c r="AC61" s="5">
        <f t="shared" si="17"/>
        <v>-3.5683351015836084E-3</v>
      </c>
    </row>
    <row r="62" spans="1:29" x14ac:dyDescent="0.15">
      <c r="A62" s="2" t="s">
        <v>6</v>
      </c>
      <c r="B62" s="5">
        <f t="shared" ref="B62:N62" si="18">B22/B6-1</f>
        <v>-6.5661491045683196E-3</v>
      </c>
      <c r="C62" s="5">
        <f t="shared" si="18"/>
        <v>-0.25367737535916879</v>
      </c>
      <c r="D62" s="5">
        <f t="shared" si="18"/>
        <v>-7.7175750313239755E-3</v>
      </c>
      <c r="E62" s="5">
        <f t="shared" si="18"/>
        <v>-1.1707445182906229E-2</v>
      </c>
      <c r="F62" s="5">
        <f t="shared" si="18"/>
        <v>-9.0915729315926841E-3</v>
      </c>
      <c r="G62" s="5">
        <f t="shared" si="18"/>
        <v>-8.417282020116712E-4</v>
      </c>
      <c r="H62" s="5">
        <f t="shared" si="18"/>
        <v>-1.0544081164678865E-2</v>
      </c>
      <c r="I62" s="5">
        <f t="shared" si="18"/>
        <v>-6.1904779205721461E-2</v>
      </c>
      <c r="J62" s="5">
        <f t="shared" si="18"/>
        <v>-6.275197102890151E-2</v>
      </c>
      <c r="K62" s="5">
        <f t="shared" si="18"/>
        <v>-1.176426034855349E-2</v>
      </c>
      <c r="L62" s="5">
        <f t="shared" si="18"/>
        <v>-6.5893919110808774E-3</v>
      </c>
      <c r="M62" s="5">
        <f t="shared" si="18"/>
        <v>-1.2207412064985768E-2</v>
      </c>
      <c r="N62" s="5">
        <f t="shared" si="18"/>
        <v>-6.0974282911790967E-3</v>
      </c>
      <c r="P62" s="2" t="s">
        <v>6</v>
      </c>
      <c r="Q62" s="5">
        <f t="shared" ref="Q62:AC62" si="19">Q22/Q6-1</f>
        <v>-2.6334457227829344E-2</v>
      </c>
      <c r="R62" s="5">
        <f t="shared" si="19"/>
        <v>3.7204504741168876E-2</v>
      </c>
      <c r="S62" s="5">
        <f t="shared" si="19"/>
        <v>2.5696300396846894E-3</v>
      </c>
      <c r="T62" s="5">
        <f t="shared" si="19"/>
        <v>2.1028396628754997E-2</v>
      </c>
      <c r="U62" s="5">
        <f t="shared" si="19"/>
        <v>3.3883819415572169E-3</v>
      </c>
      <c r="V62" s="5">
        <f t="shared" si="19"/>
        <v>5.4846271720660589E-2</v>
      </c>
      <c r="W62" s="5">
        <f t="shared" si="19"/>
        <v>4.5298139606890331E-2</v>
      </c>
      <c r="X62" s="5">
        <f t="shared" si="19"/>
        <v>0.19976604103000484</v>
      </c>
      <c r="Y62" s="5">
        <f t="shared" si="19"/>
        <v>2.4934619452130269E-2</v>
      </c>
      <c r="Z62" s="5">
        <f t="shared" si="19"/>
        <v>1.7860469906183729E-2</v>
      </c>
      <c r="AA62" s="5">
        <f t="shared" si="19"/>
        <v>2.0580738868012372E-3</v>
      </c>
      <c r="AB62" s="5">
        <f t="shared" si="19"/>
        <v>9.5423746125451459E-3</v>
      </c>
      <c r="AC62" s="5">
        <f t="shared" si="19"/>
        <v>-8.8367127434029191E-3</v>
      </c>
    </row>
    <row r="65" spans="1:29" x14ac:dyDescent="0.15">
      <c r="A65" s="1" t="s">
        <v>104</v>
      </c>
      <c r="B65" s="2" t="s">
        <v>15</v>
      </c>
      <c r="C65" s="2" t="s">
        <v>16</v>
      </c>
      <c r="D65" s="2" t="s">
        <v>17</v>
      </c>
      <c r="E65" s="2" t="s">
        <v>18</v>
      </c>
      <c r="F65" s="2" t="s">
        <v>19</v>
      </c>
      <c r="G65" s="2" t="s">
        <v>20</v>
      </c>
      <c r="H65" s="2" t="s">
        <v>21</v>
      </c>
      <c r="I65" s="2" t="s">
        <v>108</v>
      </c>
      <c r="J65" s="2" t="s">
        <v>22</v>
      </c>
      <c r="K65" s="2" t="s">
        <v>23</v>
      </c>
      <c r="L65" s="2" t="s">
        <v>24</v>
      </c>
      <c r="M65" s="2" t="s">
        <v>25</v>
      </c>
      <c r="N65" s="2" t="s">
        <v>26</v>
      </c>
      <c r="P65" s="1" t="s">
        <v>37</v>
      </c>
      <c r="Q65" s="2" t="s">
        <v>15</v>
      </c>
      <c r="R65" s="2" t="s">
        <v>16</v>
      </c>
      <c r="S65" s="2" t="s">
        <v>17</v>
      </c>
      <c r="T65" s="2" t="s">
        <v>18</v>
      </c>
      <c r="U65" s="2" t="s">
        <v>19</v>
      </c>
      <c r="V65" s="2" t="s">
        <v>20</v>
      </c>
      <c r="W65" s="2" t="s">
        <v>21</v>
      </c>
      <c r="X65" s="2" t="s">
        <v>108</v>
      </c>
      <c r="Y65" s="2" t="s">
        <v>22</v>
      </c>
      <c r="Z65" s="2" t="s">
        <v>23</v>
      </c>
      <c r="AA65" s="2" t="s">
        <v>24</v>
      </c>
      <c r="AB65" s="2" t="s">
        <v>25</v>
      </c>
      <c r="AC65" s="2" t="s">
        <v>26</v>
      </c>
    </row>
    <row r="66" spans="1:29" x14ac:dyDescent="0.15">
      <c r="A66" s="2" t="s">
        <v>2</v>
      </c>
      <c r="B66" s="5">
        <f t="shared" ref="B66:N66" si="20">B26/B2-1</f>
        <v>0</v>
      </c>
      <c r="C66" s="5">
        <f t="shared" si="20"/>
        <v>0</v>
      </c>
      <c r="D66" s="5">
        <f t="shared" si="20"/>
        <v>0</v>
      </c>
      <c r="E66" s="5">
        <f t="shared" si="20"/>
        <v>0</v>
      </c>
      <c r="F66" s="5">
        <f t="shared" si="20"/>
        <v>0</v>
      </c>
      <c r="G66" s="5">
        <f t="shared" si="20"/>
        <v>0</v>
      </c>
      <c r="H66" s="5">
        <f t="shared" si="20"/>
        <v>0</v>
      </c>
      <c r="I66" s="5">
        <f t="shared" si="20"/>
        <v>0</v>
      </c>
      <c r="J66" s="5">
        <f t="shared" si="20"/>
        <v>0</v>
      </c>
      <c r="K66" s="5">
        <f t="shared" si="20"/>
        <v>0</v>
      </c>
      <c r="L66" s="5">
        <f t="shared" si="20"/>
        <v>0</v>
      </c>
      <c r="M66" s="5">
        <f t="shared" si="20"/>
        <v>0</v>
      </c>
      <c r="N66" s="5">
        <f t="shared" si="20"/>
        <v>0</v>
      </c>
      <c r="P66" s="2" t="s">
        <v>2</v>
      </c>
      <c r="Q66" s="5">
        <f t="shared" ref="Q66:AC66" si="21">Q26/Q2-1</f>
        <v>0</v>
      </c>
      <c r="R66" s="5">
        <f t="shared" si="21"/>
        <v>0</v>
      </c>
      <c r="S66" s="5">
        <f t="shared" si="21"/>
        <v>0</v>
      </c>
      <c r="T66" s="5">
        <f t="shared" si="21"/>
        <v>0</v>
      </c>
      <c r="U66" s="5">
        <f t="shared" si="21"/>
        <v>0</v>
      </c>
      <c r="V66" s="5">
        <f t="shared" si="21"/>
        <v>0</v>
      </c>
      <c r="W66" s="5">
        <f t="shared" si="21"/>
        <v>0</v>
      </c>
      <c r="X66" s="5">
        <f t="shared" si="21"/>
        <v>0</v>
      </c>
      <c r="Y66" s="5">
        <f t="shared" si="21"/>
        <v>0</v>
      </c>
      <c r="Z66" s="5">
        <f t="shared" si="21"/>
        <v>0</v>
      </c>
      <c r="AA66" s="5">
        <f t="shared" si="21"/>
        <v>0</v>
      </c>
      <c r="AB66" s="5">
        <f t="shared" si="21"/>
        <v>0</v>
      </c>
      <c r="AC66" s="5">
        <f t="shared" si="21"/>
        <v>0</v>
      </c>
    </row>
    <row r="67" spans="1:29" x14ac:dyDescent="0.15">
      <c r="A67" s="2" t="s">
        <v>3</v>
      </c>
      <c r="B67" s="5">
        <f t="shared" ref="B67:N67" si="22">B27/B3-1</f>
        <v>0</v>
      </c>
      <c r="C67" s="5">
        <f t="shared" si="22"/>
        <v>0</v>
      </c>
      <c r="D67" s="5">
        <f t="shared" si="22"/>
        <v>0</v>
      </c>
      <c r="E67" s="5">
        <f t="shared" si="22"/>
        <v>0</v>
      </c>
      <c r="F67" s="5">
        <f t="shared" si="22"/>
        <v>0</v>
      </c>
      <c r="G67" s="5">
        <f t="shared" si="22"/>
        <v>0</v>
      </c>
      <c r="H67" s="5">
        <f t="shared" si="22"/>
        <v>0</v>
      </c>
      <c r="I67" s="5">
        <f t="shared" si="22"/>
        <v>0</v>
      </c>
      <c r="J67" s="5">
        <f t="shared" si="22"/>
        <v>0</v>
      </c>
      <c r="K67" s="5">
        <f t="shared" si="22"/>
        <v>0</v>
      </c>
      <c r="L67" s="5">
        <f t="shared" si="22"/>
        <v>0</v>
      </c>
      <c r="M67" s="5">
        <f t="shared" si="22"/>
        <v>0</v>
      </c>
      <c r="N67" s="5">
        <f t="shared" si="22"/>
        <v>0</v>
      </c>
      <c r="P67" s="2" t="s">
        <v>3</v>
      </c>
      <c r="Q67" s="5">
        <f t="shared" ref="Q67:AC67" si="23">Q27/Q3-1</f>
        <v>0</v>
      </c>
      <c r="R67" s="5">
        <f t="shared" si="23"/>
        <v>0</v>
      </c>
      <c r="S67" s="5">
        <f t="shared" si="23"/>
        <v>0</v>
      </c>
      <c r="T67" s="5">
        <f t="shared" si="23"/>
        <v>0</v>
      </c>
      <c r="U67" s="5">
        <f t="shared" si="23"/>
        <v>0</v>
      </c>
      <c r="V67" s="5">
        <f t="shared" si="23"/>
        <v>0</v>
      </c>
      <c r="W67" s="5">
        <f t="shared" si="23"/>
        <v>0</v>
      </c>
      <c r="X67" s="5">
        <f t="shared" si="23"/>
        <v>0</v>
      </c>
      <c r="Y67" s="5">
        <f t="shared" si="23"/>
        <v>0</v>
      </c>
      <c r="Z67" s="5">
        <f t="shared" si="23"/>
        <v>0</v>
      </c>
      <c r="AA67" s="5">
        <f t="shared" si="23"/>
        <v>0</v>
      </c>
      <c r="AB67" s="5">
        <f t="shared" si="23"/>
        <v>0</v>
      </c>
      <c r="AC67" s="5">
        <f t="shared" si="23"/>
        <v>0</v>
      </c>
    </row>
    <row r="68" spans="1:29" x14ac:dyDescent="0.15">
      <c r="A68" s="2" t="s">
        <v>4</v>
      </c>
      <c r="B68" s="5">
        <f t="shared" ref="B68:N68" si="24">B28/B4-1</f>
        <v>0</v>
      </c>
      <c r="C68" s="5">
        <f t="shared" si="24"/>
        <v>0</v>
      </c>
      <c r="D68" s="5">
        <f t="shared" si="24"/>
        <v>0</v>
      </c>
      <c r="E68" s="5">
        <f t="shared" si="24"/>
        <v>0</v>
      </c>
      <c r="F68" s="5">
        <f t="shared" si="24"/>
        <v>0</v>
      </c>
      <c r="G68" s="5">
        <f t="shared" si="24"/>
        <v>0</v>
      </c>
      <c r="H68" s="5">
        <f t="shared" si="24"/>
        <v>0</v>
      </c>
      <c r="I68" s="5">
        <f t="shared" si="24"/>
        <v>0</v>
      </c>
      <c r="J68" s="5">
        <f t="shared" si="24"/>
        <v>0</v>
      </c>
      <c r="K68" s="5">
        <f t="shared" si="24"/>
        <v>0</v>
      </c>
      <c r="L68" s="5">
        <f t="shared" si="24"/>
        <v>0</v>
      </c>
      <c r="M68" s="5">
        <f t="shared" si="24"/>
        <v>0</v>
      </c>
      <c r="N68" s="5">
        <f t="shared" si="24"/>
        <v>0</v>
      </c>
      <c r="P68" s="2" t="s">
        <v>4</v>
      </c>
      <c r="Q68" s="5">
        <f t="shared" ref="Q68:AC68" si="25">Q28/Q4-1</f>
        <v>0</v>
      </c>
      <c r="R68" s="5">
        <f t="shared" si="25"/>
        <v>0</v>
      </c>
      <c r="S68" s="5">
        <f t="shared" si="25"/>
        <v>0</v>
      </c>
      <c r="T68" s="5">
        <f t="shared" si="25"/>
        <v>0</v>
      </c>
      <c r="U68" s="5">
        <f t="shared" si="25"/>
        <v>0</v>
      </c>
      <c r="V68" s="5">
        <f t="shared" si="25"/>
        <v>0</v>
      </c>
      <c r="W68" s="5">
        <f t="shared" si="25"/>
        <v>0</v>
      </c>
      <c r="X68" s="5">
        <f t="shared" si="25"/>
        <v>0</v>
      </c>
      <c r="Y68" s="5">
        <f t="shared" si="25"/>
        <v>0</v>
      </c>
      <c r="Z68" s="5">
        <f t="shared" si="25"/>
        <v>0</v>
      </c>
      <c r="AA68" s="5">
        <f t="shared" si="25"/>
        <v>0</v>
      </c>
      <c r="AB68" s="5">
        <f t="shared" si="25"/>
        <v>0</v>
      </c>
      <c r="AC68" s="5">
        <f t="shared" si="25"/>
        <v>0</v>
      </c>
    </row>
    <row r="69" spans="1:29" x14ac:dyDescent="0.15">
      <c r="A69" s="2" t="s">
        <v>5</v>
      </c>
      <c r="B69" s="5">
        <f t="shared" ref="B69:N69" si="26">B29/B5-1</f>
        <v>-1.6990777141180358E-3</v>
      </c>
      <c r="C69" s="5">
        <f t="shared" si="26"/>
        <v>-3.779332358875187E-2</v>
      </c>
      <c r="D69" s="5">
        <f t="shared" si="26"/>
        <v>-6.5509614469839716E-3</v>
      </c>
      <c r="E69" s="5">
        <f t="shared" si="26"/>
        <v>-1.8633956541370678E-3</v>
      </c>
      <c r="F69" s="5">
        <f t="shared" si="26"/>
        <v>-1.4514078448524259E-3</v>
      </c>
      <c r="G69" s="5">
        <f t="shared" si="26"/>
        <v>-6.1581899582535682E-3</v>
      </c>
      <c r="H69" s="5">
        <f t="shared" si="26"/>
        <v>-1.7348481431743723E-3</v>
      </c>
      <c r="I69" s="5">
        <f t="shared" si="26"/>
        <v>-3.9074984449527506E-4</v>
      </c>
      <c r="J69" s="5">
        <f t="shared" si="26"/>
        <v>-3.6789206198054591E-3</v>
      </c>
      <c r="K69" s="5">
        <f t="shared" si="26"/>
        <v>-2.0558663676395472E-3</v>
      </c>
      <c r="L69" s="5">
        <f t="shared" si="26"/>
        <v>-6.091892555651901E-4</v>
      </c>
      <c r="M69" s="5">
        <f t="shared" si="26"/>
        <v>-2.2980606708852269E-3</v>
      </c>
      <c r="N69" s="5">
        <f t="shared" si="26"/>
        <v>-2.7999013853414745E-3</v>
      </c>
      <c r="P69" s="2" t="s">
        <v>5</v>
      </c>
      <c r="Q69" s="5">
        <f t="shared" ref="Q69:AC69" si="27">Q29/Q5-1</f>
        <v>-2.3503435192961941E-3</v>
      </c>
      <c r="R69" s="5">
        <f t="shared" si="27"/>
        <v>-1.028694257521201E-2</v>
      </c>
      <c r="S69" s="5">
        <f t="shared" si="27"/>
        <v>-4.3419764069461131E-3</v>
      </c>
      <c r="T69" s="5">
        <f t="shared" si="27"/>
        <v>-2.0934422397159702E-3</v>
      </c>
      <c r="U69" s="5">
        <f t="shared" si="27"/>
        <v>-6.7393881570732006E-5</v>
      </c>
      <c r="V69" s="5">
        <f t="shared" si="27"/>
        <v>-3.948223493173364E-3</v>
      </c>
      <c r="W69" s="5">
        <f t="shared" si="27"/>
        <v>-1.8102150889199864E-3</v>
      </c>
      <c r="X69" s="5">
        <f t="shared" si="27"/>
        <v>-7.2680202684926032E-3</v>
      </c>
      <c r="Y69" s="5">
        <f t="shared" si="27"/>
        <v>-4.2992818002517419E-3</v>
      </c>
      <c r="Z69" s="5">
        <f t="shared" si="27"/>
        <v>-3.048663765538584E-3</v>
      </c>
      <c r="AA69" s="5">
        <f t="shared" si="27"/>
        <v>-2.3341389386187794E-3</v>
      </c>
      <c r="AB69" s="5">
        <f t="shared" si="27"/>
        <v>-1.9965310020509941E-3</v>
      </c>
      <c r="AC69" s="5">
        <f t="shared" si="27"/>
        <v>2.6744243526253264E-3</v>
      </c>
    </row>
    <row r="70" spans="1:29" x14ac:dyDescent="0.15">
      <c r="A70" s="2" t="s">
        <v>6</v>
      </c>
      <c r="B70" s="5">
        <f t="shared" ref="B70:N70" si="28">B30/B6-1</f>
        <v>-2.9459996016008017E-3</v>
      </c>
      <c r="C70" s="5">
        <f t="shared" si="28"/>
        <v>-5.9679831487684298E-2</v>
      </c>
      <c r="D70" s="5">
        <f t="shared" si="28"/>
        <v>-1.0123265680252569E-2</v>
      </c>
      <c r="E70" s="5">
        <f t="shared" si="28"/>
        <v>-3.0678425215051597E-3</v>
      </c>
      <c r="F70" s="5">
        <f t="shared" si="28"/>
        <v>-2.4130942492888163E-3</v>
      </c>
      <c r="G70" s="5">
        <f t="shared" si="28"/>
        <v>-9.8859621044966595E-3</v>
      </c>
      <c r="H70" s="5">
        <f t="shared" si="28"/>
        <v>-2.9257667954460942E-3</v>
      </c>
      <c r="I70" s="5">
        <f>I30/I6-1</f>
        <v>-1.0668591675644379E-5</v>
      </c>
      <c r="J70" s="5">
        <f t="shared" si="28"/>
        <v>-6.1952719799251987E-3</v>
      </c>
      <c r="K70" s="5">
        <f t="shared" si="28"/>
        <v>-3.6579570647160553E-3</v>
      </c>
      <c r="L70" s="5">
        <f t="shared" si="28"/>
        <v>-1.2448616594659123E-3</v>
      </c>
      <c r="M70" s="5">
        <f t="shared" si="28"/>
        <v>-3.8722208785364476E-3</v>
      </c>
      <c r="N70" s="5">
        <f t="shared" si="28"/>
        <v>-5.1123395481711409E-3</v>
      </c>
      <c r="P70" s="2" t="s">
        <v>6</v>
      </c>
      <c r="Q70" s="5">
        <f t="shared" ref="Q70:AC70" si="29">Q30/Q6-1</f>
        <v>-4.0460971469868934E-3</v>
      </c>
      <c r="R70" s="5">
        <f t="shared" si="29"/>
        <v>-1.7075416187584125E-2</v>
      </c>
      <c r="S70" s="5">
        <f t="shared" si="29"/>
        <v>-7.2429512598256585E-3</v>
      </c>
      <c r="T70" s="5">
        <f t="shared" si="29"/>
        <v>-3.6445134772720156E-3</v>
      </c>
      <c r="U70" s="5">
        <f t="shared" si="29"/>
        <v>-1.254434309855279E-4</v>
      </c>
      <c r="V70" s="5">
        <f t="shared" si="29"/>
        <v>-6.6273339084165217E-3</v>
      </c>
      <c r="W70" s="5">
        <f t="shared" si="29"/>
        <v>-3.117219753181244E-3</v>
      </c>
      <c r="X70" s="5">
        <f t="shared" si="29"/>
        <v>-1.3560827839383061E-2</v>
      </c>
      <c r="Y70" s="5">
        <f t="shared" si="29"/>
        <v>-7.1015709237733926E-3</v>
      </c>
      <c r="Z70" s="5">
        <f t="shared" si="29"/>
        <v>-5.442707836365801E-3</v>
      </c>
      <c r="AA70" s="5">
        <f t="shared" si="29"/>
        <v>-4.2727812835415824E-3</v>
      </c>
      <c r="AB70" s="5">
        <f t="shared" si="29"/>
        <v>-3.5909090038603875E-3</v>
      </c>
      <c r="AC70" s="5">
        <f t="shared" si="29"/>
        <v>4.9007326292900277E-3</v>
      </c>
    </row>
    <row r="71" spans="1:29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29" x14ac:dyDescent="0.1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29" x14ac:dyDescent="0.15">
      <c r="A73" s="1" t="s">
        <v>44</v>
      </c>
      <c r="B73" s="2" t="s">
        <v>15</v>
      </c>
      <c r="C73" s="2" t="s">
        <v>16</v>
      </c>
      <c r="D73" s="2" t="s">
        <v>17</v>
      </c>
      <c r="E73" s="2" t="s">
        <v>18</v>
      </c>
      <c r="F73" s="2" t="s">
        <v>19</v>
      </c>
      <c r="G73" s="2" t="s">
        <v>20</v>
      </c>
      <c r="H73" s="2" t="s">
        <v>21</v>
      </c>
      <c r="I73" s="2" t="s">
        <v>108</v>
      </c>
      <c r="J73" s="2" t="s">
        <v>22</v>
      </c>
      <c r="K73" s="2" t="s">
        <v>23</v>
      </c>
      <c r="L73" s="2" t="s">
        <v>24</v>
      </c>
      <c r="M73" s="2" t="s">
        <v>25</v>
      </c>
      <c r="N73" s="2" t="s">
        <v>26</v>
      </c>
      <c r="P73" s="1" t="s">
        <v>137</v>
      </c>
      <c r="Q73" s="2" t="s">
        <v>15</v>
      </c>
      <c r="R73" s="2" t="s">
        <v>16</v>
      </c>
      <c r="S73" s="2" t="s">
        <v>17</v>
      </c>
      <c r="T73" s="2" t="s">
        <v>18</v>
      </c>
      <c r="U73" s="2" t="s">
        <v>19</v>
      </c>
      <c r="V73" s="2" t="s">
        <v>20</v>
      </c>
      <c r="W73" s="2" t="s">
        <v>21</v>
      </c>
      <c r="X73" s="2" t="s">
        <v>108</v>
      </c>
      <c r="Y73" s="2" t="s">
        <v>22</v>
      </c>
      <c r="Z73" s="2" t="s">
        <v>23</v>
      </c>
      <c r="AA73" s="2" t="s">
        <v>24</v>
      </c>
      <c r="AB73" s="2" t="s">
        <v>25</v>
      </c>
      <c r="AC73" s="2" t="s">
        <v>26</v>
      </c>
    </row>
    <row r="74" spans="1:29" x14ac:dyDescent="0.15">
      <c r="A74" s="2" t="s">
        <v>2</v>
      </c>
      <c r="B74" s="5">
        <f t="shared" ref="B74:N77" si="30">B34/B2-1</f>
        <v>1.8320700512219901E-10</v>
      </c>
      <c r="C74" s="5">
        <f t="shared" si="30"/>
        <v>9.9561081601251544E-9</v>
      </c>
      <c r="D74" s="5">
        <f t="shared" si="30"/>
        <v>-1.9834121012252126E-9</v>
      </c>
      <c r="E74" s="5">
        <f t="shared" si="30"/>
        <v>3.258864289534813E-10</v>
      </c>
      <c r="F74" s="5">
        <f t="shared" si="30"/>
        <v>1.7851631284315772E-10</v>
      </c>
      <c r="G74" s="5">
        <f t="shared" si="30"/>
        <v>-1.6012671189002958E-9</v>
      </c>
      <c r="H74" s="5">
        <f t="shared" si="30"/>
        <v>2.3202328947036222E-10</v>
      </c>
      <c r="I74" s="5">
        <f t="shared" si="30"/>
        <v>-7.954104042084964E-10</v>
      </c>
      <c r="J74" s="5">
        <f t="shared" si="30"/>
        <v>2.6488446991379533E-9</v>
      </c>
      <c r="K74" s="5">
        <f t="shared" si="30"/>
        <v>1.3062018133780384E-10</v>
      </c>
      <c r="L74" s="5">
        <f t="shared" si="30"/>
        <v>6.8316019508074532E-11</v>
      </c>
      <c r="M74" s="5">
        <f t="shared" si="30"/>
        <v>3.2901681379371439E-10</v>
      </c>
      <c r="N74" s="5">
        <f t="shared" si="30"/>
        <v>1.6547652137433033E-10</v>
      </c>
      <c r="P74" s="2" t="s">
        <v>2</v>
      </c>
      <c r="Q74" s="5">
        <f t="shared" ref="Q74:AC74" si="31">Q34/Q2-1</f>
        <v>9.1212370989524061E-11</v>
      </c>
      <c r="R74" s="5">
        <f t="shared" si="31"/>
        <v>1.2129615090117341E-9</v>
      </c>
      <c r="S74" s="5">
        <f t="shared" si="31"/>
        <v>-5.4242921265768018E-10</v>
      </c>
      <c r="T74" s="5">
        <f t="shared" si="31"/>
        <v>7.6648909441701107E-11</v>
      </c>
      <c r="U74" s="5">
        <f t="shared" si="31"/>
        <v>1.0805356609466799E-11</v>
      </c>
      <c r="V74" s="5">
        <f t="shared" si="31"/>
        <v>-2.5847390894284672E-10</v>
      </c>
      <c r="W74" s="5">
        <f t="shared" si="31"/>
        <v>5.375788703076978E-11</v>
      </c>
      <c r="X74" s="5">
        <f t="shared" si="31"/>
        <v>3.8841263538813564E-10</v>
      </c>
      <c r="Y74" s="5">
        <f t="shared" si="31"/>
        <v>8.4320550541860939E-11</v>
      </c>
      <c r="Z74" s="5">
        <f t="shared" si="31"/>
        <v>2.1781887404870304E-10</v>
      </c>
      <c r="AA74" s="5">
        <f t="shared" si="31"/>
        <v>2.8334223856063545E-11</v>
      </c>
      <c r="AB74" s="5">
        <f t="shared" si="31"/>
        <v>-5.1231907605142624E-11</v>
      </c>
      <c r="AC74" s="5">
        <f t="shared" si="31"/>
        <v>-5.2906790060092135E-11</v>
      </c>
    </row>
    <row r="75" spans="1:29" x14ac:dyDescent="0.15">
      <c r="A75" s="2" t="s">
        <v>3</v>
      </c>
      <c r="B75" s="5">
        <f t="shared" si="30"/>
        <v>1.1048806314306603E-10</v>
      </c>
      <c r="C75" s="5">
        <f t="shared" si="30"/>
        <v>9.9741890302595948E-9</v>
      </c>
      <c r="D75" s="5">
        <f t="shared" si="30"/>
        <v>-1.5791287166777579E-9</v>
      </c>
      <c r="E75" s="5">
        <f t="shared" si="30"/>
        <v>1.4124967862017002E-10</v>
      </c>
      <c r="F75" s="5">
        <f t="shared" si="30"/>
        <v>9.6335384114354383E-11</v>
      </c>
      <c r="G75" s="5">
        <f t="shared" si="30"/>
        <v>-1.5134803410532527E-9</v>
      </c>
      <c r="H75" s="5">
        <f t="shared" si="30"/>
        <v>1.25211396806435E-10</v>
      </c>
      <c r="I75" s="5">
        <f t="shared" si="30"/>
        <v>-9.6861163534356365E-10</v>
      </c>
      <c r="J75" s="5">
        <f t="shared" si="30"/>
        <v>2.6074784553742347E-9</v>
      </c>
      <c r="K75" s="5">
        <f t="shared" si="30"/>
        <v>-1.0258238702931521E-11</v>
      </c>
      <c r="L75" s="5">
        <f t="shared" si="30"/>
        <v>-5.4388493708756869E-11</v>
      </c>
      <c r="M75" s="5">
        <f t="shared" si="30"/>
        <v>2.2385937548108359E-10</v>
      </c>
      <c r="N75" s="5">
        <f t="shared" si="30"/>
        <v>1.152371531532026E-10</v>
      </c>
      <c r="P75" s="2" t="s">
        <v>3</v>
      </c>
      <c r="Q75" s="5">
        <f t="shared" ref="Q75:AC75" si="32">Q35/Q3-1</f>
        <v>-3.3480218597503608E-11</v>
      </c>
      <c r="R75" s="5">
        <f t="shared" si="32"/>
        <v>1.4087921940131309E-9</v>
      </c>
      <c r="S75" s="5">
        <f t="shared" si="32"/>
        <v>-3.7468683711239237E-10</v>
      </c>
      <c r="T75" s="5">
        <f t="shared" si="32"/>
        <v>3.0905056291885558E-10</v>
      </c>
      <c r="U75" s="5">
        <f t="shared" si="32"/>
        <v>1.872457744411804E-11</v>
      </c>
      <c r="V75" s="5">
        <f t="shared" si="32"/>
        <v>-1.0335510225445432E-10</v>
      </c>
      <c r="W75" s="5">
        <f t="shared" si="32"/>
        <v>2.1490054180617335E-10</v>
      </c>
      <c r="X75" s="5">
        <f t="shared" si="32"/>
        <v>7.6066064558233393E-10</v>
      </c>
      <c r="Y75" s="5">
        <f t="shared" si="32"/>
        <v>3.4903657741836014E-10</v>
      </c>
      <c r="Z75" s="5">
        <f t="shared" si="32"/>
        <v>6.4918581621498106E-10</v>
      </c>
      <c r="AA75" s="5">
        <f t="shared" si="32"/>
        <v>1.242612679419608E-10</v>
      </c>
      <c r="AB75" s="5">
        <f t="shared" si="32"/>
        <v>9.4079855017525915E-11</v>
      </c>
      <c r="AC75" s="5">
        <f t="shared" si="32"/>
        <v>-1.4492018696188325E-10</v>
      </c>
    </row>
    <row r="76" spans="1:29" x14ac:dyDescent="0.15">
      <c r="A76" s="2" t="s">
        <v>4</v>
      </c>
      <c r="B76" s="5">
        <f t="shared" si="30"/>
        <v>6.726907919585301E-11</v>
      </c>
      <c r="C76" s="5">
        <f t="shared" si="30"/>
        <v>1.0131922412170979E-8</v>
      </c>
      <c r="D76" s="5">
        <f t="shared" si="30"/>
        <v>-1.2321745845866872E-9</v>
      </c>
      <c r="E76" s="5">
        <f t="shared" si="30"/>
        <v>4.3887782297247213E-11</v>
      </c>
      <c r="F76" s="5">
        <f t="shared" si="30"/>
        <v>4.393929664558982E-11</v>
      </c>
      <c r="G76" s="5">
        <f t="shared" si="30"/>
        <v>-1.339366617614246E-9</v>
      </c>
      <c r="H76" s="5">
        <f t="shared" si="30"/>
        <v>5.4447113484457077E-11</v>
      </c>
      <c r="I76" s="5">
        <f t="shared" si="30"/>
        <v>-1.0803545835713635E-9</v>
      </c>
      <c r="J76" s="5">
        <f t="shared" si="30"/>
        <v>2.7494495569158062E-9</v>
      </c>
      <c r="K76" s="5">
        <f t="shared" si="30"/>
        <v>-2.9778068899588561E-11</v>
      </c>
      <c r="L76" s="5">
        <f t="shared" si="30"/>
        <v>-1.4867840292254186E-10</v>
      </c>
      <c r="M76" s="5">
        <f t="shared" si="30"/>
        <v>1.535469529301281E-10</v>
      </c>
      <c r="N76" s="5">
        <f t="shared" si="30"/>
        <v>9.2291729814064638E-11</v>
      </c>
      <c r="P76" s="2" t="s">
        <v>4</v>
      </c>
      <c r="Q76" s="5">
        <f t="shared" ref="Q76:AC76" si="33">Q36/Q4-1</f>
        <v>-1.1273981748161077E-10</v>
      </c>
      <c r="R76" s="5">
        <f t="shared" si="33"/>
        <v>1.4846093243647829E-9</v>
      </c>
      <c r="S76" s="5">
        <f t="shared" si="33"/>
        <v>-3.6882707998842079E-10</v>
      </c>
      <c r="T76" s="5">
        <f t="shared" si="33"/>
        <v>3.3927016751533756E-10</v>
      </c>
      <c r="U76" s="5">
        <f t="shared" si="33"/>
        <v>1.5555778887232918E-11</v>
      </c>
      <c r="V76" s="5">
        <f t="shared" si="33"/>
        <v>-1.2779577396315744E-10</v>
      </c>
      <c r="W76" s="5">
        <f t="shared" si="33"/>
        <v>3.4110181346136415E-10</v>
      </c>
      <c r="X76" s="5">
        <f t="shared" si="33"/>
        <v>1.0480487588893084E-9</v>
      </c>
      <c r="Y76" s="5">
        <f t="shared" si="33"/>
        <v>2.8089086612226311E-10</v>
      </c>
      <c r="Z76" s="5">
        <f t="shared" si="33"/>
        <v>5.3977111669212263E-10</v>
      </c>
      <c r="AA76" s="5">
        <f t="shared" si="33"/>
        <v>2.2269586175127642E-10</v>
      </c>
      <c r="AB76" s="5">
        <f t="shared" si="33"/>
        <v>1.9899593084460321E-10</v>
      </c>
      <c r="AC76" s="5">
        <f t="shared" si="33"/>
        <v>-2.1773660652257831E-10</v>
      </c>
    </row>
    <row r="77" spans="1:29" x14ac:dyDescent="0.15">
      <c r="A77" s="2" t="s">
        <v>5</v>
      </c>
      <c r="B77" s="5">
        <f t="shared" si="30"/>
        <v>-1.903168003307143E-3</v>
      </c>
      <c r="C77" s="5">
        <f t="shared" si="30"/>
        <v>-4.6628061372559149E-2</v>
      </c>
      <c r="D77" s="5">
        <f t="shared" si="30"/>
        <v>-6.6311906374085794E-3</v>
      </c>
      <c r="E77" s="5">
        <f t="shared" si="30"/>
        <v>-2.1953868203178351E-3</v>
      </c>
      <c r="F77" s="5">
        <f t="shared" si="30"/>
        <v>-1.7170782592236256E-3</v>
      </c>
      <c r="G77" s="5">
        <f t="shared" si="30"/>
        <v>-6.0530886744141199E-3</v>
      </c>
      <c r="H77" s="5">
        <f t="shared" si="30"/>
        <v>-2.0344485492876929E-3</v>
      </c>
      <c r="I77" s="5">
        <f t="shared" si="30"/>
        <v>-2.0809121809675091E-3</v>
      </c>
      <c r="J77" s="5">
        <f t="shared" si="30"/>
        <v>-5.2882138886762853E-3</v>
      </c>
      <c r="K77" s="5">
        <f t="shared" si="30"/>
        <v>-2.3776211609058961E-3</v>
      </c>
      <c r="L77" s="5">
        <f t="shared" si="30"/>
        <v>-7.1423601490050448E-4</v>
      </c>
      <c r="M77" s="5">
        <f t="shared" si="30"/>
        <v>-2.6707939224703825E-3</v>
      </c>
      <c r="N77" s="5">
        <f t="shared" si="30"/>
        <v>-3.0258271433691863E-3</v>
      </c>
      <c r="P77" s="2" t="s">
        <v>5</v>
      </c>
      <c r="Q77" s="5">
        <f t="shared" ref="Q77:AC77" si="34">Q37/Q5-1</f>
        <v>-3.0776958683520483E-3</v>
      </c>
      <c r="R77" s="5">
        <f t="shared" si="34"/>
        <v>-1.0075795036304624E-2</v>
      </c>
      <c r="S77" s="5">
        <f t="shared" si="34"/>
        <v>-4.3434366712240546E-3</v>
      </c>
      <c r="T77" s="5">
        <f t="shared" si="34"/>
        <v>-1.7199660612605694E-3</v>
      </c>
      <c r="U77" s="5">
        <f t="shared" si="34"/>
        <v>4.5296605159839132E-5</v>
      </c>
      <c r="V77" s="5">
        <f t="shared" si="34"/>
        <v>-2.7622034843347576E-3</v>
      </c>
      <c r="W77" s="5">
        <f t="shared" si="34"/>
        <v>-7.5451306657836614E-4</v>
      </c>
      <c r="X77" s="5">
        <f t="shared" si="34"/>
        <v>-2.7298717038658493E-3</v>
      </c>
      <c r="Y77" s="5">
        <f t="shared" si="34"/>
        <v>-3.8709894305593018E-3</v>
      </c>
      <c r="Z77" s="5">
        <f t="shared" si="34"/>
        <v>-2.8572628950631618E-3</v>
      </c>
      <c r="AA77" s="5">
        <f t="shared" si="34"/>
        <v>-2.4284893822489328E-3</v>
      </c>
      <c r="AB77" s="5">
        <f t="shared" si="34"/>
        <v>-1.9771505007838419E-3</v>
      </c>
      <c r="AC77" s="5">
        <f t="shared" si="34"/>
        <v>2.5514407245812443E-3</v>
      </c>
    </row>
    <row r="78" spans="1:29" x14ac:dyDescent="0.15">
      <c r="A78" s="2" t="s">
        <v>6</v>
      </c>
      <c r="B78" s="5">
        <f>B38/B6-1</f>
        <v>-3.9349351454812664E-3</v>
      </c>
      <c r="C78" s="5">
        <f>C38/C6-1</f>
        <v>-9.6934964413043168E-2</v>
      </c>
      <c r="D78" s="5">
        <f t="shared" ref="D78:N78" si="35">D38/D6-1</f>
        <v>-1.0738644062460612E-2</v>
      </c>
      <c r="E78" s="5">
        <f t="shared" si="35"/>
        <v>-4.5498966177942579E-3</v>
      </c>
      <c r="F78" s="5">
        <f t="shared" si="35"/>
        <v>-3.6371668692365411E-3</v>
      </c>
      <c r="G78" s="5">
        <f t="shared" si="35"/>
        <v>-9.6924031508270891E-3</v>
      </c>
      <c r="H78" s="5">
        <f t="shared" si="35"/>
        <v>-4.2896690791929259E-3</v>
      </c>
      <c r="I78" s="5">
        <f t="shared" si="35"/>
        <v>-6.9317513682189968E-3</v>
      </c>
      <c r="J78" s="5">
        <f t="shared" si="35"/>
        <v>-1.3217245009487844E-2</v>
      </c>
      <c r="K78" s="5">
        <f t="shared" si="35"/>
        <v>-5.1756898652203231E-3</v>
      </c>
      <c r="L78" s="5">
        <f t="shared" si="35"/>
        <v>-1.8383020732487543E-3</v>
      </c>
      <c r="M78" s="5">
        <f t="shared" si="35"/>
        <v>-5.5331025158886771E-3</v>
      </c>
      <c r="N78" s="5">
        <f t="shared" si="35"/>
        <v>-6.2644272344444252E-3</v>
      </c>
      <c r="P78" s="2" t="s">
        <v>6</v>
      </c>
      <c r="Q78" s="5">
        <f>Q38/Q6-1</f>
        <v>-7.2131459017213961E-3</v>
      </c>
      <c r="R78" s="5">
        <f t="shared" ref="R78:AC78" si="36">R38/R6-1</f>
        <v>-1.648058243753503E-2</v>
      </c>
      <c r="S78" s="5">
        <f t="shared" si="36"/>
        <v>-7.2982722051011528E-3</v>
      </c>
      <c r="T78" s="5">
        <f t="shared" si="36"/>
        <v>-2.0553745237120724E-3</v>
      </c>
      <c r="U78" s="5">
        <f t="shared" si="36"/>
        <v>2.7289370930105861E-4</v>
      </c>
      <c r="V78" s="5">
        <f t="shared" si="36"/>
        <v>-1.6351781143032484E-3</v>
      </c>
      <c r="W78" s="5">
        <f t="shared" si="36"/>
        <v>1.3395695258038298E-3</v>
      </c>
      <c r="X78" s="5">
        <f t="shared" si="36"/>
        <v>5.2542112157285548E-3</v>
      </c>
      <c r="Y78" s="5">
        <f t="shared" si="36"/>
        <v>-5.3919747505565274E-3</v>
      </c>
      <c r="Z78" s="5">
        <f t="shared" si="36"/>
        <v>-4.5432376408093278E-3</v>
      </c>
      <c r="AA78" s="5">
        <f t="shared" si="36"/>
        <v>-4.7209859071181137E-3</v>
      </c>
      <c r="AB78" s="5">
        <f t="shared" si="36"/>
        <v>-3.3169791089007195E-3</v>
      </c>
      <c r="AC78" s="5">
        <f t="shared" si="36"/>
        <v>4.6087362950721911E-3</v>
      </c>
    </row>
    <row r="79" spans="1:29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9" x14ac:dyDescent="0.1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9" x14ac:dyDescent="0.15">
      <c r="A81" s="1" t="s">
        <v>45</v>
      </c>
      <c r="B81" s="2" t="s">
        <v>15</v>
      </c>
      <c r="C81" s="2" t="s">
        <v>16</v>
      </c>
      <c r="D81" s="2" t="s">
        <v>17</v>
      </c>
      <c r="E81" s="2" t="s">
        <v>18</v>
      </c>
      <c r="F81" s="2" t="s">
        <v>19</v>
      </c>
      <c r="G81" s="2" t="s">
        <v>20</v>
      </c>
      <c r="H81" s="2" t="s">
        <v>21</v>
      </c>
      <c r="I81" s="2" t="s">
        <v>108</v>
      </c>
      <c r="J81" s="2" t="s">
        <v>22</v>
      </c>
      <c r="K81" s="2" t="s">
        <v>23</v>
      </c>
      <c r="L81" s="2" t="s">
        <v>24</v>
      </c>
      <c r="M81" s="2" t="s">
        <v>25</v>
      </c>
      <c r="N81" s="2" t="s">
        <v>26</v>
      </c>
      <c r="P81" s="1" t="s">
        <v>45</v>
      </c>
      <c r="Q81" s="2" t="s">
        <v>15</v>
      </c>
      <c r="R81" s="2" t="s">
        <v>16</v>
      </c>
      <c r="S81" s="2" t="s">
        <v>17</v>
      </c>
      <c r="T81" s="2" t="s">
        <v>18</v>
      </c>
      <c r="U81" s="2" t="s">
        <v>19</v>
      </c>
      <c r="V81" s="2" t="s">
        <v>20</v>
      </c>
      <c r="W81" s="2" t="s">
        <v>21</v>
      </c>
      <c r="X81" s="2" t="s">
        <v>108</v>
      </c>
      <c r="Y81" s="2" t="s">
        <v>22</v>
      </c>
      <c r="Z81" s="2" t="s">
        <v>23</v>
      </c>
      <c r="AA81" s="2" t="s">
        <v>24</v>
      </c>
      <c r="AB81" s="2" t="s">
        <v>25</v>
      </c>
      <c r="AC81" s="2" t="s">
        <v>26</v>
      </c>
    </row>
    <row r="82" spans="1:29" x14ac:dyDescent="0.15">
      <c r="A82" s="2" t="s">
        <v>2</v>
      </c>
      <c r="B82" s="5">
        <f t="shared" ref="B82:N85" si="37">B42/B2-1</f>
        <v>1.8320700512219901E-10</v>
      </c>
      <c r="C82" s="5">
        <f t="shared" si="37"/>
        <v>9.9561081601251544E-9</v>
      </c>
      <c r="D82" s="5">
        <f t="shared" si="37"/>
        <v>-1.9834121012252126E-9</v>
      </c>
      <c r="E82" s="5">
        <f t="shared" si="37"/>
        <v>3.258864289534813E-10</v>
      </c>
      <c r="F82" s="5">
        <f t="shared" si="37"/>
        <v>1.7851631284315772E-10</v>
      </c>
      <c r="G82" s="5">
        <f t="shared" si="37"/>
        <v>-1.6012671189002958E-9</v>
      </c>
      <c r="H82" s="5">
        <f t="shared" si="37"/>
        <v>2.3202328947036222E-10</v>
      </c>
      <c r="I82" s="5">
        <f t="shared" si="37"/>
        <v>-7.954104042084964E-10</v>
      </c>
      <c r="J82" s="5">
        <f t="shared" si="37"/>
        <v>2.6488446991379533E-9</v>
      </c>
      <c r="K82" s="5">
        <f t="shared" si="37"/>
        <v>1.3062018133780384E-10</v>
      </c>
      <c r="L82" s="5">
        <f t="shared" si="37"/>
        <v>6.8316019508074532E-11</v>
      </c>
      <c r="M82" s="5">
        <f t="shared" si="37"/>
        <v>3.2901681379371439E-10</v>
      </c>
      <c r="N82" s="5">
        <f t="shared" si="37"/>
        <v>1.6547652137433033E-10</v>
      </c>
      <c r="P82" s="2" t="s">
        <v>2</v>
      </c>
      <c r="Q82" s="5">
        <f t="shared" ref="Q82:AC82" si="38">Q42/Q2-1</f>
        <v>9.1212370989524061E-11</v>
      </c>
      <c r="R82" s="5">
        <f t="shared" si="38"/>
        <v>1.2129615090117341E-9</v>
      </c>
      <c r="S82" s="5">
        <f t="shared" si="38"/>
        <v>-5.4242921265768018E-10</v>
      </c>
      <c r="T82" s="5">
        <f t="shared" si="38"/>
        <v>7.6648909441701107E-11</v>
      </c>
      <c r="U82" s="5">
        <f t="shared" si="38"/>
        <v>1.0805356609466799E-11</v>
      </c>
      <c r="V82" s="5">
        <f t="shared" si="38"/>
        <v>-2.5847390894284672E-10</v>
      </c>
      <c r="W82" s="5">
        <f t="shared" si="38"/>
        <v>5.375788703076978E-11</v>
      </c>
      <c r="X82" s="5">
        <f t="shared" si="38"/>
        <v>3.8841263538813564E-10</v>
      </c>
      <c r="Y82" s="5">
        <f t="shared" si="38"/>
        <v>8.4320550541860939E-11</v>
      </c>
      <c r="Z82" s="5">
        <f t="shared" si="38"/>
        <v>2.1781887404870304E-10</v>
      </c>
      <c r="AA82" s="5">
        <f t="shared" si="38"/>
        <v>2.8334223856063545E-11</v>
      </c>
      <c r="AB82" s="5">
        <f t="shared" si="38"/>
        <v>-5.1231907605142624E-11</v>
      </c>
      <c r="AC82" s="5">
        <f t="shared" si="38"/>
        <v>-5.2906790060092135E-11</v>
      </c>
    </row>
    <row r="83" spans="1:29" x14ac:dyDescent="0.15">
      <c r="A83" s="2" t="s">
        <v>3</v>
      </c>
      <c r="B83" s="5">
        <f t="shared" si="37"/>
        <v>1.1048806314306603E-10</v>
      </c>
      <c r="C83" s="5">
        <f t="shared" si="37"/>
        <v>9.9741890302595948E-9</v>
      </c>
      <c r="D83" s="5">
        <f t="shared" si="37"/>
        <v>-1.5791287166777579E-9</v>
      </c>
      <c r="E83" s="5">
        <f t="shared" si="37"/>
        <v>1.4124967862017002E-10</v>
      </c>
      <c r="F83" s="5">
        <f t="shared" si="37"/>
        <v>9.6335384114354383E-11</v>
      </c>
      <c r="G83" s="5">
        <f t="shared" si="37"/>
        <v>-1.5134803410532527E-9</v>
      </c>
      <c r="H83" s="5">
        <f t="shared" si="37"/>
        <v>1.25211396806435E-10</v>
      </c>
      <c r="I83" s="5">
        <f t="shared" si="37"/>
        <v>-9.6861163534356365E-10</v>
      </c>
      <c r="J83" s="5">
        <f t="shared" si="37"/>
        <v>2.6074784553742347E-9</v>
      </c>
      <c r="K83" s="5">
        <f t="shared" si="37"/>
        <v>-1.0258238702931521E-11</v>
      </c>
      <c r="L83" s="5">
        <f t="shared" si="37"/>
        <v>-5.4388493708756869E-11</v>
      </c>
      <c r="M83" s="5">
        <f t="shared" si="37"/>
        <v>2.2385937548108359E-10</v>
      </c>
      <c r="N83" s="5">
        <f t="shared" si="37"/>
        <v>1.152371531532026E-10</v>
      </c>
      <c r="P83" s="2" t="s">
        <v>3</v>
      </c>
      <c r="Q83" s="5">
        <f t="shared" ref="Q83:AC83" si="39">Q43/Q3-1</f>
        <v>-3.3480218597503608E-11</v>
      </c>
      <c r="R83" s="5">
        <f t="shared" si="39"/>
        <v>1.4087921940131309E-9</v>
      </c>
      <c r="S83" s="5">
        <f t="shared" si="39"/>
        <v>-3.7468683711239237E-10</v>
      </c>
      <c r="T83" s="5">
        <f t="shared" si="39"/>
        <v>3.0905056291885558E-10</v>
      </c>
      <c r="U83" s="5">
        <f t="shared" si="39"/>
        <v>1.872457744411804E-11</v>
      </c>
      <c r="V83" s="5">
        <f t="shared" si="39"/>
        <v>-1.0335510225445432E-10</v>
      </c>
      <c r="W83" s="5">
        <f t="shared" si="39"/>
        <v>2.1490054180617335E-10</v>
      </c>
      <c r="X83" s="5">
        <f t="shared" si="39"/>
        <v>7.6066064558233393E-10</v>
      </c>
      <c r="Y83" s="5">
        <f t="shared" si="39"/>
        <v>3.4903657741836014E-10</v>
      </c>
      <c r="Z83" s="5">
        <f t="shared" si="39"/>
        <v>6.4918581621498106E-10</v>
      </c>
      <c r="AA83" s="5">
        <f t="shared" si="39"/>
        <v>1.242612679419608E-10</v>
      </c>
      <c r="AB83" s="5">
        <f t="shared" si="39"/>
        <v>9.4079855017525915E-11</v>
      </c>
      <c r="AC83" s="5">
        <f t="shared" si="39"/>
        <v>-1.4492018696188325E-10</v>
      </c>
    </row>
    <row r="84" spans="1:29" x14ac:dyDescent="0.15">
      <c r="A84" s="2" t="s">
        <v>4</v>
      </c>
      <c r="B84" s="5">
        <f t="shared" si="37"/>
        <v>6.726907919585301E-11</v>
      </c>
      <c r="C84" s="5">
        <f t="shared" si="37"/>
        <v>1.0131922412170979E-8</v>
      </c>
      <c r="D84" s="5">
        <f t="shared" si="37"/>
        <v>-1.2321745845866872E-9</v>
      </c>
      <c r="E84" s="5">
        <f t="shared" si="37"/>
        <v>4.3887782297247213E-11</v>
      </c>
      <c r="F84" s="5">
        <f t="shared" si="37"/>
        <v>4.393929664558982E-11</v>
      </c>
      <c r="G84" s="5">
        <f t="shared" si="37"/>
        <v>-1.339366617614246E-9</v>
      </c>
      <c r="H84" s="5">
        <f t="shared" si="37"/>
        <v>5.4447113484457077E-11</v>
      </c>
      <c r="I84" s="5">
        <f t="shared" si="37"/>
        <v>-1.0803545835713635E-9</v>
      </c>
      <c r="J84" s="5">
        <f t="shared" si="37"/>
        <v>2.7494495569158062E-9</v>
      </c>
      <c r="K84" s="5">
        <f t="shared" si="37"/>
        <v>-2.9778068899588561E-11</v>
      </c>
      <c r="L84" s="5">
        <f t="shared" si="37"/>
        <v>-1.4867840292254186E-10</v>
      </c>
      <c r="M84" s="5">
        <f t="shared" si="37"/>
        <v>1.535469529301281E-10</v>
      </c>
      <c r="N84" s="5">
        <f t="shared" si="37"/>
        <v>9.2291729814064638E-11</v>
      </c>
      <c r="P84" s="2" t="s">
        <v>4</v>
      </c>
      <c r="Q84" s="5">
        <f t="shared" ref="Q84:AC84" si="40">Q44/Q4-1</f>
        <v>-1.1273981748161077E-10</v>
      </c>
      <c r="R84" s="5">
        <f t="shared" si="40"/>
        <v>1.4846093243647829E-9</v>
      </c>
      <c r="S84" s="5">
        <f t="shared" si="40"/>
        <v>-3.6882707998842079E-10</v>
      </c>
      <c r="T84" s="5">
        <f t="shared" si="40"/>
        <v>3.3927016751533756E-10</v>
      </c>
      <c r="U84" s="5">
        <f t="shared" si="40"/>
        <v>1.5555778887232918E-11</v>
      </c>
      <c r="V84" s="5">
        <f t="shared" si="40"/>
        <v>-1.2779577396315744E-10</v>
      </c>
      <c r="W84" s="5">
        <f t="shared" si="40"/>
        <v>3.4110181346136415E-10</v>
      </c>
      <c r="X84" s="5">
        <f t="shared" si="40"/>
        <v>1.0480487588893084E-9</v>
      </c>
      <c r="Y84" s="5">
        <f t="shared" si="40"/>
        <v>2.8089086612226311E-10</v>
      </c>
      <c r="Z84" s="5">
        <f t="shared" si="40"/>
        <v>5.3977111669212263E-10</v>
      </c>
      <c r="AA84" s="5">
        <f t="shared" si="40"/>
        <v>2.2269586175127642E-10</v>
      </c>
      <c r="AB84" s="5">
        <f t="shared" si="40"/>
        <v>1.9899593084460321E-10</v>
      </c>
      <c r="AC84" s="5">
        <f t="shared" si="40"/>
        <v>-2.1773660652257831E-10</v>
      </c>
    </row>
    <row r="85" spans="1:29" x14ac:dyDescent="0.15">
      <c r="A85" s="2" t="s">
        <v>5</v>
      </c>
      <c r="B85" s="5">
        <f t="shared" si="37"/>
        <v>-4.2397871348154315E-3</v>
      </c>
      <c r="C85" s="5">
        <f t="shared" si="37"/>
        <v>-0.13131399273715116</v>
      </c>
      <c r="D85" s="5">
        <f t="shared" si="37"/>
        <v>-8.5107597794368273E-3</v>
      </c>
      <c r="E85" s="5">
        <f t="shared" si="37"/>
        <v>-6.0562895144151696E-3</v>
      </c>
      <c r="F85" s="5">
        <f t="shared" si="37"/>
        <v>-4.7563587442377431E-3</v>
      </c>
      <c r="G85" s="5">
        <f t="shared" si="37"/>
        <v>-5.8892906696073055E-3</v>
      </c>
      <c r="H85" s="5">
        <f t="shared" si="37"/>
        <v>-5.4803743859203058E-3</v>
      </c>
      <c r="I85" s="5">
        <f t="shared" si="37"/>
        <v>-2.0294767197595376E-2</v>
      </c>
      <c r="J85" s="5">
        <f t="shared" si="37"/>
        <v>-2.2875639556479088E-2</v>
      </c>
      <c r="K85" s="5">
        <f t="shared" si="37"/>
        <v>-6.1255976163536729E-3</v>
      </c>
      <c r="L85" s="5">
        <f t="shared" si="37"/>
        <v>-2.4559146556399902E-3</v>
      </c>
      <c r="M85" s="5">
        <f t="shared" si="37"/>
        <v>-6.7800331925548241E-3</v>
      </c>
      <c r="N85" s="5">
        <f t="shared" si="37"/>
        <v>-5.482020124901843E-3</v>
      </c>
      <c r="P85" s="2" t="s">
        <v>5</v>
      </c>
      <c r="Q85" s="5">
        <f t="shared" ref="Q85:AC85" si="41">Q45/Q5-1</f>
        <v>-1.110830140518515E-2</v>
      </c>
      <c r="R85" s="5">
        <f t="shared" si="41"/>
        <v>-4.9447306696599469E-3</v>
      </c>
      <c r="S85" s="5">
        <f t="shared" si="41"/>
        <v>-4.2094767435268965E-3</v>
      </c>
      <c r="T85" s="5">
        <f t="shared" si="41"/>
        <v>3.100706845953427E-3</v>
      </c>
      <c r="U85" s="5">
        <f t="shared" si="41"/>
        <v>1.1855455912614943E-3</v>
      </c>
      <c r="V85" s="5">
        <f t="shared" si="41"/>
        <v>1.0657208989645506E-2</v>
      </c>
      <c r="W85" s="5">
        <f t="shared" si="41"/>
        <v>1.1022147771549529E-2</v>
      </c>
      <c r="X85" s="5">
        <f t="shared" si="41"/>
        <v>4.782054807613223E-2</v>
      </c>
      <c r="Y85" s="5">
        <f t="shared" si="41"/>
        <v>1.5176684228979109E-3</v>
      </c>
      <c r="Z85" s="5">
        <f t="shared" si="41"/>
        <v>4.8897873729258912E-4</v>
      </c>
      <c r="AA85" s="5">
        <f t="shared" si="41"/>
        <v>-2.7934142006432738E-3</v>
      </c>
      <c r="AB85" s="5">
        <f t="shared" si="41"/>
        <v>-8.7097288630955116E-4</v>
      </c>
      <c r="AC85" s="5">
        <f t="shared" si="41"/>
        <v>7.4917633252402638E-4</v>
      </c>
    </row>
    <row r="86" spans="1:29" x14ac:dyDescent="0.15">
      <c r="A86" s="2" t="s">
        <v>6</v>
      </c>
      <c r="B86" s="5">
        <f>B46/B6-1</f>
        <v>-1.0042563662122417E-2</v>
      </c>
      <c r="C86" s="5">
        <f t="shared" ref="C86:N86" si="42">C46/C6-1</f>
        <v>-0.2557385698210155</v>
      </c>
      <c r="D86" s="5">
        <f t="shared" si="42"/>
        <v>-1.8728019041887145E-2</v>
      </c>
      <c r="E86" s="5">
        <f t="shared" si="42"/>
        <v>-1.4169370599210529E-2</v>
      </c>
      <c r="F86" s="5">
        <f t="shared" si="42"/>
        <v>-1.1284147984307547E-2</v>
      </c>
      <c r="G86" s="5">
        <f t="shared" si="42"/>
        <v>-1.3183272973192439E-2</v>
      </c>
      <c r="H86" s="5">
        <f t="shared" si="42"/>
        <v>-1.2966184170224437E-2</v>
      </c>
      <c r="I86" s="5">
        <f t="shared" si="42"/>
        <v>-4.5455091894473609E-2</v>
      </c>
      <c r="J86" s="5">
        <f t="shared" si="42"/>
        <v>-5.2861771704835969E-2</v>
      </c>
      <c r="K86" s="5">
        <f t="shared" si="42"/>
        <v>-1.4876266691572715E-2</v>
      </c>
      <c r="L86" s="5">
        <f t="shared" si="42"/>
        <v>-8.0682532172938748E-3</v>
      </c>
      <c r="M86" s="5">
        <f t="shared" si="42"/>
        <v>-1.5319156947977586E-2</v>
      </c>
      <c r="N86" s="5">
        <f t="shared" si="42"/>
        <v>-1.269209090943979E-2</v>
      </c>
      <c r="P86" s="2" t="s">
        <v>6</v>
      </c>
      <c r="Q86" s="5">
        <f>Q46/Q6-1</f>
        <v>-2.6005072494720616E-2</v>
      </c>
      <c r="R86" s="5">
        <f t="shared" ref="R86:AC86" si="43">R46/R6-1</f>
        <v>6.7315530773059962E-4</v>
      </c>
      <c r="S86" s="5">
        <f t="shared" si="43"/>
        <v>-7.0516178050906708E-3</v>
      </c>
      <c r="T86" s="5">
        <f t="shared" si="43"/>
        <v>1.0539484337642069E-2</v>
      </c>
      <c r="U86" s="5">
        <f t="shared" si="43"/>
        <v>2.0470962000878057E-3</v>
      </c>
      <c r="V86" s="5">
        <f t="shared" si="43"/>
        <v>2.9047297924406745E-2</v>
      </c>
      <c r="W86" s="5">
        <f t="shared" si="43"/>
        <v>2.8231452369821719E-2</v>
      </c>
      <c r="X86" s="5">
        <f t="shared" si="43"/>
        <v>0.11825860242156794</v>
      </c>
      <c r="Y86" s="5">
        <f t="shared" si="43"/>
        <v>7.5201654033882903E-3</v>
      </c>
      <c r="Z86" s="5">
        <f t="shared" si="43"/>
        <v>6.4819251132268718E-3</v>
      </c>
      <c r="AA86" s="5">
        <f t="shared" si="43"/>
        <v>-3.7845258606504784E-3</v>
      </c>
      <c r="AB86" s="5">
        <f t="shared" si="43"/>
        <v>2.7290573475280411E-3</v>
      </c>
      <c r="AC86" s="5">
        <f t="shared" si="43"/>
        <v>6.2865404356426957E-4</v>
      </c>
    </row>
    <row r="87" spans="1:29" x14ac:dyDescent="0.15">
      <c r="B87" s="2" t="s">
        <v>108</v>
      </c>
      <c r="C87" s="2" t="s">
        <v>16</v>
      </c>
      <c r="D87" s="2" t="s">
        <v>20</v>
      </c>
      <c r="E87" s="2" t="s">
        <v>167</v>
      </c>
      <c r="F87" s="2" t="s">
        <v>15</v>
      </c>
      <c r="G87" s="2" t="s">
        <v>18</v>
      </c>
      <c r="H87" s="2" t="s">
        <v>168</v>
      </c>
      <c r="I87" s="2" t="s">
        <v>19</v>
      </c>
      <c r="J87" s="2" t="s">
        <v>21</v>
      </c>
      <c r="K87" s="2" t="s">
        <v>23</v>
      </c>
      <c r="L87" s="2" t="s">
        <v>24</v>
      </c>
      <c r="M87" s="2" t="s">
        <v>25</v>
      </c>
      <c r="N87" s="2" t="s">
        <v>26</v>
      </c>
    </row>
    <row r="88" spans="1:29" x14ac:dyDescent="0.15">
      <c r="A88" t="s">
        <v>121</v>
      </c>
      <c r="B88" s="2" t="s">
        <v>108</v>
      </c>
      <c r="C88" s="2" t="s">
        <v>16</v>
      </c>
      <c r="D88" s="2" t="s">
        <v>20</v>
      </c>
      <c r="E88" s="2" t="s">
        <v>167</v>
      </c>
      <c r="F88" s="2" t="s">
        <v>15</v>
      </c>
      <c r="G88" s="2" t="s">
        <v>18</v>
      </c>
      <c r="H88" s="2" t="s">
        <v>96</v>
      </c>
      <c r="I88" s="2" t="s">
        <v>19</v>
      </c>
      <c r="J88" s="2" t="s">
        <v>21</v>
      </c>
      <c r="K88" s="2" t="s">
        <v>23</v>
      </c>
      <c r="L88" s="2" t="s">
        <v>24</v>
      </c>
      <c r="M88" s="2" t="s">
        <v>25</v>
      </c>
      <c r="N88" s="2" t="s">
        <v>26</v>
      </c>
      <c r="P88" t="s">
        <v>121</v>
      </c>
      <c r="Q88" s="2" t="s">
        <v>108</v>
      </c>
      <c r="R88" s="2" t="s">
        <v>16</v>
      </c>
      <c r="S88" s="2" t="s">
        <v>20</v>
      </c>
      <c r="T88" s="2" t="s">
        <v>167</v>
      </c>
      <c r="U88" s="2" t="s">
        <v>15</v>
      </c>
      <c r="V88" s="2" t="s">
        <v>18</v>
      </c>
      <c r="W88" s="2" t="s">
        <v>168</v>
      </c>
      <c r="X88" s="2" t="s">
        <v>19</v>
      </c>
      <c r="Y88" s="2" t="s">
        <v>21</v>
      </c>
      <c r="Z88" s="2" t="s">
        <v>23</v>
      </c>
      <c r="AA88" s="2" t="s">
        <v>24</v>
      </c>
      <c r="AB88" s="2" t="s">
        <v>25</v>
      </c>
      <c r="AC88" s="2" t="s">
        <v>26</v>
      </c>
    </row>
    <row r="89" spans="1:29" x14ac:dyDescent="0.15">
      <c r="A89" s="1" t="s">
        <v>135</v>
      </c>
      <c r="B89" s="16">
        <f>I54</f>
        <v>-1.8762995169359753E-2</v>
      </c>
      <c r="C89" s="16">
        <f t="shared" ref="C89:N89" si="44">C54</f>
        <v>-9.5978126884494697E-2</v>
      </c>
      <c r="D89" s="17">
        <f>-G54</f>
        <v>-1.8395788911815814E-3</v>
      </c>
      <c r="E89" s="17">
        <f>-J54/5</f>
        <v>3.7308876516418898E-3</v>
      </c>
      <c r="F89" s="16">
        <f>B54</f>
        <v>-1.7859072543864318E-3</v>
      </c>
      <c r="G89" s="16">
        <f>E54</f>
        <v>-3.0163484203034052E-3</v>
      </c>
      <c r="H89" s="17">
        <f>D54</f>
        <v>-2.5578848409335553E-4</v>
      </c>
      <c r="I89" s="16">
        <f>F54</f>
        <v>-2.4559022858831048E-3</v>
      </c>
      <c r="J89" s="16">
        <f>H54</f>
        <v>-2.7781549330614386E-3</v>
      </c>
      <c r="K89" s="16">
        <f t="shared" si="44"/>
        <v>-3.0778196479267494E-3</v>
      </c>
      <c r="L89" s="16">
        <f t="shared" si="44"/>
        <v>-8.2914142810930347E-4</v>
      </c>
      <c r="M89" s="16">
        <f t="shared" si="44"/>
        <v>-3.4972898975024203E-3</v>
      </c>
      <c r="N89" s="16">
        <f t="shared" si="44"/>
        <v>-1.8907959485342518E-3</v>
      </c>
      <c r="P89" s="1" t="s">
        <v>135</v>
      </c>
      <c r="Q89" s="13">
        <f>X54</f>
        <v>5.5884859501790451E-2</v>
      </c>
      <c r="R89" s="18">
        <f>-R54</f>
        <v>-5.0798314641626874E-3</v>
      </c>
      <c r="S89" s="18">
        <f>-V54</f>
        <v>-1.510578166242027E-2</v>
      </c>
      <c r="T89" s="18">
        <f>-Y54</f>
        <v>-5.9492985089628636E-3</v>
      </c>
      <c r="U89" s="13">
        <f>Q54</f>
        <v>-7.4751324615569548E-3</v>
      </c>
      <c r="V89" s="13">
        <f>T54</f>
        <v>4.747625246093623E-3</v>
      </c>
      <c r="W89" s="20">
        <f>S54</f>
        <v>6.4017847397512817E-4</v>
      </c>
      <c r="X89" s="13">
        <f>U54</f>
        <v>1.1926107544280029E-3</v>
      </c>
      <c r="Y89" s="13">
        <f>W54</f>
        <v>1.2693996773468941E-2</v>
      </c>
      <c r="Z89" s="13">
        <f t="shared" ref="Z89:AC89" si="45">Z54</f>
        <v>2.8893434766603665E-3</v>
      </c>
      <c r="AA89" s="13">
        <f t="shared" si="45"/>
        <v>-7.9661177552636797E-4</v>
      </c>
      <c r="AB89" s="13">
        <f t="shared" si="45"/>
        <v>9.9132035330362633E-4</v>
      </c>
      <c r="AC89" s="13">
        <f t="shared" si="45"/>
        <v>-1.6514945742354126E-3</v>
      </c>
    </row>
    <row r="90" spans="1:29" x14ac:dyDescent="0.15">
      <c r="A90" t="s">
        <v>136</v>
      </c>
      <c r="B90" s="15">
        <f>I70</f>
        <v>-1.0668591675644379E-5</v>
      </c>
      <c r="C90" s="15">
        <f t="shared" ref="C90:N90" si="46">C70</f>
        <v>-5.9679831487684298E-2</v>
      </c>
      <c r="D90" s="15">
        <f>G70</f>
        <v>-9.8859621044966595E-3</v>
      </c>
      <c r="E90" s="15">
        <f>J70</f>
        <v>-6.1952719799251987E-3</v>
      </c>
      <c r="F90" s="15">
        <f>B70</f>
        <v>-2.9459996016008017E-3</v>
      </c>
      <c r="G90" s="15">
        <f>E70</f>
        <v>-3.0678425215051597E-3</v>
      </c>
      <c r="H90" s="15">
        <f>D70</f>
        <v>-1.0123265680252569E-2</v>
      </c>
      <c r="I90" s="15">
        <f>F70</f>
        <v>-2.4130942492888163E-3</v>
      </c>
      <c r="J90" s="15">
        <f>H70</f>
        <v>-2.9257667954460942E-3</v>
      </c>
      <c r="K90" s="15">
        <f t="shared" si="46"/>
        <v>-3.6579570647160553E-3</v>
      </c>
      <c r="L90" s="15">
        <f t="shared" si="46"/>
        <v>-1.2448616594659123E-3</v>
      </c>
      <c r="M90" s="15">
        <f t="shared" si="46"/>
        <v>-3.8722208785364476E-3</v>
      </c>
      <c r="N90" s="15">
        <f t="shared" si="46"/>
        <v>-5.1123395481711409E-3</v>
      </c>
      <c r="P90" t="s">
        <v>136</v>
      </c>
      <c r="Q90" s="12">
        <f>X70</f>
        <v>-1.3560827839383061E-2</v>
      </c>
      <c r="R90" s="12">
        <f t="shared" ref="R90:AC90" si="47">R70</f>
        <v>-1.7075416187584125E-2</v>
      </c>
      <c r="S90" s="12">
        <f>V70</f>
        <v>-6.6273339084165217E-3</v>
      </c>
      <c r="T90" s="12">
        <f>Y70</f>
        <v>-7.1015709237733926E-3</v>
      </c>
      <c r="U90" s="12">
        <f>Q70</f>
        <v>-4.0460971469868934E-3</v>
      </c>
      <c r="V90" s="12">
        <f>T70</f>
        <v>-3.6445134772720156E-3</v>
      </c>
      <c r="W90" s="12">
        <f>S70</f>
        <v>-7.2429512598256585E-3</v>
      </c>
      <c r="X90" s="12">
        <f>U70</f>
        <v>-1.254434309855279E-4</v>
      </c>
      <c r="Y90" s="12">
        <f>W70</f>
        <v>-3.117219753181244E-3</v>
      </c>
      <c r="Z90" s="12">
        <f t="shared" si="47"/>
        <v>-5.442707836365801E-3</v>
      </c>
      <c r="AA90" s="12">
        <f t="shared" si="47"/>
        <v>-4.2727812835415824E-3</v>
      </c>
      <c r="AB90" s="12">
        <f t="shared" si="47"/>
        <v>-3.5909090038603875E-3</v>
      </c>
      <c r="AC90" s="12">
        <f t="shared" si="47"/>
        <v>4.9007326292900277E-3</v>
      </c>
    </row>
    <row r="91" spans="1:29" x14ac:dyDescent="0.15">
      <c r="A91" t="s">
        <v>134</v>
      </c>
      <c r="B91" s="15">
        <f>I78</f>
        <v>-6.9317513682189968E-3</v>
      </c>
      <c r="C91" s="15">
        <f t="shared" ref="C91:N91" si="48">C78</f>
        <v>-9.6934964413043168E-2</v>
      </c>
      <c r="D91" s="15">
        <f>G78</f>
        <v>-9.6924031508270891E-3</v>
      </c>
      <c r="E91" s="15">
        <f>J78</f>
        <v>-1.3217245009487844E-2</v>
      </c>
      <c r="F91" s="15">
        <f>B78</f>
        <v>-3.9349351454812664E-3</v>
      </c>
      <c r="G91" s="15">
        <f>E78</f>
        <v>-4.5498966177942579E-3</v>
      </c>
      <c r="H91" s="15">
        <f>D78</f>
        <v>-1.0738644062460612E-2</v>
      </c>
      <c r="I91" s="15">
        <f>F78</f>
        <v>-3.6371668692365411E-3</v>
      </c>
      <c r="J91" s="15">
        <f>H78</f>
        <v>-4.2896690791929259E-3</v>
      </c>
      <c r="K91" s="15">
        <f t="shared" si="48"/>
        <v>-5.1756898652203231E-3</v>
      </c>
      <c r="L91" s="15">
        <f t="shared" si="48"/>
        <v>-1.8383020732487543E-3</v>
      </c>
      <c r="M91" s="15">
        <f t="shared" si="48"/>
        <v>-5.5331025158886771E-3</v>
      </c>
      <c r="N91" s="15">
        <f t="shared" si="48"/>
        <v>-6.2644272344444252E-3</v>
      </c>
      <c r="P91" t="s">
        <v>134</v>
      </c>
      <c r="Q91" s="12">
        <f>X78</f>
        <v>5.2542112157285548E-3</v>
      </c>
      <c r="R91" s="12">
        <f t="shared" ref="R91:AC91" si="49">R78</f>
        <v>-1.648058243753503E-2</v>
      </c>
      <c r="S91" s="12">
        <f>V78</f>
        <v>-1.6351781143032484E-3</v>
      </c>
      <c r="T91" s="12">
        <f>Y78</f>
        <v>-5.3919747505565274E-3</v>
      </c>
      <c r="U91" s="12">
        <f>Q78</f>
        <v>-7.2131459017213961E-3</v>
      </c>
      <c r="V91" s="12">
        <f>T78</f>
        <v>-2.0553745237120724E-3</v>
      </c>
      <c r="W91" s="12">
        <f>S78</f>
        <v>-7.2982722051011528E-3</v>
      </c>
      <c r="X91" s="12">
        <f>U78</f>
        <v>2.7289370930105861E-4</v>
      </c>
      <c r="Y91" s="12">
        <f>W78</f>
        <v>1.3395695258038298E-3</v>
      </c>
      <c r="Z91" s="12">
        <f t="shared" si="49"/>
        <v>-4.5432376408093278E-3</v>
      </c>
      <c r="AA91" s="12">
        <f t="shared" si="49"/>
        <v>-4.7209859071181137E-3</v>
      </c>
      <c r="AB91" s="12">
        <f t="shared" si="49"/>
        <v>-3.3169791089007195E-3</v>
      </c>
      <c r="AC91" s="12">
        <f t="shared" si="49"/>
        <v>4.6087362950721911E-3</v>
      </c>
    </row>
    <row r="95" spans="1:29" x14ac:dyDescent="0.15">
      <c r="C95" s="2" t="s">
        <v>15</v>
      </c>
    </row>
    <row r="96" spans="1:29" x14ac:dyDescent="0.15">
      <c r="C96" s="2" t="s">
        <v>16</v>
      </c>
    </row>
    <row r="97" spans="3:3" x14ac:dyDescent="0.15">
      <c r="C97" s="2" t="s">
        <v>17</v>
      </c>
    </row>
    <row r="98" spans="3:3" x14ac:dyDescent="0.15">
      <c r="C98" s="2" t="s">
        <v>18</v>
      </c>
    </row>
    <row r="99" spans="3:3" x14ac:dyDescent="0.15">
      <c r="C99" s="2" t="s">
        <v>19</v>
      </c>
    </row>
    <row r="100" spans="3:3" x14ac:dyDescent="0.15">
      <c r="C100" s="2" t="s">
        <v>20</v>
      </c>
    </row>
    <row r="101" spans="3:3" x14ac:dyDescent="0.15">
      <c r="C101" s="2" t="s">
        <v>21</v>
      </c>
    </row>
    <row r="102" spans="3:3" x14ac:dyDescent="0.15">
      <c r="C102" s="2" t="s">
        <v>108</v>
      </c>
    </row>
    <row r="103" spans="3:3" x14ac:dyDescent="0.15">
      <c r="C103" s="2" t="s">
        <v>22</v>
      </c>
    </row>
    <row r="104" spans="3:3" x14ac:dyDescent="0.15">
      <c r="C104" s="2" t="s">
        <v>23</v>
      </c>
    </row>
    <row r="105" spans="3:3" x14ac:dyDescent="0.15">
      <c r="C105" s="2" t="s">
        <v>24</v>
      </c>
    </row>
    <row r="106" spans="3:3" x14ac:dyDescent="0.15">
      <c r="C106" s="2" t="s">
        <v>25</v>
      </c>
    </row>
    <row r="107" spans="3:3" x14ac:dyDescent="0.15">
      <c r="C107" s="2" t="s">
        <v>26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"/>
  <sheetViews>
    <sheetView topLeftCell="H8" workbookViewId="0">
      <selection activeCell="J2" sqref="J2:O6"/>
    </sheetView>
  </sheetViews>
  <sheetFormatPr defaultRowHeight="13.5" x14ac:dyDescent="0.15"/>
  <cols>
    <col min="1" max="1" width="14.25" bestFit="1" customWidth="1"/>
  </cols>
  <sheetData>
    <row r="1" spans="1:25" ht="27.75" thickBot="1" x14ac:dyDescent="0.2">
      <c r="A1" t="s">
        <v>50</v>
      </c>
      <c r="B1" s="8" t="s">
        <v>99</v>
      </c>
      <c r="C1" s="9" t="s">
        <v>100</v>
      </c>
      <c r="D1" s="9" t="s">
        <v>101</v>
      </c>
      <c r="E1" s="8" t="s">
        <v>122</v>
      </c>
      <c r="F1" s="9" t="s">
        <v>98</v>
      </c>
      <c r="G1" s="9" t="s">
        <v>107</v>
      </c>
      <c r="I1" t="s">
        <v>51</v>
      </c>
      <c r="J1" s="8" t="s">
        <v>99</v>
      </c>
      <c r="K1" s="9" t="s">
        <v>132</v>
      </c>
      <c r="L1" s="9" t="s">
        <v>132</v>
      </c>
      <c r="M1" s="8" t="s">
        <v>133</v>
      </c>
      <c r="N1" s="9" t="s">
        <v>134</v>
      </c>
      <c r="O1" s="9" t="s">
        <v>134</v>
      </c>
    </row>
    <row r="2" spans="1:25" x14ac:dyDescent="0.15">
      <c r="A2" t="s">
        <v>2</v>
      </c>
      <c r="B2" s="1">
        <v>2792.2401149158381</v>
      </c>
      <c r="C2" s="1">
        <v>2792.2401149158381</v>
      </c>
      <c r="D2" s="1">
        <v>2792.2401149158381</v>
      </c>
      <c r="E2" s="1">
        <v>2792.2401149158381</v>
      </c>
      <c r="F2" s="1">
        <v>2792.2401149158381</v>
      </c>
      <c r="G2" s="1">
        <v>2792.2401149158381</v>
      </c>
      <c r="H2" s="1"/>
      <c r="I2" t="s">
        <v>2</v>
      </c>
      <c r="J2" s="1">
        <f>T2*100</f>
        <v>9.8195305233858203</v>
      </c>
      <c r="K2" s="1">
        <f t="shared" ref="K2:O2" si="0">U2*100</f>
        <v>9.8195305233858186</v>
      </c>
      <c r="L2" s="1">
        <f t="shared" si="0"/>
        <v>9.8195305233858186</v>
      </c>
      <c r="M2" s="1">
        <f t="shared" si="0"/>
        <v>9.8195305233858186</v>
      </c>
      <c r="N2" s="1">
        <f t="shared" si="0"/>
        <v>9.8195305233858186</v>
      </c>
      <c r="O2" s="1">
        <f t="shared" si="0"/>
        <v>9.8195305233858186</v>
      </c>
      <c r="T2" s="1">
        <v>9.8195305233858207E-2</v>
      </c>
      <c r="U2" s="1">
        <v>9.8195305233858179E-2</v>
      </c>
      <c r="V2" s="1">
        <v>9.8195305233858179E-2</v>
      </c>
      <c r="W2" s="1">
        <v>9.8195305233858179E-2</v>
      </c>
      <c r="X2" s="1">
        <v>9.8195305233858179E-2</v>
      </c>
      <c r="Y2" s="1">
        <v>9.8195305233858179E-2</v>
      </c>
    </row>
    <row r="3" spans="1:25" x14ac:dyDescent="0.15">
      <c r="A3" t="s">
        <v>3</v>
      </c>
      <c r="B3" s="1">
        <v>3763.2646332563859</v>
      </c>
      <c r="C3" s="1">
        <v>3763.2646335858326</v>
      </c>
      <c r="D3" s="1">
        <v>3763.2646335858326</v>
      </c>
      <c r="E3" s="1">
        <v>3763.2646332563859</v>
      </c>
      <c r="F3" s="1">
        <v>3763.2646335858326</v>
      </c>
      <c r="G3" s="1">
        <v>3763.2646335858326</v>
      </c>
      <c r="H3" s="1"/>
      <c r="I3" t="s">
        <v>3</v>
      </c>
      <c r="J3" s="1">
        <f t="shared" ref="J3:J6" si="1">T3*100</f>
        <v>13.72273155246635</v>
      </c>
      <c r="K3" s="1">
        <f t="shared" ref="K3:K6" si="2">U3*100</f>
        <v>13.722731549878899</v>
      </c>
      <c r="L3" s="1">
        <f t="shared" ref="L3:L6" si="3">V3*100</f>
        <v>13.722731549878899</v>
      </c>
      <c r="M3" s="1">
        <f t="shared" ref="M3:M6" si="4">W3*100</f>
        <v>13.722731549878899</v>
      </c>
      <c r="N3" s="1">
        <f t="shared" ref="N3:N6" si="5">X3*100</f>
        <v>13.81363126896235</v>
      </c>
      <c r="O3" s="1">
        <f t="shared" ref="O3:O6" si="6">Y3*100</f>
        <v>13.722731549878899</v>
      </c>
      <c r="T3" s="1">
        <v>0.1372273155246635</v>
      </c>
      <c r="U3" s="1">
        <v>0.137227315498789</v>
      </c>
      <c r="V3" s="1">
        <v>0.137227315498789</v>
      </c>
      <c r="W3" s="1">
        <v>0.137227315498789</v>
      </c>
      <c r="X3" s="1">
        <v>0.13813631268962351</v>
      </c>
      <c r="Y3" s="1">
        <v>0.137227315498789</v>
      </c>
    </row>
    <row r="4" spans="1:25" x14ac:dyDescent="0.15">
      <c r="A4" t="s">
        <v>4</v>
      </c>
      <c r="B4" s="1">
        <v>4663.2946003247725</v>
      </c>
      <c r="C4" s="1">
        <v>4663.2946013669743</v>
      </c>
      <c r="D4" s="1">
        <v>4663.2946013669743</v>
      </c>
      <c r="E4" s="1">
        <v>4663.2946003247725</v>
      </c>
      <c r="F4" s="1">
        <v>4663.2946013669743</v>
      </c>
      <c r="G4" s="1">
        <v>4663.2946013669743</v>
      </c>
      <c r="H4" s="1"/>
      <c r="I4" t="s">
        <v>4</v>
      </c>
      <c r="J4" s="1">
        <f t="shared" si="1"/>
        <v>16.021618785094187</v>
      </c>
      <c r="K4" s="1">
        <f t="shared" si="2"/>
        <v>16.021618775269626</v>
      </c>
      <c r="L4" s="1">
        <f t="shared" si="3"/>
        <v>16.021618775269626</v>
      </c>
      <c r="M4" s="1">
        <f t="shared" si="4"/>
        <v>16.021618775269626</v>
      </c>
      <c r="N4" s="1">
        <f t="shared" si="5"/>
        <v>16.219701838491478</v>
      </c>
      <c r="O4" s="1">
        <f t="shared" si="6"/>
        <v>16.021618775269626</v>
      </c>
      <c r="T4" s="1">
        <v>0.16021618785094185</v>
      </c>
      <c r="U4" s="1">
        <v>0.16021618775269625</v>
      </c>
      <c r="V4" s="1">
        <v>0.16021618775269625</v>
      </c>
      <c r="W4" s="1">
        <v>0.16021618775269625</v>
      </c>
      <c r="X4" s="1">
        <v>0.16219701838491479</v>
      </c>
      <c r="Y4" s="1">
        <v>0.16021618775269625</v>
      </c>
    </row>
    <row r="5" spans="1:25" x14ac:dyDescent="0.15">
      <c r="A5" t="s">
        <v>5</v>
      </c>
      <c r="B5" s="1">
        <v>5375.4864985244649</v>
      </c>
      <c r="C5" s="1">
        <v>5249.8942515581939</v>
      </c>
      <c r="D5" s="1">
        <v>5018.7209229384989</v>
      </c>
      <c r="E5" s="1">
        <v>5495.6794904296803</v>
      </c>
      <c r="F5" s="1">
        <v>5472.5596869402889</v>
      </c>
      <c r="G5" s="1">
        <v>5248.3109195718171</v>
      </c>
      <c r="H5" s="1"/>
      <c r="I5" t="s">
        <v>5</v>
      </c>
      <c r="J5" s="1">
        <f t="shared" si="1"/>
        <v>17.800367582754799</v>
      </c>
      <c r="K5" s="1">
        <f t="shared" si="2"/>
        <v>18.455789191420326</v>
      </c>
      <c r="L5" s="1">
        <f t="shared" si="3"/>
        <v>19.722076506637613</v>
      </c>
      <c r="M5" s="1">
        <f t="shared" si="4"/>
        <v>21.91809382555628</v>
      </c>
      <c r="N5" s="1">
        <f t="shared" si="5"/>
        <v>22.282561589012094</v>
      </c>
      <c r="O5" s="1">
        <f t="shared" si="6"/>
        <v>23.400955046695799</v>
      </c>
      <c r="T5" s="1">
        <v>0.17800367582754797</v>
      </c>
      <c r="U5" s="1">
        <v>0.18455789191420327</v>
      </c>
      <c r="V5" s="1">
        <v>0.19722076506637615</v>
      </c>
      <c r="W5" s="1">
        <v>0.21918093825556278</v>
      </c>
      <c r="X5" s="1">
        <v>0.22282561589012093</v>
      </c>
      <c r="Y5" s="1">
        <v>0.23400955046695798</v>
      </c>
    </row>
    <row r="6" spans="1:25" x14ac:dyDescent="0.15">
      <c r="A6" t="s">
        <v>6</v>
      </c>
      <c r="B6" s="1">
        <v>5961.6818495416974</v>
      </c>
      <c r="C6" s="1">
        <v>5680.6422808465477</v>
      </c>
      <c r="D6" s="1">
        <v>5205.2127701751288</v>
      </c>
      <c r="E6" s="1">
        <v>6198.3829011244807</v>
      </c>
      <c r="F6" s="1">
        <v>6093.9467243375002</v>
      </c>
      <c r="G6" s="1">
        <v>5635.3672734693009</v>
      </c>
      <c r="H6" s="1"/>
      <c r="I6" t="s">
        <v>6</v>
      </c>
      <c r="J6" s="1">
        <f t="shared" si="1"/>
        <v>20.028565001973448</v>
      </c>
      <c r="K6" s="1">
        <f t="shared" si="2"/>
        <v>21.433391470087106</v>
      </c>
      <c r="L6" s="1">
        <f t="shared" si="3"/>
        <v>24.073443535393437</v>
      </c>
      <c r="M6" s="1">
        <f t="shared" si="4"/>
        <v>27.037434666910514</v>
      </c>
      <c r="N6" s="1">
        <f t="shared" si="5"/>
        <v>27.561687349611358</v>
      </c>
      <c r="O6" s="1">
        <f t="shared" si="6"/>
        <v>30.228621380499867</v>
      </c>
      <c r="Q6">
        <f>N6-M6</f>
        <v>0.52425268270084402</v>
      </c>
      <c r="R6">
        <f>K6-J6</f>
        <v>1.404826468113658</v>
      </c>
      <c r="T6" s="1">
        <v>0.20028565001973447</v>
      </c>
      <c r="U6" s="1">
        <v>0.21433391470087104</v>
      </c>
      <c r="V6" s="1">
        <v>0.24073443535393438</v>
      </c>
      <c r="W6" s="1">
        <v>0.27037434666910515</v>
      </c>
      <c r="X6" s="1">
        <v>0.27561687349611358</v>
      </c>
      <c r="Y6" s="1">
        <v>0.30228621380499865</v>
      </c>
    </row>
    <row r="7" spans="1:25" ht="14.25" thickBot="1" x14ac:dyDescent="0.2">
      <c r="C7">
        <f>C6-B6</f>
        <v>-281.03956869514968</v>
      </c>
      <c r="D7">
        <f>D6-B6</f>
        <v>-756.46907936656862</v>
      </c>
      <c r="E7">
        <f>E6-B6</f>
        <v>236.70105158278329</v>
      </c>
      <c r="M7" s="12">
        <f>M6-J6</f>
        <v>7.0088696649370661</v>
      </c>
    </row>
    <row r="8" spans="1:25" ht="27.75" thickBot="1" x14ac:dyDescent="0.2">
      <c r="A8" t="s">
        <v>7</v>
      </c>
      <c r="B8" s="8" t="s">
        <v>99</v>
      </c>
      <c r="C8" s="9" t="s">
        <v>100</v>
      </c>
      <c r="D8" s="9" t="s">
        <v>101</v>
      </c>
      <c r="E8" s="8" t="s">
        <v>122</v>
      </c>
      <c r="F8" s="9" t="s">
        <v>98</v>
      </c>
      <c r="G8" s="9" t="s">
        <v>107</v>
      </c>
      <c r="I8" t="s">
        <v>124</v>
      </c>
      <c r="J8" s="8" t="s">
        <v>99</v>
      </c>
      <c r="K8" s="9" t="s">
        <v>100</v>
      </c>
      <c r="L8" s="9" t="s">
        <v>132</v>
      </c>
      <c r="M8" s="8" t="s">
        <v>133</v>
      </c>
      <c r="N8" s="9" t="s">
        <v>98</v>
      </c>
      <c r="O8" s="9" t="s">
        <v>134</v>
      </c>
      <c r="Q8" t="s">
        <v>124</v>
      </c>
      <c r="R8" s="8" t="s">
        <v>99</v>
      </c>
      <c r="S8" s="9" t="s">
        <v>100</v>
      </c>
      <c r="T8" s="9" t="s">
        <v>101</v>
      </c>
      <c r="U8" s="8" t="s">
        <v>122</v>
      </c>
      <c r="V8" s="9" t="s">
        <v>98</v>
      </c>
      <c r="W8" s="9" t="s">
        <v>107</v>
      </c>
    </row>
    <row r="9" spans="1:25" x14ac:dyDescent="0.15">
      <c r="A9" s="2" t="s">
        <v>2</v>
      </c>
      <c r="B9" s="1">
        <v>40364.898007862663</v>
      </c>
      <c r="C9" s="1">
        <v>40364.898012302518</v>
      </c>
      <c r="D9" s="1">
        <v>40364.898012302518</v>
      </c>
      <c r="E9" s="1">
        <v>40364.898007862663</v>
      </c>
      <c r="F9" s="1">
        <v>40364.898012302518</v>
      </c>
      <c r="G9" s="1">
        <v>40364.898012302518</v>
      </c>
      <c r="I9" t="s">
        <v>2</v>
      </c>
      <c r="J9" s="14">
        <f>B2/B9</f>
        <v>6.9174957765827591E-2</v>
      </c>
      <c r="K9" s="14">
        <f t="shared" ref="K9:M9" si="7">C2/C9</f>
        <v>6.917495775821883E-2</v>
      </c>
      <c r="L9" s="14">
        <f t="shared" si="7"/>
        <v>6.917495775821883E-2</v>
      </c>
      <c r="M9" s="14">
        <f t="shared" si="7"/>
        <v>6.9174957765827591E-2</v>
      </c>
      <c r="N9" s="14">
        <f>F2/F9</f>
        <v>6.917495775821883E-2</v>
      </c>
      <c r="O9" s="14">
        <f t="shared" ref="O9:O13" si="8">G2/G9</f>
        <v>6.917495775821883E-2</v>
      </c>
      <c r="Q9" t="s">
        <v>2</v>
      </c>
      <c r="R9" s="11">
        <f>J9/J$9-1</f>
        <v>0</v>
      </c>
      <c r="S9" s="11">
        <f t="shared" ref="S9:U13" si="9">K9/K$9-1</f>
        <v>0</v>
      </c>
      <c r="T9" s="11">
        <f t="shared" si="9"/>
        <v>0</v>
      </c>
      <c r="U9" s="11">
        <f t="shared" si="9"/>
        <v>0</v>
      </c>
      <c r="V9" s="11">
        <f t="shared" ref="V9:V13" si="10">N9/N$9-1</f>
        <v>0</v>
      </c>
      <c r="W9" s="11">
        <f t="shared" ref="W9:W12" si="11">O9/O$9-1</f>
        <v>0</v>
      </c>
    </row>
    <row r="10" spans="1:25" x14ac:dyDescent="0.15">
      <c r="A10" s="2" t="s">
        <v>3</v>
      </c>
      <c r="B10" s="1">
        <v>59572.146641982668</v>
      </c>
      <c r="C10" s="1">
        <v>59572.146642883403</v>
      </c>
      <c r="D10" s="1">
        <v>59572.146642883403</v>
      </c>
      <c r="E10" s="1">
        <v>59572.146641982668</v>
      </c>
      <c r="F10" s="1">
        <v>59572.146642883403</v>
      </c>
      <c r="G10" s="1">
        <v>59572.146642883403</v>
      </c>
      <c r="I10" t="s">
        <v>3</v>
      </c>
      <c r="J10" s="14">
        <f t="shared" ref="J10:J13" si="12">B3/B10</f>
        <v>6.3171546526145761E-2</v>
      </c>
      <c r="K10" s="14">
        <f t="shared" ref="K10:K13" si="13">C3/C10</f>
        <v>6.317154653072081E-2</v>
      </c>
      <c r="L10" s="14">
        <f t="shared" ref="L10:L13" si="14">D3/D10</f>
        <v>6.317154653072081E-2</v>
      </c>
      <c r="M10" s="14">
        <f t="shared" ref="M10:M13" si="15">E3/E10</f>
        <v>6.3171546526145761E-2</v>
      </c>
      <c r="N10" s="14">
        <f>F3/F10</f>
        <v>6.317154653072081E-2</v>
      </c>
      <c r="O10" s="14">
        <f t="shared" si="8"/>
        <v>6.317154653072081E-2</v>
      </c>
      <c r="Q10" t="s">
        <v>3</v>
      </c>
      <c r="R10" s="11">
        <f t="shared" ref="R10:R13" si="16">J10/J$9-1</f>
        <v>-8.678590393946739E-2</v>
      </c>
      <c r="S10" s="11">
        <f t="shared" si="9"/>
        <v>-8.6785903772882977E-2</v>
      </c>
      <c r="T10" s="11">
        <f t="shared" si="9"/>
        <v>-8.6785903772882977E-2</v>
      </c>
      <c r="U10" s="11">
        <f t="shared" si="9"/>
        <v>-8.678590393946739E-2</v>
      </c>
      <c r="V10" s="11">
        <f t="shared" si="10"/>
        <v>-8.6785903772882977E-2</v>
      </c>
      <c r="W10" s="11">
        <f t="shared" si="11"/>
        <v>-8.6785903772882977E-2</v>
      </c>
    </row>
    <row r="11" spans="1:25" x14ac:dyDescent="0.15">
      <c r="A11" s="2" t="s">
        <v>4</v>
      </c>
      <c r="B11" s="1">
        <v>81619.003625318772</v>
      </c>
      <c r="C11" s="1">
        <v>81619.003622095741</v>
      </c>
      <c r="D11" s="1">
        <v>81619.003622095741</v>
      </c>
      <c r="E11" s="1">
        <v>81619.003625318772</v>
      </c>
      <c r="F11" s="1">
        <v>81619.003622095741</v>
      </c>
      <c r="G11" s="1">
        <v>81619.003622095741</v>
      </c>
      <c r="I11" t="s">
        <v>4</v>
      </c>
      <c r="J11" s="14">
        <f t="shared" si="12"/>
        <v>5.7134912130662019E-2</v>
      </c>
      <c r="K11" s="14">
        <f t="shared" si="13"/>
        <v>5.7134912145687305E-2</v>
      </c>
      <c r="L11" s="14">
        <f t="shared" si="14"/>
        <v>5.7134912145687305E-2</v>
      </c>
      <c r="M11" s="14">
        <f t="shared" si="15"/>
        <v>5.7134912130662019E-2</v>
      </c>
      <c r="N11" s="14">
        <f>F4/F11</f>
        <v>5.7134912145687305E-2</v>
      </c>
      <c r="O11" s="14">
        <f t="shared" si="8"/>
        <v>5.7134912145687305E-2</v>
      </c>
      <c r="Q11" t="s">
        <v>4</v>
      </c>
      <c r="R11" s="11">
        <f t="shared" si="16"/>
        <v>-0.17405208509015313</v>
      </c>
      <c r="S11" s="11">
        <f t="shared" si="9"/>
        <v>-0.17405208478209766</v>
      </c>
      <c r="T11" s="11">
        <f t="shared" si="9"/>
        <v>-0.17405208478209766</v>
      </c>
      <c r="U11" s="11">
        <f t="shared" si="9"/>
        <v>-0.17405208509015313</v>
      </c>
      <c r="V11" s="11">
        <f t="shared" si="10"/>
        <v>-0.17405208478209766</v>
      </c>
      <c r="W11" s="11">
        <f t="shared" si="11"/>
        <v>-0.17405208478209766</v>
      </c>
    </row>
    <row r="12" spans="1:25" x14ac:dyDescent="0.15">
      <c r="A12" s="2" t="s">
        <v>5</v>
      </c>
      <c r="B12" s="1">
        <v>103180.51756255147</v>
      </c>
      <c r="C12" s="1">
        <v>103119.69957107067</v>
      </c>
      <c r="D12" s="1">
        <v>102986.23163490725</v>
      </c>
      <c r="E12" s="1">
        <v>102991.99152448672</v>
      </c>
      <c r="F12" s="1">
        <v>102965.23974813393</v>
      </c>
      <c r="G12" s="1">
        <v>102799.59070627761</v>
      </c>
      <c r="I12" t="s">
        <v>5</v>
      </c>
      <c r="J12" s="14">
        <f t="shared" si="12"/>
        <v>5.209788267698566E-2</v>
      </c>
      <c r="K12" s="14">
        <f t="shared" si="13"/>
        <v>5.0910682181923322E-2</v>
      </c>
      <c r="L12" s="14">
        <f t="shared" si="14"/>
        <v>4.873196002287164E-2</v>
      </c>
      <c r="M12" s="14">
        <f t="shared" si="15"/>
        <v>5.3360260434648095E-2</v>
      </c>
      <c r="N12" s="14">
        <f>F5/F12</f>
        <v>5.3149584270641877E-2</v>
      </c>
      <c r="O12" s="14">
        <f t="shared" si="8"/>
        <v>5.1053811435567524E-2</v>
      </c>
      <c r="Q12" t="s">
        <v>5</v>
      </c>
      <c r="R12" s="11">
        <f t="shared" si="16"/>
        <v>-0.24686787878716998</v>
      </c>
      <c r="S12" s="11">
        <f t="shared" si="9"/>
        <v>-0.26403016594723527</v>
      </c>
      <c r="T12" s="11">
        <f t="shared" si="9"/>
        <v>-0.29552598798541818</v>
      </c>
      <c r="U12" s="11">
        <f t="shared" si="9"/>
        <v>-0.22861882163651936</v>
      </c>
      <c r="V12" s="11">
        <f t="shared" si="10"/>
        <v>-0.23166437692074981</v>
      </c>
      <c r="W12" s="11">
        <f t="shared" si="11"/>
        <v>-0.2619610753647087</v>
      </c>
    </row>
    <row r="13" spans="1:25" x14ac:dyDescent="0.15">
      <c r="A13" s="2" t="s">
        <v>6</v>
      </c>
      <c r="B13" s="1">
        <v>124332.44367972415</v>
      </c>
      <c r="C13" s="1">
        <v>124171.72191385765</v>
      </c>
      <c r="D13" s="1">
        <v>123738.15712107494</v>
      </c>
      <c r="E13" s="1">
        <v>123895.01065226799</v>
      </c>
      <c r="F13" s="1">
        <v>123760.59233072435</v>
      </c>
      <c r="G13" s="1">
        <v>123154.73231820799</v>
      </c>
      <c r="I13" t="s">
        <v>6</v>
      </c>
      <c r="J13" s="14">
        <f t="shared" si="12"/>
        <v>4.7949526874085838E-2</v>
      </c>
      <c r="K13" s="14">
        <f t="shared" si="13"/>
        <v>4.5748276606709312E-2</v>
      </c>
      <c r="L13" s="14">
        <f t="shared" si="14"/>
        <v>4.2066351166697498E-2</v>
      </c>
      <c r="M13" s="14">
        <f t="shared" si="15"/>
        <v>5.0029318117751138E-2</v>
      </c>
      <c r="N13" s="14">
        <f>F6/F13</f>
        <v>4.9239799273525613E-2</v>
      </c>
      <c r="O13" s="14">
        <f t="shared" si="8"/>
        <v>4.575843061319481E-2</v>
      </c>
      <c r="Q13" t="s">
        <v>6</v>
      </c>
      <c r="R13" s="5">
        <f t="shared" si="16"/>
        <v>-0.30683691869526675</v>
      </c>
      <c r="S13" s="5">
        <f t="shared" si="9"/>
        <v>-0.33865840920916412</v>
      </c>
      <c r="T13" s="5">
        <f t="shared" si="9"/>
        <v>-0.39188468587536651</v>
      </c>
      <c r="U13" s="11">
        <f t="shared" si="9"/>
        <v>-0.27677125171349792</v>
      </c>
      <c r="V13" s="11">
        <f t="shared" si="10"/>
        <v>-0.28818461377845472</v>
      </c>
      <c r="W13" s="11">
        <f>O13/O$9-1</f>
        <v>-0.33851162189169315</v>
      </c>
    </row>
    <row r="15" spans="1:25" x14ac:dyDescent="0.15">
      <c r="A15" t="s">
        <v>33</v>
      </c>
      <c r="B15" s="2" t="s">
        <v>16</v>
      </c>
      <c r="C15" s="2" t="s">
        <v>125</v>
      </c>
      <c r="D15" s="2" t="s">
        <v>126</v>
      </c>
      <c r="E15" s="2" t="s">
        <v>127</v>
      </c>
      <c r="F15" s="2" t="s">
        <v>128</v>
      </c>
      <c r="G15" s="2" t="s">
        <v>129</v>
      </c>
      <c r="H15" s="2" t="s">
        <v>130</v>
      </c>
      <c r="I15" s="2" t="s">
        <v>131</v>
      </c>
      <c r="J15" s="2"/>
      <c r="K15" s="2"/>
    </row>
    <row r="16" spans="1:25" x14ac:dyDescent="0.15">
      <c r="A16" s="2" t="s">
        <v>2</v>
      </c>
      <c r="B16" s="1">
        <v>1780.8522621554541</v>
      </c>
      <c r="C16" s="1">
        <v>613.14989238999999</v>
      </c>
      <c r="D16" s="1">
        <v>124.05309000000001</v>
      </c>
      <c r="E16" s="1">
        <v>230.85710344323147</v>
      </c>
      <c r="F16" s="1">
        <v>23.61725849574054</v>
      </c>
      <c r="G16" s="1">
        <v>14.264338232227049</v>
      </c>
      <c r="H16" s="1">
        <v>3.3618334562870458E-2</v>
      </c>
      <c r="I16" s="1">
        <v>5.4125518646221442</v>
      </c>
      <c r="J16" s="1"/>
      <c r="K16" s="1"/>
    </row>
    <row r="17" spans="1:11" x14ac:dyDescent="0.15">
      <c r="A17" s="2" t="s">
        <v>3</v>
      </c>
      <c r="B17" s="1">
        <v>2259.5741845898929</v>
      </c>
      <c r="C17" s="1">
        <v>822.32711095940977</v>
      </c>
      <c r="D17" s="1">
        <v>164.94063447640269</v>
      </c>
      <c r="E17" s="1">
        <v>326.26936753213312</v>
      </c>
      <c r="F17" s="1">
        <v>87.000993219235141</v>
      </c>
      <c r="G17" s="1">
        <v>50.738078840073193</v>
      </c>
      <c r="H17" s="1">
        <v>3.258721798681643</v>
      </c>
      <c r="I17" s="1">
        <v>49.155541840558222</v>
      </c>
      <c r="J17" s="1"/>
      <c r="K17" s="1"/>
    </row>
    <row r="18" spans="1:11" x14ac:dyDescent="0.15">
      <c r="A18" s="2" t="s">
        <v>4</v>
      </c>
      <c r="B18" s="1">
        <v>2680.0377075320143</v>
      </c>
      <c r="C18" s="1">
        <v>1030.8870409597932</v>
      </c>
      <c r="D18" s="1">
        <v>205.23456814303736</v>
      </c>
      <c r="E18" s="1">
        <v>382.90730510048633</v>
      </c>
      <c r="F18" s="1">
        <v>139.56790761456742</v>
      </c>
      <c r="G18" s="1">
        <v>119.62996371185181</v>
      </c>
      <c r="H18" s="1">
        <v>13.44431904561297</v>
      </c>
      <c r="I18" s="1">
        <v>91.585788217395987</v>
      </c>
      <c r="J18" s="1"/>
      <c r="K18" s="1"/>
    </row>
    <row r="19" spans="1:11" x14ac:dyDescent="0.15">
      <c r="A19" s="2" t="s">
        <v>5</v>
      </c>
      <c r="B19" s="1">
        <v>2983.9882490704531</v>
      </c>
      <c r="C19" s="1">
        <v>1196.7390912947014</v>
      </c>
      <c r="D19" s="1">
        <v>237.90280206426817</v>
      </c>
      <c r="E19" s="1">
        <v>452.53814224165649</v>
      </c>
      <c r="F19" s="1">
        <v>178.79640803944014</v>
      </c>
      <c r="G19" s="1">
        <v>207.40647108246287</v>
      </c>
      <c r="H19" s="1">
        <v>21.976309053414411</v>
      </c>
      <c r="I19" s="1">
        <v>96.139025682529876</v>
      </c>
      <c r="J19" s="1"/>
      <c r="K19" s="1"/>
    </row>
    <row r="20" spans="1:11" x14ac:dyDescent="0.15">
      <c r="A20" s="2" t="s">
        <v>6</v>
      </c>
      <c r="B20" s="1">
        <v>3177.7739746427869</v>
      </c>
      <c r="C20" s="1">
        <v>1325.4962392431405</v>
      </c>
      <c r="D20" s="1">
        <v>264.3723112094354</v>
      </c>
      <c r="E20" s="1">
        <v>523.38253568499465</v>
      </c>
      <c r="F20" s="1">
        <v>242.59724147513825</v>
      </c>
      <c r="G20" s="1">
        <v>281.36116018609886</v>
      </c>
      <c r="H20" s="1">
        <v>39.463922016533516</v>
      </c>
      <c r="I20" s="1">
        <v>107.23446508354061</v>
      </c>
      <c r="J20" s="1"/>
      <c r="K20" s="1"/>
    </row>
    <row r="21" spans="1:11" x14ac:dyDescent="0.15">
      <c r="B21">
        <f>SUM(B20:D20)</f>
        <v>4767.6425250953635</v>
      </c>
      <c r="E21">
        <f>SUM(E20:I20)</f>
        <v>1194.0393244463062</v>
      </c>
    </row>
    <row r="22" spans="1:11" x14ac:dyDescent="0.15">
      <c r="A22" s="1" t="s">
        <v>102</v>
      </c>
      <c r="B22" s="2" t="s">
        <v>16</v>
      </c>
      <c r="C22" s="2" t="s">
        <v>125</v>
      </c>
      <c r="D22" s="2" t="s">
        <v>126</v>
      </c>
      <c r="E22" s="2" t="s">
        <v>127</v>
      </c>
      <c r="F22" s="2" t="s">
        <v>128</v>
      </c>
      <c r="G22" s="2" t="s">
        <v>129</v>
      </c>
      <c r="H22" s="2" t="s">
        <v>130</v>
      </c>
      <c r="I22" s="2" t="s">
        <v>131</v>
      </c>
      <c r="J22" s="2"/>
      <c r="K22" s="2"/>
    </row>
    <row r="23" spans="1:11" x14ac:dyDescent="0.15">
      <c r="A23" s="2" t="s">
        <v>2</v>
      </c>
      <c r="B23" s="1">
        <v>1780.8522621554541</v>
      </c>
      <c r="C23" s="1">
        <v>613.14989238999999</v>
      </c>
      <c r="D23" s="1">
        <v>124.05309000000001</v>
      </c>
      <c r="E23" s="1">
        <v>230.85710344323144</v>
      </c>
      <c r="F23" s="1">
        <v>23.61725849574054</v>
      </c>
      <c r="G23" s="1">
        <v>14.264338232227049</v>
      </c>
      <c r="H23" s="1">
        <v>3.3618334562870458E-2</v>
      </c>
      <c r="I23" s="1">
        <v>5.4125518646221442</v>
      </c>
      <c r="J23" s="1"/>
      <c r="K23" s="1"/>
    </row>
    <row r="24" spans="1:11" x14ac:dyDescent="0.15">
      <c r="A24" s="2" t="s">
        <v>3</v>
      </c>
      <c r="B24" s="1">
        <v>2259.5741849212118</v>
      </c>
      <c r="C24" s="1">
        <v>822.32711101610914</v>
      </c>
      <c r="D24" s="1">
        <v>164.94063446999397</v>
      </c>
      <c r="E24" s="1">
        <v>326.26936752107332</v>
      </c>
      <c r="F24" s="1">
        <v>87.000993210005944</v>
      </c>
      <c r="G24" s="1">
        <v>50.738078821233799</v>
      </c>
      <c r="H24" s="1">
        <v>3.2587217888214153</v>
      </c>
      <c r="I24" s="1">
        <v>49.155541837383183</v>
      </c>
      <c r="J24" s="1"/>
      <c r="K24" s="1"/>
    </row>
    <row r="25" spans="1:11" x14ac:dyDescent="0.15">
      <c r="A25" s="2" t="s">
        <v>4</v>
      </c>
      <c r="B25" s="1">
        <v>2680.0377086082185</v>
      </c>
      <c r="C25" s="1">
        <v>1030.887041195158</v>
      </c>
      <c r="D25" s="1">
        <v>205.23456816485213</v>
      </c>
      <c r="E25" s="1">
        <v>382.90730505134007</v>
      </c>
      <c r="F25" s="1">
        <v>139.56790758727095</v>
      </c>
      <c r="G25" s="1">
        <v>119.6299635879724</v>
      </c>
      <c r="H25" s="1">
        <v>13.444318970283446</v>
      </c>
      <c r="I25" s="1">
        <v>91.585788201879055</v>
      </c>
      <c r="J25" s="1"/>
      <c r="K25" s="1"/>
    </row>
    <row r="26" spans="1:11" x14ac:dyDescent="0.15">
      <c r="A26" s="2" t="s">
        <v>5</v>
      </c>
      <c r="B26" s="1">
        <v>2847.2694019232367</v>
      </c>
      <c r="C26" s="1">
        <v>1197.8823184713121</v>
      </c>
      <c r="D26" s="1">
        <v>235.83311532357123</v>
      </c>
      <c r="E26" s="1">
        <v>455.80998478821181</v>
      </c>
      <c r="F26" s="1">
        <v>180.07401998635422</v>
      </c>
      <c r="G26" s="1">
        <v>213.46484373784529</v>
      </c>
      <c r="H26" s="1">
        <v>22.1818579574648</v>
      </c>
      <c r="I26" s="1">
        <v>97.378709370198038</v>
      </c>
      <c r="J26" s="1"/>
      <c r="K26" s="1"/>
    </row>
    <row r="27" spans="1:11" x14ac:dyDescent="0.15">
      <c r="A27" s="2" t="s">
        <v>6</v>
      </c>
      <c r="B27" s="1">
        <v>2875.7906994977989</v>
      </c>
      <c r="C27" s="1">
        <v>1327.8959679512798</v>
      </c>
      <c r="D27" s="1">
        <v>259.40131532834408</v>
      </c>
      <c r="E27" s="1">
        <v>528.72927991637118</v>
      </c>
      <c r="F27" s="1">
        <v>244.94434863887679</v>
      </c>
      <c r="G27" s="1">
        <v>294.42916186088331</v>
      </c>
      <c r="H27" s="1">
        <v>39.971490689781703</v>
      </c>
      <c r="I27" s="1">
        <v>109.48001696321262</v>
      </c>
      <c r="J27" s="1"/>
      <c r="K27" s="1"/>
    </row>
    <row r="28" spans="1:11" x14ac:dyDescent="0.15">
      <c r="B28">
        <f>SUM(B27:D27)</f>
        <v>4463.0879827774224</v>
      </c>
      <c r="C28">
        <f>B28-B21</f>
        <v>-304.55454231794101</v>
      </c>
      <c r="D28">
        <f>B28/B21-1</f>
        <v>-6.3879483563388462E-2</v>
      </c>
      <c r="E28">
        <f>SUM(E27:I27)</f>
        <v>1217.5542980691255</v>
      </c>
      <c r="F28">
        <f>E28-E21</f>
        <v>23.514973622819298</v>
      </c>
    </row>
    <row r="29" spans="1:11" x14ac:dyDescent="0.15">
      <c r="A29" s="1" t="s">
        <v>103</v>
      </c>
      <c r="B29" s="2" t="s">
        <v>16</v>
      </c>
      <c r="C29" s="2" t="s">
        <v>125</v>
      </c>
      <c r="D29" s="2" t="s">
        <v>126</v>
      </c>
      <c r="E29" s="2" t="s">
        <v>127</v>
      </c>
      <c r="F29" s="2" t="s">
        <v>128</v>
      </c>
      <c r="G29" s="2" t="s">
        <v>129</v>
      </c>
      <c r="H29" s="2" t="s">
        <v>130</v>
      </c>
      <c r="I29" s="2" t="s">
        <v>131</v>
      </c>
      <c r="J29" s="2"/>
      <c r="K29" s="2"/>
    </row>
    <row r="30" spans="1:11" x14ac:dyDescent="0.15">
      <c r="A30" s="2" t="s">
        <v>2</v>
      </c>
      <c r="B30" s="1">
        <v>1780.8522621554541</v>
      </c>
      <c r="C30" s="1">
        <v>613.14989238999999</v>
      </c>
      <c r="D30" s="1">
        <v>124.05309000000001</v>
      </c>
      <c r="E30" s="1">
        <v>230.85710344323144</v>
      </c>
      <c r="F30" s="1">
        <v>23.61725849574054</v>
      </c>
      <c r="G30" s="1">
        <v>14.264338232227049</v>
      </c>
      <c r="H30" s="1">
        <v>3.3618334562870458E-2</v>
      </c>
      <c r="I30" s="1">
        <v>5.4125518646221442</v>
      </c>
      <c r="J30" s="1"/>
      <c r="K30" s="1"/>
    </row>
    <row r="31" spans="1:11" x14ac:dyDescent="0.15">
      <c r="A31" s="2" t="s">
        <v>3</v>
      </c>
      <c r="B31" s="1">
        <v>2259.5741849212118</v>
      </c>
      <c r="C31" s="1">
        <v>822.32711101610914</v>
      </c>
      <c r="D31" s="1">
        <v>164.94063446999397</v>
      </c>
      <c r="E31" s="1">
        <v>326.26936752107332</v>
      </c>
      <c r="F31" s="1">
        <v>87.000993210005944</v>
      </c>
      <c r="G31" s="1">
        <v>50.738078821233799</v>
      </c>
      <c r="H31" s="1">
        <v>3.2587217888214153</v>
      </c>
      <c r="I31" s="1">
        <v>49.155541837383183</v>
      </c>
      <c r="J31" s="1"/>
      <c r="K31" s="1"/>
    </row>
    <row r="32" spans="1:11" x14ac:dyDescent="0.15">
      <c r="A32" s="2" t="s">
        <v>4</v>
      </c>
      <c r="B32" s="1">
        <v>2680.0377086082185</v>
      </c>
      <c r="C32" s="1">
        <v>1030.887041195158</v>
      </c>
      <c r="D32" s="1">
        <v>205.23456816485213</v>
      </c>
      <c r="E32" s="1">
        <v>382.90730505134007</v>
      </c>
      <c r="F32" s="1">
        <v>139.56790758727095</v>
      </c>
      <c r="G32" s="1">
        <v>119.6299635879724</v>
      </c>
      <c r="H32" s="1">
        <v>13.444318970283446</v>
      </c>
      <c r="I32" s="1">
        <v>91.585788201879055</v>
      </c>
      <c r="J32" s="1"/>
      <c r="K32" s="1"/>
    </row>
    <row r="33" spans="1:11" x14ac:dyDescent="0.15">
      <c r="A33" s="2" t="s">
        <v>5</v>
      </c>
      <c r="B33" s="1">
        <v>2599.0549538674927</v>
      </c>
      <c r="C33" s="1">
        <v>1198.5555910384871</v>
      </c>
      <c r="D33" s="1">
        <v>231.3143979559585</v>
      </c>
      <c r="E33" s="1">
        <v>461.61938110708263</v>
      </c>
      <c r="F33" s="1">
        <v>182.18108060150021</v>
      </c>
      <c r="G33" s="1">
        <v>223.92611138565726</v>
      </c>
      <c r="H33" s="1">
        <v>22.545281127975738</v>
      </c>
      <c r="I33" s="1">
        <v>99.524125854344447</v>
      </c>
      <c r="J33" s="1"/>
      <c r="K33" s="1"/>
    </row>
    <row r="34" spans="1:11" x14ac:dyDescent="0.15">
      <c r="A34" s="2" t="s">
        <v>6</v>
      </c>
      <c r="B34" s="1">
        <v>2380.080896493208</v>
      </c>
      <c r="C34" s="1">
        <v>1324.3982086687572</v>
      </c>
      <c r="D34" s="1">
        <v>247.65970788796574</v>
      </c>
      <c r="E34" s="1">
        <v>537.03251574160072</v>
      </c>
      <c r="F34" s="1">
        <v>248.1640509003239</v>
      </c>
      <c r="G34" s="1">
        <v>314.25937742508324</v>
      </c>
      <c r="H34" s="1">
        <v>40.760580014046631</v>
      </c>
      <c r="I34" s="1">
        <v>112.8574330441438</v>
      </c>
      <c r="J34" s="1"/>
      <c r="K34" s="1"/>
    </row>
    <row r="35" spans="1:11" x14ac:dyDescent="0.15">
      <c r="B35">
        <f>SUM(B34:D34)</f>
        <v>3952.1388130499308</v>
      </c>
      <c r="C35">
        <f>B35-B21</f>
        <v>-815.50371204543262</v>
      </c>
      <c r="D35">
        <f>B35/B21-1</f>
        <v>-0.17104967659653147</v>
      </c>
      <c r="E35">
        <f>SUM(E34:I34)</f>
        <v>1253.0739571251981</v>
      </c>
      <c r="F35">
        <f>E35-E21</f>
        <v>59.034632678891967</v>
      </c>
    </row>
    <row r="36" spans="1:11" x14ac:dyDescent="0.15">
      <c r="A36" s="1" t="s">
        <v>104</v>
      </c>
      <c r="B36" s="2" t="s">
        <v>16</v>
      </c>
      <c r="C36" s="2" t="s">
        <v>125</v>
      </c>
      <c r="D36" s="2" t="s">
        <v>126</v>
      </c>
      <c r="E36" s="2" t="s">
        <v>127</v>
      </c>
      <c r="F36" s="2" t="s">
        <v>128</v>
      </c>
      <c r="G36" s="2" t="s">
        <v>129</v>
      </c>
      <c r="H36" s="2" t="s">
        <v>130</v>
      </c>
      <c r="I36" s="2" t="s">
        <v>131</v>
      </c>
      <c r="J36" s="2"/>
      <c r="K36" s="2"/>
    </row>
    <row r="37" spans="1:11" x14ac:dyDescent="0.15">
      <c r="A37" s="2" t="s">
        <v>2</v>
      </c>
      <c r="B37" s="1">
        <v>1780.8522621554541</v>
      </c>
      <c r="C37" s="1">
        <v>613.14989238999999</v>
      </c>
      <c r="D37" s="1">
        <v>124.05309000000001</v>
      </c>
      <c r="E37" s="1">
        <v>230.85710344323147</v>
      </c>
      <c r="F37" s="1">
        <v>23.61725849574054</v>
      </c>
      <c r="G37" s="1">
        <v>14.264338232227049</v>
      </c>
      <c r="H37" s="1">
        <v>3.3618334562870458E-2</v>
      </c>
      <c r="I37" s="1">
        <v>5.4125518646221442</v>
      </c>
    </row>
    <row r="38" spans="1:11" x14ac:dyDescent="0.15">
      <c r="A38" s="2" t="s">
        <v>3</v>
      </c>
      <c r="B38" s="1">
        <v>2259.5741845898965</v>
      </c>
      <c r="C38" s="1">
        <v>822.32711095940681</v>
      </c>
      <c r="D38" s="1">
        <v>164.94063447640306</v>
      </c>
      <c r="E38" s="1">
        <v>326.26936753210907</v>
      </c>
      <c r="F38" s="1">
        <v>87.000993219238708</v>
      </c>
      <c r="G38" s="1">
        <v>50.738078840082977</v>
      </c>
      <c r="H38" s="1">
        <v>3.2587217986876689</v>
      </c>
      <c r="I38" s="1">
        <v>49.155541840561092</v>
      </c>
    </row>
    <row r="39" spans="1:11" x14ac:dyDescent="0.15">
      <c r="A39" s="2" t="s">
        <v>4</v>
      </c>
      <c r="B39" s="1">
        <v>2680.0377075320212</v>
      </c>
      <c r="C39" s="1">
        <v>1030.8870409597951</v>
      </c>
      <c r="D39" s="1">
        <v>205.23456814303685</v>
      </c>
      <c r="E39" s="1">
        <v>382.90730510048888</v>
      </c>
      <c r="F39" s="1">
        <v>139.56790761456719</v>
      </c>
      <c r="G39" s="1">
        <v>119.62996371185642</v>
      </c>
      <c r="H39" s="1">
        <v>13.444319045609927</v>
      </c>
      <c r="I39" s="1">
        <v>91.585788217397038</v>
      </c>
    </row>
    <row r="40" spans="1:11" x14ac:dyDescent="0.15">
      <c r="A40" s="2" t="s">
        <v>5</v>
      </c>
      <c r="B40" s="1">
        <v>2872.7880939232464</v>
      </c>
      <c r="C40" s="1">
        <v>1189.5053210475187</v>
      </c>
      <c r="D40" s="1">
        <v>237.02024711183788</v>
      </c>
      <c r="E40" s="1">
        <v>487.67769982351689</v>
      </c>
      <c r="F40" s="1">
        <v>238.4382121017249</v>
      </c>
      <c r="G40" s="1">
        <v>297.60142785142506</v>
      </c>
      <c r="H40" s="1">
        <v>63.142310503381147</v>
      </c>
      <c r="I40" s="1">
        <v>109.50617806702897</v>
      </c>
    </row>
    <row r="41" spans="1:11" x14ac:dyDescent="0.15">
      <c r="A41" s="2" t="s">
        <v>6</v>
      </c>
      <c r="B41" s="1">
        <v>2989.8180952514776</v>
      </c>
      <c r="C41" s="1">
        <v>1312.6000231579383</v>
      </c>
      <c r="D41" s="1">
        <v>262.72042182958245</v>
      </c>
      <c r="E41" s="1">
        <v>531.93765639439118</v>
      </c>
      <c r="F41" s="1">
        <v>331.94466493180408</v>
      </c>
      <c r="G41" s="1">
        <v>507.51494034506015</v>
      </c>
      <c r="H41" s="1">
        <v>129.2908741289605</v>
      </c>
      <c r="I41" s="1">
        <v>132.55622508526591</v>
      </c>
    </row>
    <row r="42" spans="1:11" x14ac:dyDescent="0.15">
      <c r="B42">
        <f>SUM(B41:D41)</f>
        <v>4565.1385402389988</v>
      </c>
      <c r="C42">
        <f>B42-B21</f>
        <v>-202.5039848563647</v>
      </c>
      <c r="D42">
        <f>B42/B28-1</f>
        <v>2.2865459487999784E-2</v>
      </c>
      <c r="E42">
        <f>SUM(E41:I41)</f>
        <v>1633.2443608854817</v>
      </c>
      <c r="F42">
        <f>E42-E21</f>
        <v>439.2050364391755</v>
      </c>
    </row>
    <row r="43" spans="1:11" x14ac:dyDescent="0.15">
      <c r="A43" s="1" t="s">
        <v>105</v>
      </c>
      <c r="B43" s="2" t="s">
        <v>16</v>
      </c>
      <c r="C43" s="2" t="s">
        <v>125</v>
      </c>
      <c r="D43" s="2" t="s">
        <v>126</v>
      </c>
      <c r="E43" s="2" t="s">
        <v>127</v>
      </c>
      <c r="F43" s="2" t="s">
        <v>128</v>
      </c>
      <c r="G43" s="2" t="s">
        <v>129</v>
      </c>
      <c r="H43" s="2" t="s">
        <v>130</v>
      </c>
      <c r="I43" s="2" t="s">
        <v>131</v>
      </c>
      <c r="J43" s="2"/>
      <c r="K43" s="2"/>
    </row>
    <row r="44" spans="1:11" x14ac:dyDescent="0.15">
      <c r="A44" s="2" t="s">
        <v>2</v>
      </c>
      <c r="B44" s="1">
        <v>1780.8522621554541</v>
      </c>
      <c r="C44" s="1">
        <v>613.14989238999999</v>
      </c>
      <c r="D44" s="1">
        <v>124.05309000000001</v>
      </c>
      <c r="E44" s="1">
        <v>230.85710344323144</v>
      </c>
      <c r="F44" s="1">
        <v>23.61725849574054</v>
      </c>
      <c r="G44" s="1">
        <v>14.264338232227049</v>
      </c>
      <c r="H44" s="1">
        <v>3.3618334562870458E-2</v>
      </c>
      <c r="I44" s="1">
        <v>5.4125518646221442</v>
      </c>
    </row>
    <row r="45" spans="1:11" x14ac:dyDescent="0.15">
      <c r="A45" s="2" t="s">
        <v>3</v>
      </c>
      <c r="B45" s="1">
        <v>2259.5741849212118</v>
      </c>
      <c r="C45" s="1">
        <v>822.32711101610914</v>
      </c>
      <c r="D45" s="1">
        <v>164.94063446999397</v>
      </c>
      <c r="E45" s="1">
        <v>326.26936752107332</v>
      </c>
      <c r="F45" s="1">
        <v>87.000993210005944</v>
      </c>
      <c r="G45" s="1">
        <v>50.738078821233799</v>
      </c>
      <c r="H45" s="1">
        <v>3.2587217888214153</v>
      </c>
      <c r="I45" s="1">
        <v>49.155541837383183</v>
      </c>
    </row>
    <row r="46" spans="1:11" x14ac:dyDescent="0.15">
      <c r="A46" s="2" t="s">
        <v>4</v>
      </c>
      <c r="B46" s="1">
        <v>2680.0377086082185</v>
      </c>
      <c r="C46" s="1">
        <v>1030.887041195158</v>
      </c>
      <c r="D46" s="1">
        <v>205.23456816485213</v>
      </c>
      <c r="E46" s="1">
        <v>382.90730505134007</v>
      </c>
      <c r="F46" s="1">
        <v>139.56790758727095</v>
      </c>
      <c r="G46" s="1">
        <v>119.6299635879724</v>
      </c>
      <c r="H46" s="1">
        <v>13.444318970283446</v>
      </c>
      <c r="I46" s="1">
        <v>91.585788201879055</v>
      </c>
    </row>
    <row r="47" spans="1:11" x14ac:dyDescent="0.15">
      <c r="A47" s="2" t="s">
        <v>5</v>
      </c>
      <c r="B47" s="1">
        <v>2846.8155270523607</v>
      </c>
      <c r="C47" s="1">
        <v>1189.6287809947639</v>
      </c>
      <c r="D47" s="1">
        <v>236.63461205002324</v>
      </c>
      <c r="E47" s="1">
        <v>488.28667844509181</v>
      </c>
      <c r="F47" s="1">
        <v>238.74200178343401</v>
      </c>
      <c r="G47" s="1">
        <v>299.41896629032561</v>
      </c>
      <c r="H47" s="1">
        <v>63.268302620986383</v>
      </c>
      <c r="I47" s="1">
        <v>109.76481770330393</v>
      </c>
    </row>
    <row r="48" spans="1:11" x14ac:dyDescent="0.15">
      <c r="A48" s="2" t="s">
        <v>6</v>
      </c>
      <c r="B48" s="1">
        <v>2872.597662784472</v>
      </c>
      <c r="C48" s="1">
        <v>1312.8525224109781</v>
      </c>
      <c r="D48" s="1">
        <v>260.84967491296578</v>
      </c>
      <c r="E48" s="1">
        <v>533.4999477017941</v>
      </c>
      <c r="F48" s="1">
        <v>332.90293126554235</v>
      </c>
      <c r="G48" s="1">
        <v>517.79179389871945</v>
      </c>
      <c r="H48" s="1">
        <v>129.93050860524062</v>
      </c>
      <c r="I48" s="1">
        <v>133.52168275778848</v>
      </c>
    </row>
    <row r="50" spans="1:11" x14ac:dyDescent="0.15">
      <c r="A50" s="1" t="s">
        <v>106</v>
      </c>
      <c r="B50" s="2" t="s">
        <v>16</v>
      </c>
      <c r="C50" s="2" t="s">
        <v>125</v>
      </c>
      <c r="D50" s="2" t="s">
        <v>126</v>
      </c>
      <c r="E50" s="2" t="s">
        <v>127</v>
      </c>
      <c r="F50" s="2" t="s">
        <v>128</v>
      </c>
      <c r="G50" s="2" t="s">
        <v>129</v>
      </c>
      <c r="H50" s="2" t="s">
        <v>130</v>
      </c>
      <c r="I50" s="2" t="s">
        <v>131</v>
      </c>
      <c r="J50" s="2"/>
      <c r="K50" s="2"/>
    </row>
    <row r="51" spans="1:11" x14ac:dyDescent="0.15">
      <c r="A51" s="2" t="s">
        <v>2</v>
      </c>
      <c r="B51" s="1">
        <v>1780.8522621554541</v>
      </c>
      <c r="C51" s="1">
        <v>613.14989238999999</v>
      </c>
      <c r="D51" s="1">
        <v>124.05309000000001</v>
      </c>
      <c r="E51" s="1">
        <v>230.85710344323144</v>
      </c>
      <c r="F51" s="1">
        <v>23.61725849574054</v>
      </c>
      <c r="G51" s="1">
        <v>14.264338232227049</v>
      </c>
      <c r="H51" s="1">
        <v>3.3618334562870458E-2</v>
      </c>
      <c r="I51" s="1">
        <v>5.4125518646221442</v>
      </c>
    </row>
    <row r="52" spans="1:11" x14ac:dyDescent="0.15">
      <c r="A52" s="2" t="s">
        <v>3</v>
      </c>
      <c r="B52" s="1">
        <v>2259.5741849212118</v>
      </c>
      <c r="C52" s="1">
        <v>822.32711101610914</v>
      </c>
      <c r="D52" s="1">
        <v>164.94063446999397</v>
      </c>
      <c r="E52" s="1">
        <v>326.26936752107332</v>
      </c>
      <c r="F52" s="1">
        <v>87.000993210005944</v>
      </c>
      <c r="G52" s="1">
        <v>50.738078821233799</v>
      </c>
      <c r="H52" s="1">
        <v>3.2587217888214153</v>
      </c>
      <c r="I52" s="1">
        <v>49.155541837383183</v>
      </c>
    </row>
    <row r="53" spans="1:11" x14ac:dyDescent="0.15">
      <c r="A53" s="2" t="s">
        <v>4</v>
      </c>
      <c r="B53" s="1">
        <v>2680.0377086082185</v>
      </c>
      <c r="C53" s="1">
        <v>1030.887041195158</v>
      </c>
      <c r="D53" s="1">
        <v>205.23456816485213</v>
      </c>
      <c r="E53" s="1">
        <v>382.90730505134007</v>
      </c>
      <c r="F53" s="1">
        <v>139.56790758727095</v>
      </c>
      <c r="G53" s="1">
        <v>119.6299635879724</v>
      </c>
      <c r="H53" s="1">
        <v>13.444318970283446</v>
      </c>
      <c r="I53" s="1">
        <v>91.585788201879055</v>
      </c>
    </row>
    <row r="54" spans="1:11" x14ac:dyDescent="0.15">
      <c r="A54" s="2" t="s">
        <v>5</v>
      </c>
      <c r="B54" s="1">
        <v>2597.9134623808536</v>
      </c>
      <c r="C54" s="1">
        <v>1189.8211877154863</v>
      </c>
      <c r="D54" s="1">
        <v>232.42139047564885</v>
      </c>
      <c r="E54" s="1">
        <v>494.00802744708915</v>
      </c>
      <c r="F54" s="1">
        <v>241.43320024725739</v>
      </c>
      <c r="G54" s="1">
        <v>316.11687207457953</v>
      </c>
      <c r="H54" s="1">
        <v>64.444971864515182</v>
      </c>
      <c r="I54" s="1">
        <v>112.15180736638663</v>
      </c>
    </row>
    <row r="55" spans="1:11" x14ac:dyDescent="0.15">
      <c r="A55" s="2" t="s">
        <v>6</v>
      </c>
      <c r="B55" s="1">
        <v>2373.2799064704914</v>
      </c>
      <c r="C55" s="1">
        <v>1308.2986903056465</v>
      </c>
      <c r="D55" s="1">
        <v>250.29484019552984</v>
      </c>
      <c r="E55" s="1">
        <v>539.5472851295666</v>
      </c>
      <c r="F55" s="1">
        <v>336.14094740668617</v>
      </c>
      <c r="G55" s="1">
        <v>558.08795629787164</v>
      </c>
      <c r="H55" s="1">
        <v>132.45149081111762</v>
      </c>
      <c r="I55" s="1">
        <v>137.26615685239148</v>
      </c>
    </row>
    <row r="108" spans="2:9" x14ac:dyDescent="0.15">
      <c r="B108" s="1">
        <v>1780.8522621554541</v>
      </c>
      <c r="C108" s="1">
        <v>613.14989238999999</v>
      </c>
      <c r="D108" s="1">
        <v>124.05309000000001</v>
      </c>
      <c r="E108" s="1">
        <v>230.85710344323147</v>
      </c>
      <c r="F108" s="1">
        <v>23.61725849574054</v>
      </c>
      <c r="G108" s="1">
        <v>14.264338232227049</v>
      </c>
      <c r="H108" s="1">
        <v>3.3618334562870458E-2</v>
      </c>
      <c r="I108" s="1">
        <v>5.4125518646221442</v>
      </c>
    </row>
    <row r="109" spans="2:9" x14ac:dyDescent="0.15">
      <c r="B109" s="1">
        <v>2259.5741845899697</v>
      </c>
      <c r="C109" s="1">
        <v>822.3271109594275</v>
      </c>
      <c r="D109" s="1">
        <v>164.94063447640735</v>
      </c>
      <c r="E109" s="1">
        <v>326.26936753211498</v>
      </c>
      <c r="F109" s="1">
        <v>87.000993219238893</v>
      </c>
      <c r="G109" s="1">
        <v>50.738078840083588</v>
      </c>
      <c r="H109" s="1">
        <v>3.2587217987089474</v>
      </c>
      <c r="I109" s="1">
        <v>49.155541840561256</v>
      </c>
    </row>
    <row r="110" spans="2:9" x14ac:dyDescent="0.15">
      <c r="B110" s="1">
        <v>2680.0377075333013</v>
      </c>
      <c r="C110" s="1">
        <v>1030.8870409602014</v>
      </c>
      <c r="D110" s="1">
        <v>205.23456814312007</v>
      </c>
      <c r="E110" s="1">
        <v>382.90730510057898</v>
      </c>
      <c r="F110" s="1">
        <v>139.56790761459072</v>
      </c>
      <c r="G110" s="1">
        <v>119.6299637119419</v>
      </c>
      <c r="H110" s="1">
        <v>13.444319045590074</v>
      </c>
      <c r="I110" s="1">
        <v>91.585788217420145</v>
      </c>
    </row>
    <row r="111" spans="2:9" x14ac:dyDescent="0.15">
      <c r="B111" s="1">
        <v>2983.9882490740188</v>
      </c>
      <c r="C111" s="1">
        <v>1196.7390912959268</v>
      </c>
      <c r="D111" s="1">
        <v>237.90280206446835</v>
      </c>
      <c r="E111" s="1">
        <v>452.53814224166513</v>
      </c>
      <c r="F111" s="1">
        <v>178.79640803944355</v>
      </c>
      <c r="G111" s="1">
        <v>207.40647108246677</v>
      </c>
      <c r="H111" s="1">
        <v>21.97630905341483</v>
      </c>
      <c r="I111" s="1">
        <v>96.13902568253171</v>
      </c>
    </row>
    <row r="112" spans="2:9" x14ac:dyDescent="0.15">
      <c r="B112" s="1">
        <v>3177.7739746527404</v>
      </c>
      <c r="C112" s="1">
        <v>1325.4962392462551</v>
      </c>
      <c r="D112" s="1">
        <v>264.3723112100306</v>
      </c>
      <c r="E112" s="1">
        <v>523.38253568502637</v>
      </c>
      <c r="F112" s="1">
        <v>242.59724147515297</v>
      </c>
      <c r="G112" s="1">
        <v>281.36116018611602</v>
      </c>
      <c r="H112" s="1">
        <v>39.463922016535903</v>
      </c>
      <c r="I112" s="1">
        <v>107.23446508354714</v>
      </c>
    </row>
    <row r="114" spans="2:9" x14ac:dyDescent="0.15">
      <c r="B114" s="1">
        <v>1780.8522621554541</v>
      </c>
      <c r="C114" s="1">
        <v>613.14989238999999</v>
      </c>
      <c r="D114" s="1">
        <v>124.05309000000001</v>
      </c>
      <c r="E114" s="1">
        <v>230.85710344323147</v>
      </c>
      <c r="F114" s="1">
        <v>23.61725849574054</v>
      </c>
      <c r="G114" s="1">
        <v>14.264338232227049</v>
      </c>
      <c r="H114" s="1">
        <v>3.3618334562870458E-2</v>
      </c>
      <c r="I114" s="1">
        <v>5.4125518646221442</v>
      </c>
    </row>
    <row r="115" spans="2:9" x14ac:dyDescent="0.15">
      <c r="B115" s="1">
        <v>2259.5741849794285</v>
      </c>
      <c r="C115" s="1">
        <v>822.32711105275962</v>
      </c>
      <c r="D115" s="1">
        <v>164.94063447318038</v>
      </c>
      <c r="E115" s="1">
        <v>326.2693674937438</v>
      </c>
      <c r="F115" s="1">
        <v>87.000993198039197</v>
      </c>
      <c r="G115" s="1">
        <v>50.738078789215706</v>
      </c>
      <c r="H115" s="1">
        <v>3.2587217794589423</v>
      </c>
      <c r="I115" s="1">
        <v>49.155541830371902</v>
      </c>
    </row>
    <row r="116" spans="2:9" x14ac:dyDescent="0.15">
      <c r="B116" s="1">
        <v>2680.0377088854689</v>
      </c>
      <c r="C116" s="1">
        <v>1030.8870412940366</v>
      </c>
      <c r="D116" s="1">
        <v>205.23456817541918</v>
      </c>
      <c r="E116" s="1">
        <v>382.90730498552557</v>
      </c>
      <c r="F116" s="1">
        <v>139.56790755357849</v>
      </c>
      <c r="G116" s="1">
        <v>119.62996344578799</v>
      </c>
      <c r="H116" s="1">
        <v>13.444318909206492</v>
      </c>
      <c r="I116" s="1">
        <v>91.585788177985194</v>
      </c>
    </row>
    <row r="117" spans="2:9" x14ac:dyDescent="0.15">
      <c r="B117" s="1">
        <v>2825.9266192665323</v>
      </c>
      <c r="C117" s="1">
        <v>1203.3396900313955</v>
      </c>
      <c r="D117" s="1">
        <v>236.2358336198472</v>
      </c>
      <c r="E117" s="1">
        <v>456.19375030023326</v>
      </c>
      <c r="F117" s="1">
        <v>180.21514526374955</v>
      </c>
      <c r="G117" s="1">
        <v>214.18855065476967</v>
      </c>
      <c r="H117" s="1">
        <v>22.206403923920842</v>
      </c>
      <c r="I117" s="1">
        <v>97.525374038338583</v>
      </c>
    </row>
    <row r="118" spans="2:9" x14ac:dyDescent="0.15">
      <c r="B118" s="1">
        <v>2832.905669881618</v>
      </c>
      <c r="C118" s="1">
        <v>1340.4033961397365</v>
      </c>
      <c r="D118" s="1">
        <v>260.31252670795612</v>
      </c>
      <c r="E118" s="1">
        <v>529.27936530192017</v>
      </c>
      <c r="F118" s="1">
        <v>245.16493946765604</v>
      </c>
      <c r="G118" s="1">
        <v>295.81015102078959</v>
      </c>
      <c r="H118" s="1">
        <v>40.025014587232377</v>
      </c>
      <c r="I118" s="1">
        <v>109.71387212172863</v>
      </c>
    </row>
    <row r="120" spans="2:9" x14ac:dyDescent="0.15">
      <c r="B120" s="1">
        <v>1780.8522621554541</v>
      </c>
      <c r="C120" s="1">
        <v>613.14989238999999</v>
      </c>
      <c r="D120" s="1">
        <v>124.05309000000001</v>
      </c>
      <c r="E120" s="1">
        <v>230.85710344323147</v>
      </c>
      <c r="F120" s="1">
        <v>23.61725849574054</v>
      </c>
      <c r="G120" s="1">
        <v>14.264338232227049</v>
      </c>
      <c r="H120" s="1">
        <v>3.3618334562870458E-2</v>
      </c>
      <c r="I120" s="1">
        <v>5.4125518646221442</v>
      </c>
    </row>
    <row r="121" spans="2:9" x14ac:dyDescent="0.15">
      <c r="B121" s="1">
        <v>2259.5741849794285</v>
      </c>
      <c r="C121" s="1">
        <v>822.32711105275962</v>
      </c>
      <c r="D121" s="1">
        <v>164.94063447318038</v>
      </c>
      <c r="E121" s="1">
        <v>326.2693674937438</v>
      </c>
      <c r="F121" s="1">
        <v>87.000993198039197</v>
      </c>
      <c r="G121" s="1">
        <v>50.738078789215706</v>
      </c>
      <c r="H121" s="1">
        <v>3.2587217794589423</v>
      </c>
      <c r="I121" s="1">
        <v>49.155541830371902</v>
      </c>
    </row>
    <row r="122" spans="2:9" x14ac:dyDescent="0.15">
      <c r="B122" s="1">
        <v>2680.0377088854689</v>
      </c>
      <c r="C122" s="1">
        <v>1030.8870412940366</v>
      </c>
      <c r="D122" s="1">
        <v>205.23456817541918</v>
      </c>
      <c r="E122" s="1">
        <v>382.90730498552557</v>
      </c>
      <c r="F122" s="1">
        <v>139.56790755357849</v>
      </c>
      <c r="G122" s="1">
        <v>119.62996344578799</v>
      </c>
      <c r="H122" s="1">
        <v>13.444318909206492</v>
      </c>
      <c r="I122" s="1">
        <v>91.585788177985194</v>
      </c>
    </row>
    <row r="123" spans="2:9" x14ac:dyDescent="0.15">
      <c r="B123" s="1">
        <v>2599.408583239735</v>
      </c>
      <c r="C123" s="1">
        <v>1212.9069622697671</v>
      </c>
      <c r="D123" s="1">
        <v>233.25746911200926</v>
      </c>
      <c r="E123" s="1">
        <v>461.32213406765118</v>
      </c>
      <c r="F123" s="1">
        <v>182.06912021453314</v>
      </c>
      <c r="G123" s="1">
        <v>223.44842941982947</v>
      </c>
      <c r="H123" s="1">
        <v>22.527795347189528</v>
      </c>
      <c r="I123" s="1">
        <v>99.422576388827139</v>
      </c>
    </row>
    <row r="124" spans="2:9" x14ac:dyDescent="0.15">
      <c r="B124" s="1">
        <v>2382.7346904006599</v>
      </c>
      <c r="C124" s="1">
        <v>1359.6095624704599</v>
      </c>
      <c r="D124" s="1">
        <v>252.17998118393137</v>
      </c>
      <c r="E124" s="1">
        <v>536.57809729178814</v>
      </c>
      <c r="F124" s="1">
        <v>247.98554396795751</v>
      </c>
      <c r="G124" s="1">
        <v>313.29718731972019</v>
      </c>
      <c r="H124" s="1">
        <v>40.719960184980039</v>
      </c>
      <c r="I124" s="1">
        <v>112.68936239229151</v>
      </c>
    </row>
    <row r="126" spans="2:9" x14ac:dyDescent="0.15">
      <c r="B126" s="1">
        <v>1780.8522621554541</v>
      </c>
      <c r="C126" s="1">
        <v>613.14989238999999</v>
      </c>
      <c r="D126" s="1">
        <v>124.05309000000001</v>
      </c>
      <c r="E126" s="1">
        <v>230.85710344323147</v>
      </c>
      <c r="F126" s="1">
        <v>23.61725849574054</v>
      </c>
      <c r="G126" s="1">
        <v>14.264338232227049</v>
      </c>
      <c r="H126" s="1">
        <v>3.3618334562870458E-2</v>
      </c>
      <c r="I126" s="1">
        <v>5.4125518646221442</v>
      </c>
    </row>
    <row r="127" spans="2:9" x14ac:dyDescent="0.15">
      <c r="B127" s="1">
        <v>2259.5741845899697</v>
      </c>
      <c r="C127" s="1">
        <v>822.3271109594275</v>
      </c>
      <c r="D127" s="1">
        <v>164.94063447640735</v>
      </c>
      <c r="E127" s="1">
        <v>326.26936753211498</v>
      </c>
      <c r="F127" s="1">
        <v>87.000993219238893</v>
      </c>
      <c r="G127" s="1">
        <v>50.738078840083588</v>
      </c>
      <c r="H127" s="1">
        <v>3.2587217987089474</v>
      </c>
      <c r="I127" s="1">
        <v>49.155541840561256</v>
      </c>
    </row>
    <row r="128" spans="2:9" x14ac:dyDescent="0.15">
      <c r="B128" s="1">
        <v>2680.0377075333013</v>
      </c>
      <c r="C128" s="1">
        <v>1030.8870409602014</v>
      </c>
      <c r="D128" s="1">
        <v>205.23456814312007</v>
      </c>
      <c r="E128" s="1">
        <v>382.90730510057898</v>
      </c>
      <c r="F128" s="1">
        <v>139.56790761459072</v>
      </c>
      <c r="G128" s="1">
        <v>119.6299637119419</v>
      </c>
      <c r="H128" s="1">
        <v>13.444319045590074</v>
      </c>
      <c r="I128" s="1">
        <v>91.585788217420145</v>
      </c>
    </row>
    <row r="129" spans="2:9" x14ac:dyDescent="0.15">
      <c r="B129" s="1">
        <v>2872.7880939293095</v>
      </c>
      <c r="C129" s="1">
        <v>1189.5053210493234</v>
      </c>
      <c r="D129" s="1">
        <v>237.02024711218877</v>
      </c>
      <c r="E129" s="1">
        <v>487.6776998235099</v>
      </c>
      <c r="F129" s="1">
        <v>238.43821210172149</v>
      </c>
      <c r="G129" s="1">
        <v>297.60142785142079</v>
      </c>
      <c r="H129" s="1">
        <v>63.142310503380251</v>
      </c>
      <c r="I129" s="1">
        <v>109.50617806702743</v>
      </c>
    </row>
    <row r="130" spans="2:9" x14ac:dyDescent="0.15">
      <c r="B130" s="1">
        <v>2989.8180952598959</v>
      </c>
      <c r="C130" s="1">
        <v>1312.60002316093</v>
      </c>
      <c r="D130" s="1">
        <v>262.72042183020318</v>
      </c>
      <c r="E130" s="1">
        <v>531.93765639498315</v>
      </c>
      <c r="F130" s="1">
        <v>331.94466493217345</v>
      </c>
      <c r="G130" s="1">
        <v>507.51494034562489</v>
      </c>
      <c r="H130" s="1">
        <v>129.29087412910437</v>
      </c>
      <c r="I130" s="1">
        <v>132.55622508541344</v>
      </c>
    </row>
    <row r="132" spans="2:9" x14ac:dyDescent="0.15">
      <c r="B132" s="1">
        <v>1780.8522621554541</v>
      </c>
      <c r="C132" s="1">
        <v>613.14989238999999</v>
      </c>
      <c r="D132" s="1">
        <v>124.05309000000001</v>
      </c>
      <c r="E132" s="1">
        <v>230.85710344323147</v>
      </c>
      <c r="F132" s="1">
        <v>23.61725849574054</v>
      </c>
      <c r="G132" s="1">
        <v>14.264338232227049</v>
      </c>
      <c r="H132" s="1">
        <v>3.3618334562870458E-2</v>
      </c>
      <c r="I132" s="1">
        <v>5.4125518646221442</v>
      </c>
    </row>
    <row r="133" spans="2:9" x14ac:dyDescent="0.15">
      <c r="B133" s="1">
        <v>2259.5741849794285</v>
      </c>
      <c r="C133" s="1">
        <v>822.32711105275962</v>
      </c>
      <c r="D133" s="1">
        <v>164.94063447318038</v>
      </c>
      <c r="E133" s="1">
        <v>326.2693674937438</v>
      </c>
      <c r="F133" s="1">
        <v>87.000993198039197</v>
      </c>
      <c r="G133" s="1">
        <v>50.738078789215706</v>
      </c>
      <c r="H133" s="1">
        <v>3.2587217794589423</v>
      </c>
      <c r="I133" s="1">
        <v>49.155541830371902</v>
      </c>
    </row>
    <row r="134" spans="2:9" x14ac:dyDescent="0.15">
      <c r="B134" s="1">
        <v>2680.0377088854689</v>
      </c>
      <c r="C134" s="1">
        <v>1030.8870412940366</v>
      </c>
      <c r="D134" s="1">
        <v>205.23456817541918</v>
      </c>
      <c r="E134" s="1">
        <v>382.90730498552557</v>
      </c>
      <c r="F134" s="1">
        <v>139.56790755357849</v>
      </c>
      <c r="G134" s="1">
        <v>119.62996344578799</v>
      </c>
      <c r="H134" s="1">
        <v>13.444318909206492</v>
      </c>
      <c r="I134" s="1">
        <v>91.585788177985194</v>
      </c>
    </row>
    <row r="135" spans="2:9" x14ac:dyDescent="0.15">
      <c r="B135" s="1">
        <v>2825.1591303222954</v>
      </c>
      <c r="C135" s="1">
        <v>1191.2216574436482</v>
      </c>
      <c r="D135" s="1">
        <v>236.52284043892649</v>
      </c>
      <c r="E135" s="1">
        <v>488.75661086659306</v>
      </c>
      <c r="F135" s="1">
        <v>238.97229699581879</v>
      </c>
      <c r="G135" s="1">
        <v>300.82784742006987</v>
      </c>
      <c r="H135" s="1">
        <v>63.36598019917728</v>
      </c>
      <c r="I135" s="1">
        <v>109.96489120818465</v>
      </c>
    </row>
    <row r="136" spans="2:9" x14ac:dyDescent="0.15">
      <c r="B136" s="1">
        <v>2829.6928005533782</v>
      </c>
      <c r="C136" s="1">
        <v>1318.0191941701335</v>
      </c>
      <c r="D136" s="1">
        <v>260.86802621157904</v>
      </c>
      <c r="E136" s="1">
        <v>533.98930669794606</v>
      </c>
      <c r="F136" s="1">
        <v>333.18773820577331</v>
      </c>
      <c r="G136" s="1">
        <v>521.09264848329747</v>
      </c>
      <c r="H136" s="1">
        <v>130.13482333655566</v>
      </c>
      <c r="I136" s="1">
        <v>133.82931629968627</v>
      </c>
    </row>
    <row r="138" spans="2:9" x14ac:dyDescent="0.15">
      <c r="B138" s="1">
        <v>1780.8522621554541</v>
      </c>
      <c r="C138" s="1">
        <v>613.14989238999999</v>
      </c>
      <c r="D138" s="1">
        <v>124.05309000000001</v>
      </c>
      <c r="E138" s="1">
        <v>230.85710344323147</v>
      </c>
      <c r="F138" s="1">
        <v>23.61725849574054</v>
      </c>
      <c r="G138" s="1">
        <v>14.264338232227049</v>
      </c>
      <c r="H138" s="1">
        <v>3.3618334562870458E-2</v>
      </c>
      <c r="I138" s="1">
        <v>5.4125518646221442</v>
      </c>
    </row>
    <row r="139" spans="2:9" x14ac:dyDescent="0.15">
      <c r="B139" s="1">
        <v>2259.5741849794285</v>
      </c>
      <c r="C139" s="1">
        <v>822.32711105275962</v>
      </c>
      <c r="D139" s="1">
        <v>164.94063447318038</v>
      </c>
      <c r="E139" s="1">
        <v>326.2693674937438</v>
      </c>
      <c r="F139" s="1">
        <v>87.000993198039197</v>
      </c>
      <c r="G139" s="1">
        <v>50.738078789215706</v>
      </c>
      <c r="H139" s="1">
        <v>3.2587217794589423</v>
      </c>
      <c r="I139" s="1">
        <v>49.155541830371902</v>
      </c>
    </row>
    <row r="140" spans="2:9" x14ac:dyDescent="0.15">
      <c r="B140" s="1">
        <v>2680.0377088854689</v>
      </c>
      <c r="C140" s="1">
        <v>1030.8870412940366</v>
      </c>
      <c r="D140" s="1">
        <v>205.23456817541918</v>
      </c>
      <c r="E140" s="1">
        <v>382.90730498552557</v>
      </c>
      <c r="F140" s="1">
        <v>139.56790755357849</v>
      </c>
      <c r="G140" s="1">
        <v>119.62996344578799</v>
      </c>
      <c r="H140" s="1">
        <v>13.444318909206492</v>
      </c>
      <c r="I140" s="1">
        <v>91.585788177985194</v>
      </c>
    </row>
    <row r="141" spans="2:9" x14ac:dyDescent="0.15">
      <c r="B141" s="1">
        <v>2598.4085783103797</v>
      </c>
      <c r="C141" s="1">
        <v>1199.3774661578718</v>
      </c>
      <c r="D141" s="1">
        <v>233.75632963612773</v>
      </c>
      <c r="E141" s="1">
        <v>493.79575764081847</v>
      </c>
      <c r="F141" s="1">
        <v>241.32959517722338</v>
      </c>
      <c r="G141" s="1">
        <v>315.57452450273496</v>
      </c>
      <c r="H141" s="1">
        <v>64.404491597629601</v>
      </c>
      <c r="I141" s="1">
        <v>112.07084008342454</v>
      </c>
    </row>
    <row r="142" spans="2:9" x14ac:dyDescent="0.15">
      <c r="B142" s="1">
        <v>2378.1609824385409</v>
      </c>
      <c r="C142" s="1">
        <v>1332.4016474603768</v>
      </c>
      <c r="D142" s="1">
        <v>253.62934286197978</v>
      </c>
      <c r="E142" s="1">
        <v>539.25985265257157</v>
      </c>
      <c r="F142" s="1">
        <v>335.98582711534812</v>
      </c>
      <c r="G142" s="1">
        <v>556.45224908052637</v>
      </c>
      <c r="H142" s="1">
        <v>132.34181307088116</v>
      </c>
      <c r="I142" s="1">
        <v>137.10910445601277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46" workbookViewId="0">
      <selection activeCell="K49" sqref="K49:N51"/>
    </sheetView>
  </sheetViews>
  <sheetFormatPr defaultRowHeight="13.5" x14ac:dyDescent="0.15"/>
  <cols>
    <col min="3" max="3" width="12.75" bestFit="1" customWidth="1"/>
    <col min="7" max="7" width="12.75" bestFit="1" customWidth="1"/>
  </cols>
  <sheetData>
    <row r="1" spans="1:16" s="1" customFormat="1" x14ac:dyDescent="0.15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38</v>
      </c>
      <c r="O1" s="2" t="s">
        <v>27</v>
      </c>
    </row>
    <row r="2" spans="1:16" s="1" customFormat="1" x14ac:dyDescent="0.15">
      <c r="A2" s="2" t="s">
        <v>2</v>
      </c>
      <c r="B2" s="1">
        <v>2.8065265527389357E-2</v>
      </c>
      <c r="C2" s="1">
        <v>0.78863088430944561</v>
      </c>
      <c r="D2" s="1">
        <v>3.5884402974578275E-2</v>
      </c>
      <c r="E2" s="1">
        <v>5.3039301822602455E-2</v>
      </c>
      <c r="F2" s="1">
        <v>0.36851196219802235</v>
      </c>
      <c r="G2" s="1">
        <v>0.47885464433953334</v>
      </c>
      <c r="H2" s="1">
        <v>1.9630590839969237</v>
      </c>
      <c r="I2" s="1">
        <v>3.5688332029172376E-2</v>
      </c>
      <c r="J2" s="1">
        <v>1.6174774403626868E-3</v>
      </c>
      <c r="K2" s="1">
        <v>6.4796900968259449E-2</v>
      </c>
      <c r="L2" s="1">
        <v>0.35367571145828613</v>
      </c>
      <c r="M2" s="1">
        <v>0.17940516306871773</v>
      </c>
      <c r="N2" s="1">
        <v>1.6713988854535926</v>
      </c>
      <c r="O2" s="1">
        <v>0.16145967751996299</v>
      </c>
      <c r="P2" s="1">
        <f t="shared" ref="P2:P6" si="0">SUM(B2:O2)</f>
        <v>6.1840876931068482</v>
      </c>
    </row>
    <row r="3" spans="1:16" s="1" customFormat="1" x14ac:dyDescent="0.15">
      <c r="A3" s="2" t="s">
        <v>3</v>
      </c>
      <c r="B3" s="1">
        <v>4.1424523740741535E-2</v>
      </c>
      <c r="C3" s="1">
        <v>0.98022600921224989</v>
      </c>
      <c r="D3" s="1">
        <v>5.8172476972444841E-2</v>
      </c>
      <c r="E3" s="1">
        <v>8.1884046453687367E-2</v>
      </c>
      <c r="F3" s="1">
        <v>0.47934571332147252</v>
      </c>
      <c r="G3" s="1">
        <v>0.61749313615716928</v>
      </c>
      <c r="H3" s="1">
        <v>2.6322753277251363</v>
      </c>
      <c r="I3" s="1">
        <v>4.5663393743805673E-2</v>
      </c>
      <c r="J3" s="1">
        <v>2.1645680045831285E-3</v>
      </c>
      <c r="K3" s="1">
        <v>9.1051656098409359E-2</v>
      </c>
      <c r="L3" s="1">
        <v>0.47004852624242399</v>
      </c>
      <c r="M3" s="1">
        <v>0.23952849871673632</v>
      </c>
      <c r="N3" s="1">
        <v>1.9781399775903825</v>
      </c>
      <c r="O3" s="1">
        <v>0.22312009668561633</v>
      </c>
      <c r="P3" s="1">
        <f t="shared" si="0"/>
        <v>7.9405379506648597</v>
      </c>
    </row>
    <row r="4" spans="1:16" s="1" customFormat="1" x14ac:dyDescent="0.15">
      <c r="A4" s="2" t="s">
        <v>4</v>
      </c>
      <c r="B4" s="1">
        <v>5.7885026958578653E-2</v>
      </c>
      <c r="C4" s="1">
        <v>1.1295449515467741</v>
      </c>
      <c r="D4" s="1">
        <v>8.0563413533402642E-2</v>
      </c>
      <c r="E4" s="1">
        <v>0.10971977018800108</v>
      </c>
      <c r="F4" s="1">
        <v>0.58069034859058521</v>
      </c>
      <c r="G4" s="1">
        <v>0.7419727531746857</v>
      </c>
      <c r="H4" s="1">
        <v>3.2553495488173132</v>
      </c>
      <c r="I4" s="1">
        <v>5.4667797725914027E-2</v>
      </c>
      <c r="J4" s="1">
        <v>2.6749902863212969E-3</v>
      </c>
      <c r="K4" s="1">
        <v>0.12006112077426831</v>
      </c>
      <c r="L4" s="1">
        <v>0.5814562689274887</v>
      </c>
      <c r="M4" s="1">
        <v>0.29835841475919567</v>
      </c>
      <c r="N4" s="1">
        <v>2.235582840006181</v>
      </c>
      <c r="O4" s="1">
        <v>0.28763205245938628</v>
      </c>
      <c r="P4" s="1">
        <f t="shared" si="0"/>
        <v>9.536159297748096</v>
      </c>
    </row>
    <row r="5" spans="1:16" s="1" customFormat="1" x14ac:dyDescent="0.15">
      <c r="A5" s="2" t="s">
        <v>5</v>
      </c>
      <c r="B5" s="1">
        <v>7.3400893145824736E-2</v>
      </c>
      <c r="C5" s="1">
        <v>1.2176785029351866</v>
      </c>
      <c r="D5" s="1">
        <v>9.7434147432726881E-2</v>
      </c>
      <c r="E5" s="1">
        <v>0.13221094450137338</v>
      </c>
      <c r="F5" s="1">
        <v>0.66668207741846008</v>
      </c>
      <c r="G5" s="1">
        <v>0.82295298293048325</v>
      </c>
      <c r="H5" s="1">
        <v>3.7678050579296274</v>
      </c>
      <c r="I5" s="1">
        <v>6.0864899850699587E-2</v>
      </c>
      <c r="J5" s="1">
        <v>3.0842595882669488E-3</v>
      </c>
      <c r="K5" s="1">
        <v>0.14574165395482014</v>
      </c>
      <c r="L5" s="1">
        <v>0.669941947204994</v>
      </c>
      <c r="M5" s="1">
        <v>0.34909297874922968</v>
      </c>
      <c r="N5" s="1">
        <v>2.3733210898719577</v>
      </c>
      <c r="O5" s="1">
        <v>0.34289402354814186</v>
      </c>
      <c r="P5" s="1">
        <f t="shared" si="0"/>
        <v>10.723105459061792</v>
      </c>
    </row>
    <row r="6" spans="1:16" s="1" customFormat="1" x14ac:dyDescent="0.15">
      <c r="A6" s="2" t="s">
        <v>6</v>
      </c>
      <c r="B6" s="1">
        <v>8.8521861457409812E-2</v>
      </c>
      <c r="C6" s="1">
        <v>1.2548986827110866</v>
      </c>
      <c r="D6" s="1">
        <v>0.10932027128405802</v>
      </c>
      <c r="E6" s="1">
        <v>0.15017367880382371</v>
      </c>
      <c r="F6" s="1">
        <v>0.74240558014729718</v>
      </c>
      <c r="G6" s="1">
        <v>0.86956066425641976</v>
      </c>
      <c r="H6" s="1">
        <v>4.1849094593019531</v>
      </c>
      <c r="I6" s="1">
        <v>6.4919831428699989E-2</v>
      </c>
      <c r="J6" s="1">
        <v>3.4031647759048189E-3</v>
      </c>
      <c r="K6" s="1">
        <v>0.1688192453715707</v>
      </c>
      <c r="L6" s="1">
        <v>0.73715675259736013</v>
      </c>
      <c r="M6" s="1">
        <v>0.39446257538006363</v>
      </c>
      <c r="N6" s="1">
        <v>2.3722297349115036</v>
      </c>
      <c r="O6" s="1">
        <v>0.39052101949965123</v>
      </c>
      <c r="P6" s="1">
        <f t="shared" si="0"/>
        <v>11.531302521926802</v>
      </c>
    </row>
    <row r="8" spans="1:16" s="1" customFormat="1" x14ac:dyDescent="0.15"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  <c r="I8" s="2" t="s">
        <v>22</v>
      </c>
      <c r="J8" s="2" t="s">
        <v>23</v>
      </c>
      <c r="K8" s="2" t="s">
        <v>24</v>
      </c>
      <c r="L8" s="2" t="s">
        <v>25</v>
      </c>
      <c r="M8" s="2" t="s">
        <v>26</v>
      </c>
      <c r="N8" s="2" t="s">
        <v>38</v>
      </c>
      <c r="O8" s="2" t="s">
        <v>27</v>
      </c>
    </row>
    <row r="9" spans="1:16" s="1" customFormat="1" x14ac:dyDescent="0.15">
      <c r="A9" s="2" t="s">
        <v>2</v>
      </c>
      <c r="B9" s="1">
        <v>2.8065265756382195E-2</v>
      </c>
      <c r="C9" s="1">
        <v>0.78863089295822397</v>
      </c>
      <c r="D9" s="1">
        <v>3.5884403260883546E-2</v>
      </c>
      <c r="E9" s="1">
        <v>5.3039302167338265E-2</v>
      </c>
      <c r="F9" s="1">
        <v>0.36851196659239377</v>
      </c>
      <c r="G9" s="1">
        <v>0.47885464357275914</v>
      </c>
      <c r="H9" s="1">
        <v>1.9630591058131592</v>
      </c>
      <c r="I9" s="1">
        <v>3.5688332128608342E-2</v>
      </c>
      <c r="J9" s="1">
        <v>1.6174774532696924E-3</v>
      </c>
      <c r="K9" s="1">
        <v>6.4796901371209498E-2</v>
      </c>
      <c r="L9" s="1">
        <v>0.353675712571967</v>
      </c>
      <c r="M9" s="1">
        <v>0.17940516455337474</v>
      </c>
      <c r="N9" s="1">
        <v>1.6713988917806422</v>
      </c>
      <c r="O9" s="1">
        <v>0.16145967809338457</v>
      </c>
      <c r="P9" s="1">
        <f t="shared" ref="P9:P13" si="1">SUM(B9:O9)</f>
        <v>6.1840877380735968</v>
      </c>
    </row>
    <row r="10" spans="1:16" s="1" customFormat="1" x14ac:dyDescent="0.15">
      <c r="A10" s="2" t="s">
        <v>3</v>
      </c>
      <c r="B10" s="1">
        <v>4.1424524070442045E-2</v>
      </c>
      <c r="C10" s="1">
        <v>0.98022601991937297</v>
      </c>
      <c r="D10" s="1">
        <v>5.8172477464744111E-2</v>
      </c>
      <c r="E10" s="1">
        <v>8.1884046981068964E-2</v>
      </c>
      <c r="F10" s="1">
        <v>0.47934571897357697</v>
      </c>
      <c r="G10" s="1">
        <v>0.61749313522260563</v>
      </c>
      <c r="H10" s="1">
        <v>2.632275356930228</v>
      </c>
      <c r="I10" s="1">
        <v>4.5663393868764141E-2</v>
      </c>
      <c r="J10" s="1">
        <v>2.1645680220420669E-3</v>
      </c>
      <c r="K10" s="1">
        <v>9.1051656652189575E-2</v>
      </c>
      <c r="L10" s="1">
        <v>0.47004852769911132</v>
      </c>
      <c r="M10" s="1">
        <v>0.23952850066078846</v>
      </c>
      <c r="N10" s="1">
        <v>1.9781399846932228</v>
      </c>
      <c r="O10" s="1">
        <v>0.22312009746373124</v>
      </c>
      <c r="P10" s="1">
        <f t="shared" si="1"/>
        <v>7.9405380086218882</v>
      </c>
    </row>
    <row r="11" spans="1:16" s="1" customFormat="1" x14ac:dyDescent="0.15">
      <c r="A11" s="2" t="s">
        <v>4</v>
      </c>
      <c r="B11" s="1">
        <v>5.7885027411622728E-2</v>
      </c>
      <c r="C11" s="1">
        <v>1.1295449640645936</v>
      </c>
      <c r="D11" s="1">
        <v>8.0563414240774456E-2</v>
      </c>
      <c r="E11" s="1">
        <v>0.10971977088610976</v>
      </c>
      <c r="F11" s="1">
        <v>0.58069035539129976</v>
      </c>
      <c r="G11" s="1">
        <v>0.74197275218091208</v>
      </c>
      <c r="H11" s="1">
        <v>3.255349585131619</v>
      </c>
      <c r="I11" s="1">
        <v>5.4667797884680305E-2</v>
      </c>
      <c r="J11" s="1">
        <v>2.6749903077375307E-3</v>
      </c>
      <c r="K11" s="1">
        <v>0.12006112149665647</v>
      </c>
      <c r="L11" s="1">
        <v>0.58145627073394535</v>
      </c>
      <c r="M11" s="1">
        <v>0.29835841714766759</v>
      </c>
      <c r="N11" s="1">
        <v>2.2355828482418683</v>
      </c>
      <c r="O11" s="1">
        <v>0.28763205347031595</v>
      </c>
      <c r="P11" s="1">
        <f t="shared" si="1"/>
        <v>9.5361593685898036</v>
      </c>
    </row>
    <row r="12" spans="1:16" s="1" customFormat="1" x14ac:dyDescent="0.15">
      <c r="A12" s="2" t="s">
        <v>5</v>
      </c>
      <c r="B12" s="1">
        <v>7.1059987401473707E-2</v>
      </c>
      <c r="C12" s="1">
        <v>1.1517414908521308</v>
      </c>
      <c r="D12" s="1">
        <v>9.3678639691540874E-2</v>
      </c>
      <c r="E12" s="1">
        <v>0.12908918371186112</v>
      </c>
      <c r="F12" s="1">
        <v>0.63724603340369834</v>
      </c>
      <c r="G12" s="1">
        <v>0.82375391417191401</v>
      </c>
      <c r="H12" s="1">
        <v>3.6146825253415749</v>
      </c>
      <c r="I12" s="1">
        <v>6.0280057517878918E-2</v>
      </c>
      <c r="J12" s="1">
        <v>2.9971522882091218E-3</v>
      </c>
      <c r="K12" s="1">
        <v>0.14178490348023576</v>
      </c>
      <c r="L12" s="1">
        <v>0.65929276932094361</v>
      </c>
      <c r="M12" s="1">
        <v>0.33805197142811511</v>
      </c>
      <c r="N12" s="1">
        <v>2.2870769311527295</v>
      </c>
      <c r="O12" s="1">
        <v>0.33873640112828862</v>
      </c>
      <c r="P12" s="1">
        <f t="shared" si="1"/>
        <v>10.349471960890595</v>
      </c>
    </row>
    <row r="13" spans="1:16" s="1" customFormat="1" x14ac:dyDescent="0.15">
      <c r="A13" s="2" t="s">
        <v>6</v>
      </c>
      <c r="B13" s="1">
        <v>8.267254548328147E-2</v>
      </c>
      <c r="C13" s="1">
        <v>1.1144998807811581</v>
      </c>
      <c r="D13" s="1">
        <v>0.10055368053222934</v>
      </c>
      <c r="E13" s="1">
        <v>0.14280476963456304</v>
      </c>
      <c r="F13" s="1">
        <v>0.67454574441723769</v>
      </c>
      <c r="G13" s="1">
        <v>0.87116028969898784</v>
      </c>
      <c r="H13" s="1">
        <v>3.8337915299566623</v>
      </c>
      <c r="I13" s="1">
        <v>6.3559720902782987E-2</v>
      </c>
      <c r="J13" s="1">
        <v>3.202575379456393E-3</v>
      </c>
      <c r="K13" s="1">
        <v>0.15926482040058368</v>
      </c>
      <c r="L13" s="1">
        <v>0.71276118178997272</v>
      </c>
      <c r="M13" s="1">
        <v>0.36853147117687179</v>
      </c>
      <c r="N13" s="1">
        <v>2.1975051519390134</v>
      </c>
      <c r="O13" s="1">
        <v>0.38032862777297111</v>
      </c>
      <c r="P13" s="1">
        <f t="shared" si="1"/>
        <v>10.705181989865773</v>
      </c>
    </row>
    <row r="16" spans="1:16" s="1" customFormat="1" x14ac:dyDescent="0.15">
      <c r="B16" s="2" t="s">
        <v>15</v>
      </c>
      <c r="C16" s="2" t="s">
        <v>16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  <c r="J16" s="2" t="s">
        <v>23</v>
      </c>
      <c r="K16" s="2" t="s">
        <v>24</v>
      </c>
      <c r="L16" s="2" t="s">
        <v>25</v>
      </c>
      <c r="M16" s="2" t="s">
        <v>26</v>
      </c>
      <c r="N16" s="2" t="s">
        <v>38</v>
      </c>
      <c r="O16" s="2" t="s">
        <v>27</v>
      </c>
    </row>
    <row r="17" spans="1:16" s="1" customFormat="1" x14ac:dyDescent="0.15">
      <c r="A17" s="2" t="s">
        <v>2</v>
      </c>
      <c r="B17" s="1">
        <v>2.8065265756382195E-2</v>
      </c>
      <c r="C17" s="1">
        <v>0.78863089295822397</v>
      </c>
      <c r="D17" s="1">
        <v>3.5884403260883546E-2</v>
      </c>
      <c r="E17" s="1">
        <v>5.3039302167338265E-2</v>
      </c>
      <c r="F17" s="1">
        <v>0.36851196659239377</v>
      </c>
      <c r="G17" s="1">
        <v>0.47885464357275914</v>
      </c>
      <c r="H17" s="1">
        <v>1.9630591058131592</v>
      </c>
      <c r="I17" s="1">
        <v>3.5688332128608342E-2</v>
      </c>
      <c r="J17" s="1">
        <v>1.6174774532696924E-3</v>
      </c>
      <c r="K17" s="1">
        <v>6.4796901371209498E-2</v>
      </c>
      <c r="L17" s="1">
        <v>0.353675712571967</v>
      </c>
      <c r="M17" s="1">
        <v>0.17940516455337474</v>
      </c>
      <c r="N17" s="1">
        <v>1.6713988917806422</v>
      </c>
      <c r="O17" s="1">
        <v>0.16145967809338457</v>
      </c>
      <c r="P17" s="1">
        <f t="shared" ref="P17:P21" si="2">SUM(B17:O17)</f>
        <v>6.1840877380735968</v>
      </c>
    </row>
    <row r="18" spans="1:16" s="1" customFormat="1" x14ac:dyDescent="0.15">
      <c r="A18" s="2" t="s">
        <v>3</v>
      </c>
      <c r="B18" s="1">
        <v>4.1424524070442045E-2</v>
      </c>
      <c r="C18" s="1">
        <v>0.98022601991937297</v>
      </c>
      <c r="D18" s="1">
        <v>5.8172477464744111E-2</v>
      </c>
      <c r="E18" s="1">
        <v>8.1884046981068964E-2</v>
      </c>
      <c r="F18" s="1">
        <v>0.47934571897357697</v>
      </c>
      <c r="G18" s="1">
        <v>0.61749313522260563</v>
      </c>
      <c r="H18" s="1">
        <v>2.632275356930228</v>
      </c>
      <c r="I18" s="1">
        <v>4.5663393868764141E-2</v>
      </c>
      <c r="J18" s="1">
        <v>2.1645680220420669E-3</v>
      </c>
      <c r="K18" s="1">
        <v>9.1051656652189575E-2</v>
      </c>
      <c r="L18" s="1">
        <v>0.47004852769911132</v>
      </c>
      <c r="M18" s="1">
        <v>0.23952850066078846</v>
      </c>
      <c r="N18" s="1">
        <v>1.9781399846932228</v>
      </c>
      <c r="O18" s="1">
        <v>0.22312009746373124</v>
      </c>
      <c r="P18" s="1">
        <f t="shared" si="2"/>
        <v>7.9405380086218882</v>
      </c>
    </row>
    <row r="19" spans="1:16" s="1" customFormat="1" x14ac:dyDescent="0.15">
      <c r="A19" s="2" t="s">
        <v>4</v>
      </c>
      <c r="B19" s="1">
        <v>5.7885027411622728E-2</v>
      </c>
      <c r="C19" s="1">
        <v>1.1295449640645936</v>
      </c>
      <c r="D19" s="1">
        <v>8.0563414240774456E-2</v>
      </c>
      <c r="E19" s="1">
        <v>0.10971977088610976</v>
      </c>
      <c r="F19" s="1">
        <v>0.58069035539129976</v>
      </c>
      <c r="G19" s="1">
        <v>0.74197275218091208</v>
      </c>
      <c r="H19" s="1">
        <v>3.255349585131619</v>
      </c>
      <c r="I19" s="1">
        <v>5.4667797884680305E-2</v>
      </c>
      <c r="J19" s="1">
        <v>2.6749903077375307E-3</v>
      </c>
      <c r="K19" s="1">
        <v>0.12006112149665647</v>
      </c>
      <c r="L19" s="1">
        <v>0.58145627073394535</v>
      </c>
      <c r="M19" s="1">
        <v>0.29835841714766759</v>
      </c>
      <c r="N19" s="1">
        <v>2.2355828482418683</v>
      </c>
      <c r="O19" s="1">
        <v>0.28763205347031595</v>
      </c>
      <c r="P19" s="1">
        <f t="shared" si="2"/>
        <v>9.5361593685898036</v>
      </c>
    </row>
    <row r="20" spans="1:16" s="1" customFormat="1" x14ac:dyDescent="0.15">
      <c r="A20" s="2" t="s">
        <v>5</v>
      </c>
      <c r="B20" s="1">
        <v>6.6771475233223423E-2</v>
      </c>
      <c r="C20" s="1">
        <v>1.0325858225769835</v>
      </c>
      <c r="D20" s="1">
        <v>8.6853733568379304E-2</v>
      </c>
      <c r="E20" s="1">
        <v>0.12337426527004094</v>
      </c>
      <c r="F20" s="1">
        <v>0.58426680596671199</v>
      </c>
      <c r="G20" s="1">
        <v>0.82422560161252267</v>
      </c>
      <c r="H20" s="1">
        <v>3.3415412288148212</v>
      </c>
      <c r="I20" s="1">
        <v>5.9002400178174194E-2</v>
      </c>
      <c r="J20" s="1">
        <v>2.8390448579304049E-3</v>
      </c>
      <c r="K20" s="1">
        <v>0.13442478643270467</v>
      </c>
      <c r="L20" s="1">
        <v>0.63905307661132671</v>
      </c>
      <c r="M20" s="1">
        <v>0.31781851468146444</v>
      </c>
      <c r="N20" s="1">
        <v>2.1241673832433872</v>
      </c>
      <c r="O20" s="1">
        <v>0.33044144963553246</v>
      </c>
      <c r="P20" s="1">
        <f t="shared" si="2"/>
        <v>9.6673655886832037</v>
      </c>
    </row>
    <row r="21" spans="1:16" s="1" customFormat="1" x14ac:dyDescent="0.15">
      <c r="A21" s="2" t="s">
        <v>6</v>
      </c>
      <c r="B21" s="1">
        <v>7.2799736285261138E-2</v>
      </c>
      <c r="C21" s="1">
        <v>0.88648245736573117</v>
      </c>
      <c r="D21" s="1">
        <v>8.6073782229321397E-2</v>
      </c>
      <c r="E21" s="1">
        <v>0.13041478611675314</v>
      </c>
      <c r="F21" s="1">
        <v>0.56497974777739324</v>
      </c>
      <c r="G21" s="1">
        <v>0.86882873052195497</v>
      </c>
      <c r="H21" s="1">
        <v>3.2800091446781345</v>
      </c>
      <c r="I21" s="1">
        <v>6.0350879702186208E-2</v>
      </c>
      <c r="J21" s="1">
        <v>2.8717075625597894E-3</v>
      </c>
      <c r="K21" s="1">
        <v>0.14265117153330592</v>
      </c>
      <c r="L21" s="1">
        <v>0.66851531408854459</v>
      </c>
      <c r="M21" s="1">
        <v>0.32477913019437105</v>
      </c>
      <c r="N21" s="1">
        <v>1.8809830338715137</v>
      </c>
      <c r="O21" s="1">
        <v>0.36004889312621968</v>
      </c>
      <c r="P21" s="1">
        <f t="shared" si="2"/>
        <v>9.3297885150532505</v>
      </c>
    </row>
    <row r="24" spans="1:16" s="1" customFormat="1" x14ac:dyDescent="0.15">
      <c r="B24" s="2" t="s">
        <v>15</v>
      </c>
      <c r="C24" s="2" t="s">
        <v>16</v>
      </c>
      <c r="D24" s="2" t="s">
        <v>17</v>
      </c>
      <c r="E24" s="2" t="s">
        <v>18</v>
      </c>
      <c r="F24" s="2" t="s">
        <v>19</v>
      </c>
      <c r="G24" s="2" t="s">
        <v>20</v>
      </c>
      <c r="H24" s="2" t="s">
        <v>21</v>
      </c>
      <c r="I24" s="2" t="s">
        <v>22</v>
      </c>
      <c r="J24" s="2" t="s">
        <v>23</v>
      </c>
      <c r="K24" s="2" t="s">
        <v>24</v>
      </c>
      <c r="L24" s="2" t="s">
        <v>25</v>
      </c>
      <c r="M24" s="2" t="s">
        <v>26</v>
      </c>
      <c r="N24" s="2" t="s">
        <v>38</v>
      </c>
      <c r="O24" s="2" t="s">
        <v>27</v>
      </c>
    </row>
    <row r="25" spans="1:16" s="1" customFormat="1" x14ac:dyDescent="0.15">
      <c r="A25" s="2" t="s">
        <v>2</v>
      </c>
      <c r="B25" s="1">
        <v>2.8065265527389357E-2</v>
      </c>
      <c r="C25" s="1">
        <v>0.78863088430944561</v>
      </c>
      <c r="D25" s="1">
        <v>3.5884402974578275E-2</v>
      </c>
      <c r="E25" s="1">
        <v>5.3039301822602455E-2</v>
      </c>
      <c r="F25" s="1">
        <v>0.36851196219802235</v>
      </c>
      <c r="G25" s="1">
        <v>0.47885464433953334</v>
      </c>
      <c r="H25" s="1">
        <v>1.9630590839969237</v>
      </c>
      <c r="I25" s="1">
        <v>3.5688332029172376E-2</v>
      </c>
      <c r="J25" s="1">
        <v>1.6174774403626868E-3</v>
      </c>
      <c r="K25" s="1">
        <v>6.4796900968259449E-2</v>
      </c>
      <c r="L25" s="1">
        <v>0.35367571145828613</v>
      </c>
      <c r="M25" s="1">
        <v>0.17940516306871773</v>
      </c>
      <c r="N25" s="1">
        <v>1.6713988854535926</v>
      </c>
      <c r="O25" s="1">
        <v>0.16145967751996299</v>
      </c>
      <c r="P25" s="1">
        <f t="shared" ref="P25:P29" si="3">SUM(B25:O25)</f>
        <v>6.1840876931068482</v>
      </c>
    </row>
    <row r="26" spans="1:16" s="1" customFormat="1" x14ac:dyDescent="0.15">
      <c r="A26" s="2" t="s">
        <v>3</v>
      </c>
      <c r="B26" s="1">
        <v>4.1424523740741535E-2</v>
      </c>
      <c r="C26" s="1">
        <v>0.98022600921224989</v>
      </c>
      <c r="D26" s="1">
        <v>5.8172476972444841E-2</v>
      </c>
      <c r="E26" s="1">
        <v>8.1884046453687367E-2</v>
      </c>
      <c r="F26" s="1">
        <v>0.47934571332147252</v>
      </c>
      <c r="G26" s="1">
        <v>0.61749313615716928</v>
      </c>
      <c r="H26" s="1">
        <v>2.6322753277251363</v>
      </c>
      <c r="I26" s="1">
        <v>4.5663393743805673E-2</v>
      </c>
      <c r="J26" s="1">
        <v>2.1645680045831285E-3</v>
      </c>
      <c r="K26" s="1">
        <v>9.1051656098409359E-2</v>
      </c>
      <c r="L26" s="1">
        <v>0.47004852624242399</v>
      </c>
      <c r="M26" s="1">
        <v>0.23952849871673632</v>
      </c>
      <c r="N26" s="1">
        <v>1.9781399775903825</v>
      </c>
      <c r="O26" s="1">
        <v>0.22312009668561633</v>
      </c>
      <c r="P26" s="1">
        <f t="shared" si="3"/>
        <v>7.9405379506648597</v>
      </c>
    </row>
    <row r="27" spans="1:16" s="1" customFormat="1" x14ac:dyDescent="0.15">
      <c r="A27" s="2" t="s">
        <v>4</v>
      </c>
      <c r="B27" s="1">
        <v>5.7885026958578653E-2</v>
      </c>
      <c r="C27" s="1">
        <v>1.1295449515467741</v>
      </c>
      <c r="D27" s="1">
        <v>8.0563413533402642E-2</v>
      </c>
      <c r="E27" s="1">
        <v>0.10971977018800108</v>
      </c>
      <c r="F27" s="1">
        <v>0.58069034859058521</v>
      </c>
      <c r="G27" s="1">
        <v>0.7419727531746857</v>
      </c>
      <c r="H27" s="1">
        <v>3.2553495488173132</v>
      </c>
      <c r="I27" s="1">
        <v>5.4667797725914027E-2</v>
      </c>
      <c r="J27" s="1">
        <v>2.6749902863212969E-3</v>
      </c>
      <c r="K27" s="1">
        <v>0.12006112077426831</v>
      </c>
      <c r="L27" s="1">
        <v>0.5814562689274887</v>
      </c>
      <c r="M27" s="1">
        <v>0.29835841475919567</v>
      </c>
      <c r="N27" s="1">
        <v>2.235582840006181</v>
      </c>
      <c r="O27" s="1">
        <v>0.28763205245938628</v>
      </c>
      <c r="P27" s="1">
        <f t="shared" si="3"/>
        <v>9.536159297748096</v>
      </c>
    </row>
    <row r="28" spans="1:16" s="1" customFormat="1" x14ac:dyDescent="0.15">
      <c r="A28" s="2" t="s">
        <v>5</v>
      </c>
      <c r="B28" s="1">
        <v>7.3451561402967977E-2</v>
      </c>
      <c r="C28" s="1">
        <v>1.1683950563210788</v>
      </c>
      <c r="D28" s="1">
        <v>9.6944143958077267E-2</v>
      </c>
      <c r="E28" s="1">
        <v>0.13211901792155023</v>
      </c>
      <c r="F28" s="1">
        <v>0.66972548720040181</v>
      </c>
      <c r="G28" s="1">
        <v>0.81788508213488587</v>
      </c>
      <c r="H28" s="1">
        <v>3.7752503842496266</v>
      </c>
      <c r="I28" s="1">
        <v>6.0644261523792035E-2</v>
      </c>
      <c r="J28" s="1">
        <v>3.0808571557773218E-3</v>
      </c>
      <c r="K28" s="1">
        <v>0.14577325956239068</v>
      </c>
      <c r="L28" s="1">
        <v>0.66881428091898643</v>
      </c>
      <c r="M28" s="1">
        <v>0.34998765236260432</v>
      </c>
      <c r="N28" s="1">
        <v>2.1007680267053521</v>
      </c>
      <c r="O28" s="1">
        <v>0.34239336205491877</v>
      </c>
      <c r="P28" s="1">
        <f t="shared" si="3"/>
        <v>10.40523243347241</v>
      </c>
    </row>
    <row r="29" spans="1:16" s="1" customFormat="1" x14ac:dyDescent="0.15">
      <c r="A29" s="2" t="s">
        <v>6</v>
      </c>
      <c r="B29" s="1">
        <v>8.8607141197539541E-2</v>
      </c>
      <c r="C29" s="1">
        <v>1.1748017260894696</v>
      </c>
      <c r="D29" s="1">
        <v>0.10845591784900452</v>
      </c>
      <c r="E29" s="1">
        <v>0.14994154746497981</v>
      </c>
      <c r="F29" s="1">
        <v>0.74821095964818185</v>
      </c>
      <c r="G29" s="1">
        <v>0.86096422048201982</v>
      </c>
      <c r="H29" s="1">
        <v>4.1975096536163417</v>
      </c>
      <c r="I29" s="1">
        <v>6.4523282954789707E-2</v>
      </c>
      <c r="J29" s="1">
        <v>3.3941462029520803E-3</v>
      </c>
      <c r="K29" s="1">
        <v>0.16876959153152199</v>
      </c>
      <c r="L29" s="1">
        <v>0.73480838810120197</v>
      </c>
      <c r="M29" s="1">
        <v>0.39607610373790547</v>
      </c>
      <c r="N29" s="1">
        <v>1.9071522791224347</v>
      </c>
      <c r="O29" s="1">
        <v>0.38931292771565557</v>
      </c>
      <c r="P29" s="1">
        <f t="shared" si="3"/>
        <v>10.992527885713999</v>
      </c>
    </row>
    <row r="32" spans="1:16" s="1" customFormat="1" x14ac:dyDescent="0.15">
      <c r="B32" s="2" t="s">
        <v>15</v>
      </c>
      <c r="C32" s="2" t="s">
        <v>16</v>
      </c>
      <c r="D32" s="2" t="s">
        <v>17</v>
      </c>
      <c r="E32" s="2" t="s">
        <v>18</v>
      </c>
      <c r="F32" s="2" t="s">
        <v>19</v>
      </c>
      <c r="G32" s="2" t="s">
        <v>20</v>
      </c>
      <c r="H32" s="2" t="s">
        <v>21</v>
      </c>
      <c r="I32" s="2" t="s">
        <v>22</v>
      </c>
      <c r="J32" s="2" t="s">
        <v>23</v>
      </c>
      <c r="K32" s="2" t="s">
        <v>24</v>
      </c>
      <c r="L32" s="2" t="s">
        <v>25</v>
      </c>
      <c r="M32" s="2" t="s">
        <v>26</v>
      </c>
      <c r="N32" s="2" t="s">
        <v>38</v>
      </c>
      <c r="O32" s="2" t="s">
        <v>27</v>
      </c>
    </row>
    <row r="33" spans="1:16" s="1" customFormat="1" x14ac:dyDescent="0.15">
      <c r="A33" s="2" t="s">
        <v>2</v>
      </c>
      <c r="B33" s="1">
        <v>2.8065265756382195E-2</v>
      </c>
      <c r="C33" s="1">
        <v>0.78863089295822397</v>
      </c>
      <c r="D33" s="1">
        <v>3.5884403260883546E-2</v>
      </c>
      <c r="E33" s="1">
        <v>5.3039302167338265E-2</v>
      </c>
      <c r="F33" s="1">
        <v>0.36851196659239377</v>
      </c>
      <c r="G33" s="1">
        <v>0.47885464357275914</v>
      </c>
      <c r="H33" s="1">
        <v>1.9630591058131592</v>
      </c>
      <c r="I33" s="1">
        <v>3.5688332128608342E-2</v>
      </c>
      <c r="J33" s="1">
        <v>1.6174774532696924E-3</v>
      </c>
      <c r="K33" s="1">
        <v>6.4796901371209498E-2</v>
      </c>
      <c r="L33" s="1">
        <v>0.353675712571967</v>
      </c>
      <c r="M33" s="1">
        <v>0.17940516455337474</v>
      </c>
      <c r="N33" s="1">
        <v>1.6713988917806422</v>
      </c>
      <c r="O33" s="1">
        <v>0.16145967809338457</v>
      </c>
      <c r="P33" s="1">
        <f t="shared" ref="P33:P37" si="4">SUM(B33:O33)</f>
        <v>6.1840877380735968</v>
      </c>
    </row>
    <row r="34" spans="1:16" s="1" customFormat="1" x14ac:dyDescent="0.15">
      <c r="A34" s="2" t="s">
        <v>3</v>
      </c>
      <c r="B34" s="1">
        <v>4.1424524070442045E-2</v>
      </c>
      <c r="C34" s="1">
        <v>0.98022601991937297</v>
      </c>
      <c r="D34" s="1">
        <v>5.8172477464744111E-2</v>
      </c>
      <c r="E34" s="1">
        <v>8.1884046981068964E-2</v>
      </c>
      <c r="F34" s="1">
        <v>0.47934571897357697</v>
      </c>
      <c r="G34" s="1">
        <v>0.61749313522260563</v>
      </c>
      <c r="H34" s="1">
        <v>2.632275356930228</v>
      </c>
      <c r="I34" s="1">
        <v>4.5663393868764141E-2</v>
      </c>
      <c r="J34" s="1">
        <v>2.1645680220420669E-3</v>
      </c>
      <c r="K34" s="1">
        <v>9.1051656652189575E-2</v>
      </c>
      <c r="L34" s="1">
        <v>0.47004852769911132</v>
      </c>
      <c r="M34" s="1">
        <v>0.23952850066078846</v>
      </c>
      <c r="N34" s="1">
        <v>1.9781399846932228</v>
      </c>
      <c r="O34" s="1">
        <v>0.22312009746373124</v>
      </c>
      <c r="P34" s="1">
        <f t="shared" si="4"/>
        <v>7.9405380086218882</v>
      </c>
    </row>
    <row r="35" spans="1:16" s="1" customFormat="1" x14ac:dyDescent="0.15">
      <c r="A35" s="2" t="s">
        <v>4</v>
      </c>
      <c r="B35" s="1">
        <v>5.7885027411622728E-2</v>
      </c>
      <c r="C35" s="1">
        <v>1.1295449640645936</v>
      </c>
      <c r="D35" s="1">
        <v>8.0563414240774456E-2</v>
      </c>
      <c r="E35" s="1">
        <v>0.10971977088610976</v>
      </c>
      <c r="F35" s="1">
        <v>0.58069035539129976</v>
      </c>
      <c r="G35" s="1">
        <v>0.74197275218091208</v>
      </c>
      <c r="H35" s="1">
        <v>3.255349585131619</v>
      </c>
      <c r="I35" s="1">
        <v>5.4667797884680305E-2</v>
      </c>
      <c r="J35" s="1">
        <v>2.6749903077375307E-3</v>
      </c>
      <c r="K35" s="1">
        <v>0.12006112149665647</v>
      </c>
      <c r="L35" s="1">
        <v>0.58145627073394535</v>
      </c>
      <c r="M35" s="1">
        <v>0.29835841714766759</v>
      </c>
      <c r="N35" s="1">
        <v>2.2355828482418683</v>
      </c>
      <c r="O35" s="1">
        <v>0.28763205347031595</v>
      </c>
      <c r="P35" s="1">
        <f t="shared" si="4"/>
        <v>9.5361593685898036</v>
      </c>
    </row>
    <row r="36" spans="1:16" s="1" customFormat="1" x14ac:dyDescent="0.15">
      <c r="A36" s="2" t="s">
        <v>5</v>
      </c>
      <c r="B36" s="1">
        <v>7.3003877642185952E-2</v>
      </c>
      <c r="C36" s="1">
        <v>1.1559341516571007</v>
      </c>
      <c r="D36" s="1">
        <v>9.6225512713901604E-2</v>
      </c>
      <c r="E36" s="1">
        <v>0.13152476837392915</v>
      </c>
      <c r="F36" s="1">
        <v>0.66411044298027733</v>
      </c>
      <c r="G36" s="1">
        <v>0.81797157554993138</v>
      </c>
      <c r="H36" s="1">
        <v>3.7459844057226075</v>
      </c>
      <c r="I36" s="1">
        <v>6.0535559393616239E-2</v>
      </c>
      <c r="J36" s="1">
        <v>3.0642839274840636E-3</v>
      </c>
      <c r="K36" s="1">
        <v>0.14502098036954988</v>
      </c>
      <c r="L36" s="1">
        <v>0.66680661976548994</v>
      </c>
      <c r="M36" s="1">
        <v>0.34788599611355686</v>
      </c>
      <c r="N36" s="1">
        <v>2.0844104364508471</v>
      </c>
      <c r="O36" s="1">
        <v>0.34161149746310004</v>
      </c>
      <c r="P36" s="1">
        <f t="shared" si="4"/>
        <v>10.334090108123577</v>
      </c>
    </row>
    <row r="37" spans="1:16" s="1" customFormat="1" x14ac:dyDescent="0.15">
      <c r="A37" s="2" t="s">
        <v>6</v>
      </c>
      <c r="B37" s="1">
        <v>8.6303026077122036E-2</v>
      </c>
      <c r="C37" s="1">
        <v>1.1207457275107076</v>
      </c>
      <c r="D37" s="1">
        <v>0.10500953868175306</v>
      </c>
      <c r="E37" s="1">
        <v>0.14706319244949523</v>
      </c>
      <c r="F37" s="1">
        <v>0.72160031186860452</v>
      </c>
      <c r="G37" s="1">
        <v>0.86113253173434556</v>
      </c>
      <c r="H37" s="1">
        <v>4.0595088237932773</v>
      </c>
      <c r="I37" s="1">
        <v>6.4013475914892648E-2</v>
      </c>
      <c r="J37" s="1">
        <v>3.3158552434932888E-3</v>
      </c>
      <c r="K37" s="1">
        <v>0.16504753231600128</v>
      </c>
      <c r="L37" s="1">
        <v>0.72543909463863676</v>
      </c>
      <c r="M37" s="1">
        <v>0.38594479502806978</v>
      </c>
      <c r="N37" s="1">
        <v>1.8401491585562697</v>
      </c>
      <c r="O37" s="1">
        <v>0.38540630707641799</v>
      </c>
      <c r="P37" s="1">
        <f t="shared" si="4"/>
        <v>10.670679370889085</v>
      </c>
    </row>
    <row r="40" spans="1:16" s="1" customFormat="1" x14ac:dyDescent="0.15">
      <c r="B40" s="2" t="s">
        <v>15</v>
      </c>
      <c r="C40" s="2" t="s">
        <v>16</v>
      </c>
      <c r="D40" s="2" t="s">
        <v>17</v>
      </c>
      <c r="E40" s="2" t="s">
        <v>18</v>
      </c>
      <c r="F40" s="2" t="s">
        <v>19</v>
      </c>
      <c r="G40" s="2" t="s">
        <v>20</v>
      </c>
      <c r="H40" s="2" t="s">
        <v>21</v>
      </c>
      <c r="I40" s="2" t="s">
        <v>22</v>
      </c>
      <c r="J40" s="2" t="s">
        <v>23</v>
      </c>
      <c r="K40" s="2" t="s">
        <v>24</v>
      </c>
      <c r="L40" s="2" t="s">
        <v>25</v>
      </c>
      <c r="M40" s="2" t="s">
        <v>26</v>
      </c>
      <c r="N40" s="2" t="s">
        <v>38</v>
      </c>
      <c r="O40" s="2" t="s">
        <v>27</v>
      </c>
    </row>
    <row r="41" spans="1:16" s="1" customFormat="1" x14ac:dyDescent="0.15">
      <c r="A41" s="2" t="s">
        <v>2</v>
      </c>
      <c r="B41" s="1">
        <v>2.8065265756382195E-2</v>
      </c>
      <c r="C41" s="1">
        <v>0.78863089295822397</v>
      </c>
      <c r="D41" s="1">
        <v>3.5884403260883546E-2</v>
      </c>
      <c r="E41" s="1">
        <v>5.3039302167338265E-2</v>
      </c>
      <c r="F41" s="1">
        <v>0.36851196659239377</v>
      </c>
      <c r="G41" s="1">
        <v>0.47885464357275914</v>
      </c>
      <c r="H41" s="1">
        <v>1.9630591058131592</v>
      </c>
      <c r="I41" s="1">
        <v>3.5688332128608342E-2</v>
      </c>
      <c r="J41" s="1">
        <v>1.6174774532696924E-3</v>
      </c>
      <c r="K41" s="1">
        <v>6.4796901371209498E-2</v>
      </c>
      <c r="L41" s="1">
        <v>0.353675712571967</v>
      </c>
      <c r="M41" s="1">
        <v>0.17940516455337474</v>
      </c>
      <c r="N41" s="1">
        <v>1.6713988917806422</v>
      </c>
      <c r="O41" s="1">
        <v>0.16145967809338457</v>
      </c>
      <c r="P41" s="1">
        <f t="shared" ref="P41:P45" si="5">SUM(B41:O41)</f>
        <v>6.1840877380735968</v>
      </c>
    </row>
    <row r="42" spans="1:16" s="1" customFormat="1" x14ac:dyDescent="0.15">
      <c r="A42" s="2" t="s">
        <v>3</v>
      </c>
      <c r="B42" s="1">
        <v>4.1424524070442045E-2</v>
      </c>
      <c r="C42" s="1">
        <v>0.98022601991937297</v>
      </c>
      <c r="D42" s="1">
        <v>5.8172477464744111E-2</v>
      </c>
      <c r="E42" s="1">
        <v>8.1884046981068964E-2</v>
      </c>
      <c r="F42" s="1">
        <v>0.47934571897357697</v>
      </c>
      <c r="G42" s="1">
        <v>0.61749313522260563</v>
      </c>
      <c r="H42" s="1">
        <v>2.632275356930228</v>
      </c>
      <c r="I42" s="1">
        <v>4.5663393868764141E-2</v>
      </c>
      <c r="J42" s="1">
        <v>2.1645680220420669E-3</v>
      </c>
      <c r="K42" s="1">
        <v>9.1051656652189575E-2</v>
      </c>
      <c r="L42" s="1">
        <v>0.47004852769911132</v>
      </c>
      <c r="M42" s="1">
        <v>0.23952850066078846</v>
      </c>
      <c r="N42" s="1">
        <v>1.9781399846932228</v>
      </c>
      <c r="O42" s="1">
        <v>0.22312009746373124</v>
      </c>
      <c r="P42" s="1">
        <f t="shared" si="5"/>
        <v>7.9405380086218882</v>
      </c>
    </row>
    <row r="43" spans="1:16" s="1" customFormat="1" x14ac:dyDescent="0.15">
      <c r="A43" s="2" t="s">
        <v>4</v>
      </c>
      <c r="B43" s="1">
        <v>5.7885027411622728E-2</v>
      </c>
      <c r="C43" s="1">
        <v>1.1295449640645936</v>
      </c>
      <c r="D43" s="1">
        <v>8.0563414240774456E-2</v>
      </c>
      <c r="E43" s="1">
        <v>0.10971977088610976</v>
      </c>
      <c r="F43" s="1">
        <v>0.58069035539129976</v>
      </c>
      <c r="G43" s="1">
        <v>0.74197275218091208</v>
      </c>
      <c r="H43" s="1">
        <v>3.255349585131619</v>
      </c>
      <c r="I43" s="1">
        <v>5.4667797884680305E-2</v>
      </c>
      <c r="J43" s="1">
        <v>2.6749903077375307E-3</v>
      </c>
      <c r="K43" s="1">
        <v>0.12006112149665647</v>
      </c>
      <c r="L43" s="1">
        <v>0.58145627073394535</v>
      </c>
      <c r="M43" s="1">
        <v>0.29835841714766759</v>
      </c>
      <c r="N43" s="1">
        <v>2.2355828482418683</v>
      </c>
      <c r="O43" s="1">
        <v>0.28763205347031595</v>
      </c>
      <c r="P43" s="1">
        <f t="shared" si="5"/>
        <v>9.5361593685898036</v>
      </c>
    </row>
    <row r="44" spans="1:16" s="1" customFormat="1" x14ac:dyDescent="0.15">
      <c r="A44" s="2" t="s">
        <v>5</v>
      </c>
      <c r="B44" s="1">
        <v>6.8680952041820412E-2</v>
      </c>
      <c r="C44" s="1">
        <v>1.0369464622197253</v>
      </c>
      <c r="D44" s="1">
        <v>8.9327035018354373E-2</v>
      </c>
      <c r="E44" s="1">
        <v>0.12579083630518595</v>
      </c>
      <c r="F44" s="1">
        <v>0.61051940464520016</v>
      </c>
      <c r="G44" s="1">
        <v>0.81810637360658522</v>
      </c>
      <c r="H44" s="1">
        <v>3.4682757815873964</v>
      </c>
      <c r="I44" s="1">
        <v>5.934714028309384E-2</v>
      </c>
      <c r="J44" s="1">
        <v>2.9053165784182111E-3</v>
      </c>
      <c r="K44" s="1">
        <v>0.1376864561158378</v>
      </c>
      <c r="L44" s="1">
        <v>0.64693945471306558</v>
      </c>
      <c r="M44" s="1">
        <v>0.32759621112678894</v>
      </c>
      <c r="N44" s="1">
        <v>1.9239660763698405</v>
      </c>
      <c r="O44" s="1">
        <v>0.33359256075567351</v>
      </c>
      <c r="P44" s="1">
        <f t="shared" si="5"/>
        <v>9.6496800613669862</v>
      </c>
    </row>
    <row r="45" spans="1:16" s="1" customFormat="1" x14ac:dyDescent="0.15">
      <c r="A45" s="2" t="s">
        <v>6</v>
      </c>
      <c r="B45" s="1">
        <v>7.6257098833641151E-2</v>
      </c>
      <c r="C45" s="1">
        <v>0.89257953489000175</v>
      </c>
      <c r="D45" s="1">
        <v>9.0249349705556745E-2</v>
      </c>
      <c r="E45" s="1">
        <v>0.13457373080884946</v>
      </c>
      <c r="F45" s="1">
        <v>0.60909164733903587</v>
      </c>
      <c r="G45" s="1">
        <v>0.85809700865277672</v>
      </c>
      <c r="H45" s="1">
        <v>3.4848572392479169</v>
      </c>
      <c r="I45" s="1">
        <v>6.1136710980411804E-2</v>
      </c>
      <c r="J45" s="1">
        <v>2.9809185769670687E-3</v>
      </c>
      <c r="K45" s="1">
        <v>0.14850798713378788</v>
      </c>
      <c r="L45" s="1">
        <v>0.68251891088175209</v>
      </c>
      <c r="M45" s="1">
        <v>0.34186413244278613</v>
      </c>
      <c r="N45" s="1">
        <v>1.536512476627284</v>
      </c>
      <c r="O45" s="1">
        <v>0.36606873762078684</v>
      </c>
      <c r="P45" s="1">
        <f t="shared" si="5"/>
        <v>9.2852954837415531</v>
      </c>
    </row>
    <row r="48" spans="1:16" ht="14.25" thickBot="1" x14ac:dyDescent="0.2"/>
    <row r="49" spans="1:13" ht="14.25" thickBot="1" x14ac:dyDescent="0.2">
      <c r="A49" t="s">
        <v>29</v>
      </c>
      <c r="B49" s="8" t="s">
        <v>99</v>
      </c>
      <c r="C49" s="9" t="s">
        <v>132</v>
      </c>
      <c r="D49" s="9" t="s">
        <v>132</v>
      </c>
      <c r="E49" s="8" t="s">
        <v>133</v>
      </c>
      <c r="F49" s="9" t="s">
        <v>134</v>
      </c>
      <c r="G49" s="9" t="s">
        <v>134</v>
      </c>
    </row>
    <row r="50" spans="1:13" x14ac:dyDescent="0.15">
      <c r="A50" s="2" t="s">
        <v>2</v>
      </c>
      <c r="B50">
        <f>P2</f>
        <v>6.1840876931068482</v>
      </c>
      <c r="C50">
        <f>P9</f>
        <v>6.1840877380735968</v>
      </c>
      <c r="D50">
        <f>P17</f>
        <v>6.1840877380735968</v>
      </c>
      <c r="E50">
        <f>P25</f>
        <v>6.1840876931068482</v>
      </c>
      <c r="F50" s="2">
        <f>P33</f>
        <v>6.1840877380735968</v>
      </c>
      <c r="G50">
        <f>P41</f>
        <v>6.1840877380735968</v>
      </c>
    </row>
    <row r="51" spans="1:13" x14ac:dyDescent="0.15">
      <c r="A51" s="2" t="s">
        <v>3</v>
      </c>
      <c r="B51">
        <f t="shared" ref="B51:B54" si="6">P3</f>
        <v>7.9405379506648597</v>
      </c>
      <c r="C51">
        <f t="shared" ref="C51:C53" si="7">P10</f>
        <v>7.9405380086218882</v>
      </c>
      <c r="D51">
        <f t="shared" ref="D51:D54" si="8">P18</f>
        <v>7.9405380086218882</v>
      </c>
      <c r="E51">
        <f t="shared" ref="E51:E54" si="9">P26</f>
        <v>7.9405379506648597</v>
      </c>
      <c r="F51" s="2">
        <f t="shared" ref="F51:F54" si="10">P34</f>
        <v>7.9405380086218882</v>
      </c>
      <c r="G51">
        <f t="shared" ref="G51:G54" si="11">P42</f>
        <v>7.9405380086218882</v>
      </c>
    </row>
    <row r="52" spans="1:13" x14ac:dyDescent="0.15">
      <c r="A52" s="2" t="s">
        <v>4</v>
      </c>
      <c r="B52">
        <f t="shared" si="6"/>
        <v>9.536159297748096</v>
      </c>
      <c r="C52">
        <f t="shared" si="7"/>
        <v>9.5361593685898036</v>
      </c>
      <c r="D52">
        <f t="shared" si="8"/>
        <v>9.5361593685898036</v>
      </c>
      <c r="E52">
        <f t="shared" si="9"/>
        <v>9.536159297748096</v>
      </c>
      <c r="F52" s="2">
        <f t="shared" si="10"/>
        <v>9.5361593685898036</v>
      </c>
      <c r="G52">
        <f t="shared" si="11"/>
        <v>9.5361593685898036</v>
      </c>
    </row>
    <row r="53" spans="1:13" x14ac:dyDescent="0.15">
      <c r="A53" s="2" t="s">
        <v>5</v>
      </c>
      <c r="B53">
        <f t="shared" si="6"/>
        <v>10.723105459061792</v>
      </c>
      <c r="C53">
        <f t="shared" si="7"/>
        <v>10.349471960890595</v>
      </c>
      <c r="D53">
        <f t="shared" si="8"/>
        <v>9.6673655886832037</v>
      </c>
      <c r="E53">
        <f t="shared" si="9"/>
        <v>10.40523243347241</v>
      </c>
      <c r="F53" s="2">
        <f t="shared" si="10"/>
        <v>10.334090108123577</v>
      </c>
      <c r="G53">
        <f t="shared" si="11"/>
        <v>9.6496800613669862</v>
      </c>
    </row>
    <row r="54" spans="1:13" x14ac:dyDescent="0.15">
      <c r="A54" s="2" t="s">
        <v>6</v>
      </c>
      <c r="B54">
        <f t="shared" si="6"/>
        <v>11.531302521926802</v>
      </c>
      <c r="C54">
        <f>P13</f>
        <v>10.705181989865773</v>
      </c>
      <c r="D54">
        <f t="shared" si="8"/>
        <v>9.3297885150532505</v>
      </c>
      <c r="E54">
        <f t="shared" si="9"/>
        <v>10.992527885713999</v>
      </c>
      <c r="F54" s="2">
        <f t="shared" si="10"/>
        <v>10.670679370889085</v>
      </c>
      <c r="G54">
        <f t="shared" si="11"/>
        <v>9.2852954837415531</v>
      </c>
      <c r="I54">
        <f>(C54/C53)^0.2-1</f>
        <v>6.7813745370155498E-3</v>
      </c>
    </row>
    <row r="55" spans="1:13" ht="14.25" thickBot="1" x14ac:dyDescent="0.2">
      <c r="C55">
        <f>C54-B54</f>
        <v>-0.82612053206102942</v>
      </c>
      <c r="D55">
        <f>D54-B54</f>
        <v>-2.2015140068735519</v>
      </c>
      <c r="E55">
        <f>E54-B54</f>
        <v>-0.53877463621280341</v>
      </c>
    </row>
    <row r="56" spans="1:13" ht="27.75" thickBot="1" x14ac:dyDescent="0.2">
      <c r="A56" t="s">
        <v>7</v>
      </c>
      <c r="B56" s="8" t="s">
        <v>99</v>
      </c>
      <c r="C56" s="9" t="s">
        <v>100</v>
      </c>
      <c r="D56" s="9" t="s">
        <v>101</v>
      </c>
      <c r="E56" s="8" t="s">
        <v>122</v>
      </c>
      <c r="F56" s="9" t="s">
        <v>98</v>
      </c>
      <c r="G56" s="9" t="s">
        <v>107</v>
      </c>
    </row>
    <row r="57" spans="1:13" x14ac:dyDescent="0.15">
      <c r="A57" s="2" t="s">
        <v>2</v>
      </c>
      <c r="B57" s="1">
        <v>40364.898007862663</v>
      </c>
      <c r="C57" s="1">
        <v>40364.898011365709</v>
      </c>
      <c r="D57" s="1">
        <v>40364.898011365709</v>
      </c>
      <c r="E57" s="1">
        <v>40364.898007862663</v>
      </c>
      <c r="F57" s="1">
        <v>40364.898011365709</v>
      </c>
      <c r="G57" s="1">
        <v>40364.898011365709</v>
      </c>
    </row>
    <row r="58" spans="1:13" x14ac:dyDescent="0.15">
      <c r="A58" s="2" t="s">
        <v>3</v>
      </c>
      <c r="B58" s="1">
        <v>59572.146641981359</v>
      </c>
      <c r="C58" s="1">
        <v>59572.146642796033</v>
      </c>
      <c r="D58" s="1">
        <v>59572.146642796033</v>
      </c>
      <c r="E58" s="1">
        <v>59572.146641981613</v>
      </c>
      <c r="F58" s="1">
        <v>59572.146642796033</v>
      </c>
      <c r="G58" s="1">
        <v>59572.146642796033</v>
      </c>
      <c r="H58" s="1">
        <f>(B61/B59)^0.1-1</f>
        <v>4.2988015263484947E-2</v>
      </c>
      <c r="I58" s="1">
        <f t="shared" ref="I58:M58" si="12">(C61/C59)^0.1-1</f>
        <v>4.2876476726845247E-2</v>
      </c>
      <c r="J58" s="1">
        <f t="shared" si="12"/>
        <v>4.2461058494193571E-2</v>
      </c>
      <c r="K58" s="1">
        <f t="shared" si="12"/>
        <v>4.2620483405631182E-2</v>
      </c>
      <c r="L58" s="1">
        <f t="shared" si="12"/>
        <v>4.2539870937996271E-2</v>
      </c>
      <c r="M58" s="1">
        <f t="shared" si="12"/>
        <v>4.1962846870469139E-2</v>
      </c>
    </row>
    <row r="59" spans="1:13" x14ac:dyDescent="0.15">
      <c r="A59" s="2" t="s">
        <v>4</v>
      </c>
      <c r="B59" s="1">
        <v>81619.003625280893</v>
      </c>
      <c r="C59" s="1">
        <v>81619.003623134617</v>
      </c>
      <c r="D59" s="1">
        <v>81619.003623134617</v>
      </c>
      <c r="E59" s="1">
        <v>81619.003625282494</v>
      </c>
      <c r="F59" s="1">
        <v>81619.003623134617</v>
      </c>
      <c r="G59" s="1">
        <v>81619.003623134617</v>
      </c>
      <c r="H59" s="1">
        <f>(B61/B60)^0.2-1</f>
        <v>3.7999999983947319E-2</v>
      </c>
      <c r="I59" s="1">
        <f t="shared" ref="I59" si="13">(C61/C60)^0.2-1</f>
        <v>3.7877238916780298E-2</v>
      </c>
      <c r="J59" s="1">
        <f t="shared" ref="J59" si="14">(D61/D60)^0.2-1</f>
        <v>3.7343861568168935E-2</v>
      </c>
      <c r="K59" s="1">
        <f t="shared" ref="K59" si="15">(E61/E60)^0.2-1</f>
        <v>3.7648045220188386E-2</v>
      </c>
      <c r="L59" s="1">
        <f t="shared" ref="L59" si="16">(F61/F60)^0.2-1</f>
        <v>3.7515946760968033E-2</v>
      </c>
      <c r="M59" s="1">
        <f t="shared" ref="M59" si="17">(G61/G60)^0.2-1</f>
        <v>3.6732164952736346E-2</v>
      </c>
    </row>
    <row r="60" spans="1:13" x14ac:dyDescent="0.15">
      <c r="A60" s="2" t="s">
        <v>5</v>
      </c>
      <c r="B60" s="1">
        <v>103180.51756237488</v>
      </c>
      <c r="C60" s="1">
        <v>103131.19864146186</v>
      </c>
      <c r="D60" s="1">
        <v>102985.47800902136</v>
      </c>
      <c r="E60" s="1">
        <v>102991.99152437055</v>
      </c>
      <c r="F60" s="1">
        <v>102977.92039435972</v>
      </c>
      <c r="G60" s="1">
        <v>102797.07585598639</v>
      </c>
      <c r="H60">
        <f>(B60/B59)^0.2-1</f>
        <v>4.8000000000083531E-2</v>
      </c>
      <c r="I60">
        <f t="shared" ref="I60:J60" si="18">(C60/C59)^0.2-1</f>
        <v>4.7899794820921437E-2</v>
      </c>
      <c r="J60">
        <f t="shared" si="18"/>
        <v>4.7603498452302162E-2</v>
      </c>
    </row>
    <row r="61" spans="1:13" x14ac:dyDescent="0.15">
      <c r="A61" s="2" t="s">
        <v>6</v>
      </c>
      <c r="B61" s="1">
        <v>124332.44367939362</v>
      </c>
      <c r="C61" s="1">
        <v>124199.54486222524</v>
      </c>
      <c r="D61" s="1">
        <v>123705.69568774455</v>
      </c>
      <c r="E61" s="1">
        <v>123895.01065193585</v>
      </c>
      <c r="F61" s="1">
        <v>123799.25185155123</v>
      </c>
      <c r="G61" s="1">
        <v>123115.75291011768</v>
      </c>
    </row>
    <row r="62" spans="1:13" x14ac:dyDescent="0.15">
      <c r="C62">
        <f>C61-B61</f>
        <v>-132.89881716837408</v>
      </c>
      <c r="D62">
        <f>D61-B61</f>
        <v>-626.74799164907017</v>
      </c>
      <c r="E62">
        <f>E61-B61</f>
        <v>-437.433027457766</v>
      </c>
    </row>
    <row r="63" spans="1:13" ht="14.25" thickBot="1" x14ac:dyDescent="0.2"/>
    <row r="64" spans="1:13" ht="14.25" thickBot="1" x14ac:dyDescent="0.2">
      <c r="A64" s="1" t="s">
        <v>30</v>
      </c>
      <c r="B64" s="8" t="s">
        <v>99</v>
      </c>
      <c r="C64" s="9" t="s">
        <v>132</v>
      </c>
      <c r="D64" s="9" t="s">
        <v>132</v>
      </c>
      <c r="E64" s="8" t="s">
        <v>133</v>
      </c>
      <c r="F64" s="9" t="s">
        <v>134</v>
      </c>
      <c r="G64" s="9" t="s">
        <v>134</v>
      </c>
    </row>
    <row r="65" spans="1:14" x14ac:dyDescent="0.15">
      <c r="A65" s="1">
        <v>2005</v>
      </c>
      <c r="B65">
        <v>2.1548351868183038</v>
      </c>
      <c r="C65">
        <v>2.1548351868183038</v>
      </c>
      <c r="D65">
        <v>2.1548351868183038</v>
      </c>
      <c r="E65">
        <v>2.1548351868183038</v>
      </c>
      <c r="F65">
        <v>2.1548351868183038</v>
      </c>
      <c r="G65">
        <v>2.1548351868183038</v>
      </c>
    </row>
    <row r="66" spans="1:14" x14ac:dyDescent="0.15">
      <c r="A66" s="2" t="s">
        <v>2</v>
      </c>
      <c r="B66" s="1">
        <f>B50/B57*10000</f>
        <v>1.5320459107569782</v>
      </c>
      <c r="C66" s="1">
        <f t="shared" ref="C66:E66" si="19">C50/C57*10000</f>
        <v>1.5320459217640827</v>
      </c>
      <c r="D66" s="1">
        <f t="shared" si="19"/>
        <v>1.5320459217640827</v>
      </c>
      <c r="E66" s="1">
        <f t="shared" si="19"/>
        <v>1.5320459107569782</v>
      </c>
      <c r="F66" s="1">
        <f t="shared" ref="F66:G66" si="20">F50/F57*10000</f>
        <v>1.5320459217640827</v>
      </c>
      <c r="G66" s="1">
        <f t="shared" si="20"/>
        <v>1.5320459217640827</v>
      </c>
      <c r="N66">
        <f>B66/B$66</f>
        <v>1</v>
      </c>
    </row>
    <row r="67" spans="1:14" x14ac:dyDescent="0.15">
      <c r="A67" s="2" t="s">
        <v>3</v>
      </c>
      <c r="B67" s="1">
        <f t="shared" ref="B67:E70" si="21">B51/B58*10000</f>
        <v>1.3329279534588816</v>
      </c>
      <c r="C67" s="1">
        <f t="shared" si="21"/>
        <v>1.3329279631695334</v>
      </c>
      <c r="D67" s="1">
        <f t="shared" si="21"/>
        <v>1.3329279631695334</v>
      </c>
      <c r="E67" s="1">
        <f t="shared" si="21"/>
        <v>1.3329279534588758</v>
      </c>
      <c r="F67" s="1">
        <f t="shared" ref="F67:G67" si="22">F51/F58*10000</f>
        <v>1.3329279631695334</v>
      </c>
      <c r="G67" s="1">
        <f t="shared" si="22"/>
        <v>1.3329279631695334</v>
      </c>
      <c r="H67" s="1">
        <f>(B70/B68)^0.1-1</f>
        <v>-2.282765204669257E-2</v>
      </c>
      <c r="I67" s="1">
        <f t="shared" ref="I67:J67" si="23">(C70/C68)^0.1-1</f>
        <v>-2.9961025377276074E-2</v>
      </c>
      <c r="J67" s="1">
        <f t="shared" si="23"/>
        <v>-4.2827992513784885E-2</v>
      </c>
      <c r="K67" s="1">
        <f>(E70/E68)^0.1-1</f>
        <v>-2.7149391171173987E-2</v>
      </c>
      <c r="L67" s="1">
        <f t="shared" ref="L67" si="24">(F70/F68)^0.1-1</f>
        <v>-2.9961025380564221E-2</v>
      </c>
      <c r="M67" s="1">
        <f t="shared" ref="M67" si="25">(G70/G68)^0.1-1</f>
        <v>-4.2827992517153857E-2</v>
      </c>
      <c r="N67">
        <f t="shared" ref="N67:N70" si="26">B67/B$66</f>
        <v>0.87003133789919318</v>
      </c>
    </row>
    <row r="68" spans="1:14" x14ac:dyDescent="0.15">
      <c r="A68" s="2" t="s">
        <v>4</v>
      </c>
      <c r="B68" s="1">
        <f t="shared" si="21"/>
        <v>1.1683748727844481</v>
      </c>
      <c r="C68" s="1">
        <f t="shared" si="21"/>
        <v>1.1683748814947323</v>
      </c>
      <c r="D68" s="1">
        <f t="shared" si="21"/>
        <v>1.1683748814947323</v>
      </c>
      <c r="E68" s="1">
        <f t="shared" si="21"/>
        <v>1.1683748727844252</v>
      </c>
      <c r="F68" s="1">
        <f t="shared" ref="F68:G68" si="27">F52/F59*10000</f>
        <v>1.1683748814947323</v>
      </c>
      <c r="G68" s="1">
        <f t="shared" si="27"/>
        <v>1.1683748814947323</v>
      </c>
      <c r="H68" s="1">
        <f>(B70/B69)^0.2-1</f>
        <v>-2.2505766077005163E-2</v>
      </c>
      <c r="I68" s="1">
        <f t="shared" ref="I68:M68" si="28">(C70/C69)^0.2-1</f>
        <v>-2.9961023533206066E-2</v>
      </c>
      <c r="J68" s="1">
        <f t="shared" si="28"/>
        <v>-4.282799069418608E-2</v>
      </c>
      <c r="K68" s="1">
        <f t="shared" si="28"/>
        <v>-2.5640809918562213E-2</v>
      </c>
      <c r="L68" s="1">
        <f t="shared" si="28"/>
        <v>-2.9961023541130949E-2</v>
      </c>
      <c r="M68" s="1">
        <f t="shared" si="28"/>
        <v>-4.2827990702191787E-2</v>
      </c>
      <c r="N68">
        <f t="shared" si="26"/>
        <v>0.76262392959696512</v>
      </c>
    </row>
    <row r="69" spans="1:14" x14ac:dyDescent="0.15">
      <c r="A69" s="2" t="s">
        <v>5</v>
      </c>
      <c r="B69" s="1">
        <f t="shared" si="21"/>
        <v>1.0392568008373713</v>
      </c>
      <c r="C69" s="1">
        <f>C53/C60*10000</f>
        <v>1.0035248399343042</v>
      </c>
      <c r="D69" s="1">
        <f t="shared" si="21"/>
        <v>0.93871153249746131</v>
      </c>
      <c r="E69" s="1">
        <f t="shared" si="21"/>
        <v>1.0102952937860479</v>
      </c>
      <c r="F69" s="1">
        <f t="shared" ref="F69:G69" si="29">F53/F60*10000</f>
        <v>1.0035248399412806</v>
      </c>
      <c r="G69" s="1">
        <f t="shared" si="29"/>
        <v>0.93871153250367834</v>
      </c>
      <c r="N69">
        <f t="shared" si="26"/>
        <v>0.67834572942000049</v>
      </c>
    </row>
    <row r="70" spans="1:14" x14ac:dyDescent="0.15">
      <c r="A70" s="2" t="s">
        <v>6</v>
      </c>
      <c r="B70" s="1">
        <f t="shared" si="21"/>
        <v>0.92745724130233242</v>
      </c>
      <c r="C70" s="1">
        <f>C54/C61*10000</f>
        <v>0.86193407566356617</v>
      </c>
      <c r="D70" s="1">
        <f t="shared" si="21"/>
        <v>0.7541923161406664</v>
      </c>
      <c r="E70" s="1">
        <f t="shared" si="21"/>
        <v>0.88724540462697332</v>
      </c>
      <c r="F70" s="1">
        <f t="shared" ref="F70:G70" si="30">F54/F61*10000</f>
        <v>0.86193407563434954</v>
      </c>
      <c r="G70" s="1">
        <f t="shared" si="30"/>
        <v>0.75419231611412141</v>
      </c>
      <c r="N70">
        <f t="shared" si="26"/>
        <v>0.60537170249948924</v>
      </c>
    </row>
    <row r="71" spans="1:14" ht="14.25" thickBot="1" x14ac:dyDescent="0.2"/>
    <row r="72" spans="1:14" ht="14.25" thickBot="1" x14ac:dyDescent="0.2">
      <c r="A72" s="1" t="s">
        <v>30</v>
      </c>
      <c r="B72" s="8" t="s">
        <v>99</v>
      </c>
      <c r="C72" s="9" t="s">
        <v>132</v>
      </c>
      <c r="D72" s="9" t="s">
        <v>132</v>
      </c>
      <c r="E72" s="8" t="s">
        <v>133</v>
      </c>
      <c r="F72" s="9" t="s">
        <v>134</v>
      </c>
      <c r="G72" s="9" t="s">
        <v>134</v>
      </c>
    </row>
    <row r="73" spans="1:14" x14ac:dyDescent="0.15">
      <c r="A73" s="2" t="s">
        <v>2</v>
      </c>
      <c r="B73" s="5">
        <f>1-B66/B$65</f>
        <v>0.28901944792394896</v>
      </c>
      <c r="C73" s="5">
        <f>1-C66/C$65</f>
        <v>0.28901944281585323</v>
      </c>
      <c r="D73" s="5">
        <f t="shared" ref="D73:E73" si="31">1-D66/D$65</f>
        <v>0.28901944281585323</v>
      </c>
      <c r="E73" s="5">
        <f t="shared" si="31"/>
        <v>0.28901944792394896</v>
      </c>
      <c r="F73" s="5">
        <f t="shared" ref="F73:G73" si="32">1-F66/F$65</f>
        <v>0.28901944281585323</v>
      </c>
      <c r="G73" s="5">
        <f t="shared" si="32"/>
        <v>0.28901944281585323</v>
      </c>
    </row>
    <row r="74" spans="1:14" x14ac:dyDescent="0.15">
      <c r="A74" s="2" t="s">
        <v>3</v>
      </c>
      <c r="B74" s="5">
        <f t="shared" ref="B74:E74" si="33">1-B67/B$65</f>
        <v>0.38142463905696633</v>
      </c>
      <c r="C74" s="5">
        <f t="shared" si="33"/>
        <v>0.38142463455051878</v>
      </c>
      <c r="D74" s="5">
        <f t="shared" si="33"/>
        <v>0.38142463455051878</v>
      </c>
      <c r="E74" s="5">
        <f t="shared" si="33"/>
        <v>0.38142463905696899</v>
      </c>
      <c r="F74" s="5">
        <f t="shared" ref="F74:G74" si="34">1-F67/F$65</f>
        <v>0.38142463455051878</v>
      </c>
      <c r="G74" s="5">
        <f t="shared" si="34"/>
        <v>0.38142463455051878</v>
      </c>
    </row>
    <row r="75" spans="1:14" x14ac:dyDescent="0.15">
      <c r="A75" s="2" t="s">
        <v>4</v>
      </c>
      <c r="B75" s="5">
        <f t="shared" ref="B75:E75" si="35">1-B68/B$65</f>
        <v>0.45778921750874224</v>
      </c>
      <c r="C75" s="5">
        <f t="shared" si="35"/>
        <v>0.45778921346653789</v>
      </c>
      <c r="D75" s="5">
        <f t="shared" si="35"/>
        <v>0.45778921346653789</v>
      </c>
      <c r="E75" s="5">
        <f t="shared" si="35"/>
        <v>0.4577892175087529</v>
      </c>
      <c r="F75" s="5">
        <f t="shared" ref="F75:G75" si="36">1-F68/F$65</f>
        <v>0.45778921346653789</v>
      </c>
      <c r="G75" s="5">
        <f t="shared" si="36"/>
        <v>0.45778921346653789</v>
      </c>
    </row>
    <row r="76" spans="1:14" x14ac:dyDescent="0.15">
      <c r="A76" s="2" t="s">
        <v>5</v>
      </c>
      <c r="B76" s="5">
        <f t="shared" ref="B76:E76" si="37">1-B69/B$65</f>
        <v>0.51770937879853651</v>
      </c>
      <c r="C76" s="5">
        <f t="shared" si="37"/>
        <v>0.53429160333322434</v>
      </c>
      <c r="D76" s="5">
        <f t="shared" si="37"/>
        <v>0.56436968440101232</v>
      </c>
      <c r="E76" s="5">
        <f t="shared" si="37"/>
        <v>0.53114962110963693</v>
      </c>
      <c r="F76" s="5">
        <f t="shared" ref="F76:G76" si="38">1-F69/F$65</f>
        <v>0.53429160332998682</v>
      </c>
      <c r="G76" s="5">
        <f t="shared" si="38"/>
        <v>0.56436968439812718</v>
      </c>
    </row>
    <row r="77" spans="1:14" x14ac:dyDescent="0.15">
      <c r="A77" s="2" t="s">
        <v>6</v>
      </c>
      <c r="B77" s="5">
        <f t="shared" ref="B77:E77" si="39">1-B70/B$65</f>
        <v>0.56959249274569423</v>
      </c>
      <c r="C77" s="5">
        <f>1-C70/C$65</f>
        <v>0.59999999956551453</v>
      </c>
      <c r="D77" s="5">
        <f t="shared" si="39"/>
        <v>0.64999999964996857</v>
      </c>
      <c r="E77" s="5">
        <f t="shared" si="39"/>
        <v>0.58825370494481999</v>
      </c>
      <c r="F77" s="5">
        <f t="shared" ref="F77:G77" si="40">1-F70/F$65</f>
        <v>0.59999999957907313</v>
      </c>
      <c r="G77" s="5">
        <f t="shared" si="40"/>
        <v>0.64999999966228739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7" sqref="B17"/>
    </sheetView>
  </sheetViews>
  <sheetFormatPr defaultRowHeight="13.5" x14ac:dyDescent="0.15"/>
  <cols>
    <col min="1" max="1" width="10.5" bestFit="1" customWidth="1"/>
  </cols>
  <sheetData>
    <row r="1" spans="1:6" x14ac:dyDescent="0.15">
      <c r="B1" t="s">
        <v>171</v>
      </c>
      <c r="C1" t="s">
        <v>172</v>
      </c>
      <c r="D1" t="s">
        <v>173</v>
      </c>
    </row>
    <row r="2" spans="1:6" x14ac:dyDescent="0.15">
      <c r="A2" t="s">
        <v>170</v>
      </c>
      <c r="B2">
        <f>排放!C61-排放!B61</f>
        <v>-132.89881716837408</v>
      </c>
      <c r="C2">
        <f>排放!E61-排放!B61</f>
        <v>-437.433027457766</v>
      </c>
      <c r="D2">
        <f>排放!F61-排放!B61</f>
        <v>-533.19182784238365</v>
      </c>
    </row>
    <row r="3" spans="1:6" x14ac:dyDescent="0.15">
      <c r="A3" t="s">
        <v>169</v>
      </c>
      <c r="B3">
        <f>排放!C54-排放!B54</f>
        <v>-0.82612053206102942</v>
      </c>
      <c r="C3">
        <f>排放!E54-排放!B54</f>
        <v>-0.53877463621280341</v>
      </c>
      <c r="D3">
        <f>排放!F54-排放!B54</f>
        <v>-0.8606231510377178</v>
      </c>
    </row>
    <row r="4" spans="1:6" x14ac:dyDescent="0.15">
      <c r="B4">
        <f>B2/B3</f>
        <v>160.870977067734</v>
      </c>
      <c r="C4">
        <f t="shared" ref="C4:D4" si="0">C2/C3</f>
        <v>811.90352710848504</v>
      </c>
      <c r="D4">
        <f t="shared" si="0"/>
        <v>619.54158123619413</v>
      </c>
    </row>
    <row r="6" spans="1:6" x14ac:dyDescent="0.15">
      <c r="A6" t="s">
        <v>174</v>
      </c>
      <c r="B6" s="23" t="s">
        <v>176</v>
      </c>
      <c r="C6" s="23" t="s">
        <v>177</v>
      </c>
      <c r="D6" s="23" t="s">
        <v>175</v>
      </c>
      <c r="E6" s="23" t="s">
        <v>178</v>
      </c>
      <c r="F6" s="23" t="s">
        <v>179</v>
      </c>
    </row>
    <row r="7" spans="1:6" x14ac:dyDescent="0.15">
      <c r="A7" t="s">
        <v>180</v>
      </c>
      <c r="B7">
        <v>791</v>
      </c>
      <c r="C7">
        <v>325</v>
      </c>
      <c r="D7">
        <v>7459</v>
      </c>
      <c r="E7">
        <v>2221</v>
      </c>
      <c r="F7">
        <v>2585</v>
      </c>
    </row>
    <row r="8" spans="1:6" x14ac:dyDescent="0.15">
      <c r="A8" t="s">
        <v>181</v>
      </c>
      <c r="B8">
        <v>529</v>
      </c>
      <c r="C8">
        <v>14</v>
      </c>
      <c r="D8">
        <v>3870</v>
      </c>
      <c r="E8">
        <v>1704</v>
      </c>
      <c r="F8">
        <v>954</v>
      </c>
    </row>
    <row r="9" spans="1:6" x14ac:dyDescent="0.15">
      <c r="A9" t="s">
        <v>182</v>
      </c>
      <c r="B9">
        <f>B7+B8</f>
        <v>1320</v>
      </c>
      <c r="C9">
        <f t="shared" ref="C9:F9" si="1">C7+C8</f>
        <v>339</v>
      </c>
      <c r="D9">
        <f t="shared" si="1"/>
        <v>11329</v>
      </c>
      <c r="E9">
        <f t="shared" si="1"/>
        <v>3925</v>
      </c>
      <c r="F9">
        <f t="shared" si="1"/>
        <v>3539</v>
      </c>
    </row>
    <row r="10" spans="1:6" x14ac:dyDescent="0.15">
      <c r="A10" t="s">
        <v>183</v>
      </c>
      <c r="B10">
        <f>B7-B8</f>
        <v>262</v>
      </c>
      <c r="C10">
        <f t="shared" ref="C10:F10" si="2">C7-C8</f>
        <v>311</v>
      </c>
      <c r="D10">
        <f t="shared" si="2"/>
        <v>3589</v>
      </c>
      <c r="E10">
        <f t="shared" si="2"/>
        <v>517</v>
      </c>
      <c r="F10">
        <f t="shared" si="2"/>
        <v>1631</v>
      </c>
    </row>
    <row r="14" spans="1:6" x14ac:dyDescent="0.15">
      <c r="B14">
        <f>B4*16.6</f>
        <v>2670.4582193243846</v>
      </c>
      <c r="C14">
        <f t="shared" ref="C14" si="3">C4*16.6</f>
        <v>13477.598550000852</v>
      </c>
      <c r="D14">
        <f>D4*16.6</f>
        <v>10284.390248520824</v>
      </c>
      <c r="F14">
        <f>D4*0.421</f>
        <v>260.82700570043772</v>
      </c>
    </row>
    <row r="16" spans="1:6" x14ac:dyDescent="0.15">
      <c r="B16">
        <f>2672.2/D4</f>
        <v>4.3131891077723319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A1 VS B1 (2)</vt:lpstr>
      <vt:lpstr>A1 VS B1</vt:lpstr>
      <vt:lpstr>GDP</vt:lpstr>
      <vt:lpstr>失业 </vt:lpstr>
      <vt:lpstr>就业</vt:lpstr>
      <vt:lpstr>部门产出</vt:lpstr>
      <vt:lpstr>能源</vt:lpstr>
      <vt:lpstr>排放</vt:lpstr>
      <vt:lpstr>Co-benefit</vt:lpstr>
      <vt:lpstr>作图</vt:lpstr>
      <vt:lpstr>排放!OLE_LINK5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2016-11-09T01:13:34Z</dcterms:modified>
</cp:coreProperties>
</file>