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Yassine Bakou\Stage summer 2025\Binome 1 - IFC\Données\"/>
    </mc:Choice>
  </mc:AlternateContent>
  <xr:revisionPtr revIDLastSave="0" documentId="13_ncr:1_{86A0984F-0ECD-4BA6-AB5E-F654E0280826}" xr6:coauthVersionLast="47" xr6:coauthVersionMax="47" xr10:uidLastSave="{00000000-0000-0000-0000-000000000000}"/>
  <bookViews>
    <workbookView xWindow="-120" yWindow="-120" windowWidth="24240" windowHeight="13140" xr2:uid="{C34B608F-6D2C-410F-B638-99315BBFC583}"/>
  </bookViews>
  <sheets>
    <sheet name="BDs Pop Actifs" sheetId="1" r:id="rId1"/>
    <sheet name="Paramètres" sheetId="2" r:id="rId2"/>
    <sheet name="Stats Turn Over" sheetId="3" r:id="rId3"/>
    <sheet name="Formule de calcul de l'IFC" sheetId="4" r:id="rId4"/>
  </sheets>
  <definedNames>
    <definedName name="HELLO" comment="Returns a greeting.">_xlfn.LAMBDA(_xlpm.name, BOARDFLARE.EXEC("hello",_xlpm.name))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0" i="2"/>
  <c r="AI12" i="3" l="1"/>
  <c r="AF12" i="3"/>
  <c r="AC12" i="3"/>
  <c r="Z12" i="3"/>
  <c r="W12" i="3"/>
  <c r="T12" i="3"/>
  <c r="Q12" i="3"/>
  <c r="N12" i="3"/>
  <c r="K12" i="3"/>
  <c r="H12" i="3"/>
  <c r="AJ12" i="3" s="1"/>
  <c r="AK12" i="3" s="1"/>
  <c r="E12" i="3"/>
  <c r="AI11" i="3"/>
  <c r="AF11" i="3"/>
  <c r="AC11" i="3"/>
  <c r="Z11" i="3"/>
  <c r="W11" i="3"/>
  <c r="T11" i="3"/>
  <c r="Q11" i="3"/>
  <c r="N11" i="3"/>
  <c r="K11" i="3"/>
  <c r="AJ11" i="3" s="1"/>
  <c r="AK11" i="3" s="1"/>
  <c r="H11" i="3"/>
  <c r="E11" i="3"/>
  <c r="AI10" i="3"/>
  <c r="AF10" i="3"/>
  <c r="AC10" i="3"/>
  <c r="Z10" i="3"/>
  <c r="W10" i="3"/>
  <c r="T10" i="3"/>
  <c r="Q10" i="3"/>
  <c r="N10" i="3"/>
  <c r="AJ10" i="3" s="1"/>
  <c r="AK10" i="3" s="1"/>
  <c r="K10" i="3"/>
  <c r="H10" i="3"/>
  <c r="E10" i="3"/>
  <c r="AI9" i="3"/>
  <c r="AF9" i="3"/>
  <c r="AC9" i="3"/>
  <c r="Z9" i="3"/>
  <c r="W9" i="3"/>
  <c r="T9" i="3"/>
  <c r="Q9" i="3"/>
  <c r="N9" i="3"/>
  <c r="AJ9" i="3" s="1"/>
  <c r="AK9" i="3" s="1"/>
  <c r="K9" i="3"/>
  <c r="H9" i="3"/>
  <c r="E9" i="3"/>
  <c r="AI8" i="3"/>
  <c r="AF8" i="3"/>
  <c r="AC8" i="3"/>
  <c r="Z8" i="3"/>
  <c r="W8" i="3"/>
  <c r="T8" i="3"/>
  <c r="Q8" i="3"/>
  <c r="N8" i="3"/>
  <c r="K8" i="3"/>
  <c r="H8" i="3"/>
  <c r="AJ8" i="3" s="1"/>
  <c r="AK8" i="3" s="1"/>
  <c r="E8" i="3"/>
  <c r="AI7" i="3"/>
  <c r="AF7" i="3"/>
  <c r="AC7" i="3"/>
  <c r="Z7" i="3"/>
  <c r="W7" i="3"/>
  <c r="T7" i="3"/>
  <c r="Q7" i="3"/>
  <c r="N7" i="3"/>
  <c r="K7" i="3"/>
  <c r="AJ7" i="3" s="1"/>
  <c r="AK7" i="3" s="1"/>
  <c r="H7" i="3"/>
  <c r="E7" i="3"/>
  <c r="AJ6" i="3"/>
  <c r="AK6" i="3" s="1"/>
  <c r="AI6" i="3"/>
  <c r="AF6" i="3"/>
  <c r="AC6" i="3"/>
  <c r="Z6" i="3"/>
  <c r="W6" i="3"/>
  <c r="T6" i="3"/>
  <c r="Q6" i="3"/>
  <c r="N6" i="3"/>
  <c r="K6" i="3"/>
  <c r="H6" i="3"/>
  <c r="E6" i="3"/>
  <c r="AI5" i="3"/>
  <c r="AF5" i="3"/>
  <c r="AC5" i="3"/>
  <c r="Z5" i="3"/>
  <c r="W5" i="3"/>
  <c r="T5" i="3"/>
  <c r="Q5" i="3"/>
  <c r="N5" i="3"/>
  <c r="K5" i="3"/>
  <c r="H5" i="3"/>
  <c r="AJ5" i="3" s="1"/>
  <c r="AK5" i="3" s="1"/>
  <c r="E5" i="3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<sst xmlns="http://schemas.openxmlformats.org/spreadsheetml/2006/main" count="461" uniqueCount="409">
  <si>
    <t>Numéro Identifiant du salarié</t>
  </si>
  <si>
    <t>date de naissance</t>
  </si>
  <si>
    <t>date d'embauche à la société</t>
  </si>
  <si>
    <t>08/03/1970</t>
  </si>
  <si>
    <t>19/10/1965</t>
  </si>
  <si>
    <t>04/07/1976</t>
  </si>
  <si>
    <t>03/02/1973</t>
  </si>
  <si>
    <t>08/04/1974</t>
  </si>
  <si>
    <t>17/03/1976</t>
  </si>
  <si>
    <t>06/12/1972</t>
  </si>
  <si>
    <t>11/03/1971</t>
  </si>
  <si>
    <t>09/08/1974</t>
  </si>
  <si>
    <t>30/04/1968</t>
  </si>
  <si>
    <t>15/12/1968</t>
  </si>
  <si>
    <t>19/03/1972</t>
  </si>
  <si>
    <t>01/10/1972</t>
  </si>
  <si>
    <t>17/06/1971</t>
  </si>
  <si>
    <t>19/06/1970</t>
  </si>
  <si>
    <t>07/09/1967</t>
  </si>
  <si>
    <t>19/09/1966</t>
  </si>
  <si>
    <t>04/11/1975</t>
  </si>
  <si>
    <t>16/01/1975</t>
  </si>
  <si>
    <t>25/11/1968</t>
  </si>
  <si>
    <t>20/04/1977</t>
  </si>
  <si>
    <t>08/09/1971</t>
  </si>
  <si>
    <t>29/03/1973</t>
  </si>
  <si>
    <t>05/05/1972</t>
  </si>
  <si>
    <t>02/04/1973</t>
  </si>
  <si>
    <t>11/03/1978</t>
  </si>
  <si>
    <t>23/06/1969</t>
  </si>
  <si>
    <t>07/05/1976</t>
  </si>
  <si>
    <t>13/01/1978</t>
  </si>
  <si>
    <t>03/07/1972</t>
  </si>
  <si>
    <t>07/06/1968</t>
  </si>
  <si>
    <t>19/06/1965</t>
  </si>
  <si>
    <t>21/05/1974</t>
  </si>
  <si>
    <t>17/07/1972</t>
  </si>
  <si>
    <t>01/04/1971</t>
  </si>
  <si>
    <t>27/05/1974</t>
  </si>
  <si>
    <t>27/05/1970</t>
  </si>
  <si>
    <t>09/03/1966</t>
  </si>
  <si>
    <t>11/05/1973</t>
  </si>
  <si>
    <t>06/11/1970</t>
  </si>
  <si>
    <t>31/05/1966</t>
  </si>
  <si>
    <t>08/03/1972</t>
  </si>
  <si>
    <t>03/03/1975</t>
  </si>
  <si>
    <t>08/10/1973</t>
  </si>
  <si>
    <t>30/03/1969</t>
  </si>
  <si>
    <t>04/09/1972</t>
  </si>
  <si>
    <t>04/07/1972</t>
  </si>
  <si>
    <t>25/08/1977</t>
  </si>
  <si>
    <t>20/12/1974</t>
  </si>
  <si>
    <t>02/01/1969</t>
  </si>
  <si>
    <t>07/04/1975</t>
  </si>
  <si>
    <t>14/10/1974</t>
  </si>
  <si>
    <t>29/07/1968</t>
  </si>
  <si>
    <t>14/09/1964</t>
  </si>
  <si>
    <t>26/10/1964</t>
  </si>
  <si>
    <t>12/08/1969</t>
  </si>
  <si>
    <t>04/02/1978</t>
  </si>
  <si>
    <t>24/12/1967</t>
  </si>
  <si>
    <t>24/08/1977</t>
  </si>
  <si>
    <t>18/12/1965</t>
  </si>
  <si>
    <t>06/07/1978</t>
  </si>
  <si>
    <t>05/06/1969</t>
  </si>
  <si>
    <t>08/02/1978</t>
  </si>
  <si>
    <t>23/11/1976</t>
  </si>
  <si>
    <t>02/06/1973</t>
  </si>
  <si>
    <t>15/06/1976</t>
  </si>
  <si>
    <t>11/12/1976</t>
  </si>
  <si>
    <t>25/11/1972</t>
  </si>
  <si>
    <t>23/09/1978</t>
  </si>
  <si>
    <t>05/07/1976</t>
  </si>
  <si>
    <t>10/03/1970</t>
  </si>
  <si>
    <t>28/04/1980</t>
  </si>
  <si>
    <t>01/06/1968</t>
  </si>
  <si>
    <t>26/11/1967</t>
  </si>
  <si>
    <t>25/09/1972</t>
  </si>
  <si>
    <t>27/12/1979</t>
  </si>
  <si>
    <t>05/10/1969</t>
  </si>
  <si>
    <t>11/11/1964</t>
  </si>
  <si>
    <t>15/03/1964</t>
  </si>
  <si>
    <t>25/04/1989</t>
  </si>
  <si>
    <t>07/04/1978</t>
  </si>
  <si>
    <t>29/12/1975</t>
  </si>
  <si>
    <t>17/09/1976</t>
  </si>
  <si>
    <t>05/01/1971</t>
  </si>
  <si>
    <t>26/12/1971</t>
  </si>
  <si>
    <t>10/08/1973</t>
  </si>
  <si>
    <t>19/02/1973</t>
  </si>
  <si>
    <t>06/03/1971</t>
  </si>
  <si>
    <t>05/08/1970</t>
  </si>
  <si>
    <t>18/12/1969</t>
  </si>
  <si>
    <t>02/01/1971</t>
  </si>
  <si>
    <t>20/05/1972</t>
  </si>
  <si>
    <t>18/03/1964</t>
  </si>
  <si>
    <t>28/07/1972</t>
  </si>
  <si>
    <t>09/01/1967</t>
  </si>
  <si>
    <t>04/12/1969</t>
  </si>
  <si>
    <t>03/08/1973</t>
  </si>
  <si>
    <t>27/03/1967</t>
  </si>
  <si>
    <t>28/09/1975</t>
  </si>
  <si>
    <t>04/06/1965</t>
  </si>
  <si>
    <t>08/05/1965</t>
  </si>
  <si>
    <t>08/11/1964</t>
  </si>
  <si>
    <t>28/03/1966</t>
  </si>
  <si>
    <t>19/12/1964</t>
  </si>
  <si>
    <t>12/01/1965</t>
  </si>
  <si>
    <t>28/03/1965</t>
  </si>
  <si>
    <t>23/10/1964</t>
  </si>
  <si>
    <t>20/05/1964</t>
  </si>
  <si>
    <t>01/03/1966</t>
  </si>
  <si>
    <t>23/09/1965</t>
  </si>
  <si>
    <t>07/07/1965</t>
  </si>
  <si>
    <t>18/03/1968</t>
  </si>
  <si>
    <t>04/10/1966</t>
  </si>
  <si>
    <t>03/08/1964</t>
  </si>
  <si>
    <t>12/06/1964</t>
  </si>
  <si>
    <t>30/04/1966</t>
  </si>
  <si>
    <t>22/08/1967</t>
  </si>
  <si>
    <t>18/05/1970</t>
  </si>
  <si>
    <t>25/06/1970</t>
  </si>
  <si>
    <t>20/10/1965</t>
  </si>
  <si>
    <t>20/04/1966</t>
  </si>
  <si>
    <t>22/05/1964</t>
  </si>
  <si>
    <t>04/07/1966</t>
  </si>
  <si>
    <t>15/11/1975</t>
  </si>
  <si>
    <t>11/10/1967</t>
  </si>
  <si>
    <t>01/10/1969</t>
  </si>
  <si>
    <t>02/12/1967</t>
  </si>
  <si>
    <t>26/01/1969</t>
  </si>
  <si>
    <t>21/04/1969</t>
  </si>
  <si>
    <t>06/08/1967</t>
  </si>
  <si>
    <t>12/02/1967</t>
  </si>
  <si>
    <t>21/09/1969</t>
  </si>
  <si>
    <t>10/10/1971</t>
  </si>
  <si>
    <t>01/01/1960</t>
  </si>
  <si>
    <t>12/04/1968</t>
  </si>
  <si>
    <t>31/12/1963</t>
  </si>
  <si>
    <t>24/04/1969</t>
  </si>
  <si>
    <t>25/08/1968</t>
  </si>
  <si>
    <t>15/03/1968</t>
  </si>
  <si>
    <t>31/07/1967</t>
  </si>
  <si>
    <t>19/12/1965</t>
  </si>
  <si>
    <t>08/01/1969</t>
  </si>
  <si>
    <t>21/08/1976</t>
  </si>
  <si>
    <t>04/09/1974</t>
  </si>
  <si>
    <t>16/10/1959</t>
  </si>
  <si>
    <t>16/12/1971</t>
  </si>
  <si>
    <t>12/09/1971</t>
  </si>
  <si>
    <t>14/09/1971</t>
  </si>
  <si>
    <t>13/09/1973</t>
  </si>
  <si>
    <t>05/11/1968</t>
  </si>
  <si>
    <t>31/03/1967</t>
  </si>
  <si>
    <t>15/08/1972</t>
  </si>
  <si>
    <t>05/06/1964</t>
  </si>
  <si>
    <t>22/10/1965</t>
  </si>
  <si>
    <t>23/05/1968</t>
  </si>
  <si>
    <t>22/09/1974</t>
  </si>
  <si>
    <t>10/05/1967</t>
  </si>
  <si>
    <t>08/05/1970</t>
  </si>
  <si>
    <t>25/04/1972</t>
  </si>
  <si>
    <t>15/11/1973</t>
  </si>
  <si>
    <t>29/01/1974</t>
  </si>
  <si>
    <t>09/06/1968</t>
  </si>
  <si>
    <t>14/12/1966</t>
  </si>
  <si>
    <t>10/01/1975</t>
  </si>
  <si>
    <t>13/01/1970</t>
  </si>
  <si>
    <t>07/04/1972</t>
  </si>
  <si>
    <t>10/03/1963</t>
  </si>
  <si>
    <t>15/01/1967</t>
  </si>
  <si>
    <t>16/11/1966</t>
  </si>
  <si>
    <t>27/05/1966</t>
  </si>
  <si>
    <t>10/01/1971</t>
  </si>
  <si>
    <t>27/09/1972</t>
  </si>
  <si>
    <t>30/11/1968</t>
  </si>
  <si>
    <t>13/02/1970</t>
  </si>
  <si>
    <t>20/08/1973</t>
  </si>
  <si>
    <t>14/01/1973</t>
  </si>
  <si>
    <t>15/08/1968</t>
  </si>
  <si>
    <t>13/11/1968</t>
  </si>
  <si>
    <t>03/07/1975</t>
  </si>
  <si>
    <t>01/04/1966</t>
  </si>
  <si>
    <t>02/09/1974</t>
  </si>
  <si>
    <t>28/04/1970</t>
  </si>
  <si>
    <t>16/11/1973</t>
  </si>
  <si>
    <t>22/11/1967</t>
  </si>
  <si>
    <t>07/10/1965</t>
  </si>
  <si>
    <t>20/07/1972</t>
  </si>
  <si>
    <t>04/09/1979</t>
  </si>
  <si>
    <t>12/01/1969</t>
  </si>
  <si>
    <t>30/01/1967</t>
  </si>
  <si>
    <t>01/05/1969</t>
  </si>
  <si>
    <t>16/09/1970</t>
  </si>
  <si>
    <t>02/05/1976</t>
  </si>
  <si>
    <t>28/12/1972</t>
  </si>
  <si>
    <t>28/06/1972</t>
  </si>
  <si>
    <t>21/03/1973</t>
  </si>
  <si>
    <t>20/02/1975</t>
  </si>
  <si>
    <t>29/03/1974</t>
  </si>
  <si>
    <t>26/02/1976</t>
  </si>
  <si>
    <t>16/10/1973</t>
  </si>
  <si>
    <t>20/09/1978</t>
  </si>
  <si>
    <t>25/05/1976</t>
  </si>
  <si>
    <t>13/02/1972</t>
  </si>
  <si>
    <t>20/06/1978</t>
  </si>
  <si>
    <t>06/09/1969</t>
  </si>
  <si>
    <t>26/02/1973</t>
  </si>
  <si>
    <t>27/04/1974</t>
  </si>
  <si>
    <t>09/04/1974</t>
  </si>
  <si>
    <t>21/12/1974</t>
  </si>
  <si>
    <t>03/04/1969</t>
  </si>
  <si>
    <t>02/04/1976</t>
  </si>
  <si>
    <t>04/08/1975</t>
  </si>
  <si>
    <t>17/02/1972</t>
  </si>
  <si>
    <t>23/07/1976</t>
  </si>
  <si>
    <t>27/02/1971</t>
  </si>
  <si>
    <t>23/03/1975</t>
  </si>
  <si>
    <t>19/11/1963</t>
  </si>
  <si>
    <t>03/04/1977</t>
  </si>
  <si>
    <t>02/08/1973</t>
  </si>
  <si>
    <t>14/12/1975</t>
  </si>
  <si>
    <t>05/03/1965</t>
  </si>
  <si>
    <t>21/11/1977</t>
  </si>
  <si>
    <t>18/09/1979</t>
  </si>
  <si>
    <t>28/05/1970</t>
  </si>
  <si>
    <t>27/07/1969</t>
  </si>
  <si>
    <t>09/03/1973</t>
  </si>
  <si>
    <t>13/10/1973</t>
  </si>
  <si>
    <t>02/04/1977</t>
  </si>
  <si>
    <t>06/06/1971</t>
  </si>
  <si>
    <t>11/03/1970</t>
  </si>
  <si>
    <t>19/09/1972</t>
  </si>
  <si>
    <t>07/01/1976</t>
  </si>
  <si>
    <t>06/02/1971</t>
  </si>
  <si>
    <t>06/07/1965</t>
  </si>
  <si>
    <t>28/08/1975</t>
  </si>
  <si>
    <t>22/07/1970</t>
  </si>
  <si>
    <t>13/06/1975</t>
  </si>
  <si>
    <t>21/04/1978</t>
  </si>
  <si>
    <t>28/10/1970</t>
  </si>
  <si>
    <t>09/01/1975</t>
  </si>
  <si>
    <t>01/06/1970</t>
  </si>
  <si>
    <t>21/02/1978</t>
  </si>
  <si>
    <t>21/01/1969</t>
  </si>
  <si>
    <t>15/05/1973</t>
  </si>
  <si>
    <t>01/04/1975</t>
  </si>
  <si>
    <t>03/06/1979</t>
  </si>
  <si>
    <t>29/08/1979</t>
  </si>
  <si>
    <t>28/12/1977</t>
  </si>
  <si>
    <t>18/07/1978</t>
  </si>
  <si>
    <t>15/09/1970</t>
  </si>
  <si>
    <t>05/08/1981</t>
  </si>
  <si>
    <t>26/11/1976</t>
  </si>
  <si>
    <t>13/04/1972</t>
  </si>
  <si>
    <t>21/11/1975</t>
  </si>
  <si>
    <t>27/05/1976</t>
  </si>
  <si>
    <t>26/06/1974</t>
  </si>
  <si>
    <t>20/02/1976</t>
  </si>
  <si>
    <t>08/12/1972</t>
  </si>
  <si>
    <t>03/02/1972</t>
  </si>
  <si>
    <t>12/08/1979</t>
  </si>
  <si>
    <t>25/12/1966</t>
  </si>
  <si>
    <t>06/03/1977</t>
  </si>
  <si>
    <t>08/06/1977</t>
  </si>
  <si>
    <t>13/07/1982</t>
  </si>
  <si>
    <t>13/06/1972</t>
  </si>
  <si>
    <t>06/03/1978</t>
  </si>
  <si>
    <t>21/04/1979</t>
  </si>
  <si>
    <t>03/09/1966</t>
  </si>
  <si>
    <t>01/06/1980</t>
  </si>
  <si>
    <t>21/09/1971</t>
  </si>
  <si>
    <t>27/05/1973</t>
  </si>
  <si>
    <t>10/06/1979</t>
  </si>
  <si>
    <t>23/04/1974</t>
  </si>
  <si>
    <t>20/01/1978</t>
  </si>
  <si>
    <t>13/09/1975</t>
  </si>
  <si>
    <t>03/02/1974</t>
  </si>
  <si>
    <t>09/07/1975</t>
  </si>
  <si>
    <t>24/05/1970</t>
  </si>
  <si>
    <t>20/04/1976</t>
  </si>
  <si>
    <t>22/02/1977</t>
  </si>
  <si>
    <t>22/01/1969</t>
  </si>
  <si>
    <t>29/07/1970</t>
  </si>
  <si>
    <t>24/06/1977</t>
  </si>
  <si>
    <t>25/01/1980</t>
  </si>
  <si>
    <t>13/07/1976</t>
  </si>
  <si>
    <t>29/04/1981</t>
  </si>
  <si>
    <t>21/03/1972</t>
  </si>
  <si>
    <t>25/01/1978</t>
  </si>
  <si>
    <t>04/07/1970</t>
  </si>
  <si>
    <t>24/12/1970</t>
  </si>
  <si>
    <t>30/06/1974</t>
  </si>
  <si>
    <t>22/08/1973</t>
  </si>
  <si>
    <t>14/08/1973</t>
  </si>
  <si>
    <t>08/09/1979</t>
  </si>
  <si>
    <t>07/09/1978</t>
  </si>
  <si>
    <t>09/10/1978</t>
  </si>
  <si>
    <t>05/11/1974</t>
  </si>
  <si>
    <t>08/03/1976</t>
  </si>
  <si>
    <t>31/12/1981</t>
  </si>
  <si>
    <t>14/07/1982</t>
  </si>
  <si>
    <t>12/06/1975</t>
  </si>
  <si>
    <t>28/08/1973</t>
  </si>
  <si>
    <t>06/12/1975</t>
  </si>
  <si>
    <t>16/10/1978</t>
  </si>
  <si>
    <t>02/11/1971</t>
  </si>
  <si>
    <t>10/10/1973</t>
  </si>
  <si>
    <t>20/12/1973</t>
  </si>
  <si>
    <t>07/11/1978</t>
  </si>
  <si>
    <t>03/06/1981</t>
  </si>
  <si>
    <t>13/09/1981</t>
  </si>
  <si>
    <t>03/12/1977</t>
  </si>
  <si>
    <t>17/04/1980</t>
  </si>
  <si>
    <t>10/07/1976</t>
  </si>
  <si>
    <t>28/10/1980</t>
  </si>
  <si>
    <t>31/08/1974</t>
  </si>
  <si>
    <t>15/07/1979</t>
  </si>
  <si>
    <t>26/11/1981</t>
  </si>
  <si>
    <t>06/08/1977</t>
  </si>
  <si>
    <t>30/08/1977</t>
  </si>
  <si>
    <t>02/12/1977</t>
  </si>
  <si>
    <t>27/07/1980</t>
  </si>
  <si>
    <t>08/10/1983</t>
  </si>
  <si>
    <t>13/08/1984</t>
  </si>
  <si>
    <t>29/12/1983</t>
  </si>
  <si>
    <t>13/11/1985</t>
  </si>
  <si>
    <t>05/02/1972</t>
  </si>
  <si>
    <t>02/08/1976</t>
  </si>
  <si>
    <t>04/06/1972</t>
  </si>
  <si>
    <t>11/06/1976</t>
  </si>
  <si>
    <t>13/11/1982</t>
  </si>
  <si>
    <t>14/11/1970</t>
  </si>
  <si>
    <t>14/05/1973</t>
  </si>
  <si>
    <t>12/03/1983</t>
  </si>
  <si>
    <t>19/07/1979</t>
  </si>
  <si>
    <t>17/01/1982</t>
  </si>
  <si>
    <t>31/08/1976</t>
  </si>
  <si>
    <t>08/08/1983</t>
  </si>
  <si>
    <t>01/02/1983</t>
  </si>
  <si>
    <t>16/10/1985</t>
  </si>
  <si>
    <t>13/05/1984</t>
  </si>
  <si>
    <t>09/01/1986</t>
  </si>
  <si>
    <t>24/03/1985</t>
  </si>
  <si>
    <t>18/12/1974</t>
  </si>
  <si>
    <t>11/08/1979</t>
  </si>
  <si>
    <t>19/03/1976</t>
  </si>
  <si>
    <t>13/05/1986</t>
  </si>
  <si>
    <t>29/07/1977</t>
  </si>
  <si>
    <t>21/10/1979</t>
  </si>
  <si>
    <t>01/06/1987</t>
  </si>
  <si>
    <t>23/04/1986</t>
  </si>
  <si>
    <t>02/12/1973</t>
  </si>
  <si>
    <t>09/03/1981</t>
  </si>
  <si>
    <t>17/08/1986</t>
  </si>
  <si>
    <t>11/01/1988</t>
  </si>
  <si>
    <t>11/01/1989</t>
  </si>
  <si>
    <t>18/02/1986</t>
  </si>
  <si>
    <t>21/03/1983</t>
  </si>
  <si>
    <t>13/04/1984</t>
  </si>
  <si>
    <t>09/08/1984</t>
  </si>
  <si>
    <t>30/01/1984</t>
  </si>
  <si>
    <t>15/01/1985</t>
  </si>
  <si>
    <t>28/11/1982</t>
  </si>
  <si>
    <t>23/09/1989</t>
  </si>
  <si>
    <t>14/06/1974</t>
  </si>
  <si>
    <t>16/08/1980</t>
  </si>
  <si>
    <t>11/11/1981</t>
  </si>
  <si>
    <t>26/01/1977</t>
  </si>
  <si>
    <t>25/12/1980</t>
  </si>
  <si>
    <t>07/05/1989</t>
  </si>
  <si>
    <t>01/04/1984</t>
  </si>
  <si>
    <t>salaire annuel assiette de chaque prestation constituant l'avantage</t>
  </si>
  <si>
    <t>Paramètre</t>
  </si>
  <si>
    <t>valeur</t>
  </si>
  <si>
    <t>Age de départ à la retraite</t>
  </si>
  <si>
    <t>Taux d'évolution des salaires</t>
  </si>
  <si>
    <t>Tranche d'âge</t>
  </si>
  <si>
    <t>20-25</t>
  </si>
  <si>
    <t>26-30</t>
  </si>
  <si>
    <t>31-35</t>
  </si>
  <si>
    <t>36-40</t>
  </si>
  <si>
    <t>41-45</t>
  </si>
  <si>
    <t>46-50</t>
  </si>
  <si>
    <t>51-55</t>
  </si>
  <si>
    <t>56-60</t>
  </si>
  <si>
    <t>Moyenne TO sur 10 ans (2015-2024)</t>
  </si>
  <si>
    <t>TO retenus</t>
  </si>
  <si>
    <t>TO2024</t>
  </si>
  <si>
    <t>PRESENT</t>
  </si>
  <si>
    <t>DEPART</t>
  </si>
  <si>
    <t>TO</t>
  </si>
  <si>
    <t xml:space="preserve">ANCIENNETE </t>
  </si>
  <si>
    <t>TAUX</t>
  </si>
  <si>
    <t>Primes d'ancienneté</t>
  </si>
  <si>
    <t>Part patronale</t>
  </si>
  <si>
    <t>CIMR(cadre et cadre sup)</t>
  </si>
  <si>
    <t>ASSURANCE DE GROUPE</t>
  </si>
  <si>
    <t>Assurance Maladie</t>
  </si>
  <si>
    <t>Assurance décès</t>
  </si>
  <si>
    <t>Invalidité</t>
  </si>
  <si>
    <t>AT-RC</t>
  </si>
  <si>
    <t>CNSS</t>
  </si>
  <si>
    <t>Allocations familiales</t>
  </si>
  <si>
    <t>Prestations Sociales</t>
  </si>
  <si>
    <t>Taxe de Formation Professionnelle</t>
  </si>
  <si>
    <t>AMO</t>
  </si>
  <si>
    <t>Chargements sociales</t>
  </si>
  <si>
    <t>Plafond (annuel)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</si>
</sst>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6" formatCode="_-* #,##0\ _€_-;\-* #,##0\ _€_-;_-* &quot;-&quot;??\ _€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3999755851924192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rial"/>
      <family val="2"/>
    </font>
    <font>
      <b/>
      <sz val="11"/>
      <color theme="3" tint="0.3999755851924192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0"/>
      <name val="Gill Sans MT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1295D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5" xfId="0" applyFill="1" applyBorder="1"/>
    <xf numFmtId="14" fontId="0" fillId="0" borderId="5" xfId="0" applyNumberFormat="1" applyBorder="1" applyAlignment="1">
      <alignment horizontal="center"/>
    </xf>
    <xf numFmtId="41" fontId="0" fillId="0" borderId="4" xfId="2" applyFont="1" applyBorder="1"/>
    <xf numFmtId="0" fontId="0" fillId="0" borderId="5" xfId="0" applyBorder="1"/>
    <xf numFmtId="0" fontId="0" fillId="2" borderId="4" xfId="0" applyFill="1" applyBorder="1"/>
    <xf numFmtId="14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4" fillId="2" borderId="0" xfId="0" applyFont="1" applyFill="1"/>
    <xf numFmtId="0" fontId="3" fillId="2" borderId="4" xfId="0" applyFont="1" applyFill="1" applyBorder="1"/>
    <xf numFmtId="14" fontId="3" fillId="0" borderId="4" xfId="0" applyNumberFormat="1" applyFont="1" applyBorder="1" applyAlignment="1">
      <alignment horizontal="center"/>
    </xf>
    <xf numFmtId="166" fontId="3" fillId="0" borderId="4" xfId="1" applyNumberFormat="1" applyFont="1" applyBorder="1"/>
    <xf numFmtId="0" fontId="5" fillId="3" borderId="0" xfId="0" applyFont="1" applyFill="1"/>
    <xf numFmtId="14" fontId="0" fillId="0" borderId="0" xfId="0" applyNumberFormat="1" applyAlignment="1">
      <alignment horizontal="center"/>
    </xf>
    <xf numFmtId="166" fontId="0" fillId="0" borderId="0" xfId="1" applyNumberFormat="1" applyFont="1" applyBorder="1"/>
    <xf numFmtId="41" fontId="0" fillId="0" borderId="0" xfId="0" applyNumberFormat="1"/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 wrapText="1"/>
    </xf>
    <xf numFmtId="0" fontId="0" fillId="0" borderId="15" xfId="0" applyBorder="1"/>
    <xf numFmtId="0" fontId="0" fillId="0" borderId="24" xfId="0" applyBorder="1" applyAlignment="1">
      <alignment horizontal="center" vertical="center"/>
    </xf>
    <xf numFmtId="9" fontId="2" fillId="0" borderId="25" xfId="3" applyFont="1" applyBorder="1" applyAlignment="1">
      <alignment horizontal="center"/>
    </xf>
    <xf numFmtId="9" fontId="2" fillId="0" borderId="26" xfId="3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7" fillId="0" borderId="22" xfId="3" applyFont="1" applyBorder="1" applyAlignment="1">
      <alignment horizontal="center"/>
    </xf>
    <xf numFmtId="10" fontId="7" fillId="0" borderId="25" xfId="3" applyNumberFormat="1" applyFont="1" applyBorder="1" applyAlignment="1">
      <alignment horizontal="center"/>
    </xf>
    <xf numFmtId="10" fontId="0" fillId="0" borderId="27" xfId="0" applyNumberFormat="1" applyBorder="1"/>
    <xf numFmtId="10" fontId="0" fillId="0" borderId="0" xfId="0" applyNumberFormat="1"/>
    <xf numFmtId="0" fontId="0" fillId="0" borderId="28" xfId="0" applyBorder="1"/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2" fillId="0" borderId="22" xfId="3" applyFont="1" applyBorder="1" applyAlignment="1">
      <alignment horizontal="center"/>
    </xf>
    <xf numFmtId="9" fontId="2" fillId="0" borderId="29" xfId="3" applyFont="1" applyBorder="1" applyAlignment="1">
      <alignment horizontal="center"/>
    </xf>
    <xf numFmtId="0" fontId="0" fillId="0" borderId="23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2" fillId="0" borderId="19" xfId="3" applyFont="1" applyBorder="1" applyAlignment="1">
      <alignment horizontal="center"/>
    </xf>
    <xf numFmtId="9" fontId="2" fillId="0" borderId="20" xfId="3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9" fontId="7" fillId="0" borderId="19" xfId="3" applyFont="1" applyBorder="1" applyAlignment="1">
      <alignment horizontal="center"/>
    </xf>
    <xf numFmtId="10" fontId="7" fillId="0" borderId="30" xfId="3" applyNumberFormat="1" applyFont="1" applyBorder="1" applyAlignment="1">
      <alignment horizontal="center"/>
    </xf>
    <xf numFmtId="0" fontId="8" fillId="4" borderId="8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right" wrapText="1"/>
    </xf>
    <xf numFmtId="0" fontId="9" fillId="2" borderId="25" xfId="0" applyFont="1" applyFill="1" applyBorder="1" applyAlignment="1">
      <alignment horizontal="right"/>
    </xf>
    <xf numFmtId="0" fontId="9" fillId="0" borderId="21" xfId="0" applyFont="1" applyBorder="1" applyAlignment="1">
      <alignment horizontal="right" wrapText="1"/>
    </xf>
    <xf numFmtId="9" fontId="9" fillId="2" borderId="22" xfId="0" applyNumberFormat="1" applyFont="1" applyFill="1" applyBorder="1" applyAlignment="1">
      <alignment horizontal="right"/>
    </xf>
    <xf numFmtId="0" fontId="9" fillId="0" borderId="17" xfId="0" applyFont="1" applyBorder="1" applyAlignment="1">
      <alignment horizontal="right" wrapText="1"/>
    </xf>
    <xf numFmtId="9" fontId="9" fillId="2" borderId="19" xfId="0" applyNumberFormat="1" applyFont="1" applyFill="1" applyBorder="1" applyAlignment="1">
      <alignment horizontal="right"/>
    </xf>
    <xf numFmtId="0" fontId="8" fillId="4" borderId="3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10" fontId="9" fillId="2" borderId="9" xfId="0" applyNumberFormat="1" applyFont="1" applyFill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10" fillId="5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/>
    </xf>
    <xf numFmtId="3" fontId="9" fillId="2" borderId="22" xfId="0" applyNumberFormat="1" applyFont="1" applyFill="1" applyBorder="1" applyAlignment="1">
      <alignment horizontal="right" vertical="center"/>
    </xf>
    <xf numFmtId="0" fontId="9" fillId="2" borderId="22" xfId="0" applyFont="1" applyFill="1" applyBorder="1" applyAlignment="1">
      <alignment vertical="center"/>
    </xf>
    <xf numFmtId="0" fontId="9" fillId="5" borderId="17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0" fillId="0" borderId="0" xfId="0" applyFont="1" applyAlignment="1">
      <alignment vertical="center"/>
    </xf>
  </cellXfs>
  <cellStyles count="4">
    <cellStyle name="Milliers" xfId="1" builtinId="3"/>
    <cellStyle name="Milliers [0]" xfId="2" builtinId="6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0</xdr:row>
      <xdr:rowOff>171450</xdr:rowOff>
    </xdr:from>
    <xdr:to>
      <xdr:col>12</xdr:col>
      <xdr:colOff>219076</xdr:colOff>
      <xdr:row>18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1756E8-0EBB-0858-33CB-A6AE014F1C73}"/>
            </a:ext>
          </a:extLst>
        </xdr:cNvPr>
        <xdr:cNvSpPr/>
      </xdr:nvSpPr>
      <xdr:spPr>
        <a:xfrm>
          <a:off x="1095376" y="171450"/>
          <a:ext cx="8267700" cy="3352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L’indemnité de fin de carrière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est versée au salarié quittant l’entreprise pour entrer en jouissance de sa pension de retraite.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Le montant de cette indemnité est fixé en pourcentage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. Il varie en fonction de l’ancienneté dans l’établissement suivant le barème ci-après sans que toutefois cette indemnité puisse être inférieure à trois mois de salaire (salaire de base plus ancienneté) :</a:t>
          </a:r>
        </a:p>
        <a:p>
          <a:pPr lvl="0"/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45%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de présence pour les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cinq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premières années ;</a:t>
          </a:r>
        </a:p>
        <a:p>
          <a:pPr lvl="0"/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50%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de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 6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à la 10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année de présence ;</a:t>
          </a:r>
        </a:p>
        <a:p>
          <a:pPr lvl="0"/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60%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au-delà de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 10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année.</a:t>
          </a:r>
        </a:p>
        <a:p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</a:p>
        <a:p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En cas de décès du travailleur en activité ou</a:t>
          </a:r>
          <a:r>
            <a:rPr lang="fr-FR" sz="1400" b="1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en cas de démission avant la sortie en retraite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, l’employeur est tenu de verser aux ayants droit / au salarié, une indemnité d’un montant calculé comme suit :</a:t>
          </a:r>
        </a:p>
        <a:p>
          <a:pPr lvl="0"/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35%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de présence pour les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cinq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premières années ;</a:t>
          </a:r>
        </a:p>
        <a:p>
          <a:pPr lvl="0"/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40%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de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 6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à la 10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année de présence ;</a:t>
          </a:r>
        </a:p>
        <a:p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45%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du salaire global mensuel moyen par année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au-delà de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la 10</a:t>
          </a:r>
          <a:r>
            <a:rPr lang="fr-FR" sz="1400" b="1" baseline="300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ème</a:t>
          </a:r>
          <a:r>
            <a:rPr lang="fr-FR" sz="1400" b="1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fr-FR" sz="14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année</a:t>
          </a:r>
          <a:endParaRPr lang="fr-FR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DA3DCC-B6C1-4CDD-A4D9-7270AFADDC9C}">
  <we:reference id="wa200007447" version="1.0.0.0" store="fr-FR" storeType="OMEX"/>
  <we:alternateReferences>
    <we:reference id="WA200007447" version="1.0.0.0" store="" storeType="OMEX"/>
  </we:alternateReferences>
  <we:properties>
    <we:property name="hello" value="{&quot;name&quot;:&quot;hello&quot;,&quot;code&quot;:&quot;def hello(name):\n    \&quot;\&quot;\&quot; Returns a greeting. \&quot;\&quot;\&quot;\n    return f\&quot;Hello {name}!\&quot;\n\n\n   \n\&quot;\&quot;\&quot;\n👈 Drag task pane open for space\n💾 Save to create Excel function\n▶️ Run in Excel: =HELLO(\&quot;World\&quot;)\n✨ Create a function using AI\n\n\nClick Run▶️ below to try =HELLO!\n\&quot;\&quot;\&quot;&quot;,&quot;options&quot;:{},&quot;signature&quot;:&quot;HELLO(name)&quot;,&quot;description&quot;:&quot;Returns a greeting.&quot;,&quot;resultLine&quot;:&quot;\n\nresult = hello(**{k: v for k, v in [(\&quot;name\&quot;, arg1 if arg1 != \&quot;__OMITTED__\&quot; else None)] if v is not None})&quot;,&quot;formula&quot;:&quot;=LAMBDA(name, BOARDFLARE.EXEC(\&quot;hello\&quot;,name))&quot;,&quot;execFormula&quot;:&quot;=BOARDFLARE.EXEC(\&quot;hello\&quot;, arg1)&quot;,&quot;timestamp&quot;:&quot;2025-07-15T14:09:19.227Z&quot;,&quot;uid&quot;:&quot;anonymous&quot;,&quot;parameters&quot;:[{&quot;name&quot;:&quot;name&quot;}],&quot;imports&quot;:[],&quot;external_packages&quot;:[]}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323E-09D1-4859-870C-5A64ED93E401}">
  <dimension ref="A1:R423"/>
  <sheetViews>
    <sheetView showGridLines="0" tabSelected="1" topLeftCell="C1" workbookViewId="0">
      <selection activeCell="E11" sqref="E11"/>
    </sheetView>
  </sheetViews>
  <sheetFormatPr baseColWidth="10" defaultColWidth="9.140625" defaultRowHeight="15" x14ac:dyDescent="0.25"/>
  <cols>
    <col min="1" max="1" width="27.5703125" bestFit="1" customWidth="1"/>
    <col min="2" max="2" width="16.85546875" bestFit="1" customWidth="1"/>
    <col min="3" max="3" width="27" bestFit="1" customWidth="1"/>
    <col min="4" max="4" width="63" bestFit="1" customWidth="1"/>
    <col min="5" max="5" width="11.28515625" bestFit="1" customWidth="1"/>
  </cols>
  <sheetData>
    <row r="1" spans="1:5" s="4" customFormat="1" ht="15.75" thickBot="1" x14ac:dyDescent="0.3">
      <c r="A1" s="1" t="s">
        <v>0</v>
      </c>
      <c r="B1" s="2" t="s">
        <v>1</v>
      </c>
      <c r="C1" s="2" t="s">
        <v>2</v>
      </c>
      <c r="D1" s="3" t="s">
        <v>372</v>
      </c>
    </row>
    <row r="2" spans="1:5" x14ac:dyDescent="0.25">
      <c r="A2" s="5" t="str">
        <f>"0002"</f>
        <v>0002</v>
      </c>
      <c r="B2" s="6">
        <v>24160</v>
      </c>
      <c r="C2" s="6">
        <v>36241</v>
      </c>
      <c r="D2" s="7">
        <v>309232.53600000002</v>
      </c>
      <c r="E2" s="19"/>
    </row>
    <row r="3" spans="1:5" x14ac:dyDescent="0.25">
      <c r="A3" s="9" t="str">
        <f>"0007"</f>
        <v>0007</v>
      </c>
      <c r="B3" s="10">
        <v>26368</v>
      </c>
      <c r="C3" s="10">
        <v>36241</v>
      </c>
      <c r="D3" s="7">
        <v>242854.296</v>
      </c>
      <c r="E3" s="19"/>
    </row>
    <row r="4" spans="1:5" x14ac:dyDescent="0.25">
      <c r="A4" s="9" t="str">
        <f>"0009"</f>
        <v>0009</v>
      </c>
      <c r="B4" s="10" t="s">
        <v>3</v>
      </c>
      <c r="C4" s="10">
        <v>36241</v>
      </c>
      <c r="D4" s="7">
        <v>360756</v>
      </c>
      <c r="E4" s="19"/>
    </row>
    <row r="5" spans="1:5" x14ac:dyDescent="0.25">
      <c r="A5" s="9" t="str">
        <f>"0010"</f>
        <v>0010</v>
      </c>
      <c r="B5" s="10" t="s">
        <v>4</v>
      </c>
      <c r="C5" s="10">
        <v>36305</v>
      </c>
      <c r="D5" s="7">
        <v>209363.25599999999</v>
      </c>
      <c r="E5" s="19"/>
    </row>
    <row r="6" spans="1:5" x14ac:dyDescent="0.25">
      <c r="A6" s="9" t="str">
        <f>"0015"</f>
        <v>0015</v>
      </c>
      <c r="B6" s="10" t="s">
        <v>5</v>
      </c>
      <c r="C6" s="10">
        <v>36465</v>
      </c>
      <c r="D6" s="7">
        <v>197178.45600000001</v>
      </c>
      <c r="E6" s="19"/>
    </row>
    <row r="7" spans="1:5" x14ac:dyDescent="0.25">
      <c r="A7" s="9" t="str">
        <f>"0019"</f>
        <v>0019</v>
      </c>
      <c r="B7" s="10" t="s">
        <v>6</v>
      </c>
      <c r="C7" s="10">
        <v>36509</v>
      </c>
      <c r="D7" s="7">
        <v>138414.12</v>
      </c>
      <c r="E7" s="19"/>
    </row>
    <row r="8" spans="1:5" x14ac:dyDescent="0.25">
      <c r="A8" s="9" t="str">
        <f>"0023"</f>
        <v>0023</v>
      </c>
      <c r="B8" s="10" t="s">
        <v>7</v>
      </c>
      <c r="C8" s="10">
        <v>36617</v>
      </c>
      <c r="D8" s="7">
        <v>510483.79200000002</v>
      </c>
      <c r="E8" s="19"/>
    </row>
    <row r="9" spans="1:5" x14ac:dyDescent="0.25">
      <c r="A9" s="9" t="str">
        <f>"0024"</f>
        <v>0024</v>
      </c>
      <c r="B9" s="10" t="s">
        <v>8</v>
      </c>
      <c r="C9" s="10">
        <v>36617</v>
      </c>
      <c r="D9" s="7">
        <v>232711.848</v>
      </c>
      <c r="E9" s="19"/>
    </row>
    <row r="10" spans="1:5" x14ac:dyDescent="0.25">
      <c r="A10" s="9" t="str">
        <f>"0027"</f>
        <v>0027</v>
      </c>
      <c r="B10" s="10" t="s">
        <v>9</v>
      </c>
      <c r="C10" s="10">
        <v>36664</v>
      </c>
      <c r="D10" s="7">
        <v>462246.74400000001</v>
      </c>
      <c r="E10" s="19"/>
    </row>
    <row r="11" spans="1:5" x14ac:dyDescent="0.25">
      <c r="A11" s="9" t="str">
        <f>"0029"</f>
        <v>0029</v>
      </c>
      <c r="B11" s="10" t="s">
        <v>10</v>
      </c>
      <c r="C11" s="10">
        <v>36668</v>
      </c>
      <c r="D11" s="7">
        <v>742608.16800000006</v>
      </c>
      <c r="E11" s="19"/>
    </row>
    <row r="12" spans="1:5" x14ac:dyDescent="0.25">
      <c r="A12" s="9" t="str">
        <f>"0031"</f>
        <v>0031</v>
      </c>
      <c r="B12" s="10" t="s">
        <v>11</v>
      </c>
      <c r="C12" s="10">
        <v>36712</v>
      </c>
      <c r="D12" s="7">
        <v>203071.63200000001</v>
      </c>
      <c r="E12" s="19"/>
    </row>
    <row r="13" spans="1:5" x14ac:dyDescent="0.25">
      <c r="A13" s="9" t="str">
        <f>"0032"</f>
        <v>0032</v>
      </c>
      <c r="B13" s="10" t="s">
        <v>12</v>
      </c>
      <c r="C13" s="10">
        <v>36710</v>
      </c>
      <c r="D13" s="7">
        <v>508440.984</v>
      </c>
      <c r="E13" s="19"/>
    </row>
    <row r="14" spans="1:5" x14ac:dyDescent="0.25">
      <c r="A14" s="9" t="str">
        <f>"0033"</f>
        <v>0033</v>
      </c>
      <c r="B14" s="10" t="s">
        <v>13</v>
      </c>
      <c r="C14" s="10">
        <v>36713</v>
      </c>
      <c r="D14" s="7">
        <v>1463985.6</v>
      </c>
      <c r="E14" s="19"/>
    </row>
    <row r="15" spans="1:5" x14ac:dyDescent="0.25">
      <c r="A15" s="9" t="str">
        <f>"0050"</f>
        <v>0050</v>
      </c>
      <c r="B15" s="10" t="s">
        <v>7</v>
      </c>
      <c r="C15" s="10">
        <v>36850</v>
      </c>
      <c r="D15" s="7">
        <v>255850.60800000001</v>
      </c>
      <c r="E15" s="19"/>
    </row>
    <row r="16" spans="1:5" x14ac:dyDescent="0.25">
      <c r="A16" s="9" t="str">
        <f>"0052"</f>
        <v>0052</v>
      </c>
      <c r="B16" s="10" t="s">
        <v>14</v>
      </c>
      <c r="C16" s="10">
        <v>36850</v>
      </c>
      <c r="D16" s="7">
        <v>315513.31200000003</v>
      </c>
      <c r="E16" s="19"/>
    </row>
    <row r="17" spans="1:5" x14ac:dyDescent="0.25">
      <c r="A17" s="9" t="str">
        <f>"0053"</f>
        <v>0053</v>
      </c>
      <c r="B17" s="10" t="s">
        <v>15</v>
      </c>
      <c r="C17" s="10">
        <v>36850</v>
      </c>
      <c r="D17" s="7">
        <v>283449.31200000003</v>
      </c>
      <c r="E17" s="19"/>
    </row>
    <row r="18" spans="1:5" x14ac:dyDescent="0.25">
      <c r="A18" s="9" t="str">
        <f>"0054"</f>
        <v>0054</v>
      </c>
      <c r="B18" s="10" t="s">
        <v>16</v>
      </c>
      <c r="C18" s="10">
        <v>36864</v>
      </c>
      <c r="D18" s="7">
        <v>449800.272</v>
      </c>
      <c r="E18" s="19"/>
    </row>
    <row r="19" spans="1:5" x14ac:dyDescent="0.25">
      <c r="A19" s="9" t="str">
        <f>"0055"</f>
        <v>0055</v>
      </c>
      <c r="B19" s="10" t="s">
        <v>11</v>
      </c>
      <c r="C19" s="10">
        <v>36864</v>
      </c>
      <c r="D19" s="7">
        <v>445024.8</v>
      </c>
      <c r="E19" s="19"/>
    </row>
    <row r="20" spans="1:5" x14ac:dyDescent="0.25">
      <c r="A20" s="9" t="str">
        <f>"0059"</f>
        <v>0059</v>
      </c>
      <c r="B20" s="10" t="s">
        <v>17</v>
      </c>
      <c r="C20" s="10">
        <v>36901</v>
      </c>
      <c r="D20" s="7">
        <v>332041.10399999999</v>
      </c>
      <c r="E20" s="19"/>
    </row>
    <row r="21" spans="1:5" x14ac:dyDescent="0.25">
      <c r="A21" s="9" t="str">
        <f>"005M"</f>
        <v>005M</v>
      </c>
      <c r="B21" s="10" t="s">
        <v>18</v>
      </c>
      <c r="C21" s="10">
        <v>36678</v>
      </c>
      <c r="D21" s="7">
        <v>784974.28800000006</v>
      </c>
      <c r="E21" s="19"/>
    </row>
    <row r="22" spans="1:5" x14ac:dyDescent="0.25">
      <c r="A22" s="9" t="str">
        <f>"0063"</f>
        <v>0063</v>
      </c>
      <c r="B22" s="10" t="s">
        <v>19</v>
      </c>
      <c r="C22" s="10">
        <v>36944</v>
      </c>
      <c r="D22" s="7">
        <v>189462.19200000001</v>
      </c>
      <c r="E22" s="19"/>
    </row>
    <row r="23" spans="1:5" x14ac:dyDescent="0.25">
      <c r="A23" s="9" t="str">
        <f>"0064"</f>
        <v>0064</v>
      </c>
      <c r="B23" s="10" t="s">
        <v>20</v>
      </c>
      <c r="C23" s="10">
        <v>36944</v>
      </c>
      <c r="D23" s="7">
        <v>232244.448</v>
      </c>
      <c r="E23" s="19"/>
    </row>
    <row r="24" spans="1:5" x14ac:dyDescent="0.25">
      <c r="A24" s="9" t="str">
        <f>"0066"</f>
        <v>0066</v>
      </c>
      <c r="B24" s="10" t="s">
        <v>21</v>
      </c>
      <c r="C24" s="10">
        <v>37013</v>
      </c>
      <c r="D24" s="7">
        <v>422311.728</v>
      </c>
      <c r="E24" s="19"/>
    </row>
    <row r="25" spans="1:5" x14ac:dyDescent="0.25">
      <c r="A25" s="9" t="str">
        <f>"0068"</f>
        <v>0068</v>
      </c>
      <c r="B25" s="10" t="s">
        <v>22</v>
      </c>
      <c r="C25" s="10">
        <v>37026</v>
      </c>
      <c r="D25" s="7">
        <v>467578.77600000001</v>
      </c>
      <c r="E25" s="19"/>
    </row>
    <row r="26" spans="1:5" x14ac:dyDescent="0.25">
      <c r="A26" s="9" t="str">
        <f>"0069"</f>
        <v>0069</v>
      </c>
      <c r="B26" s="10" t="s">
        <v>23</v>
      </c>
      <c r="C26" s="10">
        <v>37027</v>
      </c>
      <c r="D26" s="7">
        <v>631383.74400000006</v>
      </c>
      <c r="E26" s="19"/>
    </row>
    <row r="27" spans="1:5" x14ac:dyDescent="0.25">
      <c r="A27" s="9" t="str">
        <f>"0070"</f>
        <v>0070</v>
      </c>
      <c r="B27" s="10" t="s">
        <v>24</v>
      </c>
      <c r="C27" s="10">
        <v>36739</v>
      </c>
      <c r="D27" s="7">
        <v>464505.31200000003</v>
      </c>
      <c r="E27" s="19"/>
    </row>
    <row r="28" spans="1:5" x14ac:dyDescent="0.25">
      <c r="A28" s="9" t="str">
        <f>"0071"</f>
        <v>0071</v>
      </c>
      <c r="B28" s="10" t="s">
        <v>25</v>
      </c>
      <c r="C28" s="10">
        <v>36739</v>
      </c>
      <c r="D28" s="7">
        <v>642218.88</v>
      </c>
      <c r="E28" s="19"/>
    </row>
    <row r="29" spans="1:5" x14ac:dyDescent="0.25">
      <c r="A29" s="9" t="str">
        <f>"0077"</f>
        <v>0077</v>
      </c>
      <c r="B29" s="10" t="s">
        <v>26</v>
      </c>
      <c r="C29" s="10">
        <v>36739</v>
      </c>
      <c r="D29" s="7">
        <v>211149.50400000002</v>
      </c>
      <c r="E29" s="19"/>
    </row>
    <row r="30" spans="1:5" x14ac:dyDescent="0.25">
      <c r="A30" s="9" t="str">
        <f>"0085"</f>
        <v>0085</v>
      </c>
      <c r="B30" s="10" t="s">
        <v>27</v>
      </c>
      <c r="C30" s="10">
        <v>37137</v>
      </c>
      <c r="D30" s="7">
        <v>291253.36800000002</v>
      </c>
      <c r="E30" s="19"/>
    </row>
    <row r="31" spans="1:5" x14ac:dyDescent="0.25">
      <c r="A31" s="9" t="str">
        <f>"0088"</f>
        <v>0088</v>
      </c>
      <c r="B31" s="10" t="s">
        <v>3</v>
      </c>
      <c r="C31" s="10">
        <v>37137</v>
      </c>
      <c r="D31" s="7">
        <v>204006.6</v>
      </c>
      <c r="E31" s="19"/>
    </row>
    <row r="32" spans="1:5" x14ac:dyDescent="0.25">
      <c r="A32" s="9" t="str">
        <f>"0089"</f>
        <v>0089</v>
      </c>
      <c r="B32" s="10" t="s">
        <v>28</v>
      </c>
      <c r="C32" s="10">
        <v>37165</v>
      </c>
      <c r="D32" s="7">
        <v>482161.58400000003</v>
      </c>
      <c r="E32" s="19"/>
    </row>
    <row r="33" spans="1:5" x14ac:dyDescent="0.25">
      <c r="A33" s="9" t="str">
        <f>"0091"</f>
        <v>0091</v>
      </c>
      <c r="B33" s="10" t="s">
        <v>29</v>
      </c>
      <c r="C33" s="10">
        <v>37165</v>
      </c>
      <c r="D33" s="7">
        <v>443598.74400000001</v>
      </c>
      <c r="E33" s="19"/>
    </row>
    <row r="34" spans="1:5" x14ac:dyDescent="0.25">
      <c r="A34" s="9" t="str">
        <f>"0094"</f>
        <v>0094</v>
      </c>
      <c r="B34" s="10" t="s">
        <v>30</v>
      </c>
      <c r="C34" s="10">
        <v>37196</v>
      </c>
      <c r="D34" s="7">
        <v>143092.03200000001</v>
      </c>
      <c r="E34" s="19"/>
    </row>
    <row r="35" spans="1:5" x14ac:dyDescent="0.25">
      <c r="A35" s="9" t="str">
        <f>"0097"</f>
        <v>0097</v>
      </c>
      <c r="B35" s="10" t="s">
        <v>31</v>
      </c>
      <c r="C35" s="10">
        <v>37207</v>
      </c>
      <c r="D35" s="7">
        <v>197035.82399999999</v>
      </c>
      <c r="E35" s="19"/>
    </row>
    <row r="36" spans="1:5" x14ac:dyDescent="0.25">
      <c r="A36" s="9" t="str">
        <f>"0099"</f>
        <v>0099</v>
      </c>
      <c r="B36" s="10" t="s">
        <v>32</v>
      </c>
      <c r="C36" s="10">
        <v>37215</v>
      </c>
      <c r="D36" s="7">
        <v>225186.91200000001</v>
      </c>
      <c r="E36" s="19"/>
    </row>
    <row r="37" spans="1:5" x14ac:dyDescent="0.25">
      <c r="A37" s="9" t="str">
        <f>"009M"</f>
        <v>009M</v>
      </c>
      <c r="B37" s="10" t="s">
        <v>33</v>
      </c>
      <c r="C37" s="10">
        <v>36678</v>
      </c>
      <c r="D37" s="7">
        <v>810915.576</v>
      </c>
      <c r="E37" s="19"/>
    </row>
    <row r="38" spans="1:5" x14ac:dyDescent="0.25">
      <c r="A38" s="9" t="str">
        <f>"0107"</f>
        <v>0107</v>
      </c>
      <c r="B38" s="10" t="s">
        <v>34</v>
      </c>
      <c r="C38" s="11">
        <v>37347</v>
      </c>
      <c r="D38" s="7">
        <v>377899.82400000002</v>
      </c>
      <c r="E38" s="19"/>
    </row>
    <row r="39" spans="1:5" x14ac:dyDescent="0.25">
      <c r="A39" s="9" t="str">
        <f>"0109"</f>
        <v>0109</v>
      </c>
      <c r="B39" s="10" t="s">
        <v>35</v>
      </c>
      <c r="C39" s="10">
        <v>37347</v>
      </c>
      <c r="D39" s="7">
        <v>176283.33600000001</v>
      </c>
      <c r="E39" s="19"/>
    </row>
    <row r="40" spans="1:5" x14ac:dyDescent="0.25">
      <c r="A40" s="9" t="str">
        <f>"0111"</f>
        <v>0111</v>
      </c>
      <c r="B40" s="10" t="s">
        <v>36</v>
      </c>
      <c r="C40" s="10">
        <v>37377</v>
      </c>
      <c r="D40" s="7">
        <v>675745.89600000007</v>
      </c>
      <c r="E40" s="19"/>
    </row>
    <row r="41" spans="1:5" x14ac:dyDescent="0.25">
      <c r="A41" s="9" t="str">
        <f>"0126"</f>
        <v>0126</v>
      </c>
      <c r="B41" s="10" t="s">
        <v>37</v>
      </c>
      <c r="C41" s="11">
        <v>37442</v>
      </c>
      <c r="D41" s="7">
        <v>888307.08000000007</v>
      </c>
      <c r="E41" s="19"/>
    </row>
    <row r="42" spans="1:5" x14ac:dyDescent="0.25">
      <c r="A42" s="9" t="str">
        <f>"0127"</f>
        <v>0127</v>
      </c>
      <c r="B42" s="10" t="s">
        <v>38</v>
      </c>
      <c r="C42" s="10">
        <v>37442</v>
      </c>
      <c r="D42" s="7">
        <v>466833.36</v>
      </c>
      <c r="E42" s="19"/>
    </row>
    <row r="43" spans="1:5" x14ac:dyDescent="0.25">
      <c r="A43" s="9" t="str">
        <f>"0131"</f>
        <v>0131</v>
      </c>
      <c r="B43" s="10" t="s">
        <v>39</v>
      </c>
      <c r="C43" s="10">
        <v>37442</v>
      </c>
      <c r="D43" s="7">
        <v>546545.76</v>
      </c>
      <c r="E43" s="19"/>
    </row>
    <row r="44" spans="1:5" x14ac:dyDescent="0.25">
      <c r="A44" s="9" t="str">
        <f>"0132"</f>
        <v>0132</v>
      </c>
      <c r="B44" s="10" t="s">
        <v>40</v>
      </c>
      <c r="C44" s="10">
        <v>37514</v>
      </c>
      <c r="D44" s="7">
        <v>674072.64</v>
      </c>
      <c r="E44" s="19"/>
    </row>
    <row r="45" spans="1:5" x14ac:dyDescent="0.25">
      <c r="A45" s="9" t="str">
        <f>"0136"</f>
        <v>0136</v>
      </c>
      <c r="B45" s="10" t="s">
        <v>41</v>
      </c>
      <c r="C45" s="10">
        <v>37438</v>
      </c>
      <c r="D45" s="7">
        <v>1503932.0160000001</v>
      </c>
      <c r="E45" s="19"/>
    </row>
    <row r="46" spans="1:5" x14ac:dyDescent="0.25">
      <c r="A46" s="9" t="str">
        <f>"0141"</f>
        <v>0141</v>
      </c>
      <c r="B46" s="10" t="s">
        <v>42</v>
      </c>
      <c r="C46" s="10">
        <v>37501</v>
      </c>
      <c r="D46" s="7">
        <v>420397.99200000003</v>
      </c>
      <c r="E46" s="19"/>
    </row>
    <row r="47" spans="1:5" x14ac:dyDescent="0.25">
      <c r="A47" s="9" t="str">
        <f>"0149"</f>
        <v>0149</v>
      </c>
      <c r="B47" s="10" t="s">
        <v>43</v>
      </c>
      <c r="C47" s="10">
        <v>37591</v>
      </c>
      <c r="D47" s="7">
        <v>375154.08</v>
      </c>
      <c r="E47" s="19"/>
    </row>
    <row r="48" spans="1:5" x14ac:dyDescent="0.25">
      <c r="A48" s="9" t="str">
        <f>"0158"</f>
        <v>0158</v>
      </c>
      <c r="B48" s="10" t="s">
        <v>44</v>
      </c>
      <c r="C48" s="10">
        <v>37695</v>
      </c>
      <c r="D48" s="7">
        <v>232188.91200000001</v>
      </c>
      <c r="E48" s="19"/>
    </row>
    <row r="49" spans="1:5" x14ac:dyDescent="0.25">
      <c r="A49" s="9" t="str">
        <f>"0159"</f>
        <v>0159</v>
      </c>
      <c r="B49" s="10" t="s">
        <v>45</v>
      </c>
      <c r="C49" s="10">
        <v>37695</v>
      </c>
      <c r="D49" s="7">
        <v>241210.08000000002</v>
      </c>
      <c r="E49" s="19"/>
    </row>
    <row r="50" spans="1:5" x14ac:dyDescent="0.25">
      <c r="A50" s="9" t="str">
        <f>"0161"</f>
        <v>0161</v>
      </c>
      <c r="B50" s="10" t="s">
        <v>46</v>
      </c>
      <c r="C50" s="10">
        <v>37695</v>
      </c>
      <c r="D50" s="7">
        <v>255683.92800000001</v>
      </c>
      <c r="E50" s="19"/>
    </row>
    <row r="51" spans="1:5" x14ac:dyDescent="0.25">
      <c r="A51" s="9" t="str">
        <f>"0163"</f>
        <v>0163</v>
      </c>
      <c r="B51" s="10" t="s">
        <v>47</v>
      </c>
      <c r="C51" s="10">
        <v>37695</v>
      </c>
      <c r="D51" s="7">
        <v>278781.696</v>
      </c>
      <c r="E51" s="19"/>
    </row>
    <row r="52" spans="1:5" x14ac:dyDescent="0.25">
      <c r="A52" s="9" t="str">
        <f>"0164"</f>
        <v>0164</v>
      </c>
      <c r="B52" s="10" t="s">
        <v>48</v>
      </c>
      <c r="C52" s="10">
        <v>37695</v>
      </c>
      <c r="D52" s="7">
        <v>282843.31200000003</v>
      </c>
      <c r="E52" s="19"/>
    </row>
    <row r="53" spans="1:5" x14ac:dyDescent="0.25">
      <c r="A53" s="9" t="str">
        <f>"0166"</f>
        <v>0166</v>
      </c>
      <c r="B53" s="10" t="s">
        <v>49</v>
      </c>
      <c r="C53" s="10">
        <v>37695</v>
      </c>
      <c r="D53" s="7">
        <v>387437.23200000002</v>
      </c>
      <c r="E53" s="19"/>
    </row>
    <row r="54" spans="1:5" x14ac:dyDescent="0.25">
      <c r="A54" s="9" t="str">
        <f>"0169"</f>
        <v>0169</v>
      </c>
      <c r="B54" s="10" t="s">
        <v>50</v>
      </c>
      <c r="C54" s="10">
        <v>37695</v>
      </c>
      <c r="D54" s="7">
        <v>276258.64799999999</v>
      </c>
      <c r="E54" s="19"/>
    </row>
    <row r="55" spans="1:5" x14ac:dyDescent="0.25">
      <c r="A55" s="9" t="str">
        <f>"016M"</f>
        <v>016M</v>
      </c>
      <c r="B55" s="10" t="s">
        <v>51</v>
      </c>
      <c r="C55" s="10">
        <v>36678</v>
      </c>
      <c r="D55" s="7">
        <v>527188.848</v>
      </c>
      <c r="E55" s="19"/>
    </row>
    <row r="56" spans="1:5" x14ac:dyDescent="0.25">
      <c r="A56" s="9" t="str">
        <f>"0170"</f>
        <v>0170</v>
      </c>
      <c r="B56" s="10" t="s">
        <v>52</v>
      </c>
      <c r="C56" s="10">
        <v>37695</v>
      </c>
      <c r="D56" s="7">
        <v>371184.31200000003</v>
      </c>
      <c r="E56" s="19"/>
    </row>
    <row r="57" spans="1:5" x14ac:dyDescent="0.25">
      <c r="A57" s="9" t="str">
        <f>"0171"</f>
        <v>0171</v>
      </c>
      <c r="B57" s="10" t="s">
        <v>53</v>
      </c>
      <c r="C57" s="10">
        <v>37695</v>
      </c>
      <c r="D57" s="7">
        <v>202114.416</v>
      </c>
      <c r="E57" s="19"/>
    </row>
    <row r="58" spans="1:5" x14ac:dyDescent="0.25">
      <c r="A58" s="9" t="str">
        <f>"0172"</f>
        <v>0172</v>
      </c>
      <c r="B58" s="10" t="s">
        <v>54</v>
      </c>
      <c r="C58" s="10">
        <v>37695</v>
      </c>
      <c r="D58" s="7">
        <v>233954.54399999999</v>
      </c>
      <c r="E58" s="19"/>
    </row>
    <row r="59" spans="1:5" x14ac:dyDescent="0.25">
      <c r="A59" s="9" t="str">
        <f>"0175"</f>
        <v>0175</v>
      </c>
      <c r="B59" s="10" t="s">
        <v>55</v>
      </c>
      <c r="C59" s="10">
        <v>37627</v>
      </c>
      <c r="D59" s="7">
        <v>590217.74400000006</v>
      </c>
      <c r="E59" s="19"/>
    </row>
    <row r="60" spans="1:5" x14ac:dyDescent="0.25">
      <c r="A60" s="9" t="str">
        <f>"0180"</f>
        <v>0180</v>
      </c>
      <c r="B60" s="10" t="s">
        <v>56</v>
      </c>
      <c r="C60" s="10">
        <v>37641</v>
      </c>
      <c r="D60" s="7">
        <v>1926544.5120000001</v>
      </c>
      <c r="E60" s="19"/>
    </row>
    <row r="61" spans="1:5" x14ac:dyDescent="0.25">
      <c r="A61" s="9" t="str">
        <f>"0186"</f>
        <v>0186</v>
      </c>
      <c r="B61" s="10" t="s">
        <v>57</v>
      </c>
      <c r="C61" s="10">
        <v>37712</v>
      </c>
      <c r="D61" s="7">
        <v>1509662.328</v>
      </c>
      <c r="E61" s="19"/>
    </row>
    <row r="62" spans="1:5" x14ac:dyDescent="0.25">
      <c r="A62" s="9" t="str">
        <f>"0189"</f>
        <v>0189</v>
      </c>
      <c r="B62" s="10" t="s">
        <v>58</v>
      </c>
      <c r="C62" s="10">
        <v>37712</v>
      </c>
      <c r="D62" s="7">
        <v>985577.56799999997</v>
      </c>
      <c r="E62" s="19"/>
    </row>
    <row r="63" spans="1:5" x14ac:dyDescent="0.25">
      <c r="A63" s="9" t="str">
        <f>"0192"</f>
        <v>0192</v>
      </c>
      <c r="B63" s="10" t="s">
        <v>59</v>
      </c>
      <c r="C63" s="10">
        <v>37748</v>
      </c>
      <c r="D63" s="7">
        <v>408510.84</v>
      </c>
      <c r="E63" s="19"/>
    </row>
    <row r="64" spans="1:5" x14ac:dyDescent="0.25">
      <c r="A64" s="9" t="str">
        <f>"0194"</f>
        <v>0194</v>
      </c>
      <c r="B64" s="10" t="s">
        <v>60</v>
      </c>
      <c r="C64" s="10">
        <v>37774</v>
      </c>
      <c r="D64" s="7">
        <v>466652.97600000002</v>
      </c>
      <c r="E64" s="19"/>
    </row>
    <row r="65" spans="1:5" x14ac:dyDescent="0.25">
      <c r="A65" s="9" t="str">
        <f>"0195"</f>
        <v>0195</v>
      </c>
      <c r="B65" s="10" t="s">
        <v>61</v>
      </c>
      <c r="C65" s="10">
        <v>37787</v>
      </c>
      <c r="D65" s="7">
        <v>171460.68</v>
      </c>
      <c r="E65" s="19"/>
    </row>
    <row r="66" spans="1:5" x14ac:dyDescent="0.25">
      <c r="A66" s="9" t="str">
        <f>"0199"</f>
        <v>0199</v>
      </c>
      <c r="B66" s="10" t="s">
        <v>61</v>
      </c>
      <c r="C66" s="10">
        <v>37834</v>
      </c>
      <c r="D66" s="7">
        <v>323166.48</v>
      </c>
      <c r="E66" s="19"/>
    </row>
    <row r="67" spans="1:5" x14ac:dyDescent="0.25">
      <c r="A67" s="9" t="str">
        <f>"0201"</f>
        <v>0201</v>
      </c>
      <c r="B67" s="10" t="s">
        <v>62</v>
      </c>
      <c r="C67" s="10">
        <v>37959</v>
      </c>
      <c r="D67" s="7">
        <v>1483812</v>
      </c>
      <c r="E67" s="19"/>
    </row>
    <row r="68" spans="1:5" x14ac:dyDescent="0.25">
      <c r="A68" s="9" t="str">
        <f>"0203"</f>
        <v>0203</v>
      </c>
      <c r="B68" s="10" t="s">
        <v>63</v>
      </c>
      <c r="C68" s="10">
        <v>37895</v>
      </c>
      <c r="D68" s="7">
        <v>261289.24799999999</v>
      </c>
      <c r="E68" s="19"/>
    </row>
    <row r="69" spans="1:5" x14ac:dyDescent="0.25">
      <c r="A69" s="9" t="str">
        <f>"0204"</f>
        <v>0204</v>
      </c>
      <c r="B69" s="10" t="s">
        <v>64</v>
      </c>
      <c r="C69" s="10">
        <v>37895</v>
      </c>
      <c r="D69" s="7">
        <v>175015.46400000001</v>
      </c>
      <c r="E69" s="19"/>
    </row>
    <row r="70" spans="1:5" x14ac:dyDescent="0.25">
      <c r="A70" s="9" t="str">
        <f>"0208"</f>
        <v>0208</v>
      </c>
      <c r="B70" s="10" t="s">
        <v>65</v>
      </c>
      <c r="C70" s="10">
        <v>38027</v>
      </c>
      <c r="D70" s="7">
        <v>154458.21600000001</v>
      </c>
      <c r="E70" s="19"/>
    </row>
    <row r="71" spans="1:5" x14ac:dyDescent="0.25">
      <c r="A71" s="9" t="str">
        <f>"0209"</f>
        <v>0209</v>
      </c>
      <c r="B71" s="10" t="s">
        <v>66</v>
      </c>
      <c r="C71" s="10">
        <v>38026</v>
      </c>
      <c r="D71" s="7">
        <v>253676.18400000001</v>
      </c>
      <c r="E71" s="19"/>
    </row>
    <row r="72" spans="1:5" x14ac:dyDescent="0.25">
      <c r="A72" s="9" t="str">
        <f>"0210"</f>
        <v>0210</v>
      </c>
      <c r="B72" s="10" t="s">
        <v>67</v>
      </c>
      <c r="C72" s="10">
        <v>38027</v>
      </c>
      <c r="D72" s="7">
        <v>236224.51200000002</v>
      </c>
      <c r="E72" s="19"/>
    </row>
    <row r="73" spans="1:5" x14ac:dyDescent="0.25">
      <c r="A73" s="9" t="str">
        <f>"0214"</f>
        <v>0214</v>
      </c>
      <c r="B73" s="10" t="s">
        <v>68</v>
      </c>
      <c r="C73" s="10">
        <v>38040</v>
      </c>
      <c r="D73" s="7">
        <v>320181.04800000001</v>
      </c>
      <c r="E73" s="19"/>
    </row>
    <row r="74" spans="1:5" x14ac:dyDescent="0.25">
      <c r="A74" s="9" t="str">
        <f>"0218"</f>
        <v>0218</v>
      </c>
      <c r="B74" s="10" t="s">
        <v>69</v>
      </c>
      <c r="C74" s="10">
        <v>38110</v>
      </c>
      <c r="D74" s="7">
        <v>380728.44</v>
      </c>
      <c r="E74" s="19"/>
    </row>
    <row r="75" spans="1:5" x14ac:dyDescent="0.25">
      <c r="A75" s="9" t="str">
        <f>"0223"</f>
        <v>0223</v>
      </c>
      <c r="B75" s="10" t="s">
        <v>70</v>
      </c>
      <c r="C75" s="10">
        <v>38148</v>
      </c>
      <c r="D75" s="7">
        <v>243210.144</v>
      </c>
      <c r="E75" s="19"/>
    </row>
    <row r="76" spans="1:5" x14ac:dyDescent="0.25">
      <c r="A76" s="9" t="str">
        <f>"0224"</f>
        <v>0224</v>
      </c>
      <c r="B76" s="10" t="s">
        <v>71</v>
      </c>
      <c r="C76" s="10">
        <v>38146</v>
      </c>
      <c r="D76" s="7">
        <v>286498.56</v>
      </c>
      <c r="E76" s="19"/>
    </row>
    <row r="77" spans="1:5" x14ac:dyDescent="0.25">
      <c r="A77" s="9" t="str">
        <f>"0228"</f>
        <v>0228</v>
      </c>
      <c r="B77" s="10" t="s">
        <v>72</v>
      </c>
      <c r="C77" s="10">
        <v>38265</v>
      </c>
      <c r="D77" s="7">
        <v>128434.776</v>
      </c>
      <c r="E77" s="19"/>
    </row>
    <row r="78" spans="1:5" x14ac:dyDescent="0.25">
      <c r="A78" s="9" t="str">
        <f>"0230"</f>
        <v>0230</v>
      </c>
      <c r="B78" s="10" t="s">
        <v>73</v>
      </c>
      <c r="C78" s="10">
        <v>38295</v>
      </c>
      <c r="D78" s="7">
        <v>740969.06400000001</v>
      </c>
      <c r="E78" s="19"/>
    </row>
    <row r="79" spans="1:5" x14ac:dyDescent="0.25">
      <c r="A79" s="9" t="str">
        <f>"0232"</f>
        <v>0232</v>
      </c>
      <c r="B79" s="10" t="s">
        <v>74</v>
      </c>
      <c r="C79" s="10">
        <v>38322</v>
      </c>
      <c r="D79" s="7">
        <v>106882.53600000001</v>
      </c>
      <c r="E79" s="19"/>
    </row>
    <row r="80" spans="1:5" x14ac:dyDescent="0.25">
      <c r="A80" s="9" t="str">
        <f>"0242"</f>
        <v>0242</v>
      </c>
      <c r="B80" s="10" t="s">
        <v>75</v>
      </c>
      <c r="C80" s="10">
        <v>38551</v>
      </c>
      <c r="D80" s="7">
        <v>583414.272</v>
      </c>
      <c r="E80" s="19"/>
    </row>
    <row r="81" spans="1:5" x14ac:dyDescent="0.25">
      <c r="A81" s="9" t="str">
        <f>"0245"</f>
        <v>0245</v>
      </c>
      <c r="B81" s="10" t="s">
        <v>76</v>
      </c>
      <c r="C81" s="10">
        <v>38551</v>
      </c>
      <c r="D81" s="7">
        <v>353127.76799999998</v>
      </c>
      <c r="E81" s="19"/>
    </row>
    <row r="82" spans="1:5" x14ac:dyDescent="0.25">
      <c r="A82" s="9" t="str">
        <f>"024M"</f>
        <v>024M</v>
      </c>
      <c r="B82" s="10" t="s">
        <v>77</v>
      </c>
      <c r="C82" s="10">
        <v>36678</v>
      </c>
      <c r="D82" s="7">
        <v>549818.83200000005</v>
      </c>
      <c r="E82" s="19"/>
    </row>
    <row r="83" spans="1:5" x14ac:dyDescent="0.25">
      <c r="A83" s="9" t="str">
        <f>"0277"</f>
        <v>0277</v>
      </c>
      <c r="B83" s="10" t="s">
        <v>78</v>
      </c>
      <c r="C83" s="10">
        <v>38930</v>
      </c>
      <c r="D83" s="7">
        <v>581708.61600000004</v>
      </c>
      <c r="E83" s="19"/>
    </row>
    <row r="84" spans="1:5" x14ac:dyDescent="0.25">
      <c r="A84" s="9" t="str">
        <f>"0280"</f>
        <v>0280</v>
      </c>
      <c r="B84" s="10" t="s">
        <v>79</v>
      </c>
      <c r="C84" s="10">
        <v>38992</v>
      </c>
      <c r="D84" s="7">
        <v>739432.87199999997</v>
      </c>
      <c r="E84" s="19"/>
    </row>
    <row r="85" spans="1:5" x14ac:dyDescent="0.25">
      <c r="A85" s="9" t="str">
        <f>"0288"</f>
        <v>0288</v>
      </c>
      <c r="B85" s="10" t="s">
        <v>80</v>
      </c>
      <c r="C85" s="10">
        <v>39104</v>
      </c>
      <c r="D85" s="7">
        <v>571936.36800000002</v>
      </c>
      <c r="E85" s="19"/>
    </row>
    <row r="86" spans="1:5" x14ac:dyDescent="0.25">
      <c r="A86" s="9" t="str">
        <f>"0289"</f>
        <v>0289</v>
      </c>
      <c r="B86" s="10" t="s">
        <v>81</v>
      </c>
      <c r="C86" s="10">
        <v>39326</v>
      </c>
      <c r="D86" s="7">
        <v>1089916.824</v>
      </c>
      <c r="E86" s="19"/>
    </row>
    <row r="87" spans="1:5" x14ac:dyDescent="0.25">
      <c r="A87" s="9" t="str">
        <f>"0290"</f>
        <v>0290</v>
      </c>
      <c r="B87" s="10" t="s">
        <v>82</v>
      </c>
      <c r="C87" s="10">
        <v>42492</v>
      </c>
      <c r="D87" s="7">
        <v>200284.128</v>
      </c>
      <c r="E87" s="19"/>
    </row>
    <row r="88" spans="1:5" x14ac:dyDescent="0.25">
      <c r="A88" s="9" t="str">
        <f>"0291"</f>
        <v>0291</v>
      </c>
      <c r="B88" s="10" t="s">
        <v>83</v>
      </c>
      <c r="C88" s="10">
        <v>44047</v>
      </c>
      <c r="D88" s="7">
        <v>324150.72000000003</v>
      </c>
      <c r="E88" s="19"/>
    </row>
    <row r="89" spans="1:5" x14ac:dyDescent="0.25">
      <c r="A89" s="9" t="str">
        <f>"0292"</f>
        <v>0292</v>
      </c>
      <c r="B89" s="10" t="s">
        <v>84</v>
      </c>
      <c r="C89" s="10">
        <v>45314</v>
      </c>
      <c r="D89" s="7">
        <v>766336.00800000003</v>
      </c>
      <c r="E89" s="19"/>
    </row>
    <row r="90" spans="1:5" x14ac:dyDescent="0.25">
      <c r="A90" s="9" t="str">
        <f>"029M"</f>
        <v>029M</v>
      </c>
      <c r="B90" s="10" t="s">
        <v>85</v>
      </c>
      <c r="C90" s="10">
        <v>36712</v>
      </c>
      <c r="D90" s="7">
        <v>272404.10399999999</v>
      </c>
      <c r="E90" s="19"/>
    </row>
    <row r="91" spans="1:5" x14ac:dyDescent="0.25">
      <c r="A91" s="9" t="str">
        <f>"034M"</f>
        <v>034M</v>
      </c>
      <c r="B91" s="10" t="s">
        <v>86</v>
      </c>
      <c r="C91" s="10">
        <v>36739</v>
      </c>
      <c r="D91" s="7">
        <v>383922.12</v>
      </c>
      <c r="E91" s="19"/>
    </row>
    <row r="92" spans="1:5" x14ac:dyDescent="0.25">
      <c r="A92" s="9" t="str">
        <f>"041M"</f>
        <v>041M</v>
      </c>
      <c r="B92" s="10" t="s">
        <v>87</v>
      </c>
      <c r="C92" s="10">
        <v>36753</v>
      </c>
      <c r="D92" s="7">
        <v>215113.296</v>
      </c>
      <c r="E92" s="19"/>
    </row>
    <row r="93" spans="1:5" x14ac:dyDescent="0.25">
      <c r="A93" s="9" t="str">
        <f>"043M"</f>
        <v>043M</v>
      </c>
      <c r="B93" s="10" t="s">
        <v>88</v>
      </c>
      <c r="C93" s="10">
        <v>36800</v>
      </c>
      <c r="D93" s="7">
        <v>205383.79200000002</v>
      </c>
      <c r="E93" s="19"/>
    </row>
    <row r="94" spans="1:5" x14ac:dyDescent="0.25">
      <c r="A94" s="9" t="str">
        <f>"047M"</f>
        <v>047M</v>
      </c>
      <c r="B94" s="10" t="s">
        <v>89</v>
      </c>
      <c r="C94" s="10">
        <v>36800</v>
      </c>
      <c r="D94" s="7">
        <v>363654.696</v>
      </c>
      <c r="E94" s="19"/>
    </row>
    <row r="95" spans="1:5" x14ac:dyDescent="0.25">
      <c r="A95" s="9" t="str">
        <f>"052M"</f>
        <v>052M</v>
      </c>
      <c r="B95" s="10" t="s">
        <v>90</v>
      </c>
      <c r="C95" s="10">
        <v>36800</v>
      </c>
      <c r="D95" s="7">
        <v>422468.136</v>
      </c>
      <c r="E95" s="19"/>
    </row>
    <row r="96" spans="1:5" x14ac:dyDescent="0.25">
      <c r="A96" s="9" t="str">
        <f>"059M"</f>
        <v>059M</v>
      </c>
      <c r="B96" s="10" t="s">
        <v>91</v>
      </c>
      <c r="C96" s="10">
        <v>36843</v>
      </c>
      <c r="D96" s="7">
        <v>430144.51199999999</v>
      </c>
      <c r="E96" s="19"/>
    </row>
    <row r="97" spans="1:5" x14ac:dyDescent="0.25">
      <c r="A97" s="9" t="str">
        <f>"063M"</f>
        <v>063M</v>
      </c>
      <c r="B97" s="10" t="s">
        <v>92</v>
      </c>
      <c r="C97" s="10">
        <v>36831</v>
      </c>
      <c r="D97" s="7">
        <v>266127.67200000002</v>
      </c>
      <c r="E97" s="19"/>
    </row>
    <row r="98" spans="1:5" x14ac:dyDescent="0.25">
      <c r="A98" s="9" t="str">
        <f>"097M"</f>
        <v>097M</v>
      </c>
      <c r="B98" s="10" t="s">
        <v>93</v>
      </c>
      <c r="C98" s="10">
        <v>37076</v>
      </c>
      <c r="D98" s="7">
        <v>425595.09600000002</v>
      </c>
      <c r="E98" s="19"/>
    </row>
    <row r="99" spans="1:5" x14ac:dyDescent="0.25">
      <c r="A99" s="9" t="str">
        <f>"099M"</f>
        <v>099M</v>
      </c>
      <c r="B99" s="10" t="s">
        <v>94</v>
      </c>
      <c r="C99" s="10">
        <v>36913</v>
      </c>
      <c r="D99" s="7">
        <v>498227.66399999999</v>
      </c>
      <c r="E99" s="19"/>
    </row>
    <row r="100" spans="1:5" x14ac:dyDescent="0.25">
      <c r="A100" s="9" t="str">
        <f>"101M"</f>
        <v>101M</v>
      </c>
      <c r="B100" s="10" t="s">
        <v>95</v>
      </c>
      <c r="C100" s="10">
        <v>36892</v>
      </c>
      <c r="D100" s="7">
        <v>355743.52799999999</v>
      </c>
      <c r="E100" s="19"/>
    </row>
    <row r="101" spans="1:5" x14ac:dyDescent="0.25">
      <c r="A101" s="9" t="str">
        <f>"112M"</f>
        <v>112M</v>
      </c>
      <c r="B101" s="10" t="s">
        <v>96</v>
      </c>
      <c r="C101" s="10">
        <v>36923</v>
      </c>
      <c r="D101" s="7">
        <v>109138.224</v>
      </c>
      <c r="E101" s="19"/>
    </row>
    <row r="102" spans="1:5" x14ac:dyDescent="0.25">
      <c r="A102" s="9" t="str">
        <f>"113M"</f>
        <v>113M</v>
      </c>
      <c r="B102" s="10" t="s">
        <v>97</v>
      </c>
      <c r="C102" s="10">
        <v>36923</v>
      </c>
      <c r="D102" s="7">
        <v>1089925.368</v>
      </c>
      <c r="E102" s="19"/>
    </row>
    <row r="103" spans="1:5" x14ac:dyDescent="0.25">
      <c r="A103" s="9" t="str">
        <f>"114M"</f>
        <v>114M</v>
      </c>
      <c r="B103" s="10" t="s">
        <v>98</v>
      </c>
      <c r="C103" s="10">
        <v>36941</v>
      </c>
      <c r="D103" s="7">
        <v>540243.79200000002</v>
      </c>
      <c r="E103" s="19"/>
    </row>
    <row r="104" spans="1:5" x14ac:dyDescent="0.25">
      <c r="A104" s="9" t="str">
        <f>"126M"</f>
        <v>126M</v>
      </c>
      <c r="B104" s="10" t="s">
        <v>99</v>
      </c>
      <c r="C104" s="10">
        <v>37004</v>
      </c>
      <c r="D104" s="7">
        <v>261500.568</v>
      </c>
      <c r="E104" s="19"/>
    </row>
    <row r="105" spans="1:5" x14ac:dyDescent="0.25">
      <c r="A105" s="9" t="str">
        <f>"138M"</f>
        <v>138M</v>
      </c>
      <c r="B105" s="10" t="s">
        <v>100</v>
      </c>
      <c r="C105" s="10">
        <v>37258</v>
      </c>
      <c r="D105" s="7">
        <v>79190.207999999999</v>
      </c>
      <c r="E105" s="19"/>
    </row>
    <row r="106" spans="1:5" x14ac:dyDescent="0.25">
      <c r="A106" s="9" t="str">
        <f>"152M"</f>
        <v>152M</v>
      </c>
      <c r="B106" s="10" t="s">
        <v>101</v>
      </c>
      <c r="C106" s="10">
        <v>37293</v>
      </c>
      <c r="D106" s="7">
        <v>130302.67200000001</v>
      </c>
      <c r="E106" s="19"/>
    </row>
    <row r="107" spans="1:5" x14ac:dyDescent="0.25">
      <c r="A107" s="9" t="str">
        <f>"16352N"</f>
        <v>16352N</v>
      </c>
      <c r="B107" s="10" t="s">
        <v>102</v>
      </c>
      <c r="C107" s="10">
        <v>31376</v>
      </c>
      <c r="D107" s="7">
        <v>234805.128</v>
      </c>
      <c r="E107" s="19"/>
    </row>
    <row r="108" spans="1:5" x14ac:dyDescent="0.25">
      <c r="A108" s="9" t="str">
        <f>"16432D"</f>
        <v>16432D</v>
      </c>
      <c r="B108" s="10" t="s">
        <v>103</v>
      </c>
      <c r="C108" s="10">
        <v>31637</v>
      </c>
      <c r="D108" s="7">
        <v>1719472.92</v>
      </c>
      <c r="E108" s="19"/>
    </row>
    <row r="109" spans="1:5" x14ac:dyDescent="0.25">
      <c r="A109" s="9" t="str">
        <f>"16568E"</f>
        <v>16568E</v>
      </c>
      <c r="B109" s="10" t="s">
        <v>104</v>
      </c>
      <c r="C109" s="10">
        <v>31778</v>
      </c>
      <c r="D109" s="7">
        <v>304754.016</v>
      </c>
      <c r="E109" s="19"/>
    </row>
    <row r="110" spans="1:5" x14ac:dyDescent="0.25">
      <c r="A110" s="9" t="str">
        <f>"16569R"</f>
        <v>16569R</v>
      </c>
      <c r="B110" s="10" t="s">
        <v>105</v>
      </c>
      <c r="C110" s="10">
        <v>31778</v>
      </c>
      <c r="D110" s="7">
        <v>267980.66399999999</v>
      </c>
      <c r="E110" s="19"/>
    </row>
    <row r="111" spans="1:5" x14ac:dyDescent="0.25">
      <c r="A111" s="9" t="str">
        <f>"16574E"</f>
        <v>16574E</v>
      </c>
      <c r="B111" s="10" t="s">
        <v>106</v>
      </c>
      <c r="C111" s="10">
        <v>31778</v>
      </c>
      <c r="D111" s="7">
        <v>335285.76000000001</v>
      </c>
      <c r="E111" s="19"/>
    </row>
    <row r="112" spans="1:5" x14ac:dyDescent="0.25">
      <c r="A112" s="9" t="str">
        <f>"16580M"</f>
        <v>16580M</v>
      </c>
      <c r="B112" s="10" t="s">
        <v>107</v>
      </c>
      <c r="C112" s="10">
        <v>31778</v>
      </c>
      <c r="D112" s="7">
        <v>247054.128</v>
      </c>
      <c r="E112" s="19"/>
    </row>
    <row r="113" spans="1:5" x14ac:dyDescent="0.25">
      <c r="A113" s="9" t="str">
        <f>"16621E"</f>
        <v>16621E</v>
      </c>
      <c r="B113" s="10" t="s">
        <v>108</v>
      </c>
      <c r="C113" s="10">
        <v>31823</v>
      </c>
      <c r="D113" s="7">
        <v>319390.63199999998</v>
      </c>
      <c r="E113" s="19"/>
    </row>
    <row r="114" spans="1:5" x14ac:dyDescent="0.25">
      <c r="A114" s="9" t="str">
        <f>"16669M"</f>
        <v>16669M</v>
      </c>
      <c r="B114" s="10" t="s">
        <v>109</v>
      </c>
      <c r="C114" s="10">
        <v>32021</v>
      </c>
      <c r="D114" s="7">
        <v>236290.34400000001</v>
      </c>
      <c r="E114" s="19"/>
    </row>
    <row r="115" spans="1:5" x14ac:dyDescent="0.25">
      <c r="A115" s="9" t="str">
        <f>"16718E"</f>
        <v>16718E</v>
      </c>
      <c r="B115" s="10" t="s">
        <v>110</v>
      </c>
      <c r="C115" s="10">
        <v>32051</v>
      </c>
      <c r="D115" s="7">
        <v>356406.76799999998</v>
      </c>
      <c r="E115" s="19"/>
    </row>
    <row r="116" spans="1:5" x14ac:dyDescent="0.25">
      <c r="A116" s="9" t="str">
        <f>"16725F"</f>
        <v>16725F</v>
      </c>
      <c r="B116" s="10" t="s">
        <v>111</v>
      </c>
      <c r="C116" s="10">
        <v>32051</v>
      </c>
      <c r="D116" s="7">
        <v>439205.92800000001</v>
      </c>
      <c r="E116" s="19"/>
    </row>
    <row r="117" spans="1:5" x14ac:dyDescent="0.25">
      <c r="A117" s="9" t="str">
        <f>"16735X"</f>
        <v>16735X</v>
      </c>
      <c r="B117" s="10" t="s">
        <v>112</v>
      </c>
      <c r="C117" s="10">
        <v>32051</v>
      </c>
      <c r="D117" s="7">
        <v>351924.02400000003</v>
      </c>
      <c r="E117" s="19"/>
    </row>
    <row r="118" spans="1:5" x14ac:dyDescent="0.25">
      <c r="A118" s="9" t="str">
        <f>"16748E"</f>
        <v>16748E</v>
      </c>
      <c r="B118" s="10" t="s">
        <v>113</v>
      </c>
      <c r="C118" s="10">
        <v>32051</v>
      </c>
      <c r="D118" s="7">
        <v>397861.65600000002</v>
      </c>
      <c r="E118" s="19"/>
    </row>
    <row r="119" spans="1:5" x14ac:dyDescent="0.25">
      <c r="A119" s="9" t="str">
        <f>"16875L"</f>
        <v>16875L</v>
      </c>
      <c r="B119" s="10" t="s">
        <v>114</v>
      </c>
      <c r="C119" s="10">
        <v>32417</v>
      </c>
      <c r="D119" s="7">
        <v>598329.64800000004</v>
      </c>
      <c r="E119" s="19"/>
    </row>
    <row r="120" spans="1:5" x14ac:dyDescent="0.25">
      <c r="A120" s="9" t="str">
        <f>"16879C"</f>
        <v>16879C</v>
      </c>
      <c r="B120" s="10" t="s">
        <v>115</v>
      </c>
      <c r="C120" s="10">
        <v>32417</v>
      </c>
      <c r="D120" s="7">
        <v>483492.288</v>
      </c>
      <c r="E120" s="19"/>
    </row>
    <row r="121" spans="1:5" x14ac:dyDescent="0.25">
      <c r="A121" s="9" t="str">
        <f>"16893N"</f>
        <v>16893N</v>
      </c>
      <c r="B121" s="10" t="s">
        <v>116</v>
      </c>
      <c r="C121" s="10">
        <v>32417</v>
      </c>
      <c r="D121" s="7">
        <v>625770.64800000004</v>
      </c>
      <c r="E121" s="19"/>
    </row>
    <row r="122" spans="1:5" x14ac:dyDescent="0.25">
      <c r="A122" s="9" t="str">
        <f>"17122M"</f>
        <v>17122M</v>
      </c>
      <c r="B122" s="10" t="s">
        <v>117</v>
      </c>
      <c r="C122" s="10">
        <v>33247</v>
      </c>
      <c r="D122" s="7">
        <v>231296.424</v>
      </c>
      <c r="E122" s="19"/>
    </row>
    <row r="123" spans="1:5" x14ac:dyDescent="0.25">
      <c r="A123" s="9" t="str">
        <f>"17265W"</f>
        <v>17265W</v>
      </c>
      <c r="B123" s="10" t="s">
        <v>118</v>
      </c>
      <c r="C123" s="10">
        <v>34920</v>
      </c>
      <c r="D123" s="7">
        <v>190807.728</v>
      </c>
      <c r="E123" s="19"/>
    </row>
    <row r="124" spans="1:5" x14ac:dyDescent="0.25">
      <c r="A124" s="9" t="str">
        <f>"17269T"</f>
        <v>17269T</v>
      </c>
      <c r="B124" s="10" t="s">
        <v>119</v>
      </c>
      <c r="C124" s="10">
        <v>33584</v>
      </c>
      <c r="D124" s="7">
        <v>364394.06400000001</v>
      </c>
      <c r="E124" s="19"/>
    </row>
    <row r="125" spans="1:5" x14ac:dyDescent="0.25">
      <c r="A125" s="9" t="str">
        <f>"17285Y"</f>
        <v>17285Y</v>
      </c>
      <c r="B125" s="10" t="s">
        <v>120</v>
      </c>
      <c r="C125" s="10">
        <v>33604</v>
      </c>
      <c r="D125" s="7">
        <v>387007.728</v>
      </c>
      <c r="E125" s="19"/>
    </row>
    <row r="126" spans="1:5" x14ac:dyDescent="0.25">
      <c r="A126" s="9" t="str">
        <f>"17293E"</f>
        <v>17293E</v>
      </c>
      <c r="B126" s="10" t="s">
        <v>121</v>
      </c>
      <c r="C126" s="10">
        <v>33604</v>
      </c>
      <c r="D126" s="7">
        <v>351463.82400000002</v>
      </c>
      <c r="E126" s="19"/>
    </row>
    <row r="127" spans="1:5" x14ac:dyDescent="0.25">
      <c r="A127" s="9" t="str">
        <f>"17343N"</f>
        <v>17343N</v>
      </c>
      <c r="B127" s="10" t="s">
        <v>122</v>
      </c>
      <c r="C127" s="10">
        <v>33700</v>
      </c>
      <c r="D127" s="7">
        <v>484560.60000000003</v>
      </c>
      <c r="E127" s="19"/>
    </row>
    <row r="128" spans="1:5" x14ac:dyDescent="0.25">
      <c r="A128" s="9" t="str">
        <f>"17346V"</f>
        <v>17346V</v>
      </c>
      <c r="B128" s="10" t="s">
        <v>123</v>
      </c>
      <c r="C128" s="10">
        <v>33700</v>
      </c>
      <c r="D128" s="7">
        <v>427401.16800000001</v>
      </c>
      <c r="E128" s="19"/>
    </row>
    <row r="129" spans="1:5" x14ac:dyDescent="0.25">
      <c r="A129" s="9" t="str">
        <f>"17350V"</f>
        <v>17350V</v>
      </c>
      <c r="B129" s="10" t="s">
        <v>124</v>
      </c>
      <c r="C129" s="10">
        <v>33700</v>
      </c>
      <c r="D129" s="7">
        <v>400809.14400000003</v>
      </c>
      <c r="E129" s="19"/>
    </row>
    <row r="130" spans="1:5" x14ac:dyDescent="0.25">
      <c r="A130" s="9" t="str">
        <f>"17351F"</f>
        <v>17351F</v>
      </c>
      <c r="B130" s="10" t="s">
        <v>125</v>
      </c>
      <c r="C130" s="10">
        <v>33700</v>
      </c>
      <c r="D130" s="7">
        <v>434054.66399999999</v>
      </c>
      <c r="E130" s="19"/>
    </row>
    <row r="131" spans="1:5" x14ac:dyDescent="0.25">
      <c r="A131" s="9" t="str">
        <f>"173M"</f>
        <v>173M</v>
      </c>
      <c r="B131" s="10" t="s">
        <v>126</v>
      </c>
      <c r="C131" s="10">
        <v>37477</v>
      </c>
      <c r="D131" s="7">
        <v>147339.21600000001</v>
      </c>
      <c r="E131" s="19"/>
    </row>
    <row r="132" spans="1:5" x14ac:dyDescent="0.25">
      <c r="A132" s="9" t="str">
        <f>"17405B"</f>
        <v>17405B</v>
      </c>
      <c r="B132" s="10" t="s">
        <v>127</v>
      </c>
      <c r="C132" s="10">
        <v>34823</v>
      </c>
      <c r="D132" s="7">
        <v>185931.64800000002</v>
      </c>
      <c r="E132" s="19"/>
    </row>
    <row r="133" spans="1:5" x14ac:dyDescent="0.25">
      <c r="A133" s="9" t="str">
        <f>"17438V"</f>
        <v>17438V</v>
      </c>
      <c r="B133" s="10" t="s">
        <v>128</v>
      </c>
      <c r="C133" s="10">
        <v>34256</v>
      </c>
      <c r="D133" s="7">
        <v>173848.2</v>
      </c>
      <c r="E133" s="19"/>
    </row>
    <row r="134" spans="1:5" x14ac:dyDescent="0.25">
      <c r="A134" s="9" t="str">
        <f>"17440V"</f>
        <v>17440V</v>
      </c>
      <c r="B134" s="10" t="s">
        <v>129</v>
      </c>
      <c r="C134" s="10">
        <v>34232</v>
      </c>
      <c r="D134" s="7">
        <v>294653.08799999999</v>
      </c>
      <c r="E134" s="19"/>
    </row>
    <row r="135" spans="1:5" x14ac:dyDescent="0.25">
      <c r="A135" s="9" t="str">
        <f>"17452X"</f>
        <v>17452X</v>
      </c>
      <c r="B135" s="10" t="s">
        <v>130</v>
      </c>
      <c r="C135" s="10">
        <v>34232</v>
      </c>
      <c r="D135" s="7">
        <v>282877.70400000003</v>
      </c>
      <c r="E135" s="19"/>
    </row>
    <row r="136" spans="1:5" x14ac:dyDescent="0.25">
      <c r="A136" s="9" t="str">
        <f>"17453P"</f>
        <v>17453P</v>
      </c>
      <c r="B136" s="10" t="s">
        <v>131</v>
      </c>
      <c r="C136" s="10">
        <v>34232</v>
      </c>
      <c r="D136" s="7">
        <v>461666.35200000001</v>
      </c>
      <c r="E136" s="19"/>
    </row>
    <row r="137" spans="1:5" x14ac:dyDescent="0.25">
      <c r="A137" s="9" t="str">
        <f>"17454X"</f>
        <v>17454X</v>
      </c>
      <c r="B137" s="10" t="s">
        <v>132</v>
      </c>
      <c r="C137" s="10">
        <v>34232</v>
      </c>
      <c r="D137" s="7">
        <v>177335.95199999999</v>
      </c>
      <c r="E137" s="19"/>
    </row>
    <row r="138" spans="1:5" x14ac:dyDescent="0.25">
      <c r="A138" s="9" t="str">
        <f>"17473E"</f>
        <v>17473E</v>
      </c>
      <c r="B138" s="10" t="s">
        <v>133</v>
      </c>
      <c r="C138" s="10">
        <v>34330</v>
      </c>
      <c r="D138" s="7">
        <v>347239.00800000003</v>
      </c>
      <c r="E138" s="19"/>
    </row>
    <row r="139" spans="1:5" x14ac:dyDescent="0.25">
      <c r="A139" s="9" t="str">
        <f>"17474Z"</f>
        <v>17474Z</v>
      </c>
      <c r="B139" s="10" t="s">
        <v>134</v>
      </c>
      <c r="C139" s="10">
        <v>34330</v>
      </c>
      <c r="D139" s="7">
        <v>303476.25599999999</v>
      </c>
      <c r="E139" s="19"/>
    </row>
    <row r="140" spans="1:5" x14ac:dyDescent="0.25">
      <c r="A140" s="9" t="str">
        <f>"17479R"</f>
        <v>17479R</v>
      </c>
      <c r="B140" s="10" t="s">
        <v>135</v>
      </c>
      <c r="C140" s="10">
        <v>34330</v>
      </c>
      <c r="D140" s="7">
        <v>239345.35200000001</v>
      </c>
      <c r="E140" s="19"/>
    </row>
    <row r="141" spans="1:5" x14ac:dyDescent="0.25">
      <c r="A141" s="9" t="str">
        <f>"17496B"</f>
        <v>17496B</v>
      </c>
      <c r="B141" s="10" t="s">
        <v>136</v>
      </c>
      <c r="C141" s="10">
        <v>34443</v>
      </c>
      <c r="D141" s="7">
        <v>431453.56800000003</v>
      </c>
      <c r="E141" s="19"/>
    </row>
    <row r="142" spans="1:5" x14ac:dyDescent="0.25">
      <c r="A142" s="9" t="str">
        <f>"17497K"</f>
        <v>17497K</v>
      </c>
      <c r="B142" s="10" t="s">
        <v>137</v>
      </c>
      <c r="C142" s="10">
        <v>34444</v>
      </c>
      <c r="D142" s="7">
        <v>329293.87200000003</v>
      </c>
      <c r="E142" s="19"/>
    </row>
    <row r="143" spans="1:5" x14ac:dyDescent="0.25">
      <c r="A143" s="9" t="str">
        <f>"17500F"</f>
        <v>17500F</v>
      </c>
      <c r="B143" s="10" t="s">
        <v>138</v>
      </c>
      <c r="C143" s="10">
        <v>34411</v>
      </c>
      <c r="D143" s="7">
        <v>217971.09599999999</v>
      </c>
      <c r="E143" s="19"/>
    </row>
    <row r="144" spans="1:5" x14ac:dyDescent="0.25">
      <c r="A144" s="9" t="str">
        <f>"17502K"</f>
        <v>17502K</v>
      </c>
      <c r="B144" s="10" t="s">
        <v>139</v>
      </c>
      <c r="C144" s="10">
        <v>34443</v>
      </c>
      <c r="D144" s="7">
        <v>545455.272</v>
      </c>
      <c r="E144" s="19"/>
    </row>
    <row r="145" spans="1:5" x14ac:dyDescent="0.25">
      <c r="A145" s="9" t="str">
        <f>"17505L"</f>
        <v>17505L</v>
      </c>
      <c r="B145" s="10" t="s">
        <v>140</v>
      </c>
      <c r="C145" s="10">
        <v>34411</v>
      </c>
      <c r="D145" s="7">
        <v>294068.18400000001</v>
      </c>
      <c r="E145" s="19"/>
    </row>
    <row r="146" spans="1:5" x14ac:dyDescent="0.25">
      <c r="A146" s="9" t="str">
        <f>"17525N"</f>
        <v>17525N</v>
      </c>
      <c r="B146" s="10" t="s">
        <v>141</v>
      </c>
      <c r="C146" s="10">
        <v>34689</v>
      </c>
      <c r="D146" s="7">
        <v>194528.20800000001</v>
      </c>
      <c r="E146" s="19"/>
    </row>
    <row r="147" spans="1:5" x14ac:dyDescent="0.25">
      <c r="A147" s="9" t="str">
        <f>"17527E"</f>
        <v>17527E</v>
      </c>
      <c r="B147" s="10" t="s">
        <v>142</v>
      </c>
      <c r="C147" s="10">
        <v>34695</v>
      </c>
      <c r="D147" s="7">
        <v>290660.83199999999</v>
      </c>
      <c r="E147" s="19"/>
    </row>
    <row r="148" spans="1:5" x14ac:dyDescent="0.25">
      <c r="A148" s="9" t="str">
        <f>"17546X"</f>
        <v>17546X</v>
      </c>
      <c r="B148" s="10" t="s">
        <v>143</v>
      </c>
      <c r="C148" s="10">
        <v>34844</v>
      </c>
      <c r="D148" s="7">
        <v>258642.91200000001</v>
      </c>
      <c r="E148" s="19"/>
    </row>
    <row r="149" spans="1:5" x14ac:dyDescent="0.25">
      <c r="A149" s="9" t="str">
        <f>"17592B"</f>
        <v>17592B</v>
      </c>
      <c r="B149" s="10" t="s">
        <v>144</v>
      </c>
      <c r="C149" s="10">
        <v>35158</v>
      </c>
      <c r="D149" s="7">
        <v>182654.64</v>
      </c>
      <c r="E149" s="19"/>
    </row>
    <row r="150" spans="1:5" x14ac:dyDescent="0.25">
      <c r="A150" s="9" t="str">
        <f>"175M"</f>
        <v>175M</v>
      </c>
      <c r="B150" s="10" t="s">
        <v>145</v>
      </c>
      <c r="C150" s="10">
        <v>38020</v>
      </c>
      <c r="D150" s="7">
        <v>193688.32800000001</v>
      </c>
      <c r="E150" s="19"/>
    </row>
    <row r="151" spans="1:5" x14ac:dyDescent="0.25">
      <c r="A151" s="9" t="str">
        <f>"17630G"</f>
        <v>17630G</v>
      </c>
      <c r="B151" s="10" t="s">
        <v>146</v>
      </c>
      <c r="C151" s="10">
        <v>35187</v>
      </c>
      <c r="D151" s="7">
        <v>144167.16</v>
      </c>
      <c r="E151" s="19"/>
    </row>
    <row r="152" spans="1:5" x14ac:dyDescent="0.25">
      <c r="A152" s="9" t="str">
        <f>"17631P"</f>
        <v>17631P</v>
      </c>
      <c r="B152" s="10" t="s">
        <v>147</v>
      </c>
      <c r="C152" s="10">
        <v>35191</v>
      </c>
      <c r="D152" s="7">
        <v>112515.936</v>
      </c>
      <c r="E152" s="19"/>
    </row>
    <row r="153" spans="1:5" x14ac:dyDescent="0.25">
      <c r="A153" s="9" t="str">
        <f>"17632X"</f>
        <v>17632X</v>
      </c>
      <c r="B153" s="10" t="s">
        <v>148</v>
      </c>
      <c r="C153" s="10">
        <v>35191</v>
      </c>
      <c r="D153" s="7">
        <v>165585.67199999999</v>
      </c>
      <c r="E153" s="19"/>
    </row>
    <row r="154" spans="1:5" x14ac:dyDescent="0.25">
      <c r="A154" s="9" t="str">
        <f>"17634X"</f>
        <v>17634X</v>
      </c>
      <c r="B154" s="10" t="s">
        <v>149</v>
      </c>
      <c r="C154" s="10">
        <v>35194</v>
      </c>
      <c r="D154" s="7">
        <v>153289.39199999999</v>
      </c>
      <c r="E154" s="19"/>
    </row>
    <row r="155" spans="1:5" x14ac:dyDescent="0.25">
      <c r="A155" s="9" t="str">
        <f>"17682B"</f>
        <v>17682B</v>
      </c>
      <c r="B155" s="10" t="s">
        <v>150</v>
      </c>
      <c r="C155" s="10">
        <v>35472</v>
      </c>
      <c r="D155" s="7">
        <v>199966.39199999999</v>
      </c>
      <c r="E155" s="19"/>
    </row>
    <row r="156" spans="1:5" x14ac:dyDescent="0.25">
      <c r="A156" s="9" t="str">
        <f>"17683K"</f>
        <v>17683K</v>
      </c>
      <c r="B156" s="10" t="s">
        <v>151</v>
      </c>
      <c r="C156" s="10">
        <v>35474</v>
      </c>
      <c r="D156" s="7">
        <v>297287.52</v>
      </c>
      <c r="E156" s="19"/>
    </row>
    <row r="157" spans="1:5" x14ac:dyDescent="0.25">
      <c r="A157" s="9" t="str">
        <f>"17684F"</f>
        <v>17684F</v>
      </c>
      <c r="B157" s="10" t="s">
        <v>152</v>
      </c>
      <c r="C157" s="10">
        <v>35474</v>
      </c>
      <c r="D157" s="7">
        <v>307823.44800000003</v>
      </c>
      <c r="E157" s="19"/>
    </row>
    <row r="158" spans="1:5" x14ac:dyDescent="0.25">
      <c r="A158" s="9" t="str">
        <f>"17685C"</f>
        <v>17685C</v>
      </c>
      <c r="B158" s="10" t="s">
        <v>153</v>
      </c>
      <c r="C158" s="10">
        <v>35474</v>
      </c>
      <c r="D158" s="7">
        <v>370124.85600000003</v>
      </c>
      <c r="E158" s="19"/>
    </row>
    <row r="159" spans="1:5" x14ac:dyDescent="0.25">
      <c r="A159" s="9" t="str">
        <f>"17690T"</f>
        <v>17690T</v>
      </c>
      <c r="B159" s="10" t="s">
        <v>154</v>
      </c>
      <c r="C159" s="10">
        <v>35474</v>
      </c>
      <c r="D159" s="7">
        <v>192922.63200000001</v>
      </c>
      <c r="E159" s="19"/>
    </row>
    <row r="160" spans="1:5" x14ac:dyDescent="0.25">
      <c r="A160" s="9" t="str">
        <f>"17691C"</f>
        <v>17691C</v>
      </c>
      <c r="B160" s="10" t="s">
        <v>155</v>
      </c>
      <c r="C160" s="10">
        <v>35474</v>
      </c>
      <c r="D160" s="7">
        <v>200612.32800000001</v>
      </c>
      <c r="E160" s="19"/>
    </row>
    <row r="161" spans="1:5" x14ac:dyDescent="0.25">
      <c r="A161" s="9" t="str">
        <f>"17728P"</f>
        <v>17728P</v>
      </c>
      <c r="B161" s="10" t="s">
        <v>156</v>
      </c>
      <c r="C161" s="10">
        <v>35597</v>
      </c>
      <c r="D161" s="7">
        <v>326623.39199999999</v>
      </c>
      <c r="E161" s="19"/>
    </row>
    <row r="162" spans="1:5" x14ac:dyDescent="0.25">
      <c r="A162" s="9" t="str">
        <f>"17740Z"</f>
        <v>17740Z</v>
      </c>
      <c r="B162" s="10" t="s">
        <v>157</v>
      </c>
      <c r="C162" s="10">
        <v>35718</v>
      </c>
      <c r="D162" s="7">
        <v>211469.568</v>
      </c>
      <c r="E162" s="19"/>
    </row>
    <row r="163" spans="1:5" x14ac:dyDescent="0.25">
      <c r="A163" s="9" t="str">
        <f>"17741R"</f>
        <v>17741R</v>
      </c>
      <c r="B163" s="10" t="s">
        <v>158</v>
      </c>
      <c r="C163" s="10">
        <v>35718</v>
      </c>
      <c r="D163" s="7">
        <v>243528.696</v>
      </c>
      <c r="E163" s="19"/>
    </row>
    <row r="164" spans="1:5" x14ac:dyDescent="0.25">
      <c r="A164" s="9" t="str">
        <f>"17742Z"</f>
        <v>17742Z</v>
      </c>
      <c r="B164" s="10" t="s">
        <v>159</v>
      </c>
      <c r="C164" s="10">
        <v>35718</v>
      </c>
      <c r="D164" s="7">
        <v>174824.712</v>
      </c>
      <c r="E164" s="19"/>
    </row>
    <row r="165" spans="1:5" x14ac:dyDescent="0.25">
      <c r="A165" s="9" t="str">
        <f>"17743E"</f>
        <v>17743E</v>
      </c>
      <c r="B165" s="10" t="s">
        <v>160</v>
      </c>
      <c r="C165" s="10">
        <v>35718</v>
      </c>
      <c r="D165" s="7">
        <v>222980.49600000001</v>
      </c>
      <c r="E165" s="19"/>
    </row>
    <row r="166" spans="1:5" x14ac:dyDescent="0.25">
      <c r="A166" s="9" t="str">
        <f>"17744Z"</f>
        <v>17744Z</v>
      </c>
      <c r="B166" s="10" t="s">
        <v>161</v>
      </c>
      <c r="C166" s="10">
        <v>35718</v>
      </c>
      <c r="D166" s="7">
        <v>238658.52000000002</v>
      </c>
      <c r="E166" s="19"/>
    </row>
    <row r="167" spans="1:5" x14ac:dyDescent="0.25">
      <c r="A167" s="9" t="str">
        <f>"17745E"</f>
        <v>17745E</v>
      </c>
      <c r="B167" s="10" t="s">
        <v>162</v>
      </c>
      <c r="C167" s="10">
        <v>35718</v>
      </c>
      <c r="D167" s="7">
        <v>189023.68799999999</v>
      </c>
      <c r="E167" s="19"/>
    </row>
    <row r="168" spans="1:5" x14ac:dyDescent="0.25">
      <c r="A168" s="9" t="str">
        <f>"17749R"</f>
        <v>17749R</v>
      </c>
      <c r="B168" s="10" t="s">
        <v>163</v>
      </c>
      <c r="C168" s="10">
        <v>35718</v>
      </c>
      <c r="D168" s="7">
        <v>259680.04800000001</v>
      </c>
      <c r="E168" s="19"/>
    </row>
    <row r="169" spans="1:5" x14ac:dyDescent="0.25">
      <c r="A169" s="9" t="str">
        <f>"17752A"</f>
        <v>17752A</v>
      </c>
      <c r="B169" s="10" t="s">
        <v>164</v>
      </c>
      <c r="C169" s="10">
        <v>35718</v>
      </c>
      <c r="D169" s="7">
        <v>177714.432</v>
      </c>
      <c r="E169" s="19"/>
    </row>
    <row r="170" spans="1:5" x14ac:dyDescent="0.25">
      <c r="A170" s="9" t="str">
        <f>"17753M"</f>
        <v>17753M</v>
      </c>
      <c r="B170" s="10" t="s">
        <v>165</v>
      </c>
      <c r="C170" s="10">
        <v>35718</v>
      </c>
      <c r="D170" s="7">
        <v>155662.80000000002</v>
      </c>
      <c r="E170" s="19"/>
    </row>
    <row r="171" spans="1:5" x14ac:dyDescent="0.25">
      <c r="A171" s="9" t="str">
        <f>"17756M"</f>
        <v>17756M</v>
      </c>
      <c r="B171" s="10" t="s">
        <v>166</v>
      </c>
      <c r="C171" s="10">
        <v>35718</v>
      </c>
      <c r="D171" s="7">
        <v>151801.17600000001</v>
      </c>
      <c r="E171" s="19"/>
    </row>
    <row r="172" spans="1:5" x14ac:dyDescent="0.25">
      <c r="A172" s="9" t="str">
        <f>"17757A"</f>
        <v>17757A</v>
      </c>
      <c r="B172" s="10" t="s">
        <v>167</v>
      </c>
      <c r="C172" s="10">
        <v>35718</v>
      </c>
      <c r="D172" s="7">
        <v>256533.264</v>
      </c>
      <c r="E172" s="19"/>
    </row>
    <row r="173" spans="1:5" x14ac:dyDescent="0.25">
      <c r="A173" s="9" t="str">
        <f>"17758R"</f>
        <v>17758R</v>
      </c>
      <c r="B173" s="10" t="s">
        <v>168</v>
      </c>
      <c r="C173" s="10">
        <v>35718</v>
      </c>
      <c r="D173" s="7">
        <v>355767.76799999998</v>
      </c>
      <c r="E173" s="19"/>
    </row>
    <row r="174" spans="1:5" x14ac:dyDescent="0.25">
      <c r="A174" s="9" t="str">
        <f>"17762C"</f>
        <v>17762C</v>
      </c>
      <c r="B174" s="10" t="s">
        <v>169</v>
      </c>
      <c r="C174" s="10">
        <v>30147</v>
      </c>
      <c r="D174" s="7">
        <v>1459174.344</v>
      </c>
      <c r="E174" s="19"/>
    </row>
    <row r="175" spans="1:5" x14ac:dyDescent="0.25">
      <c r="A175" s="9" t="str">
        <f>"17788U"</f>
        <v>17788U</v>
      </c>
      <c r="B175" s="10" t="s">
        <v>170</v>
      </c>
      <c r="C175" s="10">
        <v>35748</v>
      </c>
      <c r="D175" s="7">
        <v>398657.32799999998</v>
      </c>
      <c r="E175" s="19"/>
    </row>
    <row r="176" spans="1:5" x14ac:dyDescent="0.25">
      <c r="A176" s="9" t="str">
        <f>"17790D"</f>
        <v>17790D</v>
      </c>
      <c r="B176" s="10" t="s">
        <v>171</v>
      </c>
      <c r="C176" s="10">
        <v>34330</v>
      </c>
      <c r="D176" s="7">
        <v>310670.304</v>
      </c>
      <c r="E176" s="19"/>
    </row>
    <row r="177" spans="1:5" x14ac:dyDescent="0.25">
      <c r="A177" s="9" t="str">
        <f>"17798E"</f>
        <v>17798E</v>
      </c>
      <c r="B177" s="10" t="s">
        <v>172</v>
      </c>
      <c r="C177" s="10">
        <v>34337</v>
      </c>
      <c r="D177" s="7">
        <v>317176.89600000001</v>
      </c>
      <c r="E177" s="19"/>
    </row>
    <row r="178" spans="1:5" x14ac:dyDescent="0.25">
      <c r="A178" s="9" t="str">
        <f>"17829E"</f>
        <v>17829E</v>
      </c>
      <c r="B178" s="10" t="s">
        <v>173</v>
      </c>
      <c r="C178" s="10">
        <v>35836</v>
      </c>
      <c r="D178" s="7">
        <v>188961.84</v>
      </c>
      <c r="E178" s="19"/>
    </row>
    <row r="179" spans="1:5" x14ac:dyDescent="0.25">
      <c r="A179" s="9" t="str">
        <f>"17830Z"</f>
        <v>17830Z</v>
      </c>
      <c r="B179" s="10" t="s">
        <v>174</v>
      </c>
      <c r="C179" s="10">
        <v>35836</v>
      </c>
      <c r="D179" s="7">
        <v>434470.58400000003</v>
      </c>
      <c r="E179" s="19"/>
    </row>
    <row r="180" spans="1:5" x14ac:dyDescent="0.25">
      <c r="A180" s="9" t="str">
        <f>"17831R"</f>
        <v>17831R</v>
      </c>
      <c r="B180" s="10" t="s">
        <v>175</v>
      </c>
      <c r="C180" s="10">
        <v>35836</v>
      </c>
      <c r="D180" s="7">
        <v>251255.20800000001</v>
      </c>
      <c r="E180" s="19"/>
    </row>
    <row r="181" spans="1:5" x14ac:dyDescent="0.25">
      <c r="A181" s="9" t="str">
        <f>"17833E"</f>
        <v>17833E</v>
      </c>
      <c r="B181" s="10" t="s">
        <v>176</v>
      </c>
      <c r="C181" s="10">
        <v>35827</v>
      </c>
      <c r="D181" s="7">
        <v>301761.576</v>
      </c>
      <c r="E181" s="19"/>
    </row>
    <row r="182" spans="1:5" x14ac:dyDescent="0.25">
      <c r="A182" s="9" t="str">
        <f>"17839R"</f>
        <v>17839R</v>
      </c>
      <c r="B182" s="10" t="s">
        <v>177</v>
      </c>
      <c r="C182" s="10">
        <v>35842</v>
      </c>
      <c r="D182" s="7">
        <v>303044.40000000002</v>
      </c>
      <c r="E182" s="19"/>
    </row>
    <row r="183" spans="1:5" x14ac:dyDescent="0.25">
      <c r="A183" s="9" t="str">
        <f>"17840R"</f>
        <v>17840R</v>
      </c>
      <c r="B183" s="10" t="s">
        <v>178</v>
      </c>
      <c r="C183" s="10">
        <v>35842</v>
      </c>
      <c r="D183" s="7">
        <v>261401.80800000002</v>
      </c>
      <c r="E183" s="19"/>
    </row>
    <row r="184" spans="1:5" x14ac:dyDescent="0.25">
      <c r="A184" s="9" t="str">
        <f>"17844A"</f>
        <v>17844A</v>
      </c>
      <c r="B184" s="10" t="s">
        <v>179</v>
      </c>
      <c r="C184" s="10">
        <v>35927</v>
      </c>
      <c r="D184" s="7">
        <v>272224.87200000003</v>
      </c>
      <c r="E184" s="19"/>
    </row>
    <row r="185" spans="1:5" x14ac:dyDescent="0.25">
      <c r="A185" s="9" t="str">
        <f>"17845R"</f>
        <v>17845R</v>
      </c>
      <c r="B185" s="10" t="s">
        <v>180</v>
      </c>
      <c r="C185" s="10">
        <v>35926</v>
      </c>
      <c r="D185" s="7">
        <v>409798.36800000002</v>
      </c>
      <c r="E185" s="19"/>
    </row>
    <row r="186" spans="1:5" x14ac:dyDescent="0.25">
      <c r="A186" s="9" t="str">
        <f>"178M"</f>
        <v>178M</v>
      </c>
      <c r="B186" s="10" t="s">
        <v>181</v>
      </c>
      <c r="C186" s="10">
        <v>37489</v>
      </c>
      <c r="D186" s="7">
        <v>160230.864</v>
      </c>
      <c r="E186" s="19"/>
    </row>
    <row r="187" spans="1:5" x14ac:dyDescent="0.25">
      <c r="A187" s="9" t="str">
        <f>"17915Y"</f>
        <v>17915Y</v>
      </c>
      <c r="B187" s="10" t="s">
        <v>182</v>
      </c>
      <c r="C187" s="10">
        <v>31408</v>
      </c>
      <c r="D187" s="7">
        <v>271412.85600000003</v>
      </c>
      <c r="E187" s="19"/>
    </row>
    <row r="188" spans="1:5" x14ac:dyDescent="0.25">
      <c r="A188" s="9" t="str">
        <f>"18087X"</f>
        <v>18087X</v>
      </c>
      <c r="B188" s="10" t="s">
        <v>183</v>
      </c>
      <c r="C188" s="10">
        <v>36203</v>
      </c>
      <c r="D188" s="7">
        <v>186808.44</v>
      </c>
      <c r="E188" s="19"/>
    </row>
    <row r="189" spans="1:5" x14ac:dyDescent="0.25">
      <c r="A189" s="9" t="str">
        <f>"18088G"</f>
        <v>18088G</v>
      </c>
      <c r="B189" s="10" t="s">
        <v>184</v>
      </c>
      <c r="C189" s="10">
        <v>36202</v>
      </c>
      <c r="D189" s="7">
        <v>230072.976</v>
      </c>
      <c r="E189" s="19"/>
    </row>
    <row r="190" spans="1:5" x14ac:dyDescent="0.25">
      <c r="A190" s="9" t="str">
        <f>"18090H"</f>
        <v>18090H</v>
      </c>
      <c r="B190" s="10" t="s">
        <v>185</v>
      </c>
      <c r="C190" s="10">
        <v>36171</v>
      </c>
      <c r="D190" s="7">
        <v>384149.47200000001</v>
      </c>
      <c r="E190" s="19"/>
    </row>
    <row r="191" spans="1:5" x14ac:dyDescent="0.25">
      <c r="A191" s="9" t="str">
        <f>"18094Y"</f>
        <v>18094Y</v>
      </c>
      <c r="B191" s="10" t="s">
        <v>186</v>
      </c>
      <c r="C191" s="10">
        <v>36256</v>
      </c>
      <c r="D191" s="7">
        <v>174775.584</v>
      </c>
      <c r="E191" s="19"/>
    </row>
    <row r="192" spans="1:5" x14ac:dyDescent="0.25">
      <c r="A192" s="9" t="str">
        <f>"18123A"</f>
        <v>18123A</v>
      </c>
      <c r="B192" s="10" t="s">
        <v>187</v>
      </c>
      <c r="C192" s="10">
        <v>36494</v>
      </c>
      <c r="D192" s="7">
        <v>180426.62400000001</v>
      </c>
      <c r="E192" s="19"/>
    </row>
    <row r="193" spans="1:5" x14ac:dyDescent="0.25">
      <c r="A193" s="9" t="str">
        <f>"18137T"</f>
        <v>18137T</v>
      </c>
      <c r="B193" s="10" t="s">
        <v>188</v>
      </c>
      <c r="C193" s="10">
        <v>36809</v>
      </c>
      <c r="D193" s="7">
        <v>325404.19199999998</v>
      </c>
      <c r="E193" s="19"/>
    </row>
    <row r="194" spans="1:5" x14ac:dyDescent="0.25">
      <c r="A194" s="9" t="str">
        <f>"18157V"</f>
        <v>18157V</v>
      </c>
      <c r="B194" s="10" t="s">
        <v>189</v>
      </c>
      <c r="C194" s="10">
        <v>37183</v>
      </c>
      <c r="D194" s="7">
        <v>236762.712</v>
      </c>
      <c r="E194" s="19"/>
    </row>
    <row r="195" spans="1:5" x14ac:dyDescent="0.25">
      <c r="A195" s="9" t="str">
        <f>"18177X"</f>
        <v>18177X</v>
      </c>
      <c r="B195" s="10" t="s">
        <v>190</v>
      </c>
      <c r="C195" s="10">
        <v>37509</v>
      </c>
      <c r="D195" s="7">
        <v>436337.92800000001</v>
      </c>
      <c r="E195" s="19"/>
    </row>
    <row r="196" spans="1:5" s="12" customFormat="1" x14ac:dyDescent="0.25">
      <c r="A196" s="9" t="str">
        <f>"18181C"</f>
        <v>18181C</v>
      </c>
      <c r="B196" s="10" t="s">
        <v>191</v>
      </c>
      <c r="C196" s="10">
        <v>37377</v>
      </c>
      <c r="D196" s="7">
        <v>416587.58400000003</v>
      </c>
      <c r="E196" s="19"/>
    </row>
    <row r="197" spans="1:5" x14ac:dyDescent="0.25">
      <c r="A197" s="9" t="str">
        <f>"18187H"</f>
        <v>18187H</v>
      </c>
      <c r="B197" s="10" t="s">
        <v>75</v>
      </c>
      <c r="C197" s="10">
        <v>37377</v>
      </c>
      <c r="D197" s="7">
        <v>327011.28000000003</v>
      </c>
      <c r="E197" s="19"/>
    </row>
    <row r="198" spans="1:5" x14ac:dyDescent="0.25">
      <c r="A198" s="9" t="str">
        <f>"18189Y"</f>
        <v>18189Y</v>
      </c>
      <c r="B198" s="10" t="s">
        <v>192</v>
      </c>
      <c r="C198" s="10">
        <v>37377</v>
      </c>
      <c r="D198" s="7">
        <v>379779.67200000002</v>
      </c>
      <c r="E198" s="19"/>
    </row>
    <row r="199" spans="1:5" x14ac:dyDescent="0.25">
      <c r="A199" s="9" t="str">
        <f>"181M"</f>
        <v>181M</v>
      </c>
      <c r="B199" s="10" t="s">
        <v>193</v>
      </c>
      <c r="C199" s="10">
        <v>37564</v>
      </c>
      <c r="D199" s="7">
        <v>321003.52799999999</v>
      </c>
      <c r="E199" s="19"/>
    </row>
    <row r="200" spans="1:5" x14ac:dyDescent="0.25">
      <c r="A200" s="9" t="str">
        <f>"18217K"</f>
        <v>18217K</v>
      </c>
      <c r="B200" s="10" t="s">
        <v>194</v>
      </c>
      <c r="C200" s="10">
        <v>37425</v>
      </c>
      <c r="D200" s="7">
        <v>291280.92</v>
      </c>
      <c r="E200" s="19"/>
    </row>
    <row r="201" spans="1:5" x14ac:dyDescent="0.25">
      <c r="A201" s="9" t="str">
        <f>"18231C"</f>
        <v>18231C</v>
      </c>
      <c r="B201" s="10" t="s">
        <v>195</v>
      </c>
      <c r="C201" s="10">
        <v>37537</v>
      </c>
      <c r="D201" s="7">
        <v>383524.92</v>
      </c>
      <c r="E201" s="19"/>
    </row>
    <row r="202" spans="1:5" x14ac:dyDescent="0.25">
      <c r="A202" s="9" t="str">
        <f>"18237M"</f>
        <v>18237M</v>
      </c>
      <c r="B202" s="10" t="s">
        <v>196</v>
      </c>
      <c r="C202" s="10">
        <v>37500</v>
      </c>
      <c r="D202" s="7">
        <v>236059.36800000002</v>
      </c>
      <c r="E202" s="19"/>
    </row>
    <row r="203" spans="1:5" x14ac:dyDescent="0.25">
      <c r="A203" s="9" t="str">
        <f>"18241M"</f>
        <v>18241M</v>
      </c>
      <c r="B203" s="10" t="s">
        <v>197</v>
      </c>
      <c r="C203" s="10">
        <v>37504</v>
      </c>
      <c r="D203" s="7">
        <v>215606.66400000002</v>
      </c>
      <c r="E203" s="19"/>
    </row>
    <row r="204" spans="1:5" x14ac:dyDescent="0.25">
      <c r="A204" s="9" t="str">
        <f>"18251V"</f>
        <v>18251V</v>
      </c>
      <c r="B204" s="10" t="s">
        <v>198</v>
      </c>
      <c r="C204" s="10">
        <v>37557</v>
      </c>
      <c r="D204" s="7">
        <v>398343.696</v>
      </c>
      <c r="E204" s="19"/>
    </row>
    <row r="205" spans="1:5" x14ac:dyDescent="0.25">
      <c r="A205" s="9" t="str">
        <f>"18257F"</f>
        <v>18257F</v>
      </c>
      <c r="B205" s="10" t="s">
        <v>199</v>
      </c>
      <c r="C205" s="10">
        <v>37545</v>
      </c>
      <c r="D205" s="7">
        <v>210291.31200000001</v>
      </c>
      <c r="E205" s="19"/>
    </row>
    <row r="206" spans="1:5" x14ac:dyDescent="0.25">
      <c r="A206" s="9" t="str">
        <f>"18259F"</f>
        <v>18259F</v>
      </c>
      <c r="B206" s="10" t="s">
        <v>200</v>
      </c>
      <c r="C206" s="10">
        <v>37545</v>
      </c>
      <c r="D206" s="7">
        <v>336631.48800000001</v>
      </c>
      <c r="E206" s="19"/>
    </row>
    <row r="207" spans="1:5" x14ac:dyDescent="0.25">
      <c r="A207" s="9" t="str">
        <f>"18261G"</f>
        <v>18261G</v>
      </c>
      <c r="B207" s="10" t="s">
        <v>201</v>
      </c>
      <c r="C207" s="10">
        <v>37592</v>
      </c>
      <c r="D207" s="7">
        <v>187444.68</v>
      </c>
      <c r="E207" s="19"/>
    </row>
    <row r="208" spans="1:5" x14ac:dyDescent="0.25">
      <c r="A208" s="9" t="str">
        <f>"18265X"</f>
        <v>18265X</v>
      </c>
      <c r="B208" s="10" t="s">
        <v>202</v>
      </c>
      <c r="C208" s="10">
        <v>37620</v>
      </c>
      <c r="D208" s="7">
        <v>155837.08799999999</v>
      </c>
      <c r="E208" s="19"/>
    </row>
    <row r="209" spans="1:5" x14ac:dyDescent="0.25">
      <c r="A209" s="9" t="str">
        <f>"18275H"</f>
        <v>18275H</v>
      </c>
      <c r="B209" s="10" t="s">
        <v>203</v>
      </c>
      <c r="C209" s="10">
        <v>37620</v>
      </c>
      <c r="D209" s="7">
        <v>124770.6</v>
      </c>
      <c r="E209" s="19"/>
    </row>
    <row r="210" spans="1:5" x14ac:dyDescent="0.25">
      <c r="A210" s="9" t="str">
        <f>"18287R"</f>
        <v>18287R</v>
      </c>
      <c r="B210" s="10" t="s">
        <v>204</v>
      </c>
      <c r="C210" s="10">
        <v>37617</v>
      </c>
      <c r="D210" s="7">
        <v>234964.92</v>
      </c>
      <c r="E210" s="19"/>
    </row>
    <row r="211" spans="1:5" x14ac:dyDescent="0.25">
      <c r="A211" s="9" t="str">
        <f>"18289A"</f>
        <v>18289A</v>
      </c>
      <c r="B211" s="10" t="s">
        <v>205</v>
      </c>
      <c r="C211" s="10">
        <v>37630</v>
      </c>
      <c r="D211" s="7">
        <v>319864.96799999999</v>
      </c>
      <c r="E211" s="19"/>
    </row>
    <row r="212" spans="1:5" x14ac:dyDescent="0.25">
      <c r="A212" s="9" t="str">
        <f>"18295A"</f>
        <v>18295A</v>
      </c>
      <c r="B212" s="10" t="s">
        <v>206</v>
      </c>
      <c r="C212" s="10">
        <v>37635</v>
      </c>
      <c r="D212" s="7">
        <v>158225.448</v>
      </c>
      <c r="E212" s="19"/>
    </row>
    <row r="213" spans="1:5" x14ac:dyDescent="0.25">
      <c r="A213" s="9" t="str">
        <f>"18303A"</f>
        <v>18303A</v>
      </c>
      <c r="B213" s="10" t="s">
        <v>207</v>
      </c>
      <c r="C213" s="10">
        <v>37628</v>
      </c>
      <c r="D213" s="7">
        <v>261915.432</v>
      </c>
      <c r="E213" s="19"/>
    </row>
    <row r="214" spans="1:5" x14ac:dyDescent="0.25">
      <c r="A214" s="9" t="str">
        <f>"18305M"</f>
        <v>18305M</v>
      </c>
      <c r="B214" s="10" t="s">
        <v>208</v>
      </c>
      <c r="C214" s="10">
        <v>37628</v>
      </c>
      <c r="D214" s="7">
        <v>500900.44800000003</v>
      </c>
      <c r="E214" s="19"/>
    </row>
    <row r="215" spans="1:5" x14ac:dyDescent="0.25">
      <c r="A215" s="9" t="str">
        <f>"18317T"</f>
        <v>18317T</v>
      </c>
      <c r="B215" s="10" t="s">
        <v>209</v>
      </c>
      <c r="C215" s="10">
        <v>37678</v>
      </c>
      <c r="D215" s="7">
        <v>211254.45600000001</v>
      </c>
      <c r="E215" s="19"/>
    </row>
    <row r="216" spans="1:5" x14ac:dyDescent="0.25">
      <c r="A216" s="9" t="str">
        <f>"18325M"</f>
        <v>18325M</v>
      </c>
      <c r="B216" s="10" t="s">
        <v>210</v>
      </c>
      <c r="C216" s="10">
        <v>37676</v>
      </c>
      <c r="D216" s="7">
        <v>290432.016</v>
      </c>
      <c r="E216" s="19"/>
    </row>
    <row r="217" spans="1:5" x14ac:dyDescent="0.25">
      <c r="A217" s="9" t="str">
        <f>"18327M"</f>
        <v>18327M</v>
      </c>
      <c r="B217" s="10" t="s">
        <v>211</v>
      </c>
      <c r="C217" s="10">
        <v>37670</v>
      </c>
      <c r="D217" s="7">
        <v>324445.05599999998</v>
      </c>
      <c r="E217" s="19"/>
    </row>
    <row r="218" spans="1:5" x14ac:dyDescent="0.25">
      <c r="A218" s="9" t="str">
        <f>"18341V"</f>
        <v>18341V</v>
      </c>
      <c r="B218" s="10" t="s">
        <v>212</v>
      </c>
      <c r="C218" s="10">
        <v>37676</v>
      </c>
      <c r="D218" s="7">
        <v>155474.28</v>
      </c>
      <c r="E218" s="19"/>
    </row>
    <row r="219" spans="1:5" x14ac:dyDescent="0.25">
      <c r="A219" s="9" t="str">
        <f>"18351G"</f>
        <v>18351G</v>
      </c>
      <c r="B219" s="10" t="s">
        <v>213</v>
      </c>
      <c r="C219" s="10">
        <v>37718</v>
      </c>
      <c r="D219" s="7">
        <v>328900.05599999998</v>
      </c>
      <c r="E219" s="19"/>
    </row>
    <row r="220" spans="1:5" x14ac:dyDescent="0.25">
      <c r="A220" s="9" t="str">
        <f>"18359P"</f>
        <v>18359P</v>
      </c>
      <c r="B220" s="10" t="s">
        <v>214</v>
      </c>
      <c r="C220" s="10">
        <v>37715</v>
      </c>
      <c r="D220" s="7">
        <v>236154.23999999999</v>
      </c>
      <c r="E220" s="19"/>
    </row>
    <row r="221" spans="1:5" x14ac:dyDescent="0.25">
      <c r="A221" s="9" t="str">
        <f>"18365H"</f>
        <v>18365H</v>
      </c>
      <c r="B221" s="10" t="s">
        <v>215</v>
      </c>
      <c r="C221" s="10">
        <v>37718</v>
      </c>
      <c r="D221" s="7">
        <v>198357.96</v>
      </c>
      <c r="E221" s="19"/>
    </row>
    <row r="222" spans="1:5" x14ac:dyDescent="0.25">
      <c r="A222" s="9" t="str">
        <f>"18373Z"</f>
        <v>18373Z</v>
      </c>
      <c r="B222" s="10" t="s">
        <v>216</v>
      </c>
      <c r="C222" s="10">
        <v>37725</v>
      </c>
      <c r="D222" s="7">
        <v>202124.61600000001</v>
      </c>
      <c r="E222" s="19"/>
    </row>
    <row r="223" spans="1:5" x14ac:dyDescent="0.25">
      <c r="A223" s="9" t="str">
        <f>"18401F"</f>
        <v>18401F</v>
      </c>
      <c r="B223" s="10" t="s">
        <v>217</v>
      </c>
      <c r="C223" s="10">
        <v>38000</v>
      </c>
      <c r="D223" s="7">
        <v>901533.38399999996</v>
      </c>
      <c r="E223" s="19"/>
    </row>
    <row r="224" spans="1:5" x14ac:dyDescent="0.25">
      <c r="A224" s="9" t="str">
        <f>"18415M"</f>
        <v>18415M</v>
      </c>
      <c r="B224" s="10" t="s">
        <v>218</v>
      </c>
      <c r="C224" s="10">
        <v>37816</v>
      </c>
      <c r="D224" s="7">
        <v>307517.016</v>
      </c>
      <c r="E224" s="19"/>
    </row>
    <row r="225" spans="1:5" x14ac:dyDescent="0.25">
      <c r="A225" s="9" t="str">
        <f>"18439F"</f>
        <v>18439F</v>
      </c>
      <c r="B225" s="10" t="s">
        <v>219</v>
      </c>
      <c r="C225" s="10">
        <v>37818</v>
      </c>
      <c r="D225" s="7">
        <v>216831.696</v>
      </c>
      <c r="E225" s="19"/>
    </row>
    <row r="226" spans="1:5" x14ac:dyDescent="0.25">
      <c r="A226" s="9" t="str">
        <f>"18449P"</f>
        <v>18449P</v>
      </c>
      <c r="B226" s="10" t="s">
        <v>220</v>
      </c>
      <c r="C226" s="10">
        <v>37813</v>
      </c>
      <c r="D226" s="7">
        <v>207737.61600000001</v>
      </c>
      <c r="E226" s="19"/>
    </row>
    <row r="227" spans="1:5" x14ac:dyDescent="0.25">
      <c r="A227" s="9" t="str">
        <f>"18457H"</f>
        <v>18457H</v>
      </c>
      <c r="B227" s="10" t="s">
        <v>221</v>
      </c>
      <c r="C227" s="10">
        <v>37798</v>
      </c>
      <c r="D227" s="7">
        <v>422920.8</v>
      </c>
      <c r="E227" s="19"/>
    </row>
    <row r="228" spans="1:5" x14ac:dyDescent="0.25">
      <c r="A228" s="9" t="str">
        <f>"18463Z"</f>
        <v>18463Z</v>
      </c>
      <c r="B228" s="10" t="s">
        <v>222</v>
      </c>
      <c r="C228" s="10">
        <v>37820</v>
      </c>
      <c r="D228" s="7">
        <v>185115.576</v>
      </c>
      <c r="E228" s="19"/>
    </row>
    <row r="229" spans="1:5" x14ac:dyDescent="0.25">
      <c r="A229" s="9" t="str">
        <f>"18479R"</f>
        <v>18479R</v>
      </c>
      <c r="B229" s="10" t="s">
        <v>223</v>
      </c>
      <c r="C229" s="10">
        <v>37712</v>
      </c>
      <c r="D229" s="7">
        <v>375026.52</v>
      </c>
      <c r="E229" s="19"/>
    </row>
    <row r="230" spans="1:5" x14ac:dyDescent="0.25">
      <c r="A230" s="9" t="str">
        <f>"18485R"</f>
        <v>18485R</v>
      </c>
      <c r="B230" s="10" t="s">
        <v>224</v>
      </c>
      <c r="C230" s="10">
        <v>37783</v>
      </c>
      <c r="D230" s="7">
        <v>215258.88</v>
      </c>
      <c r="E230" s="19"/>
    </row>
    <row r="231" spans="1:5" x14ac:dyDescent="0.25">
      <c r="A231" s="9" t="str">
        <f>"18493B"</f>
        <v>18493B</v>
      </c>
      <c r="B231" s="10" t="s">
        <v>225</v>
      </c>
      <c r="C231" s="10">
        <v>37704</v>
      </c>
      <c r="D231" s="7">
        <v>159026.25599999999</v>
      </c>
      <c r="E231" s="19"/>
    </row>
    <row r="232" spans="1:5" x14ac:dyDescent="0.25">
      <c r="A232" s="9" t="str">
        <f>"18494K"</f>
        <v>18494K</v>
      </c>
      <c r="B232" s="10" t="s">
        <v>226</v>
      </c>
      <c r="C232" s="10">
        <v>37782</v>
      </c>
      <c r="D232" s="7">
        <v>520802.66399999999</v>
      </c>
      <c r="E232" s="19"/>
    </row>
    <row r="233" spans="1:5" x14ac:dyDescent="0.25">
      <c r="A233" s="9" t="str">
        <f>"18499L"</f>
        <v>18499L</v>
      </c>
      <c r="B233" s="10" t="s">
        <v>227</v>
      </c>
      <c r="C233" s="10">
        <v>37839</v>
      </c>
      <c r="D233" s="7">
        <v>682356.12</v>
      </c>
      <c r="E233" s="19"/>
    </row>
    <row r="234" spans="1:5" x14ac:dyDescent="0.25">
      <c r="A234" s="9" t="str">
        <f>"184M"</f>
        <v>184M</v>
      </c>
      <c r="B234" s="10" t="s">
        <v>228</v>
      </c>
      <c r="C234" s="10">
        <v>37988</v>
      </c>
      <c r="D234" s="7">
        <v>292149.93599999999</v>
      </c>
      <c r="E234" s="19"/>
    </row>
    <row r="235" spans="1:5" x14ac:dyDescent="0.25">
      <c r="A235" s="9" t="str">
        <f>"18513E"</f>
        <v>18513E</v>
      </c>
      <c r="B235" s="10" t="s">
        <v>229</v>
      </c>
      <c r="C235" s="10">
        <v>37840</v>
      </c>
      <c r="D235" s="7">
        <v>232204.848</v>
      </c>
      <c r="E235" s="19"/>
    </row>
    <row r="236" spans="1:5" x14ac:dyDescent="0.25">
      <c r="A236" s="9" t="str">
        <f>"18515V"</f>
        <v>18515V</v>
      </c>
      <c r="B236" s="10" t="s">
        <v>230</v>
      </c>
      <c r="C236" s="10">
        <v>37895</v>
      </c>
      <c r="D236" s="7">
        <v>217099.34400000001</v>
      </c>
      <c r="E236" s="19"/>
    </row>
    <row r="237" spans="1:5" x14ac:dyDescent="0.25">
      <c r="A237" s="9" t="str">
        <f>"18517V"</f>
        <v>18517V</v>
      </c>
      <c r="B237" s="10" t="s">
        <v>231</v>
      </c>
      <c r="C237" s="10">
        <v>37879</v>
      </c>
      <c r="D237" s="7">
        <v>202723.51200000002</v>
      </c>
      <c r="E237" s="19"/>
    </row>
    <row r="238" spans="1:5" x14ac:dyDescent="0.25">
      <c r="A238" s="9" t="str">
        <f>"18537X"</f>
        <v>18537X</v>
      </c>
      <c r="B238" s="10" t="s">
        <v>232</v>
      </c>
      <c r="C238" s="10">
        <v>37915</v>
      </c>
      <c r="D238" s="7">
        <v>174578.06400000001</v>
      </c>
      <c r="E238" s="19"/>
    </row>
    <row r="239" spans="1:5" x14ac:dyDescent="0.25">
      <c r="A239" s="9" t="str">
        <f>"18553D"</f>
        <v>18553D</v>
      </c>
      <c r="B239" s="10" t="s">
        <v>233</v>
      </c>
      <c r="C239" s="10">
        <v>38099</v>
      </c>
      <c r="D239" s="7">
        <v>282622.41600000003</v>
      </c>
      <c r="E239" s="19"/>
    </row>
    <row r="240" spans="1:5" x14ac:dyDescent="0.25">
      <c r="A240" s="9" t="str">
        <f>"18553Z"</f>
        <v>18553Z</v>
      </c>
      <c r="B240" s="10" t="s">
        <v>234</v>
      </c>
      <c r="C240" s="10">
        <v>37931</v>
      </c>
      <c r="D240" s="7">
        <v>306598.48800000001</v>
      </c>
      <c r="E240" s="19"/>
    </row>
    <row r="241" spans="1:5" x14ac:dyDescent="0.25">
      <c r="A241" s="9" t="str">
        <f>"18555Z"</f>
        <v>18555Z</v>
      </c>
      <c r="B241" s="10" t="s">
        <v>235</v>
      </c>
      <c r="C241" s="10">
        <v>37914</v>
      </c>
      <c r="D241" s="7">
        <v>424500.96</v>
      </c>
      <c r="E241" s="19"/>
    </row>
    <row r="242" spans="1:5" x14ac:dyDescent="0.25">
      <c r="A242" s="9" t="str">
        <f>"18559A"</f>
        <v>18559A</v>
      </c>
      <c r="B242" s="10" t="s">
        <v>236</v>
      </c>
      <c r="C242" s="10">
        <v>37942</v>
      </c>
      <c r="D242" s="7">
        <v>330652.24800000002</v>
      </c>
      <c r="E242" s="19"/>
    </row>
    <row r="243" spans="1:5" x14ac:dyDescent="0.25">
      <c r="A243" s="9" t="str">
        <f>"18563A"</f>
        <v>18563A</v>
      </c>
      <c r="B243" s="10" t="s">
        <v>237</v>
      </c>
      <c r="C243" s="10">
        <v>37938</v>
      </c>
      <c r="D243" s="7">
        <v>235433.04</v>
      </c>
      <c r="E243" s="19"/>
    </row>
    <row r="244" spans="1:5" x14ac:dyDescent="0.25">
      <c r="A244" s="9" t="str">
        <f>"18565A"</f>
        <v>18565A</v>
      </c>
      <c r="B244" s="10" t="s">
        <v>238</v>
      </c>
      <c r="C244" s="10">
        <v>37949</v>
      </c>
      <c r="D244" s="7">
        <v>282842.11200000002</v>
      </c>
      <c r="E244" s="19"/>
    </row>
    <row r="245" spans="1:5" x14ac:dyDescent="0.25">
      <c r="A245" s="9" t="str">
        <f>"18587L"</f>
        <v>18587L</v>
      </c>
      <c r="B245" s="10" t="s">
        <v>239</v>
      </c>
      <c r="C245" s="10">
        <v>37956</v>
      </c>
      <c r="D245" s="7">
        <v>192224.424</v>
      </c>
      <c r="E245" s="19"/>
    </row>
    <row r="246" spans="1:5" x14ac:dyDescent="0.25">
      <c r="A246" s="9" t="str">
        <f>"18589L"</f>
        <v>18589L</v>
      </c>
      <c r="B246" s="10" t="s">
        <v>240</v>
      </c>
      <c r="C246" s="10">
        <v>37819</v>
      </c>
      <c r="D246" s="7">
        <v>784370.59200000006</v>
      </c>
      <c r="E246" s="19"/>
    </row>
    <row r="247" spans="1:5" x14ac:dyDescent="0.25">
      <c r="A247" s="9" t="str">
        <f>"18597U"</f>
        <v>18597U</v>
      </c>
      <c r="B247" s="10" t="s">
        <v>42</v>
      </c>
      <c r="C247" s="10">
        <v>37978</v>
      </c>
      <c r="D247" s="7">
        <v>386379.67200000002</v>
      </c>
      <c r="E247" s="19"/>
    </row>
    <row r="248" spans="1:5" x14ac:dyDescent="0.25">
      <c r="A248" s="9" t="str">
        <f>"185M"</f>
        <v>185M</v>
      </c>
      <c r="B248" s="10" t="s">
        <v>241</v>
      </c>
      <c r="C248" s="10">
        <v>37587</v>
      </c>
      <c r="D248" s="7">
        <v>502371.93599999999</v>
      </c>
      <c r="E248" s="19"/>
    </row>
    <row r="249" spans="1:5" x14ac:dyDescent="0.25">
      <c r="A249" s="9" t="str">
        <f>"18603E"</f>
        <v>18603E</v>
      </c>
      <c r="B249" s="10" t="s">
        <v>242</v>
      </c>
      <c r="C249" s="10">
        <v>37952</v>
      </c>
      <c r="D249" s="7">
        <v>130250.064</v>
      </c>
      <c r="E249" s="19"/>
    </row>
    <row r="250" spans="1:5" x14ac:dyDescent="0.25">
      <c r="A250" s="9" t="str">
        <f>"18611V"</f>
        <v>18611V</v>
      </c>
      <c r="B250" s="10" t="s">
        <v>166</v>
      </c>
      <c r="C250" s="10">
        <v>37985</v>
      </c>
      <c r="D250" s="7">
        <v>310266.26400000002</v>
      </c>
      <c r="E250" s="19"/>
    </row>
    <row r="251" spans="1:5" x14ac:dyDescent="0.25">
      <c r="A251" s="9" t="str">
        <f>"18631C"</f>
        <v>18631C</v>
      </c>
      <c r="B251" s="10" t="s">
        <v>243</v>
      </c>
      <c r="C251" s="10">
        <v>37914</v>
      </c>
      <c r="D251" s="7">
        <v>320143.48800000001</v>
      </c>
      <c r="E251" s="19"/>
    </row>
    <row r="252" spans="1:5" x14ac:dyDescent="0.25">
      <c r="A252" s="9" t="str">
        <f>"18639Y"</f>
        <v>18639Y</v>
      </c>
      <c r="B252" s="10" t="s">
        <v>244</v>
      </c>
      <c r="C252" s="10">
        <v>37998</v>
      </c>
      <c r="D252" s="7">
        <v>427900.96799999999</v>
      </c>
      <c r="E252" s="19"/>
    </row>
    <row r="253" spans="1:5" x14ac:dyDescent="0.25">
      <c r="A253" s="9" t="str">
        <f>"18641Z"</f>
        <v>18641Z</v>
      </c>
      <c r="B253" s="10" t="s">
        <v>245</v>
      </c>
      <c r="C253" s="10">
        <v>37999</v>
      </c>
      <c r="D253" s="7">
        <v>301272.14400000003</v>
      </c>
      <c r="E253" s="19"/>
    </row>
    <row r="254" spans="1:5" x14ac:dyDescent="0.25">
      <c r="A254" s="9" t="str">
        <f>"18647R"</f>
        <v>18647R</v>
      </c>
      <c r="B254" s="10" t="s">
        <v>246</v>
      </c>
      <c r="C254" s="10">
        <v>37999</v>
      </c>
      <c r="D254" s="7">
        <v>331118.20799999998</v>
      </c>
      <c r="E254" s="19"/>
    </row>
    <row r="255" spans="1:5" x14ac:dyDescent="0.25">
      <c r="A255" s="9" t="str">
        <f>"18655A"</f>
        <v>18655A</v>
      </c>
      <c r="B255" s="10" t="s">
        <v>247</v>
      </c>
      <c r="C255" s="10">
        <v>37999</v>
      </c>
      <c r="D255" s="7">
        <v>165976.51200000002</v>
      </c>
      <c r="E255" s="19"/>
    </row>
    <row r="256" spans="1:5" x14ac:dyDescent="0.25">
      <c r="A256" s="9" t="str">
        <f>"18679L"</f>
        <v>18679L</v>
      </c>
      <c r="B256" s="10" t="s">
        <v>48</v>
      </c>
      <c r="C256" s="10">
        <v>37984</v>
      </c>
      <c r="D256" s="7">
        <v>405100.56</v>
      </c>
      <c r="E256" s="19"/>
    </row>
    <row r="257" spans="1:5" x14ac:dyDescent="0.25">
      <c r="A257" s="9" t="str">
        <f>"18681T"</f>
        <v>18681T</v>
      </c>
      <c r="B257" s="10" t="s">
        <v>248</v>
      </c>
      <c r="C257" s="10">
        <v>38008</v>
      </c>
      <c r="D257" s="7">
        <v>252146.136</v>
      </c>
      <c r="E257" s="19"/>
    </row>
    <row r="258" spans="1:5" x14ac:dyDescent="0.25">
      <c r="A258" s="9" t="str">
        <f>"18683L"</f>
        <v>18683L</v>
      </c>
      <c r="B258" s="10" t="s">
        <v>249</v>
      </c>
      <c r="C258" s="10">
        <v>38041</v>
      </c>
      <c r="D258" s="7">
        <v>180648.74400000001</v>
      </c>
      <c r="E258" s="19"/>
    </row>
    <row r="259" spans="1:5" x14ac:dyDescent="0.25">
      <c r="A259" s="9" t="str">
        <f>"18687U"</f>
        <v>18687U</v>
      </c>
      <c r="B259" s="10" t="s">
        <v>250</v>
      </c>
      <c r="C259" s="10">
        <v>38047</v>
      </c>
      <c r="D259" s="7">
        <v>216761.68799999999</v>
      </c>
      <c r="E259" s="19"/>
    </row>
    <row r="260" spans="1:5" x14ac:dyDescent="0.25">
      <c r="A260" s="9" t="str">
        <f>"18711G"</f>
        <v>18711G</v>
      </c>
      <c r="B260" s="10" t="s">
        <v>251</v>
      </c>
      <c r="C260" s="10">
        <v>38075</v>
      </c>
      <c r="D260" s="7">
        <v>413952.02400000003</v>
      </c>
      <c r="E260" s="19"/>
    </row>
    <row r="261" spans="1:5" x14ac:dyDescent="0.25">
      <c r="A261" s="9" t="str">
        <f>"18713X"</f>
        <v>18713X</v>
      </c>
      <c r="B261" s="10" t="s">
        <v>252</v>
      </c>
      <c r="C261" s="10">
        <v>38075</v>
      </c>
      <c r="D261" s="7">
        <v>329603.76</v>
      </c>
      <c r="E261" s="19"/>
    </row>
    <row r="262" spans="1:5" x14ac:dyDescent="0.25">
      <c r="A262" s="9" t="str">
        <f>"18719P"</f>
        <v>18719P</v>
      </c>
      <c r="B262" s="10" t="s">
        <v>253</v>
      </c>
      <c r="C262" s="10">
        <v>38071</v>
      </c>
      <c r="D262" s="7">
        <v>475296.12</v>
      </c>
      <c r="E262" s="19"/>
    </row>
    <row r="263" spans="1:5" x14ac:dyDescent="0.25">
      <c r="A263" s="9" t="str">
        <f>"18729Y"</f>
        <v>18729Y</v>
      </c>
      <c r="B263" s="10" t="s">
        <v>223</v>
      </c>
      <c r="C263" s="10">
        <v>38079</v>
      </c>
      <c r="D263" s="7">
        <v>292522.94400000002</v>
      </c>
      <c r="E263" s="19"/>
    </row>
    <row r="264" spans="1:5" x14ac:dyDescent="0.25">
      <c r="A264" s="9" t="str">
        <f>"18735Z"</f>
        <v>18735Z</v>
      </c>
      <c r="B264" s="10" t="s">
        <v>254</v>
      </c>
      <c r="C264" s="10">
        <v>38104</v>
      </c>
      <c r="D264" s="7">
        <v>278136.79200000002</v>
      </c>
      <c r="E264" s="19"/>
    </row>
    <row r="265" spans="1:5" x14ac:dyDescent="0.25">
      <c r="A265" s="9" t="str">
        <f>"18789E"</f>
        <v>18789E</v>
      </c>
      <c r="B265" s="10" t="s">
        <v>255</v>
      </c>
      <c r="C265" s="10">
        <v>38119</v>
      </c>
      <c r="D265" s="7">
        <v>297063.36</v>
      </c>
      <c r="E265" s="19"/>
    </row>
    <row r="266" spans="1:5" x14ac:dyDescent="0.25">
      <c r="A266" s="9" t="str">
        <f>"18793F"</f>
        <v>18793F</v>
      </c>
      <c r="B266" s="10" t="s">
        <v>256</v>
      </c>
      <c r="C266" s="10">
        <v>38119</v>
      </c>
      <c r="D266" s="7">
        <v>308451.33600000001</v>
      </c>
      <c r="E266" s="19"/>
    </row>
    <row r="267" spans="1:5" x14ac:dyDescent="0.25">
      <c r="A267" s="9" t="str">
        <f>"18795W"</f>
        <v>18795W</v>
      </c>
      <c r="B267" s="10" t="s">
        <v>257</v>
      </c>
      <c r="C267" s="10">
        <v>38096</v>
      </c>
      <c r="D267" s="7">
        <v>472848.36</v>
      </c>
      <c r="E267" s="19"/>
    </row>
    <row r="268" spans="1:5" x14ac:dyDescent="0.25">
      <c r="A268" s="9" t="str">
        <f>"18801G"</f>
        <v>18801G</v>
      </c>
      <c r="B268" s="10" t="s">
        <v>258</v>
      </c>
      <c r="C268" s="10">
        <v>38162</v>
      </c>
      <c r="D268" s="7">
        <v>329535.21600000001</v>
      </c>
      <c r="E268" s="19"/>
    </row>
    <row r="269" spans="1:5" x14ac:dyDescent="0.25">
      <c r="A269" s="9" t="str">
        <f>"18805X"</f>
        <v>18805X</v>
      </c>
      <c r="B269" s="10" t="s">
        <v>259</v>
      </c>
      <c r="C269" s="10">
        <v>38163</v>
      </c>
      <c r="D269" s="7">
        <v>384890.18400000001</v>
      </c>
      <c r="E269" s="19"/>
    </row>
    <row r="270" spans="1:5" x14ac:dyDescent="0.25">
      <c r="A270" s="9" t="str">
        <f>"18807X"</f>
        <v>18807X</v>
      </c>
      <c r="B270" s="10" t="s">
        <v>260</v>
      </c>
      <c r="C270" s="10">
        <v>38097</v>
      </c>
      <c r="D270" s="7">
        <v>427659.38400000002</v>
      </c>
      <c r="E270" s="19"/>
    </row>
    <row r="271" spans="1:5" x14ac:dyDescent="0.25">
      <c r="A271" s="9" t="str">
        <f>"18827R"</f>
        <v>18827R</v>
      </c>
      <c r="B271" s="10" t="s">
        <v>261</v>
      </c>
      <c r="C271" s="10">
        <v>38145</v>
      </c>
      <c r="D271" s="7">
        <v>243009.24</v>
      </c>
      <c r="E271" s="19"/>
    </row>
    <row r="272" spans="1:5" x14ac:dyDescent="0.25">
      <c r="A272" s="9" t="str">
        <f>"18847R"</f>
        <v>18847R</v>
      </c>
      <c r="B272" s="10" t="s">
        <v>262</v>
      </c>
      <c r="C272" s="10">
        <v>38224</v>
      </c>
      <c r="D272" s="7">
        <v>208492.63200000001</v>
      </c>
      <c r="E272" s="19"/>
    </row>
    <row r="273" spans="1:5" x14ac:dyDescent="0.25">
      <c r="A273" s="9" t="str">
        <f>"18849F"</f>
        <v>18849F</v>
      </c>
      <c r="B273" s="10" t="s">
        <v>263</v>
      </c>
      <c r="C273" s="10">
        <v>38232</v>
      </c>
      <c r="D273" s="7">
        <v>310464.88800000004</v>
      </c>
      <c r="E273" s="19"/>
    </row>
    <row r="274" spans="1:5" x14ac:dyDescent="0.25">
      <c r="A274" s="9" t="str">
        <f>"18867U"</f>
        <v>18867U</v>
      </c>
      <c r="B274" s="10" t="s">
        <v>264</v>
      </c>
      <c r="C274" s="10">
        <v>38253</v>
      </c>
      <c r="D274" s="7">
        <v>141335.95199999999</v>
      </c>
      <c r="E274" s="19"/>
    </row>
    <row r="275" spans="1:5" x14ac:dyDescent="0.25">
      <c r="A275" s="9" t="str">
        <f>"18873U"</f>
        <v>18873U</v>
      </c>
      <c r="B275" s="10" t="s">
        <v>265</v>
      </c>
      <c r="C275" s="10">
        <v>38194</v>
      </c>
      <c r="D275" s="7">
        <v>252825.09600000002</v>
      </c>
      <c r="E275" s="19"/>
    </row>
    <row r="276" spans="1:5" x14ac:dyDescent="0.25">
      <c r="A276" s="9" t="str">
        <f>"18887W"</f>
        <v>18887W</v>
      </c>
      <c r="B276" s="10" t="s">
        <v>266</v>
      </c>
      <c r="C276" s="10">
        <v>38285</v>
      </c>
      <c r="D276" s="7">
        <v>186570.23999999999</v>
      </c>
      <c r="E276" s="19"/>
    </row>
    <row r="277" spans="1:5" x14ac:dyDescent="0.25">
      <c r="A277" s="9" t="str">
        <f>"18889W"</f>
        <v>18889W</v>
      </c>
      <c r="B277" s="10" t="s">
        <v>267</v>
      </c>
      <c r="C277" s="10">
        <v>38301</v>
      </c>
      <c r="D277" s="7">
        <v>339866.68800000002</v>
      </c>
      <c r="E277" s="19"/>
    </row>
    <row r="278" spans="1:5" x14ac:dyDescent="0.25">
      <c r="A278" s="9" t="str">
        <f>"18899G"</f>
        <v>18899G</v>
      </c>
      <c r="B278" s="10" t="s">
        <v>268</v>
      </c>
      <c r="C278" s="10">
        <v>38209</v>
      </c>
      <c r="D278" s="7">
        <v>110164.944</v>
      </c>
      <c r="E278" s="19"/>
    </row>
    <row r="279" spans="1:5" x14ac:dyDescent="0.25">
      <c r="A279" s="9" t="str">
        <f>"18915Z"</f>
        <v>18915Z</v>
      </c>
      <c r="B279" s="10" t="s">
        <v>269</v>
      </c>
      <c r="C279" s="10">
        <v>38362</v>
      </c>
      <c r="D279" s="7">
        <v>225897.19200000001</v>
      </c>
      <c r="E279" s="19"/>
    </row>
    <row r="280" spans="1:5" x14ac:dyDescent="0.25">
      <c r="A280" s="9" t="str">
        <f>"18943B"</f>
        <v>18943B</v>
      </c>
      <c r="B280" s="10" t="s">
        <v>270</v>
      </c>
      <c r="C280" s="10">
        <v>38536</v>
      </c>
      <c r="D280" s="7">
        <v>342873.14400000003</v>
      </c>
      <c r="E280" s="19"/>
    </row>
    <row r="281" spans="1:5" x14ac:dyDescent="0.25">
      <c r="A281" s="9" t="str">
        <f>"18947L"</f>
        <v>18947L</v>
      </c>
      <c r="B281" s="10" t="s">
        <v>271</v>
      </c>
      <c r="C281" s="10">
        <v>38593</v>
      </c>
      <c r="D281" s="7">
        <v>243198.432</v>
      </c>
      <c r="E281" s="19"/>
    </row>
    <row r="282" spans="1:5" x14ac:dyDescent="0.25">
      <c r="A282" s="9" t="str">
        <f>"18955D"</f>
        <v>18955D</v>
      </c>
      <c r="B282" s="10" t="s">
        <v>272</v>
      </c>
      <c r="C282" s="10">
        <v>38593</v>
      </c>
      <c r="D282" s="7">
        <v>387311.04</v>
      </c>
      <c r="E282" s="19"/>
    </row>
    <row r="283" spans="1:5" x14ac:dyDescent="0.25">
      <c r="A283" s="9" t="str">
        <f>"18957U"</f>
        <v>18957U</v>
      </c>
      <c r="B283" s="10" t="s">
        <v>273</v>
      </c>
      <c r="C283" s="10">
        <v>38593</v>
      </c>
      <c r="D283" s="7">
        <v>202613.37600000002</v>
      </c>
      <c r="E283" s="19"/>
    </row>
    <row r="284" spans="1:5" x14ac:dyDescent="0.25">
      <c r="A284" s="9" t="str">
        <f>"18961D"</f>
        <v>18961D</v>
      </c>
      <c r="B284" s="10" t="s">
        <v>274</v>
      </c>
      <c r="C284" s="10">
        <v>38622</v>
      </c>
      <c r="D284" s="7">
        <v>305749.44</v>
      </c>
      <c r="E284" s="19"/>
    </row>
    <row r="285" spans="1:5" x14ac:dyDescent="0.25">
      <c r="A285" s="9" t="str">
        <f>"18967N"</f>
        <v>18967N</v>
      </c>
      <c r="B285" s="10" t="s">
        <v>268</v>
      </c>
      <c r="C285" s="10">
        <v>38628</v>
      </c>
      <c r="D285" s="7">
        <v>368462.35200000001</v>
      </c>
      <c r="E285" s="19"/>
    </row>
    <row r="286" spans="1:5" x14ac:dyDescent="0.25">
      <c r="A286" s="9" t="str">
        <f>"18971N"</f>
        <v>18971N</v>
      </c>
      <c r="B286" s="10" t="s">
        <v>275</v>
      </c>
      <c r="C286" s="10">
        <v>38649</v>
      </c>
      <c r="D286" s="7">
        <v>314989.92</v>
      </c>
      <c r="E286" s="19"/>
    </row>
    <row r="287" spans="1:5" x14ac:dyDescent="0.25">
      <c r="A287" s="9" t="str">
        <f>"18975W"</f>
        <v>18975W</v>
      </c>
      <c r="B287" s="10" t="s">
        <v>276</v>
      </c>
      <c r="C287" s="10">
        <v>38622</v>
      </c>
      <c r="D287" s="7">
        <v>347103.79200000002</v>
      </c>
      <c r="E287" s="19"/>
    </row>
    <row r="288" spans="1:5" x14ac:dyDescent="0.25">
      <c r="A288" s="9" t="str">
        <f>"18977W"</f>
        <v>18977W</v>
      </c>
      <c r="B288" s="10" t="s">
        <v>277</v>
      </c>
      <c r="C288" s="10">
        <v>38692</v>
      </c>
      <c r="D288" s="7">
        <v>302504.61599999998</v>
      </c>
      <c r="E288" s="19"/>
    </row>
    <row r="289" spans="1:5" x14ac:dyDescent="0.25">
      <c r="A289" s="9" t="str">
        <f>"18981W"</f>
        <v>18981W</v>
      </c>
      <c r="B289" s="10" t="s">
        <v>278</v>
      </c>
      <c r="C289" s="10">
        <v>38693</v>
      </c>
      <c r="D289" s="7">
        <v>184424.736</v>
      </c>
      <c r="E289" s="19"/>
    </row>
    <row r="290" spans="1:5" x14ac:dyDescent="0.25">
      <c r="A290" s="9" t="str">
        <f>"19003Z"</f>
        <v>19003Z</v>
      </c>
      <c r="B290" s="10" t="s">
        <v>279</v>
      </c>
      <c r="C290" s="10">
        <v>38804</v>
      </c>
      <c r="D290" s="7">
        <v>114506.83200000001</v>
      </c>
      <c r="E290" s="19"/>
    </row>
    <row r="291" spans="1:5" x14ac:dyDescent="0.25">
      <c r="A291" s="9" t="str">
        <f>"19015G"</f>
        <v>19015G</v>
      </c>
      <c r="B291" s="10" t="s">
        <v>280</v>
      </c>
      <c r="C291" s="10">
        <v>41037</v>
      </c>
      <c r="D291" s="7">
        <v>231371.52000000002</v>
      </c>
      <c r="E291" s="19"/>
    </row>
    <row r="292" spans="1:5" x14ac:dyDescent="0.25">
      <c r="A292" s="9" t="str">
        <f>"192M"</f>
        <v>192M</v>
      </c>
      <c r="B292" s="10" t="s">
        <v>281</v>
      </c>
      <c r="C292" s="10">
        <v>37774</v>
      </c>
      <c r="D292" s="7">
        <v>213535.96799999999</v>
      </c>
      <c r="E292" s="19"/>
    </row>
    <row r="293" spans="1:5" x14ac:dyDescent="0.25">
      <c r="A293" s="9" t="str">
        <f>"194M"</f>
        <v>194M</v>
      </c>
      <c r="B293" s="10" t="s">
        <v>282</v>
      </c>
      <c r="C293" s="10">
        <v>37809</v>
      </c>
      <c r="D293" s="7">
        <v>227671.65600000002</v>
      </c>
      <c r="E293" s="19"/>
    </row>
    <row r="294" spans="1:5" x14ac:dyDescent="0.25">
      <c r="A294" s="9" t="str">
        <f>"195M"</f>
        <v>195M</v>
      </c>
      <c r="B294" s="10" t="s">
        <v>283</v>
      </c>
      <c r="C294" s="10">
        <v>37879</v>
      </c>
      <c r="D294" s="7">
        <v>356264.424</v>
      </c>
      <c r="E294" s="19"/>
    </row>
    <row r="295" spans="1:5" x14ac:dyDescent="0.25">
      <c r="A295" s="9" t="str">
        <f>"200M"</f>
        <v>200M</v>
      </c>
      <c r="B295" s="10" t="s">
        <v>284</v>
      </c>
      <c r="C295" s="10">
        <v>37956</v>
      </c>
      <c r="D295" s="7">
        <v>288251.28000000003</v>
      </c>
      <c r="E295" s="19"/>
    </row>
    <row r="296" spans="1:5" x14ac:dyDescent="0.25">
      <c r="A296" s="9" t="str">
        <f>"204M"</f>
        <v>204M</v>
      </c>
      <c r="B296" s="10" t="s">
        <v>285</v>
      </c>
      <c r="C296" s="10">
        <v>38012</v>
      </c>
      <c r="D296" s="7">
        <v>131016.31200000001</v>
      </c>
      <c r="E296" s="19"/>
    </row>
    <row r="297" spans="1:5" x14ac:dyDescent="0.25">
      <c r="A297" s="9" t="str">
        <f>"216M"</f>
        <v>216M</v>
      </c>
      <c r="B297" s="10" t="s">
        <v>286</v>
      </c>
      <c r="C297" s="10">
        <v>38596</v>
      </c>
      <c r="D297" s="7">
        <v>333989.95199999999</v>
      </c>
      <c r="E297" s="19"/>
    </row>
    <row r="298" spans="1:5" x14ac:dyDescent="0.25">
      <c r="A298" s="9" t="str">
        <f>"224M"</f>
        <v>224M</v>
      </c>
      <c r="B298" s="10" t="s">
        <v>287</v>
      </c>
      <c r="C298" s="10">
        <v>38742</v>
      </c>
      <c r="D298" s="7">
        <v>225895.584</v>
      </c>
      <c r="E298" s="19"/>
    </row>
    <row r="299" spans="1:5" x14ac:dyDescent="0.25">
      <c r="A299" s="9" t="str">
        <f>"227M"</f>
        <v>227M</v>
      </c>
      <c r="B299" s="10" t="s">
        <v>288</v>
      </c>
      <c r="C299" s="10">
        <v>38848</v>
      </c>
      <c r="D299" s="7">
        <v>298218.09600000002</v>
      </c>
      <c r="E299" s="19"/>
    </row>
    <row r="300" spans="1:5" x14ac:dyDescent="0.25">
      <c r="A300" s="9" t="str">
        <f>"228M"</f>
        <v>228M</v>
      </c>
      <c r="B300" s="10" t="s">
        <v>289</v>
      </c>
      <c r="C300" s="10">
        <v>38848</v>
      </c>
      <c r="D300" s="7">
        <v>363226.96799999999</v>
      </c>
      <c r="E300" s="19"/>
    </row>
    <row r="301" spans="1:5" x14ac:dyDescent="0.25">
      <c r="A301" s="9" t="str">
        <f>"234M"</f>
        <v>234M</v>
      </c>
      <c r="B301" s="10" t="s">
        <v>290</v>
      </c>
      <c r="C301" s="10">
        <v>38975</v>
      </c>
      <c r="D301" s="7">
        <v>398026.152</v>
      </c>
      <c r="E301" s="19"/>
    </row>
    <row r="302" spans="1:5" x14ac:dyDescent="0.25">
      <c r="A302" s="9" t="str">
        <f>"235M"</f>
        <v>235M</v>
      </c>
      <c r="B302" s="10" t="s">
        <v>291</v>
      </c>
      <c r="C302" s="10">
        <v>38964</v>
      </c>
      <c r="D302" s="7">
        <v>379442.44800000003</v>
      </c>
      <c r="E302" s="19"/>
    </row>
    <row r="303" spans="1:5" x14ac:dyDescent="0.25">
      <c r="A303" s="9" t="str">
        <f>"237M"</f>
        <v>237M</v>
      </c>
      <c r="B303" s="10" t="s">
        <v>292</v>
      </c>
      <c r="C303" s="10">
        <v>38999</v>
      </c>
      <c r="D303" s="7">
        <v>295420.63199999998</v>
      </c>
      <c r="E303" s="19"/>
    </row>
    <row r="304" spans="1:5" x14ac:dyDescent="0.25">
      <c r="A304" s="9" t="str">
        <f>"239M"</f>
        <v>239M</v>
      </c>
      <c r="B304" s="10" t="s">
        <v>293</v>
      </c>
      <c r="C304" s="10">
        <v>38992</v>
      </c>
      <c r="D304" s="7">
        <v>422356.94400000002</v>
      </c>
      <c r="E304" s="19"/>
    </row>
    <row r="305" spans="1:5" x14ac:dyDescent="0.25">
      <c r="A305" s="9" t="str">
        <f>"241M"</f>
        <v>241M</v>
      </c>
      <c r="B305" s="10" t="s">
        <v>294</v>
      </c>
      <c r="C305" s="10">
        <v>39006</v>
      </c>
      <c r="D305" s="7">
        <v>284097.24</v>
      </c>
      <c r="E305" s="19"/>
    </row>
    <row r="306" spans="1:5" x14ac:dyDescent="0.25">
      <c r="A306" s="9" t="str">
        <f>"245M"</f>
        <v>245M</v>
      </c>
      <c r="B306" s="10" t="s">
        <v>113</v>
      </c>
      <c r="C306" s="10">
        <v>39084</v>
      </c>
      <c r="D306" s="7">
        <v>336030.72000000003</v>
      </c>
      <c r="E306" s="19"/>
    </row>
    <row r="307" spans="1:5" x14ac:dyDescent="0.25">
      <c r="A307" s="9" t="str">
        <f>"246M"</f>
        <v>246M</v>
      </c>
      <c r="B307" s="10" t="s">
        <v>295</v>
      </c>
      <c r="C307" s="10">
        <v>39086</v>
      </c>
      <c r="D307" s="7">
        <v>192334.51200000002</v>
      </c>
      <c r="E307" s="19"/>
    </row>
    <row r="308" spans="1:5" x14ac:dyDescent="0.25">
      <c r="A308" s="9" t="str">
        <f>"247M"</f>
        <v>247M</v>
      </c>
      <c r="B308" s="10" t="s">
        <v>296</v>
      </c>
      <c r="C308" s="10">
        <v>39086</v>
      </c>
      <c r="D308" s="7">
        <v>194309.424</v>
      </c>
      <c r="E308" s="19"/>
    </row>
    <row r="309" spans="1:5" x14ac:dyDescent="0.25">
      <c r="A309" s="9" t="str">
        <f>"248M"</f>
        <v>248M</v>
      </c>
      <c r="B309" s="10" t="s">
        <v>297</v>
      </c>
      <c r="C309" s="10">
        <v>39090</v>
      </c>
      <c r="D309" s="7">
        <v>300410.28000000003</v>
      </c>
      <c r="E309" s="19"/>
    </row>
    <row r="310" spans="1:5" x14ac:dyDescent="0.25">
      <c r="A310" s="9" t="str">
        <f>"249M"</f>
        <v>249M</v>
      </c>
      <c r="B310" s="10" t="s">
        <v>298</v>
      </c>
      <c r="C310" s="10">
        <v>39104</v>
      </c>
      <c r="D310" s="7">
        <v>330055.94400000002</v>
      </c>
      <c r="E310" s="19"/>
    </row>
    <row r="311" spans="1:5" x14ac:dyDescent="0.25">
      <c r="A311" s="9" t="str">
        <f>"250M"</f>
        <v>250M</v>
      </c>
      <c r="B311" s="10" t="s">
        <v>299</v>
      </c>
      <c r="C311" s="10">
        <v>39104</v>
      </c>
      <c r="D311" s="7">
        <v>203589.50400000002</v>
      </c>
      <c r="E311" s="19"/>
    </row>
    <row r="312" spans="1:5" x14ac:dyDescent="0.25">
      <c r="A312" s="9" t="str">
        <f>"252M"</f>
        <v>252M</v>
      </c>
      <c r="B312" s="10" t="s">
        <v>300</v>
      </c>
      <c r="C312" s="10">
        <v>39114</v>
      </c>
      <c r="D312" s="7">
        <v>211945.92</v>
      </c>
      <c r="E312" s="19"/>
    </row>
    <row r="313" spans="1:5" x14ac:dyDescent="0.25">
      <c r="A313" s="9" t="str">
        <f>"253M"</f>
        <v>253M</v>
      </c>
      <c r="B313" s="10" t="s">
        <v>301</v>
      </c>
      <c r="C313" s="10">
        <v>39114</v>
      </c>
      <c r="D313" s="7">
        <v>251428.65600000002</v>
      </c>
      <c r="E313" s="19"/>
    </row>
    <row r="314" spans="1:5" x14ac:dyDescent="0.25">
      <c r="A314" s="9" t="str">
        <f>"254M"</f>
        <v>254M</v>
      </c>
      <c r="B314" s="10" t="s">
        <v>302</v>
      </c>
      <c r="C314" s="10">
        <v>39114</v>
      </c>
      <c r="D314" s="7">
        <v>328142.52</v>
      </c>
      <c r="E314" s="19"/>
    </row>
    <row r="315" spans="1:5" x14ac:dyDescent="0.25">
      <c r="A315" s="9" t="str">
        <f>"259M"</f>
        <v>259M</v>
      </c>
      <c r="B315" s="10" t="s">
        <v>303</v>
      </c>
      <c r="C315" s="10">
        <v>39114</v>
      </c>
      <c r="D315" s="7">
        <v>195356.92800000001</v>
      </c>
      <c r="E315" s="19"/>
    </row>
    <row r="316" spans="1:5" x14ac:dyDescent="0.25">
      <c r="A316" s="9" t="str">
        <f>"262M"</f>
        <v>262M</v>
      </c>
      <c r="B316" s="10" t="s">
        <v>304</v>
      </c>
      <c r="C316" s="10">
        <v>39167</v>
      </c>
      <c r="D316" s="7">
        <v>431430.696</v>
      </c>
      <c r="E316" s="19"/>
    </row>
    <row r="317" spans="1:5" x14ac:dyDescent="0.25">
      <c r="A317" s="9" t="str">
        <f>"265M"</f>
        <v>265M</v>
      </c>
      <c r="B317" s="10" t="s">
        <v>305</v>
      </c>
      <c r="C317" s="10">
        <v>39174</v>
      </c>
      <c r="D317" s="7">
        <v>107898.984</v>
      </c>
      <c r="E317" s="19"/>
    </row>
    <row r="318" spans="1:5" x14ac:dyDescent="0.25">
      <c r="A318" s="9" t="str">
        <f>"266M"</f>
        <v>266M</v>
      </c>
      <c r="B318" s="10" t="s">
        <v>306</v>
      </c>
      <c r="C318" s="10">
        <v>39174</v>
      </c>
      <c r="D318" s="7">
        <v>198944.016</v>
      </c>
      <c r="E318" s="19"/>
    </row>
    <row r="319" spans="1:5" x14ac:dyDescent="0.25">
      <c r="A319" s="9" t="str">
        <f>"267M"</f>
        <v>267M</v>
      </c>
      <c r="B319" s="10" t="s">
        <v>307</v>
      </c>
      <c r="C319" s="10">
        <v>39174</v>
      </c>
      <c r="D319" s="7">
        <v>136467.16800000001</v>
      </c>
      <c r="E319" s="19"/>
    </row>
    <row r="320" spans="1:5" x14ac:dyDescent="0.25">
      <c r="A320" s="9" t="str">
        <f>"268M"</f>
        <v>268M</v>
      </c>
      <c r="B320" s="10" t="s">
        <v>208</v>
      </c>
      <c r="C320" s="10">
        <v>39174</v>
      </c>
      <c r="D320" s="7">
        <v>152253.09599999999</v>
      </c>
      <c r="E320" s="19"/>
    </row>
    <row r="321" spans="1:5" x14ac:dyDescent="0.25">
      <c r="A321" s="9" t="str">
        <f>"273M"</f>
        <v>273M</v>
      </c>
      <c r="B321" s="10" t="s">
        <v>308</v>
      </c>
      <c r="C321" s="10">
        <v>39183</v>
      </c>
      <c r="D321" s="7">
        <v>313333.05599999998</v>
      </c>
      <c r="E321" s="19"/>
    </row>
    <row r="322" spans="1:5" x14ac:dyDescent="0.25">
      <c r="A322" s="9" t="str">
        <f>"274M"</f>
        <v>274M</v>
      </c>
      <c r="B322" s="10" t="s">
        <v>309</v>
      </c>
      <c r="C322" s="10">
        <v>39188</v>
      </c>
      <c r="D322" s="7">
        <v>156012.64800000002</v>
      </c>
      <c r="E322" s="19"/>
    </row>
    <row r="323" spans="1:5" x14ac:dyDescent="0.25">
      <c r="A323" s="9" t="str">
        <f>"277M"</f>
        <v>277M</v>
      </c>
      <c r="B323" s="10" t="s">
        <v>310</v>
      </c>
      <c r="C323" s="10">
        <v>39191</v>
      </c>
      <c r="D323" s="7">
        <v>586876.152</v>
      </c>
      <c r="E323" s="19"/>
    </row>
    <row r="324" spans="1:5" x14ac:dyDescent="0.25">
      <c r="A324" s="9" t="str">
        <f>"279M"</f>
        <v>279M</v>
      </c>
      <c r="B324" s="10" t="s">
        <v>311</v>
      </c>
      <c r="C324" s="10">
        <v>39209</v>
      </c>
      <c r="D324" s="7">
        <v>276662.06400000001</v>
      </c>
      <c r="E324" s="19"/>
    </row>
    <row r="325" spans="1:5" x14ac:dyDescent="0.25">
      <c r="A325" s="9" t="str">
        <f>"280M"</f>
        <v>280M</v>
      </c>
      <c r="B325" s="10" t="s">
        <v>312</v>
      </c>
      <c r="C325" s="10">
        <v>39209</v>
      </c>
      <c r="D325" s="7">
        <v>458466.408</v>
      </c>
      <c r="E325" s="19"/>
    </row>
    <row r="326" spans="1:5" x14ac:dyDescent="0.25">
      <c r="A326" s="9" t="str">
        <f>"282M"</f>
        <v>282M</v>
      </c>
      <c r="B326" s="10" t="s">
        <v>313</v>
      </c>
      <c r="C326" s="10">
        <v>39234</v>
      </c>
      <c r="D326" s="7">
        <v>181869.45600000001</v>
      </c>
      <c r="E326" s="19"/>
    </row>
    <row r="327" spans="1:5" x14ac:dyDescent="0.25">
      <c r="A327" s="9" t="str">
        <f>"284M"</f>
        <v>284M</v>
      </c>
      <c r="B327" s="10" t="s">
        <v>314</v>
      </c>
      <c r="C327" s="10">
        <v>39264</v>
      </c>
      <c r="D327" s="7">
        <v>237096.74400000001</v>
      </c>
      <c r="E327" s="19"/>
    </row>
    <row r="328" spans="1:5" x14ac:dyDescent="0.25">
      <c r="A328" s="9" t="str">
        <f>"286M"</f>
        <v>286M</v>
      </c>
      <c r="B328" s="10" t="s">
        <v>315</v>
      </c>
      <c r="C328" s="10">
        <v>39264</v>
      </c>
      <c r="D328" s="7">
        <v>230588.424</v>
      </c>
      <c r="E328" s="19"/>
    </row>
    <row r="329" spans="1:5" x14ac:dyDescent="0.25">
      <c r="A329" s="9" t="str">
        <f>"288M"</f>
        <v>288M</v>
      </c>
      <c r="B329" s="10" t="s">
        <v>266</v>
      </c>
      <c r="C329" s="10">
        <v>39264</v>
      </c>
      <c r="D329" s="7">
        <v>237350.52000000002</v>
      </c>
      <c r="E329" s="19"/>
    </row>
    <row r="330" spans="1:5" x14ac:dyDescent="0.25">
      <c r="A330" s="9" t="str">
        <f>"289M"</f>
        <v>289M</v>
      </c>
      <c r="B330" s="10" t="s">
        <v>316</v>
      </c>
      <c r="C330" s="10">
        <v>39273</v>
      </c>
      <c r="D330" s="7">
        <v>257013.96</v>
      </c>
      <c r="E330" s="19"/>
    </row>
    <row r="331" spans="1:5" x14ac:dyDescent="0.25">
      <c r="A331" s="9" t="str">
        <f>"292M"</f>
        <v>292M</v>
      </c>
      <c r="B331" s="10" t="s">
        <v>317</v>
      </c>
      <c r="C331" s="10">
        <v>39587</v>
      </c>
      <c r="D331" s="7">
        <v>259809</v>
      </c>
      <c r="E331" s="19"/>
    </row>
    <row r="332" spans="1:5" x14ac:dyDescent="0.25">
      <c r="A332" s="9" t="str">
        <f>"293M"</f>
        <v>293M</v>
      </c>
      <c r="B332" s="10" t="s">
        <v>318</v>
      </c>
      <c r="C332" s="10">
        <v>39591</v>
      </c>
      <c r="D332" s="7">
        <v>418197.04800000001</v>
      </c>
      <c r="E332" s="19"/>
    </row>
    <row r="333" spans="1:5" x14ac:dyDescent="0.25">
      <c r="A333" s="9" t="str">
        <f>"299M"</f>
        <v>299M</v>
      </c>
      <c r="B333" s="10" t="s">
        <v>319</v>
      </c>
      <c r="C333" s="10">
        <v>39723</v>
      </c>
      <c r="D333" s="7">
        <v>398389.32</v>
      </c>
      <c r="E333" s="19"/>
    </row>
    <row r="334" spans="1:5" x14ac:dyDescent="0.25">
      <c r="A334" s="9" t="str">
        <f>"303M"</f>
        <v>303M</v>
      </c>
      <c r="B334" s="10" t="s">
        <v>320</v>
      </c>
      <c r="C334" s="10">
        <v>39924</v>
      </c>
      <c r="D334" s="7">
        <v>324688.75199999998</v>
      </c>
      <c r="E334" s="19"/>
    </row>
    <row r="335" spans="1:5" x14ac:dyDescent="0.25">
      <c r="A335" s="9" t="str">
        <f>"307M"</f>
        <v>307M</v>
      </c>
      <c r="B335" s="10" t="s">
        <v>321</v>
      </c>
      <c r="C335" s="10">
        <v>40001</v>
      </c>
      <c r="D335" s="7">
        <v>140034</v>
      </c>
      <c r="E335" s="19"/>
    </row>
    <row r="336" spans="1:5" x14ac:dyDescent="0.25">
      <c r="A336" s="9" t="str">
        <f>"311M"</f>
        <v>311M</v>
      </c>
      <c r="B336" s="10" t="s">
        <v>322</v>
      </c>
      <c r="C336" s="10">
        <v>40157</v>
      </c>
      <c r="D336" s="7">
        <v>218910.16800000001</v>
      </c>
      <c r="E336" s="19"/>
    </row>
    <row r="337" spans="1:5" x14ac:dyDescent="0.25">
      <c r="A337" s="9" t="str">
        <f>"314M"</f>
        <v>314M</v>
      </c>
      <c r="B337" s="10" t="s">
        <v>323</v>
      </c>
      <c r="C337" s="10">
        <v>40191</v>
      </c>
      <c r="D337" s="7">
        <v>187563.91200000001</v>
      </c>
      <c r="E337" s="19"/>
    </row>
    <row r="338" spans="1:5" x14ac:dyDescent="0.25">
      <c r="A338" s="9" t="str">
        <f>"315M"</f>
        <v>315M</v>
      </c>
      <c r="B338" s="10" t="s">
        <v>324</v>
      </c>
      <c r="C338" s="10">
        <v>40198</v>
      </c>
      <c r="D338" s="7">
        <v>296309.47200000001</v>
      </c>
      <c r="E338" s="19"/>
    </row>
    <row r="339" spans="1:5" x14ac:dyDescent="0.25">
      <c r="A339" s="9" t="str">
        <f>"318M"</f>
        <v>318M</v>
      </c>
      <c r="B339" s="10" t="s">
        <v>325</v>
      </c>
      <c r="C339" s="10">
        <v>40352</v>
      </c>
      <c r="D339" s="7">
        <v>225796.296</v>
      </c>
      <c r="E339" s="19"/>
    </row>
    <row r="340" spans="1:5" x14ac:dyDescent="0.25">
      <c r="A340" s="9" t="str">
        <f>"321M"</f>
        <v>321M</v>
      </c>
      <c r="B340" s="10" t="s">
        <v>326</v>
      </c>
      <c r="C340" s="10">
        <v>40525</v>
      </c>
      <c r="D340" s="7">
        <v>344096.52</v>
      </c>
      <c r="E340" s="19"/>
    </row>
    <row r="341" spans="1:5" x14ac:dyDescent="0.25">
      <c r="A341" s="9" t="str">
        <f>"322M"</f>
        <v>322M</v>
      </c>
      <c r="B341" s="10" t="s">
        <v>327</v>
      </c>
      <c r="C341" s="10">
        <v>40525</v>
      </c>
      <c r="D341" s="7">
        <v>496364.11200000002</v>
      </c>
      <c r="E341" s="19"/>
    </row>
    <row r="342" spans="1:5" x14ac:dyDescent="0.25">
      <c r="A342" s="9" t="str">
        <f>"323M"</f>
        <v>323M</v>
      </c>
      <c r="B342" s="10" t="s">
        <v>328</v>
      </c>
      <c r="C342" s="10">
        <v>40546</v>
      </c>
      <c r="D342" s="7">
        <v>222236.08800000002</v>
      </c>
      <c r="E342" s="19"/>
    </row>
    <row r="343" spans="1:5" x14ac:dyDescent="0.25">
      <c r="A343" s="9" t="str">
        <f>"329M"</f>
        <v>329M</v>
      </c>
      <c r="B343" s="10" t="s">
        <v>329</v>
      </c>
      <c r="C343" s="10">
        <v>40702</v>
      </c>
      <c r="D343" s="7">
        <v>227488.56</v>
      </c>
      <c r="E343" s="19"/>
    </row>
    <row r="344" spans="1:5" x14ac:dyDescent="0.25">
      <c r="A344" s="9" t="str">
        <f>"330M"</f>
        <v>330M</v>
      </c>
      <c r="B344" s="10" t="s">
        <v>330</v>
      </c>
      <c r="C344" s="10">
        <v>40711</v>
      </c>
      <c r="D344" s="7">
        <v>574236.07200000004</v>
      </c>
      <c r="E344" s="19"/>
    </row>
    <row r="345" spans="1:5" x14ac:dyDescent="0.25">
      <c r="A345" s="9" t="str">
        <f>"331M"</f>
        <v>331M</v>
      </c>
      <c r="B345" s="10" t="s">
        <v>331</v>
      </c>
      <c r="C345" s="10">
        <v>40742</v>
      </c>
      <c r="D345" s="7">
        <v>222233.4</v>
      </c>
      <c r="E345" s="19"/>
    </row>
    <row r="346" spans="1:5" x14ac:dyDescent="0.25">
      <c r="A346" s="9" t="str">
        <f>"333M"</f>
        <v>333M</v>
      </c>
      <c r="B346" s="10" t="s">
        <v>332</v>
      </c>
      <c r="C346" s="10">
        <v>40765</v>
      </c>
      <c r="D346" s="7">
        <v>233401.296</v>
      </c>
      <c r="E346" s="19"/>
    </row>
    <row r="347" spans="1:5" x14ac:dyDescent="0.25">
      <c r="A347" s="9" t="str">
        <f>"335M"</f>
        <v>335M</v>
      </c>
      <c r="B347" s="10" t="s">
        <v>333</v>
      </c>
      <c r="C347" s="10">
        <v>40765</v>
      </c>
      <c r="D347" s="7">
        <v>178164.6</v>
      </c>
      <c r="E347" s="19"/>
    </row>
    <row r="348" spans="1:5" x14ac:dyDescent="0.25">
      <c r="A348" s="9" t="str">
        <f>"338M"</f>
        <v>338M</v>
      </c>
      <c r="B348" s="10" t="s">
        <v>334</v>
      </c>
      <c r="C348" s="10">
        <v>40787</v>
      </c>
      <c r="D348" s="7">
        <v>166147.128</v>
      </c>
      <c r="E348" s="19"/>
    </row>
    <row r="349" spans="1:5" x14ac:dyDescent="0.25">
      <c r="A349" s="9" t="str">
        <f>"343M"</f>
        <v>343M</v>
      </c>
      <c r="B349" s="10" t="s">
        <v>335</v>
      </c>
      <c r="C349" s="10">
        <v>40896</v>
      </c>
      <c r="D349" s="7">
        <v>228798.21600000001</v>
      </c>
      <c r="E349" s="19"/>
    </row>
    <row r="350" spans="1:5" x14ac:dyDescent="0.25">
      <c r="A350" s="9" t="str">
        <f>"344M"</f>
        <v>344M</v>
      </c>
      <c r="B350" s="10" t="s">
        <v>336</v>
      </c>
      <c r="C350" s="10">
        <v>40917</v>
      </c>
      <c r="D350" s="7">
        <v>379724.66399999999</v>
      </c>
      <c r="E350" s="19"/>
    </row>
    <row r="351" spans="1:5" x14ac:dyDescent="0.25">
      <c r="A351" s="9" t="str">
        <f>"345M"</f>
        <v>345M</v>
      </c>
      <c r="B351" s="10" t="s">
        <v>337</v>
      </c>
      <c r="C351" s="10">
        <v>40940</v>
      </c>
      <c r="D351" s="7">
        <v>527415.64800000004</v>
      </c>
      <c r="E351" s="19"/>
    </row>
    <row r="352" spans="1:5" x14ac:dyDescent="0.25">
      <c r="A352" s="9" t="str">
        <f>"348M"</f>
        <v>348M</v>
      </c>
      <c r="B352" s="10" t="s">
        <v>338</v>
      </c>
      <c r="C352" s="10">
        <v>40991</v>
      </c>
      <c r="D352" s="7">
        <v>460653.576</v>
      </c>
      <c r="E352" s="19"/>
    </row>
    <row r="353" spans="1:5" x14ac:dyDescent="0.25">
      <c r="A353" s="9" t="str">
        <f>"349M"</f>
        <v>349M</v>
      </c>
      <c r="B353" s="10" t="s">
        <v>339</v>
      </c>
      <c r="C353" s="10">
        <v>40983</v>
      </c>
      <c r="D353" s="7">
        <v>373407.38400000002</v>
      </c>
      <c r="E353" s="19"/>
    </row>
    <row r="354" spans="1:5" x14ac:dyDescent="0.25">
      <c r="A354" s="9" t="str">
        <f>"351M"</f>
        <v>351M</v>
      </c>
      <c r="B354" s="10" t="s">
        <v>340</v>
      </c>
      <c r="C354" s="10">
        <v>41001</v>
      </c>
      <c r="D354" s="7">
        <v>131122.008</v>
      </c>
      <c r="E354" s="19"/>
    </row>
    <row r="355" spans="1:5" x14ac:dyDescent="0.25">
      <c r="A355" s="9" t="str">
        <f>"352M"</f>
        <v>352M</v>
      </c>
      <c r="B355" s="10" t="s">
        <v>341</v>
      </c>
      <c r="C355" s="10">
        <v>41001</v>
      </c>
      <c r="D355" s="7">
        <v>166454.76</v>
      </c>
      <c r="E355" s="19"/>
    </row>
    <row r="356" spans="1:5" x14ac:dyDescent="0.25">
      <c r="A356" s="9" t="str">
        <f>"355M"</f>
        <v>355M</v>
      </c>
      <c r="B356" s="10" t="s">
        <v>342</v>
      </c>
      <c r="C356" s="10">
        <v>41001</v>
      </c>
      <c r="D356" s="7">
        <v>220154.83199999999</v>
      </c>
      <c r="E356" s="19"/>
    </row>
    <row r="357" spans="1:5" x14ac:dyDescent="0.25">
      <c r="A357" s="9" t="str">
        <f>"357M"</f>
        <v>357M</v>
      </c>
      <c r="B357" s="10" t="s">
        <v>343</v>
      </c>
      <c r="C357" s="10">
        <v>41001</v>
      </c>
      <c r="D357" s="7">
        <v>399577.99200000003</v>
      </c>
      <c r="E357" s="19"/>
    </row>
    <row r="358" spans="1:5" x14ac:dyDescent="0.25">
      <c r="A358" s="9" t="str">
        <f>"359M"</f>
        <v>359M</v>
      </c>
      <c r="B358" s="10" t="s">
        <v>344</v>
      </c>
      <c r="C358" s="10">
        <v>41064</v>
      </c>
      <c r="D358" s="7">
        <v>219149.49600000001</v>
      </c>
      <c r="E358" s="19"/>
    </row>
    <row r="359" spans="1:5" x14ac:dyDescent="0.25">
      <c r="A359" s="9" t="str">
        <f>"360M"</f>
        <v>360M</v>
      </c>
      <c r="B359" s="10" t="s">
        <v>345</v>
      </c>
      <c r="C359" s="10">
        <v>41064</v>
      </c>
      <c r="D359" s="7">
        <v>204702.864</v>
      </c>
      <c r="E359" s="19"/>
    </row>
    <row r="360" spans="1:5" x14ac:dyDescent="0.25">
      <c r="A360" s="9" t="str">
        <f>"362M"</f>
        <v>362M</v>
      </c>
      <c r="B360" s="10" t="s">
        <v>346</v>
      </c>
      <c r="C360" s="10">
        <v>41108</v>
      </c>
      <c r="D360" s="7">
        <v>501007.53600000002</v>
      </c>
      <c r="E360" s="19"/>
    </row>
    <row r="361" spans="1:5" x14ac:dyDescent="0.25">
      <c r="A361" s="9" t="str">
        <f>"363M"</f>
        <v>363M</v>
      </c>
      <c r="B361" s="10" t="s">
        <v>347</v>
      </c>
      <c r="C361" s="10">
        <v>41130</v>
      </c>
      <c r="D361" s="7">
        <v>361893.09600000002</v>
      </c>
      <c r="E361" s="19"/>
    </row>
    <row r="362" spans="1:5" x14ac:dyDescent="0.25">
      <c r="A362" s="9" t="str">
        <f>"366M"</f>
        <v>366M</v>
      </c>
      <c r="B362" s="10" t="s">
        <v>348</v>
      </c>
      <c r="C362" s="10">
        <v>41155</v>
      </c>
      <c r="D362" s="7">
        <v>456398.44800000003</v>
      </c>
      <c r="E362" s="19"/>
    </row>
    <row r="363" spans="1:5" x14ac:dyDescent="0.25">
      <c r="A363" s="9" t="str">
        <f>"367M"</f>
        <v>367M</v>
      </c>
      <c r="B363" s="10" t="s">
        <v>349</v>
      </c>
      <c r="C363" s="10">
        <v>41155</v>
      </c>
      <c r="D363" s="7">
        <v>383405.95199999999</v>
      </c>
      <c r="E363" s="19"/>
    </row>
    <row r="364" spans="1:5" x14ac:dyDescent="0.25">
      <c r="A364" s="9" t="str">
        <f>"368M"</f>
        <v>368M</v>
      </c>
      <c r="B364" s="10" t="s">
        <v>350</v>
      </c>
      <c r="C364" s="10">
        <v>41157</v>
      </c>
      <c r="D364" s="7">
        <v>133621.89600000001</v>
      </c>
      <c r="E364" s="19"/>
    </row>
    <row r="365" spans="1:5" x14ac:dyDescent="0.25">
      <c r="A365" s="9" t="str">
        <f>"369M"</f>
        <v>369M</v>
      </c>
      <c r="B365" s="10" t="s">
        <v>351</v>
      </c>
      <c r="C365" s="10">
        <v>41157</v>
      </c>
      <c r="D365" s="7">
        <v>275096.28000000003</v>
      </c>
      <c r="E365" s="19"/>
    </row>
    <row r="366" spans="1:5" x14ac:dyDescent="0.25">
      <c r="A366" s="9" t="str">
        <f>"370M"</f>
        <v>370M</v>
      </c>
      <c r="B366" s="10" t="s">
        <v>352</v>
      </c>
      <c r="C366" s="10">
        <v>41157</v>
      </c>
      <c r="D366" s="7">
        <v>197062.416</v>
      </c>
      <c r="E366" s="19"/>
    </row>
    <row r="367" spans="1:5" x14ac:dyDescent="0.25">
      <c r="A367" s="9" t="str">
        <f>"371M"</f>
        <v>371M</v>
      </c>
      <c r="B367" s="10" t="s">
        <v>353</v>
      </c>
      <c r="C367" s="10">
        <v>41253</v>
      </c>
      <c r="D367" s="7">
        <v>341562.04800000001</v>
      </c>
      <c r="E367" s="19"/>
    </row>
    <row r="368" spans="1:5" x14ac:dyDescent="0.25">
      <c r="A368" s="9" t="str">
        <f>"373M"</f>
        <v>373M</v>
      </c>
      <c r="B368" s="10" t="s">
        <v>354</v>
      </c>
      <c r="C368" s="10">
        <v>41232</v>
      </c>
      <c r="D368" s="7">
        <v>155156.54399999999</v>
      </c>
      <c r="E368" s="19"/>
    </row>
    <row r="369" spans="1:5" x14ac:dyDescent="0.25">
      <c r="A369" s="9" t="str">
        <f>"374M"</f>
        <v>374M</v>
      </c>
      <c r="B369" s="10" t="s">
        <v>355</v>
      </c>
      <c r="C369" s="10">
        <v>41225</v>
      </c>
      <c r="D369" s="7">
        <v>185830.89600000001</v>
      </c>
      <c r="E369" s="19"/>
    </row>
    <row r="370" spans="1:5" x14ac:dyDescent="0.25">
      <c r="A370" s="9" t="str">
        <f>"375M"</f>
        <v>375M</v>
      </c>
      <c r="B370" s="10" t="s">
        <v>356</v>
      </c>
      <c r="C370" s="10">
        <v>41261</v>
      </c>
      <c r="D370" s="7">
        <v>470314.56</v>
      </c>
      <c r="E370" s="19"/>
    </row>
    <row r="371" spans="1:5" x14ac:dyDescent="0.25">
      <c r="A371" s="9" t="str">
        <f>"377M"</f>
        <v>377M</v>
      </c>
      <c r="B371" s="10" t="s">
        <v>357</v>
      </c>
      <c r="C371" s="10">
        <v>41316</v>
      </c>
      <c r="D371" s="7">
        <v>252473.448</v>
      </c>
      <c r="E371" s="19"/>
    </row>
    <row r="372" spans="1:5" x14ac:dyDescent="0.25">
      <c r="A372" s="9" t="str">
        <f>"378M"</f>
        <v>378M</v>
      </c>
      <c r="B372" s="10" t="s">
        <v>358</v>
      </c>
      <c r="C372" s="10">
        <v>41325</v>
      </c>
      <c r="D372" s="7">
        <v>447830.304</v>
      </c>
      <c r="E372" s="19"/>
    </row>
    <row r="373" spans="1:5" x14ac:dyDescent="0.25">
      <c r="A373" s="9" t="str">
        <f>"379M"</f>
        <v>379M</v>
      </c>
      <c r="B373" s="10" t="s">
        <v>359</v>
      </c>
      <c r="C373" s="10">
        <v>41325</v>
      </c>
      <c r="D373" s="7">
        <v>134862.408</v>
      </c>
      <c r="E373" s="19"/>
    </row>
    <row r="374" spans="1:5" x14ac:dyDescent="0.25">
      <c r="A374" s="9" t="str">
        <f>"380M"</f>
        <v>380M</v>
      </c>
      <c r="B374" s="10" t="s">
        <v>360</v>
      </c>
      <c r="C374" s="10">
        <v>41339</v>
      </c>
      <c r="D374" s="7">
        <v>234429.62400000001</v>
      </c>
      <c r="E374" s="19"/>
    </row>
    <row r="375" spans="1:5" x14ac:dyDescent="0.25">
      <c r="A375" s="9" t="str">
        <f>"385M"</f>
        <v>385M</v>
      </c>
      <c r="B375" s="10" t="s">
        <v>361</v>
      </c>
      <c r="C375" s="10">
        <v>41368</v>
      </c>
      <c r="D375" s="7">
        <v>173449.75200000001</v>
      </c>
      <c r="E375" s="19"/>
    </row>
    <row r="376" spans="1:5" x14ac:dyDescent="0.25">
      <c r="A376" s="9" t="str">
        <f>"388M"</f>
        <v>388M</v>
      </c>
      <c r="B376" s="10" t="s">
        <v>362</v>
      </c>
      <c r="C376" s="10">
        <v>41415</v>
      </c>
      <c r="D376" s="7">
        <v>161199.12</v>
      </c>
      <c r="E376" s="19"/>
    </row>
    <row r="377" spans="1:5" x14ac:dyDescent="0.25">
      <c r="A377" s="9" t="str">
        <f>"389M"</f>
        <v>389M</v>
      </c>
      <c r="B377" s="10" t="s">
        <v>363</v>
      </c>
      <c r="C377" s="10">
        <v>41428</v>
      </c>
      <c r="D377" s="7">
        <v>147660.07200000001</v>
      </c>
      <c r="E377" s="19"/>
    </row>
    <row r="378" spans="1:5" x14ac:dyDescent="0.25">
      <c r="A378" s="9" t="str">
        <f>"390M"</f>
        <v>390M</v>
      </c>
      <c r="B378" s="10" t="s">
        <v>364</v>
      </c>
      <c r="C378" s="10">
        <v>41428</v>
      </c>
      <c r="D378" s="7">
        <v>141873.88800000001</v>
      </c>
      <c r="E378" s="19"/>
    </row>
    <row r="379" spans="1:5" x14ac:dyDescent="0.25">
      <c r="A379" s="9" t="str">
        <f>"393M"</f>
        <v>393M</v>
      </c>
      <c r="B379" s="10" t="s">
        <v>365</v>
      </c>
      <c r="C379" s="10">
        <v>41428</v>
      </c>
      <c r="D379" s="7">
        <v>305024.76</v>
      </c>
      <c r="E379" s="19"/>
    </row>
    <row r="380" spans="1:5" x14ac:dyDescent="0.25">
      <c r="A380" s="9" t="str">
        <f>"401M"</f>
        <v>401M</v>
      </c>
      <c r="B380" s="10" t="s">
        <v>366</v>
      </c>
      <c r="C380" s="10">
        <v>41533</v>
      </c>
      <c r="D380" s="7">
        <v>352177.08</v>
      </c>
      <c r="E380" s="19"/>
    </row>
    <row r="381" spans="1:5" x14ac:dyDescent="0.25">
      <c r="A381" s="9" t="str">
        <f>"402M"</f>
        <v>402M</v>
      </c>
      <c r="B381" s="10" t="s">
        <v>367</v>
      </c>
      <c r="C381" s="10">
        <v>41537</v>
      </c>
      <c r="D381" s="7">
        <v>500715.74400000001</v>
      </c>
      <c r="E381" s="19"/>
    </row>
    <row r="382" spans="1:5" x14ac:dyDescent="0.25">
      <c r="A382" s="9" t="str">
        <f>"404M"</f>
        <v>404M</v>
      </c>
      <c r="B382" s="10" t="s">
        <v>368</v>
      </c>
      <c r="C382" s="10">
        <v>41638</v>
      </c>
      <c r="D382" s="7">
        <v>490066.51199999999</v>
      </c>
      <c r="E382" s="19"/>
    </row>
    <row r="383" spans="1:5" x14ac:dyDescent="0.25">
      <c r="A383" s="9" t="str">
        <f>"405M"</f>
        <v>405M</v>
      </c>
      <c r="B383" s="10" t="s">
        <v>369</v>
      </c>
      <c r="C383" s="10">
        <v>41621</v>
      </c>
      <c r="D383" s="7">
        <v>237352.63200000001</v>
      </c>
      <c r="E383" s="19"/>
    </row>
    <row r="384" spans="1:5" x14ac:dyDescent="0.25">
      <c r="A384" s="9" t="str">
        <f>"409M"</f>
        <v>409M</v>
      </c>
      <c r="B384" s="10" t="s">
        <v>370</v>
      </c>
      <c r="C384" s="10">
        <v>41694</v>
      </c>
      <c r="D384" s="7">
        <v>208769.52000000002</v>
      </c>
      <c r="E384" s="19"/>
    </row>
    <row r="385" spans="1:5" x14ac:dyDescent="0.25">
      <c r="A385" s="9" t="str">
        <f>"416M"</f>
        <v>416M</v>
      </c>
      <c r="B385" s="10" t="s">
        <v>371</v>
      </c>
      <c r="C385" s="10">
        <v>41767</v>
      </c>
      <c r="D385" s="7">
        <v>362911.12800000003</v>
      </c>
      <c r="E385" s="19"/>
    </row>
    <row r="386" spans="1:5" x14ac:dyDescent="0.25">
      <c r="A386" s="13"/>
      <c r="B386" s="14"/>
      <c r="C386" s="14"/>
      <c r="D386" s="15"/>
    </row>
    <row r="387" spans="1:5" x14ac:dyDescent="0.25">
      <c r="A387" s="13"/>
      <c r="B387" s="14"/>
      <c r="C387" s="14"/>
      <c r="D387" s="15"/>
    </row>
    <row r="388" spans="1:5" x14ac:dyDescent="0.25">
      <c r="A388" s="13"/>
      <c r="B388" s="14"/>
      <c r="C388" s="14"/>
      <c r="D388" s="15"/>
    </row>
    <row r="389" spans="1:5" x14ac:dyDescent="0.25">
      <c r="A389" s="13"/>
      <c r="B389" s="14"/>
      <c r="C389" s="14"/>
      <c r="D389" s="15"/>
    </row>
    <row r="390" spans="1:5" x14ac:dyDescent="0.25">
      <c r="A390" s="13"/>
      <c r="B390" s="14"/>
      <c r="C390" s="14"/>
      <c r="D390" s="15"/>
    </row>
    <row r="391" spans="1:5" x14ac:dyDescent="0.25">
      <c r="A391" s="13"/>
      <c r="B391" s="14"/>
      <c r="C391" s="14"/>
      <c r="D391" s="15"/>
    </row>
    <row r="392" spans="1:5" x14ac:dyDescent="0.25">
      <c r="A392" s="13"/>
      <c r="B392" s="14"/>
      <c r="C392" s="14"/>
      <c r="D392" s="15"/>
    </row>
    <row r="393" spans="1:5" x14ac:dyDescent="0.25">
      <c r="A393" s="13"/>
      <c r="B393" s="14"/>
      <c r="C393" s="14"/>
      <c r="D393" s="15"/>
    </row>
    <row r="394" spans="1:5" x14ac:dyDescent="0.25">
      <c r="A394" s="13"/>
      <c r="B394" s="14"/>
      <c r="C394" s="14"/>
      <c r="D394" s="15"/>
    </row>
    <row r="395" spans="1:5" x14ac:dyDescent="0.25">
      <c r="A395" s="13"/>
      <c r="B395" s="14"/>
      <c r="C395" s="14"/>
      <c r="D395" s="15"/>
    </row>
    <row r="396" spans="1:5" x14ac:dyDescent="0.25">
      <c r="A396" s="13"/>
      <c r="B396" s="14"/>
      <c r="C396" s="14"/>
      <c r="D396" s="15"/>
    </row>
    <row r="397" spans="1:5" x14ac:dyDescent="0.25">
      <c r="A397" s="13"/>
      <c r="B397" s="14"/>
      <c r="C397" s="14"/>
      <c r="D397" s="15"/>
    </row>
    <row r="398" spans="1:5" x14ac:dyDescent="0.25">
      <c r="A398" s="13"/>
      <c r="B398" s="14"/>
      <c r="C398" s="14"/>
      <c r="D398" s="15"/>
    </row>
    <row r="399" spans="1:5" x14ac:dyDescent="0.25">
      <c r="A399" s="13"/>
      <c r="B399" s="14"/>
      <c r="C399" s="14"/>
      <c r="D399" s="15"/>
    </row>
    <row r="400" spans="1:5" x14ac:dyDescent="0.25">
      <c r="A400" s="13"/>
      <c r="B400" s="14"/>
      <c r="C400" s="14"/>
      <c r="D400" s="15"/>
    </row>
    <row r="401" spans="1:4" x14ac:dyDescent="0.25">
      <c r="A401" s="13"/>
      <c r="B401" s="14"/>
      <c r="C401" s="14"/>
      <c r="D401" s="15"/>
    </row>
    <row r="402" spans="1:4" x14ac:dyDescent="0.25">
      <c r="A402" s="13"/>
      <c r="B402" s="14"/>
      <c r="C402" s="14"/>
      <c r="D402" s="15"/>
    </row>
    <row r="403" spans="1:4" x14ac:dyDescent="0.25">
      <c r="A403" s="13"/>
      <c r="B403" s="14"/>
      <c r="C403" s="14"/>
      <c r="D403" s="15"/>
    </row>
    <row r="404" spans="1:4" x14ac:dyDescent="0.25">
      <c r="A404" s="13"/>
      <c r="B404" s="14"/>
      <c r="C404" s="14"/>
      <c r="D404" s="15"/>
    </row>
    <row r="405" spans="1:4" x14ac:dyDescent="0.25">
      <c r="A405" s="13"/>
      <c r="B405" s="14"/>
      <c r="C405" s="14"/>
      <c r="D405" s="15"/>
    </row>
    <row r="406" spans="1:4" x14ac:dyDescent="0.25">
      <c r="A406" s="13"/>
      <c r="B406" s="14"/>
      <c r="C406" s="14"/>
      <c r="D406" s="15"/>
    </row>
    <row r="407" spans="1:4" x14ac:dyDescent="0.25">
      <c r="A407" s="13"/>
      <c r="B407" s="14"/>
      <c r="C407" s="14"/>
      <c r="D407" s="15"/>
    </row>
    <row r="408" spans="1:4" x14ac:dyDescent="0.25">
      <c r="A408" s="13"/>
      <c r="B408" s="14"/>
      <c r="C408" s="14"/>
      <c r="D408" s="15"/>
    </row>
    <row r="409" spans="1:4" x14ac:dyDescent="0.25">
      <c r="A409" s="13"/>
      <c r="B409" s="14"/>
      <c r="C409" s="14"/>
      <c r="D409" s="15"/>
    </row>
    <row r="410" spans="1:4" x14ac:dyDescent="0.25">
      <c r="A410" s="13"/>
      <c r="B410" s="14"/>
      <c r="C410" s="14"/>
      <c r="D410" s="15"/>
    </row>
    <row r="411" spans="1:4" x14ac:dyDescent="0.25">
      <c r="A411" s="13"/>
      <c r="B411" s="14"/>
      <c r="C411" s="14"/>
      <c r="D411" s="15"/>
    </row>
    <row r="412" spans="1:4" x14ac:dyDescent="0.25">
      <c r="A412" s="13"/>
      <c r="B412" s="14"/>
      <c r="C412" s="14"/>
      <c r="D412" s="15"/>
    </row>
    <row r="413" spans="1:4" x14ac:dyDescent="0.25">
      <c r="A413" s="13"/>
      <c r="B413" s="14"/>
      <c r="C413" s="14"/>
      <c r="D413" s="15"/>
    </row>
    <row r="414" spans="1:4" x14ac:dyDescent="0.25">
      <c r="A414" s="13"/>
      <c r="B414" s="14"/>
      <c r="C414" s="14"/>
      <c r="D414" s="15"/>
    </row>
    <row r="415" spans="1:4" x14ac:dyDescent="0.25">
      <c r="A415" s="13"/>
      <c r="B415" s="14"/>
      <c r="C415" s="14"/>
      <c r="D415" s="15"/>
    </row>
    <row r="416" spans="1:4" x14ac:dyDescent="0.25">
      <c r="A416" s="13"/>
      <c r="B416" s="14"/>
      <c r="C416" s="14"/>
      <c r="D416" s="15"/>
    </row>
    <row r="418" spans="1:4" x14ac:dyDescent="0.25">
      <c r="A418" s="16"/>
      <c r="B418" s="17"/>
      <c r="C418" s="17"/>
      <c r="D418" s="18"/>
    </row>
    <row r="419" spans="1:4" x14ac:dyDescent="0.25">
      <c r="A419" s="16"/>
      <c r="B419" s="17"/>
      <c r="C419" s="17"/>
      <c r="D419" s="18"/>
    </row>
    <row r="420" spans="1:4" x14ac:dyDescent="0.25">
      <c r="A420" s="16"/>
      <c r="B420" s="17"/>
      <c r="C420" s="17"/>
      <c r="D420" s="18"/>
    </row>
    <row r="421" spans="1:4" x14ac:dyDescent="0.25">
      <c r="A421" s="16"/>
      <c r="B421" s="17"/>
      <c r="C421" s="17"/>
      <c r="D421" s="18"/>
    </row>
    <row r="422" spans="1:4" x14ac:dyDescent="0.25">
      <c r="A422" s="16"/>
      <c r="B422" s="17"/>
      <c r="C422" s="17"/>
      <c r="D422" s="18"/>
    </row>
    <row r="423" spans="1:4" x14ac:dyDescent="0.25">
      <c r="A423" s="16"/>
      <c r="B423" s="17"/>
      <c r="C423" s="17"/>
      <c r="D42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5308-0583-4FBC-9CB0-918388CE717C}">
  <dimension ref="A1:C28"/>
  <sheetViews>
    <sheetView showGridLines="0" workbookViewId="0">
      <selection activeCell="C7" sqref="C7"/>
    </sheetView>
  </sheetViews>
  <sheetFormatPr baseColWidth="10" defaultRowHeight="15" x14ac:dyDescent="0.25"/>
  <cols>
    <col min="1" max="1" width="31.7109375" bestFit="1" customWidth="1"/>
    <col min="2" max="2" width="15.7109375" bestFit="1" customWidth="1"/>
    <col min="3" max="3" width="17.85546875" bestFit="1" customWidth="1"/>
  </cols>
  <sheetData>
    <row r="1" spans="1:2" ht="15.75" thickBot="1" x14ac:dyDescent="0.3">
      <c r="A1" s="20" t="s">
        <v>373</v>
      </c>
      <c r="B1" s="21" t="s">
        <v>374</v>
      </c>
    </row>
    <row r="2" spans="1:2" x14ac:dyDescent="0.25">
      <c r="A2" s="8" t="s">
        <v>375</v>
      </c>
      <c r="B2" s="22">
        <v>60</v>
      </c>
    </row>
    <row r="3" spans="1:2" x14ac:dyDescent="0.25">
      <c r="A3" s="8" t="s">
        <v>376</v>
      </c>
      <c r="B3" s="23">
        <v>0.02</v>
      </c>
    </row>
    <row r="6" spans="1:2" ht="15.75" thickBot="1" x14ac:dyDescent="0.3">
      <c r="A6" t="s">
        <v>394</v>
      </c>
    </row>
    <row r="7" spans="1:2" ht="17.25" x14ac:dyDescent="0.25">
      <c r="A7" s="74" t="s">
        <v>392</v>
      </c>
      <c r="B7" s="75" t="s">
        <v>393</v>
      </c>
    </row>
    <row r="8" spans="1:2" ht="17.25" x14ac:dyDescent="0.35">
      <c r="A8" s="76">
        <v>0</v>
      </c>
      <c r="B8" s="77">
        <v>0</v>
      </c>
    </row>
    <row r="9" spans="1:2" ht="17.25" x14ac:dyDescent="0.35">
      <c r="A9" s="78">
        <v>2</v>
      </c>
      <c r="B9" s="79">
        <v>0.05</v>
      </c>
    </row>
    <row r="10" spans="1:2" ht="17.25" x14ac:dyDescent="0.35">
      <c r="A10" s="78">
        <v>5</v>
      </c>
      <c r="B10" s="79">
        <v>0.1</v>
      </c>
    </row>
    <row r="11" spans="1:2" ht="17.25" x14ac:dyDescent="0.35">
      <c r="A11" s="78">
        <v>12</v>
      </c>
      <c r="B11" s="79">
        <v>0.15</v>
      </c>
    </row>
    <row r="12" spans="1:2" ht="17.25" x14ac:dyDescent="0.35">
      <c r="A12" s="78">
        <v>20</v>
      </c>
      <c r="B12" s="79">
        <v>0.2</v>
      </c>
    </row>
    <row r="13" spans="1:2" ht="18" thickBot="1" x14ac:dyDescent="0.4">
      <c r="A13" s="80">
        <v>25</v>
      </c>
      <c r="B13" s="81">
        <v>0.25</v>
      </c>
    </row>
    <row r="16" spans="1:2" ht="15.75" thickBot="1" x14ac:dyDescent="0.3"/>
    <row r="17" spans="1:3" ht="18" thickBot="1" x14ac:dyDescent="0.3">
      <c r="A17" s="95" t="s">
        <v>407</v>
      </c>
      <c r="B17" s="82" t="s">
        <v>395</v>
      </c>
      <c r="C17" s="83" t="s">
        <v>408</v>
      </c>
    </row>
    <row r="18" spans="1:3" ht="17.25" x14ac:dyDescent="0.25">
      <c r="A18" s="84" t="s">
        <v>396</v>
      </c>
      <c r="B18" s="85">
        <v>0.104</v>
      </c>
      <c r="C18" s="86"/>
    </row>
    <row r="19" spans="1:3" ht="18" thickBot="1" x14ac:dyDescent="0.4">
      <c r="A19" s="87" t="s">
        <v>397</v>
      </c>
      <c r="B19" s="93"/>
      <c r="C19" s="94"/>
    </row>
    <row r="20" spans="1:3" ht="18" thickBot="1" x14ac:dyDescent="0.3">
      <c r="A20" s="88" t="s">
        <v>398</v>
      </c>
      <c r="B20" s="85">
        <v>8.0500000000000002E-2</v>
      </c>
      <c r="C20" s="89">
        <f>12000*12</f>
        <v>144000</v>
      </c>
    </row>
    <row r="21" spans="1:3" ht="18" thickBot="1" x14ac:dyDescent="0.3">
      <c r="A21" s="88" t="s">
        <v>399</v>
      </c>
      <c r="B21" s="85">
        <v>7.6400000000000001E-3</v>
      </c>
      <c r="C21" s="90"/>
    </row>
    <row r="22" spans="1:3" ht="18" thickBot="1" x14ac:dyDescent="0.3">
      <c r="A22" s="88" t="s">
        <v>400</v>
      </c>
      <c r="B22" s="85">
        <v>8.5500000000000003E-3</v>
      </c>
      <c r="C22" s="90"/>
    </row>
    <row r="23" spans="1:3" ht="17.25" x14ac:dyDescent="0.25">
      <c r="A23" s="87" t="s">
        <v>401</v>
      </c>
      <c r="B23" s="85">
        <v>9.1999999999999998E-3</v>
      </c>
      <c r="C23" s="90"/>
    </row>
    <row r="24" spans="1:3" ht="18" thickBot="1" x14ac:dyDescent="0.4">
      <c r="A24" s="87" t="s">
        <v>402</v>
      </c>
      <c r="B24" s="93"/>
      <c r="C24" s="94"/>
    </row>
    <row r="25" spans="1:3" ht="18" thickBot="1" x14ac:dyDescent="0.3">
      <c r="A25" s="88" t="s">
        <v>403</v>
      </c>
      <c r="B25" s="85">
        <v>6.4000000000000001E-2</v>
      </c>
      <c r="C25" s="90"/>
    </row>
    <row r="26" spans="1:3" ht="18" thickBot="1" x14ac:dyDescent="0.3">
      <c r="A26" s="88" t="s">
        <v>404</v>
      </c>
      <c r="B26" s="85">
        <v>8.9800000000000005E-2</v>
      </c>
      <c r="C26" s="89">
        <f>6000*12</f>
        <v>72000</v>
      </c>
    </row>
    <row r="27" spans="1:3" ht="18" thickBot="1" x14ac:dyDescent="0.3">
      <c r="A27" s="88" t="s">
        <v>405</v>
      </c>
      <c r="B27" s="85">
        <v>1.6E-2</v>
      </c>
      <c r="C27" s="90"/>
    </row>
    <row r="28" spans="1:3" ht="18" thickBot="1" x14ac:dyDescent="0.3">
      <c r="A28" s="91" t="s">
        <v>406</v>
      </c>
      <c r="B28" s="85">
        <v>1.8499999999999999E-2</v>
      </c>
      <c r="C28" s="92"/>
    </row>
  </sheetData>
  <mergeCells count="2">
    <mergeCell ref="B24:C24"/>
    <mergeCell ref="B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723D-9962-4AB7-AFE8-CD2EE0DE9856}">
  <dimension ref="B2:AP16"/>
  <sheetViews>
    <sheetView showGridLines="0" topLeftCell="U1" workbookViewId="0">
      <selection activeCell="X26" sqref="X26"/>
    </sheetView>
  </sheetViews>
  <sheetFormatPr baseColWidth="10" defaultRowHeight="15" x14ac:dyDescent="0.25"/>
  <cols>
    <col min="1" max="1" width="4.140625" customWidth="1"/>
    <col min="2" max="2" width="8.140625" customWidth="1"/>
    <col min="3" max="3" width="8.7109375" customWidth="1"/>
    <col min="4" max="4" width="7.85546875" customWidth="1"/>
    <col min="5" max="5" width="3.5703125" customWidth="1"/>
    <col min="6" max="6" width="8.7109375" bestFit="1" customWidth="1"/>
    <col min="7" max="7" width="7.85546875" bestFit="1" customWidth="1"/>
    <col min="8" max="8" width="3.5703125" bestFit="1" customWidth="1"/>
    <col min="9" max="9" width="8.7109375" bestFit="1" customWidth="1"/>
    <col min="10" max="10" width="7.85546875" bestFit="1" customWidth="1"/>
    <col min="11" max="11" width="3.5703125" bestFit="1" customWidth="1"/>
    <col min="12" max="12" width="8.7109375" bestFit="1" customWidth="1"/>
    <col min="13" max="13" width="7.85546875" bestFit="1" customWidth="1"/>
    <col min="14" max="14" width="3.5703125" bestFit="1" customWidth="1"/>
    <col min="15" max="15" width="8.7109375" bestFit="1" customWidth="1"/>
    <col min="16" max="16" width="7.85546875" bestFit="1" customWidth="1"/>
    <col min="17" max="17" width="3.5703125" bestFit="1" customWidth="1"/>
    <col min="18" max="18" width="8.7109375" bestFit="1" customWidth="1"/>
    <col min="19" max="19" width="7.85546875" bestFit="1" customWidth="1"/>
    <col min="20" max="20" width="3.5703125" bestFit="1" customWidth="1"/>
    <col min="21" max="21" width="8.7109375" bestFit="1" customWidth="1"/>
    <col min="22" max="22" width="7.85546875" bestFit="1" customWidth="1"/>
    <col min="23" max="23" width="6.140625" bestFit="1" customWidth="1"/>
    <col min="24" max="24" width="9.42578125" bestFit="1" customWidth="1"/>
    <col min="25" max="25" width="8" bestFit="1" customWidth="1"/>
    <col min="26" max="26" width="6.140625" bestFit="1" customWidth="1"/>
    <col min="27" max="27" width="8.7109375" bestFit="1" customWidth="1"/>
    <col min="28" max="28" width="7.85546875" bestFit="1" customWidth="1"/>
    <col min="29" max="29" width="6.140625" customWidth="1"/>
    <col min="30" max="30" width="10" customWidth="1"/>
    <col min="31" max="31" width="8.7109375" customWidth="1"/>
    <col min="32" max="32" width="12.28515625" customWidth="1"/>
    <col min="33" max="33" width="8.85546875" customWidth="1"/>
    <col min="34" max="34" width="9.7109375" customWidth="1"/>
    <col min="35" max="35" width="9.28515625" customWidth="1"/>
    <col min="36" max="36" width="22.140625" customWidth="1"/>
    <col min="37" max="37" width="10.7109375" bestFit="1" customWidth="1"/>
  </cols>
  <sheetData>
    <row r="2" spans="2:42" ht="15.75" thickBot="1" x14ac:dyDescent="0.3"/>
    <row r="3" spans="2:42" x14ac:dyDescent="0.25">
      <c r="B3" s="26" t="s">
        <v>377</v>
      </c>
      <c r="C3" s="27">
        <v>2014</v>
      </c>
      <c r="D3" s="28"/>
      <c r="E3" s="29"/>
      <c r="F3" s="27">
        <v>2015</v>
      </c>
      <c r="G3" s="28"/>
      <c r="H3" s="29"/>
      <c r="I3" s="27">
        <v>2016</v>
      </c>
      <c r="J3" s="28"/>
      <c r="K3" s="29"/>
      <c r="L3" s="27">
        <v>2017</v>
      </c>
      <c r="M3" s="28"/>
      <c r="N3" s="29"/>
      <c r="O3" s="27">
        <v>2018</v>
      </c>
      <c r="P3" s="28"/>
      <c r="Q3" s="29"/>
      <c r="R3" s="27">
        <v>2019</v>
      </c>
      <c r="S3" s="28"/>
      <c r="T3" s="29"/>
      <c r="U3" s="27">
        <v>2020</v>
      </c>
      <c r="V3" s="28"/>
      <c r="W3" s="30"/>
      <c r="X3" s="31">
        <v>2021</v>
      </c>
      <c r="Y3" s="32"/>
      <c r="Z3" s="33"/>
      <c r="AA3" s="31">
        <v>2022</v>
      </c>
      <c r="AB3" s="32"/>
      <c r="AC3" s="33"/>
      <c r="AD3" s="34">
        <v>2023</v>
      </c>
      <c r="AE3" s="35"/>
      <c r="AF3" s="36"/>
      <c r="AG3" s="34">
        <v>2024</v>
      </c>
      <c r="AH3" s="35"/>
      <c r="AI3" s="36"/>
      <c r="AJ3" s="37" t="s">
        <v>386</v>
      </c>
      <c r="AK3" s="37" t="s">
        <v>387</v>
      </c>
      <c r="AN3" s="26" t="s">
        <v>377</v>
      </c>
      <c r="AO3" s="37" t="s">
        <v>388</v>
      </c>
    </row>
    <row r="4" spans="2:42" ht="15.75" thickBot="1" x14ac:dyDescent="0.3">
      <c r="B4" s="38"/>
      <c r="C4" s="39" t="s">
        <v>389</v>
      </c>
      <c r="D4" s="40" t="s">
        <v>390</v>
      </c>
      <c r="E4" s="41" t="s">
        <v>391</v>
      </c>
      <c r="F4" s="39" t="s">
        <v>389</v>
      </c>
      <c r="G4" s="40" t="s">
        <v>390</v>
      </c>
      <c r="H4" s="41" t="s">
        <v>391</v>
      </c>
      <c r="I4" s="39" t="s">
        <v>389</v>
      </c>
      <c r="J4" s="40" t="s">
        <v>390</v>
      </c>
      <c r="K4" s="41" t="s">
        <v>391</v>
      </c>
      <c r="L4" s="39" t="s">
        <v>389</v>
      </c>
      <c r="M4" s="40" t="s">
        <v>390</v>
      </c>
      <c r="N4" s="41" t="s">
        <v>391</v>
      </c>
      <c r="O4" s="39" t="s">
        <v>389</v>
      </c>
      <c r="P4" s="40" t="s">
        <v>390</v>
      </c>
      <c r="Q4" s="41" t="s">
        <v>391</v>
      </c>
      <c r="R4" s="39" t="s">
        <v>389</v>
      </c>
      <c r="S4" s="40" t="s">
        <v>390</v>
      </c>
      <c r="T4" s="41" t="s">
        <v>391</v>
      </c>
      <c r="U4" s="39" t="s">
        <v>389</v>
      </c>
      <c r="V4" s="40" t="s">
        <v>390</v>
      </c>
      <c r="W4" s="42" t="s">
        <v>391</v>
      </c>
      <c r="X4" s="43" t="s">
        <v>389</v>
      </c>
      <c r="Y4" s="44" t="s">
        <v>390</v>
      </c>
      <c r="Z4" s="45" t="s">
        <v>391</v>
      </c>
      <c r="AA4" s="46" t="s">
        <v>389</v>
      </c>
      <c r="AB4" s="47" t="s">
        <v>390</v>
      </c>
      <c r="AC4" s="48" t="s">
        <v>391</v>
      </c>
      <c r="AD4" s="46" t="s">
        <v>389</v>
      </c>
      <c r="AE4" s="47" t="s">
        <v>390</v>
      </c>
      <c r="AF4" s="48" t="s">
        <v>391</v>
      </c>
      <c r="AG4" s="46" t="s">
        <v>389</v>
      </c>
      <c r="AH4" s="47" t="s">
        <v>390</v>
      </c>
      <c r="AI4" s="48" t="s">
        <v>391</v>
      </c>
      <c r="AJ4" s="49"/>
      <c r="AK4" s="49"/>
      <c r="AN4" s="38"/>
      <c r="AO4" s="49"/>
    </row>
    <row r="5" spans="2:42" x14ac:dyDescent="0.25">
      <c r="B5" s="50" t="s">
        <v>378</v>
      </c>
      <c r="C5" s="51">
        <v>0</v>
      </c>
      <c r="D5" s="22">
        <v>0</v>
      </c>
      <c r="E5" s="52">
        <f>IF(C5=0,0,D5/C5)</f>
        <v>0</v>
      </c>
      <c r="F5" s="51">
        <v>0</v>
      </c>
      <c r="G5" s="22">
        <v>0</v>
      </c>
      <c r="H5" s="52">
        <f>IF(F5=0,0,G5/F5)</f>
        <v>0</v>
      </c>
      <c r="I5" s="51">
        <v>0</v>
      </c>
      <c r="J5" s="22">
        <v>0</v>
      </c>
      <c r="K5" s="52">
        <f>IF(I5=0,0,J5/I5)</f>
        <v>0</v>
      </c>
      <c r="L5" s="51">
        <v>0</v>
      </c>
      <c r="M5" s="22">
        <v>0</v>
      </c>
      <c r="N5" s="52">
        <f>IF(L5=0,0,M5/L5)</f>
        <v>0</v>
      </c>
      <c r="O5" s="51">
        <v>0</v>
      </c>
      <c r="P5" s="22">
        <v>0</v>
      </c>
      <c r="Q5" s="52">
        <f>IF(O5=0,0,P5/O5)</f>
        <v>0</v>
      </c>
      <c r="R5" s="51">
        <v>0</v>
      </c>
      <c r="S5" s="22">
        <v>0</v>
      </c>
      <c r="T5" s="52">
        <f>IF(R5=0,0,S5/R5)</f>
        <v>0</v>
      </c>
      <c r="U5" s="51">
        <v>0</v>
      </c>
      <c r="V5" s="22">
        <v>0</v>
      </c>
      <c r="W5" s="53">
        <f>IF(U5=0,0,V5/U5)</f>
        <v>0</v>
      </c>
      <c r="X5" s="54">
        <v>0</v>
      </c>
      <c r="Y5" s="55">
        <v>0</v>
      </c>
      <c r="Z5" s="56">
        <f>IF(X5=0,0,Y5/X5)</f>
        <v>0</v>
      </c>
      <c r="AA5" s="54">
        <v>0</v>
      </c>
      <c r="AB5" s="55">
        <v>0</v>
      </c>
      <c r="AC5" s="57">
        <f>IF(AA5=0,0,AB5/AA5)</f>
        <v>0</v>
      </c>
      <c r="AD5" s="24">
        <v>0</v>
      </c>
      <c r="AE5" s="24">
        <v>0</v>
      </c>
      <c r="AF5" s="57">
        <f>IF(AD5=0,0,AE5/AD5)</f>
        <v>0</v>
      </c>
      <c r="AG5" s="24">
        <v>0</v>
      </c>
      <c r="AH5" s="24">
        <v>0</v>
      </c>
      <c r="AI5" s="57">
        <f>IF(AG5=0,0,AH5/AG5)</f>
        <v>0</v>
      </c>
      <c r="AJ5" s="58">
        <f>AVERAGE(H5,K5,N5,Q5,T5,W5,Z5,AC5,AF5,AI5)</f>
        <v>0</v>
      </c>
      <c r="AK5" s="58">
        <f>AJ5</f>
        <v>0</v>
      </c>
      <c r="AN5" s="50" t="s">
        <v>378</v>
      </c>
      <c r="AO5" s="58">
        <v>0</v>
      </c>
      <c r="AP5" s="59"/>
    </row>
    <row r="6" spans="2:42" x14ac:dyDescent="0.25">
      <c r="B6" s="60" t="s">
        <v>379</v>
      </c>
      <c r="C6" s="61">
        <v>0</v>
      </c>
      <c r="D6" s="62">
        <v>0</v>
      </c>
      <c r="E6" s="63">
        <f t="shared" ref="E6:E12" si="0">IF(C6=0,0,D6/C6)</f>
        <v>0</v>
      </c>
      <c r="F6" s="61">
        <v>0</v>
      </c>
      <c r="G6" s="62">
        <v>0</v>
      </c>
      <c r="H6" s="63">
        <f t="shared" ref="H6:H12" si="1">IF(F6=0,0,G6/F6)</f>
        <v>0</v>
      </c>
      <c r="I6" s="61">
        <v>0</v>
      </c>
      <c r="J6" s="62">
        <v>0</v>
      </c>
      <c r="K6" s="63">
        <f t="shared" ref="K6:K12" si="2">IF(I6=0,0,J6/I6)</f>
        <v>0</v>
      </c>
      <c r="L6" s="61">
        <v>12</v>
      </c>
      <c r="M6" s="62">
        <v>0</v>
      </c>
      <c r="N6" s="63">
        <f t="shared" ref="N6:N12" si="3">IF(L6=0,0,M6/L6)</f>
        <v>0</v>
      </c>
      <c r="O6" s="61">
        <v>7</v>
      </c>
      <c r="P6" s="62">
        <v>0</v>
      </c>
      <c r="Q6" s="63">
        <f t="shared" ref="Q6:Q12" si="4">IF(O6=0,0,P6/O6)</f>
        <v>0</v>
      </c>
      <c r="R6" s="61">
        <v>5</v>
      </c>
      <c r="S6" s="62">
        <v>0</v>
      </c>
      <c r="T6" s="63">
        <f t="shared" ref="T6:T12" si="5">IF(R6=0,0,S6/R6)</f>
        <v>0</v>
      </c>
      <c r="U6" s="61">
        <v>4</v>
      </c>
      <c r="V6" s="62">
        <v>0</v>
      </c>
      <c r="W6" s="64">
        <f t="shared" ref="W6:W12" si="6">IF(U6=0,0,V6/U6)</f>
        <v>0</v>
      </c>
      <c r="X6" s="54">
        <v>0</v>
      </c>
      <c r="Y6" s="55">
        <v>0</v>
      </c>
      <c r="Z6" s="56">
        <f t="shared" ref="Z6:Z12" si="7">IF(X6=0,0,Y6/X6)</f>
        <v>0</v>
      </c>
      <c r="AA6" s="54">
        <v>0</v>
      </c>
      <c r="AB6" s="55">
        <v>0</v>
      </c>
      <c r="AC6" s="57">
        <f t="shared" ref="AC6:AC12" si="8">IF(AA6=0,0,AB6/AA6)</f>
        <v>0</v>
      </c>
      <c r="AD6" s="25">
        <v>0</v>
      </c>
      <c r="AE6" s="25">
        <v>0</v>
      </c>
      <c r="AF6" s="57">
        <f t="shared" ref="AF6:AF12" si="9">IF(AD6=0,0,AE6/AD6)</f>
        <v>0</v>
      </c>
      <c r="AG6" s="25">
        <v>0</v>
      </c>
      <c r="AH6" s="25">
        <v>0</v>
      </c>
      <c r="AI6" s="57">
        <f t="shared" ref="AI6:AI12" si="10">IF(AG6=0,0,AH6/AG6)</f>
        <v>0</v>
      </c>
      <c r="AJ6" s="58">
        <f t="shared" ref="AJ6:AJ12" si="11">AVERAGE(H6,K6,N6,Q6,T6,W6,Z6,AC6,AF6,AI6)</f>
        <v>0</v>
      </c>
      <c r="AK6" s="58">
        <f t="shared" ref="AK6:AK12" si="12">AJ6</f>
        <v>0</v>
      </c>
      <c r="AN6" s="60" t="s">
        <v>379</v>
      </c>
      <c r="AO6" s="58">
        <v>0</v>
      </c>
      <c r="AP6" s="59"/>
    </row>
    <row r="7" spans="2:42" x14ac:dyDescent="0.25">
      <c r="B7" s="60" t="s">
        <v>380</v>
      </c>
      <c r="C7" s="61">
        <v>32</v>
      </c>
      <c r="D7" s="62">
        <v>1</v>
      </c>
      <c r="E7" s="63">
        <f t="shared" si="0"/>
        <v>3.125E-2</v>
      </c>
      <c r="F7" s="61">
        <v>16</v>
      </c>
      <c r="G7" s="62">
        <v>1</v>
      </c>
      <c r="H7" s="63">
        <f t="shared" si="1"/>
        <v>6.25E-2</v>
      </c>
      <c r="I7" s="61">
        <v>5</v>
      </c>
      <c r="J7" s="62">
        <v>0</v>
      </c>
      <c r="K7" s="63">
        <f t="shared" si="2"/>
        <v>0</v>
      </c>
      <c r="L7" s="61">
        <v>30</v>
      </c>
      <c r="M7" s="62">
        <v>0</v>
      </c>
      <c r="N7" s="63">
        <f t="shared" si="3"/>
        <v>0</v>
      </c>
      <c r="O7" s="61">
        <v>26</v>
      </c>
      <c r="P7" s="62">
        <v>0</v>
      </c>
      <c r="Q7" s="63">
        <f t="shared" si="4"/>
        <v>0</v>
      </c>
      <c r="R7" s="61">
        <v>23</v>
      </c>
      <c r="S7" s="62">
        <v>0</v>
      </c>
      <c r="T7" s="63">
        <f t="shared" si="5"/>
        <v>0</v>
      </c>
      <c r="U7" s="61">
        <v>18</v>
      </c>
      <c r="V7" s="62">
        <v>0</v>
      </c>
      <c r="W7" s="64">
        <f t="shared" si="6"/>
        <v>0</v>
      </c>
      <c r="X7" s="54">
        <v>14</v>
      </c>
      <c r="Y7" s="55">
        <v>0</v>
      </c>
      <c r="Z7" s="56">
        <f t="shared" si="7"/>
        <v>0</v>
      </c>
      <c r="AA7" s="54">
        <v>12</v>
      </c>
      <c r="AB7" s="55">
        <v>0</v>
      </c>
      <c r="AC7" s="57">
        <f t="shared" si="8"/>
        <v>0</v>
      </c>
      <c r="AD7" s="25">
        <v>7</v>
      </c>
      <c r="AE7" s="25">
        <v>0</v>
      </c>
      <c r="AF7" s="57">
        <f t="shared" si="9"/>
        <v>0</v>
      </c>
      <c r="AG7" s="25">
        <v>5</v>
      </c>
      <c r="AH7" s="25">
        <v>0</v>
      </c>
      <c r="AI7" s="57">
        <f t="shared" si="10"/>
        <v>0</v>
      </c>
      <c r="AJ7" s="58">
        <f t="shared" si="11"/>
        <v>6.2500000000000003E-3</v>
      </c>
      <c r="AK7" s="58">
        <f t="shared" si="12"/>
        <v>6.2500000000000003E-3</v>
      </c>
      <c r="AN7" s="60" t="s">
        <v>380</v>
      </c>
      <c r="AO7" s="58">
        <v>6.2500000000000003E-3</v>
      </c>
      <c r="AP7" s="59"/>
    </row>
    <row r="8" spans="2:42" x14ac:dyDescent="0.25">
      <c r="B8" s="60" t="s">
        <v>381</v>
      </c>
      <c r="C8" s="61">
        <v>93</v>
      </c>
      <c r="D8" s="62">
        <v>3</v>
      </c>
      <c r="E8" s="63">
        <f t="shared" si="0"/>
        <v>3.2258064516129031E-2</v>
      </c>
      <c r="F8" s="61">
        <v>83</v>
      </c>
      <c r="G8" s="62">
        <v>0</v>
      </c>
      <c r="H8" s="63">
        <f t="shared" si="1"/>
        <v>0</v>
      </c>
      <c r="I8" s="61">
        <v>74</v>
      </c>
      <c r="J8" s="62">
        <v>1</v>
      </c>
      <c r="K8" s="63">
        <f t="shared" si="2"/>
        <v>1.3513513513513514E-2</v>
      </c>
      <c r="L8" s="61">
        <v>97</v>
      </c>
      <c r="M8" s="62">
        <v>2</v>
      </c>
      <c r="N8" s="63">
        <f t="shared" si="3"/>
        <v>2.0618556701030927E-2</v>
      </c>
      <c r="O8" s="61">
        <v>77</v>
      </c>
      <c r="P8" s="62">
        <v>0</v>
      </c>
      <c r="Q8" s="63">
        <f t="shared" si="4"/>
        <v>0</v>
      </c>
      <c r="R8" s="61">
        <v>59</v>
      </c>
      <c r="S8" s="62">
        <v>1</v>
      </c>
      <c r="T8" s="63">
        <f t="shared" si="5"/>
        <v>1.6949152542372881E-2</v>
      </c>
      <c r="U8" s="61">
        <v>42</v>
      </c>
      <c r="V8" s="62">
        <v>0</v>
      </c>
      <c r="W8" s="64">
        <f t="shared" si="6"/>
        <v>0</v>
      </c>
      <c r="X8" s="54">
        <v>30</v>
      </c>
      <c r="Y8" s="55">
        <v>0</v>
      </c>
      <c r="Z8" s="56">
        <f t="shared" si="7"/>
        <v>0</v>
      </c>
      <c r="AA8" s="54">
        <v>29</v>
      </c>
      <c r="AB8" s="55">
        <v>0</v>
      </c>
      <c r="AC8" s="57">
        <f t="shared" si="8"/>
        <v>0</v>
      </c>
      <c r="AD8" s="25">
        <v>26</v>
      </c>
      <c r="AE8" s="25">
        <v>0</v>
      </c>
      <c r="AF8" s="57">
        <f t="shared" si="9"/>
        <v>0</v>
      </c>
      <c r="AG8" s="25">
        <v>22</v>
      </c>
      <c r="AH8" s="25">
        <v>0</v>
      </c>
      <c r="AI8" s="57">
        <f t="shared" si="10"/>
        <v>0</v>
      </c>
      <c r="AJ8" s="58">
        <f t="shared" si="11"/>
        <v>5.1081222756917313E-3</v>
      </c>
      <c r="AK8" s="58">
        <f t="shared" si="12"/>
        <v>5.1081222756917313E-3</v>
      </c>
      <c r="AN8" s="60" t="s">
        <v>381</v>
      </c>
      <c r="AO8" s="58">
        <v>5.1081222756917313E-3</v>
      </c>
      <c r="AP8" s="59"/>
    </row>
    <row r="9" spans="2:42" x14ac:dyDescent="0.25">
      <c r="B9" s="60" t="s">
        <v>382</v>
      </c>
      <c r="C9" s="61">
        <v>108</v>
      </c>
      <c r="D9" s="62">
        <v>1</v>
      </c>
      <c r="E9" s="63">
        <f t="shared" si="0"/>
        <v>9.2592592592592587E-3</v>
      </c>
      <c r="F9" s="61">
        <v>110</v>
      </c>
      <c r="G9" s="62">
        <v>1</v>
      </c>
      <c r="H9" s="63">
        <f t="shared" si="1"/>
        <v>9.0909090909090905E-3</v>
      </c>
      <c r="I9" s="61">
        <v>107</v>
      </c>
      <c r="J9" s="62">
        <v>1</v>
      </c>
      <c r="K9" s="63">
        <f t="shared" si="2"/>
        <v>9.3457943925233638E-3</v>
      </c>
      <c r="L9" s="61">
        <v>142</v>
      </c>
      <c r="M9" s="62">
        <v>1</v>
      </c>
      <c r="N9" s="63">
        <f t="shared" si="3"/>
        <v>7.0422535211267607E-3</v>
      </c>
      <c r="O9" s="61">
        <v>149</v>
      </c>
      <c r="P9" s="62">
        <v>2</v>
      </c>
      <c r="Q9" s="63">
        <f t="shared" si="4"/>
        <v>1.3422818791946308E-2</v>
      </c>
      <c r="R9" s="61">
        <v>136</v>
      </c>
      <c r="S9" s="62">
        <v>1</v>
      </c>
      <c r="T9" s="63">
        <f t="shared" si="5"/>
        <v>7.3529411764705881E-3</v>
      </c>
      <c r="U9" s="61">
        <v>121</v>
      </c>
      <c r="V9" s="62">
        <v>0</v>
      </c>
      <c r="W9" s="64">
        <f t="shared" si="6"/>
        <v>0</v>
      </c>
      <c r="X9" s="54">
        <v>97</v>
      </c>
      <c r="Y9" s="55">
        <v>1</v>
      </c>
      <c r="Z9" s="56">
        <f t="shared" si="7"/>
        <v>1.0309278350515464E-2</v>
      </c>
      <c r="AA9" s="54">
        <v>90</v>
      </c>
      <c r="AB9" s="55">
        <v>0</v>
      </c>
      <c r="AC9" s="57">
        <f t="shared" si="8"/>
        <v>0</v>
      </c>
      <c r="AD9" s="25">
        <v>71</v>
      </c>
      <c r="AE9" s="25">
        <v>0</v>
      </c>
      <c r="AF9" s="57">
        <f t="shared" si="9"/>
        <v>0</v>
      </c>
      <c r="AG9" s="25">
        <v>55</v>
      </c>
      <c r="AH9" s="25">
        <v>0</v>
      </c>
      <c r="AI9" s="57">
        <f t="shared" si="10"/>
        <v>0</v>
      </c>
      <c r="AJ9" s="58">
        <f t="shared" si="11"/>
        <v>5.6563995323491573E-3</v>
      </c>
      <c r="AK9" s="58">
        <f t="shared" si="12"/>
        <v>5.6563995323491573E-3</v>
      </c>
      <c r="AN9" s="60" t="s">
        <v>382</v>
      </c>
      <c r="AO9" s="58">
        <v>5.6563995323491573E-3</v>
      </c>
      <c r="AP9" s="59"/>
    </row>
    <row r="10" spans="2:42" x14ac:dyDescent="0.25">
      <c r="B10" s="60" t="s">
        <v>383</v>
      </c>
      <c r="C10" s="61">
        <v>85</v>
      </c>
      <c r="D10" s="62">
        <v>2</v>
      </c>
      <c r="E10" s="63">
        <f t="shared" si="0"/>
        <v>2.3529411764705882E-2</v>
      </c>
      <c r="F10" s="61">
        <v>84</v>
      </c>
      <c r="G10" s="62">
        <v>0</v>
      </c>
      <c r="H10" s="63">
        <f t="shared" si="1"/>
        <v>0</v>
      </c>
      <c r="I10" s="61">
        <v>82</v>
      </c>
      <c r="J10" s="62">
        <v>0</v>
      </c>
      <c r="K10" s="63">
        <f t="shared" si="2"/>
        <v>0</v>
      </c>
      <c r="L10" s="61">
        <v>103</v>
      </c>
      <c r="M10" s="62">
        <v>2</v>
      </c>
      <c r="N10" s="63">
        <f t="shared" si="3"/>
        <v>1.9417475728155338E-2</v>
      </c>
      <c r="O10" s="61">
        <v>104</v>
      </c>
      <c r="P10" s="62">
        <v>0</v>
      </c>
      <c r="Q10" s="63">
        <f t="shared" si="4"/>
        <v>0</v>
      </c>
      <c r="R10" s="61">
        <v>123</v>
      </c>
      <c r="S10" s="62">
        <v>0</v>
      </c>
      <c r="T10" s="63">
        <f t="shared" si="5"/>
        <v>0</v>
      </c>
      <c r="U10" s="61">
        <v>138</v>
      </c>
      <c r="V10" s="62">
        <v>1</v>
      </c>
      <c r="W10" s="64">
        <f t="shared" si="6"/>
        <v>7.246376811594203E-3</v>
      </c>
      <c r="X10" s="54">
        <v>136</v>
      </c>
      <c r="Y10" s="55">
        <v>1</v>
      </c>
      <c r="Z10" s="56">
        <f t="shared" si="7"/>
        <v>7.3529411764705881E-3</v>
      </c>
      <c r="AA10" s="54">
        <v>132</v>
      </c>
      <c r="AB10" s="55">
        <v>1</v>
      </c>
      <c r="AC10" s="57">
        <f t="shared" si="8"/>
        <v>7.575757575757576E-3</v>
      </c>
      <c r="AD10" s="25">
        <v>136</v>
      </c>
      <c r="AE10" s="25">
        <v>0</v>
      </c>
      <c r="AF10" s="57">
        <f t="shared" si="9"/>
        <v>0</v>
      </c>
      <c r="AG10" s="25">
        <v>123</v>
      </c>
      <c r="AH10" s="25">
        <v>3</v>
      </c>
      <c r="AI10" s="57">
        <f t="shared" si="10"/>
        <v>2.4390243902439025E-2</v>
      </c>
      <c r="AJ10" s="58">
        <f t="shared" si="11"/>
        <v>6.5982795194416731E-3</v>
      </c>
      <c r="AK10" s="58">
        <f t="shared" si="12"/>
        <v>6.5982795194416731E-3</v>
      </c>
      <c r="AN10" s="60" t="s">
        <v>383</v>
      </c>
      <c r="AO10" s="58">
        <v>6.5982795194416731E-3</v>
      </c>
      <c r="AP10" s="59"/>
    </row>
    <row r="11" spans="2:42" x14ac:dyDescent="0.25">
      <c r="B11" s="60" t="s">
        <v>384</v>
      </c>
      <c r="C11" s="61">
        <v>54</v>
      </c>
      <c r="D11" s="62">
        <v>0</v>
      </c>
      <c r="E11" s="63">
        <f t="shared" si="0"/>
        <v>0</v>
      </c>
      <c r="F11" s="61">
        <v>66</v>
      </c>
      <c r="G11" s="62">
        <v>4</v>
      </c>
      <c r="H11" s="63">
        <f t="shared" si="1"/>
        <v>6.0606060606060608E-2</v>
      </c>
      <c r="I11" s="61">
        <v>75</v>
      </c>
      <c r="J11" s="62">
        <v>0</v>
      </c>
      <c r="K11" s="63">
        <f t="shared" si="2"/>
        <v>0</v>
      </c>
      <c r="L11" s="61">
        <v>90</v>
      </c>
      <c r="M11" s="62">
        <v>1</v>
      </c>
      <c r="N11" s="63">
        <f t="shared" si="3"/>
        <v>1.1111111111111112E-2</v>
      </c>
      <c r="O11" s="61">
        <v>91</v>
      </c>
      <c r="P11" s="62">
        <v>0</v>
      </c>
      <c r="Q11" s="63">
        <f t="shared" si="4"/>
        <v>0</v>
      </c>
      <c r="R11" s="61">
        <v>87</v>
      </c>
      <c r="S11" s="62">
        <v>0</v>
      </c>
      <c r="T11" s="63">
        <f t="shared" si="5"/>
        <v>0</v>
      </c>
      <c r="U11" s="61">
        <v>87</v>
      </c>
      <c r="V11" s="62">
        <v>0</v>
      </c>
      <c r="W11" s="64">
        <f t="shared" si="6"/>
        <v>0</v>
      </c>
      <c r="X11" s="54">
        <v>100</v>
      </c>
      <c r="Y11" s="55">
        <v>0</v>
      </c>
      <c r="Z11" s="56">
        <f t="shared" si="7"/>
        <v>0</v>
      </c>
      <c r="AA11" s="54">
        <v>99</v>
      </c>
      <c r="AB11" s="55">
        <v>0</v>
      </c>
      <c r="AC11" s="57">
        <f t="shared" si="8"/>
        <v>0</v>
      </c>
      <c r="AD11" s="25">
        <v>100</v>
      </c>
      <c r="AE11" s="25">
        <v>0</v>
      </c>
      <c r="AF11" s="57">
        <f t="shared" si="9"/>
        <v>0</v>
      </c>
      <c r="AG11" s="25">
        <v>117</v>
      </c>
      <c r="AH11" s="25">
        <v>0</v>
      </c>
      <c r="AI11" s="57">
        <f t="shared" si="10"/>
        <v>0</v>
      </c>
      <c r="AJ11" s="58">
        <f t="shared" si="11"/>
        <v>7.1717171717171719E-3</v>
      </c>
      <c r="AK11" s="58">
        <f t="shared" si="12"/>
        <v>7.1717171717171719E-3</v>
      </c>
      <c r="AN11" s="60" t="s">
        <v>384</v>
      </c>
      <c r="AO11" s="58">
        <v>7.1717171717171719E-3</v>
      </c>
      <c r="AP11" s="59"/>
    </row>
    <row r="12" spans="2:42" ht="15.75" thickBot="1" x14ac:dyDescent="0.3">
      <c r="B12" s="65" t="s">
        <v>385</v>
      </c>
      <c r="C12" s="66">
        <v>13</v>
      </c>
      <c r="D12" s="67">
        <v>0</v>
      </c>
      <c r="E12" s="68">
        <f t="shared" si="0"/>
        <v>0</v>
      </c>
      <c r="F12" s="66">
        <v>17</v>
      </c>
      <c r="G12" s="67">
        <v>0</v>
      </c>
      <c r="H12" s="68">
        <f t="shared" si="1"/>
        <v>0</v>
      </c>
      <c r="I12" s="66">
        <v>25</v>
      </c>
      <c r="J12" s="67">
        <v>0</v>
      </c>
      <c r="K12" s="68">
        <f t="shared" si="2"/>
        <v>0</v>
      </c>
      <c r="L12" s="66">
        <v>29</v>
      </c>
      <c r="M12" s="67">
        <v>0</v>
      </c>
      <c r="N12" s="68">
        <f t="shared" si="3"/>
        <v>0</v>
      </c>
      <c r="O12" s="66">
        <v>38</v>
      </c>
      <c r="P12" s="67">
        <v>0</v>
      </c>
      <c r="Q12" s="68">
        <f t="shared" si="4"/>
        <v>0</v>
      </c>
      <c r="R12" s="66">
        <v>48</v>
      </c>
      <c r="S12" s="67">
        <v>0</v>
      </c>
      <c r="T12" s="68">
        <f t="shared" si="5"/>
        <v>0</v>
      </c>
      <c r="U12" s="66">
        <v>59</v>
      </c>
      <c r="V12" s="67">
        <v>0</v>
      </c>
      <c r="W12" s="69">
        <f t="shared" si="6"/>
        <v>0</v>
      </c>
      <c r="X12" s="70">
        <v>82</v>
      </c>
      <c r="Y12" s="71">
        <v>0</v>
      </c>
      <c r="Z12" s="72">
        <f t="shared" si="7"/>
        <v>0</v>
      </c>
      <c r="AA12" s="70">
        <v>73</v>
      </c>
      <c r="AB12" s="71">
        <v>0</v>
      </c>
      <c r="AC12" s="73">
        <f t="shared" si="8"/>
        <v>0</v>
      </c>
      <c r="AD12" s="25">
        <v>73</v>
      </c>
      <c r="AE12" s="25">
        <v>0</v>
      </c>
      <c r="AF12" s="57">
        <f t="shared" si="9"/>
        <v>0</v>
      </c>
      <c r="AG12" s="25">
        <v>70</v>
      </c>
      <c r="AH12" s="25">
        <v>0</v>
      </c>
      <c r="AI12" s="57">
        <f t="shared" si="10"/>
        <v>0</v>
      </c>
      <c r="AJ12" s="58">
        <f t="shared" si="11"/>
        <v>0</v>
      </c>
      <c r="AK12" s="58">
        <f t="shared" si="12"/>
        <v>0</v>
      </c>
      <c r="AN12" s="65" t="s">
        <v>385</v>
      </c>
      <c r="AO12" s="58">
        <v>0</v>
      </c>
      <c r="AP12" s="59"/>
    </row>
    <row r="16" spans="2:42" ht="15" customHeight="1" x14ac:dyDescent="0.25"/>
  </sheetData>
  <mergeCells count="16">
    <mergeCell ref="AJ3:AJ4"/>
    <mergeCell ref="AK3:AK4"/>
    <mergeCell ref="AN3:AN4"/>
    <mergeCell ref="AO3:AO4"/>
    <mergeCell ref="R3:T3"/>
    <mergeCell ref="U3:W3"/>
    <mergeCell ref="X3:Z3"/>
    <mergeCell ref="AA3:AC3"/>
    <mergeCell ref="AD3:AF3"/>
    <mergeCell ref="AG3:AI3"/>
    <mergeCell ref="B3:B4"/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FC2D-B2E8-4889-9013-8CF2F1171481}">
  <dimension ref="A1"/>
  <sheetViews>
    <sheetView showGridLines="0" workbookViewId="0">
      <selection activeCell="A16" sqref="A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BDs Pop Actifs</vt:lpstr>
      <vt:lpstr>Paramètres</vt:lpstr>
      <vt:lpstr>Stats Turn Over</vt:lpstr>
      <vt:lpstr>Formule de calcul de l'IFC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Bakou</dc:creator>
  <cp:lastModifiedBy>Yassine Bakou</cp:lastModifiedBy>
  <dcterms:created xsi:type="dcterms:W3CDTF">2025-07-15T14:07:51Z</dcterms:created>
  <dcterms:modified xsi:type="dcterms:W3CDTF">2025-07-15T15:06:56Z</dcterms:modified>
</cp:coreProperties>
</file>