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aron\Desktop\My Documents\GitHub\Practical Engineering  Project\"/>
    </mc:Choice>
  </mc:AlternateContent>
  <xr:revisionPtr revIDLastSave="0" documentId="13_ncr:1_{7F04A900-1E3B-40DF-9E85-ED9C340AFBAA}" xr6:coauthVersionLast="47" xr6:coauthVersionMax="47" xr10:uidLastSave="{00000000-0000-0000-0000-000000000000}"/>
  <workbookProtection workbookAlgorithmName="SHA-512" workbookHashValue="G9Uv4eQ0FsemCYu4FkO39WNFRiaeQdTolMykehOFmKg8fE9iOviwLziCUZoa1tzSG9zVxWSys60uREjliXcbDA==" workbookSaltValue="gKuvkejeiJkky6FK4TBAzQ==" workbookSpinCount="100000" lockStructure="1"/>
  <bookViews>
    <workbookView xWindow="-108" yWindow="-108" windowWidth="23256" windowHeight="12456" firstSheet="1" activeTab="1" xr2:uid="{00000000-000D-0000-FFFF-FFFF00000000}"/>
  </bookViews>
  <sheets>
    <sheet name="טיוטת פארטו מוצרים" sheetId="4" state="hidden" r:id="rId1"/>
    <sheet name="פארטו כלל המוצרים" sheetId="7" r:id="rId2"/>
    <sheet name="פארטו שייקים" sheetId="8" state="hidden" r:id="rId3"/>
    <sheet name="מוצרים ומשפחות" sheetId="13" r:id="rId4"/>
    <sheet name="מוצרים מובילים" sheetId="5" r:id="rId5"/>
    <sheet name="תחזיות" sheetId="2" r:id="rId6"/>
    <sheet name="מדרוג ספקים קפואים" sheetId="9" r:id="rId7"/>
    <sheet name="גיליון מצורף- מחיר קפואים" sheetId="10" r:id="rId8"/>
    <sheet name="גיליון מצורף- איכות קפואים" sheetId="11" r:id="rId9"/>
    <sheet name="מדרוג ספקים יוגורט" sheetId="12" r:id="rId10"/>
    <sheet name="גיליון עזר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O72" i="2"/>
  <c r="I92" i="2"/>
  <c r="M88" i="2" l="1" a="1"/>
  <c r="M88" i="2" s="1"/>
  <c r="B18" i="13"/>
  <c r="B35" i="13"/>
  <c r="B34" i="13"/>
  <c r="B33" i="13"/>
  <c r="B32" i="13"/>
  <c r="B31" i="13"/>
  <c r="B30" i="13"/>
  <c r="B21" i="13"/>
  <c r="B8" i="13"/>
  <c r="B7" i="13"/>
  <c r="B39" i="13"/>
  <c r="B38" i="13"/>
  <c r="B37" i="13"/>
  <c r="B36" i="13"/>
  <c r="B29" i="13"/>
  <c r="B28" i="13"/>
  <c r="B27" i="13"/>
  <c r="B26" i="13"/>
  <c r="B25" i="13"/>
  <c r="B24" i="13"/>
  <c r="B23" i="13"/>
  <c r="B22" i="13"/>
  <c r="B20" i="13"/>
  <c r="B19" i="13"/>
  <c r="B17" i="13"/>
  <c r="B16" i="13"/>
  <c r="B15" i="13"/>
  <c r="B14" i="13"/>
  <c r="B13" i="13"/>
  <c r="B12" i="13"/>
  <c r="B11" i="13"/>
  <c r="B10" i="13"/>
  <c r="B9" i="13"/>
  <c r="B6" i="13"/>
  <c r="B5" i="13"/>
  <c r="B4" i="13"/>
  <c r="B3" i="13"/>
  <c r="B4" i="7" a="1"/>
  <c r="B4" i="7" s="1"/>
  <c r="R12" i="6"/>
  <c r="R4" i="6" s="1"/>
  <c r="G3" i="13" l="1"/>
  <c r="I3" i="13"/>
  <c r="H3" i="13"/>
  <c r="S12" i="6"/>
  <c r="S4" i="6" s="1"/>
  <c r="Q8" i="6"/>
  <c r="Q7" i="6"/>
  <c r="Q6" i="6"/>
  <c r="Q5" i="6"/>
  <c r="D92" i="2"/>
  <c r="E92" i="2"/>
  <c r="F92" i="2"/>
  <c r="C92" i="2"/>
  <c r="D50" i="12"/>
  <c r="G48" i="12"/>
  <c r="H48" i="12" s="1"/>
  <c r="E48" i="12"/>
  <c r="F48" i="12" s="1"/>
  <c r="D48" i="12"/>
  <c r="D47" i="12"/>
  <c r="D45" i="12"/>
  <c r="I48" i="12"/>
  <c r="J48" i="12" s="1"/>
  <c r="E45" i="12"/>
  <c r="F45" i="12" s="1"/>
  <c r="H31" i="12"/>
  <c r="I43" i="12" s="1"/>
  <c r="F31" i="12"/>
  <c r="G43" i="12" s="1"/>
  <c r="D31" i="12"/>
  <c r="E43" i="12" s="1"/>
  <c r="P12" i="12"/>
  <c r="E12" i="12"/>
  <c r="J12" i="12" s="1"/>
  <c r="E9" i="12"/>
  <c r="F9" i="12" s="1"/>
  <c r="G9" i="12" s="1"/>
  <c r="H9" i="12" s="1"/>
  <c r="I9" i="12" s="1"/>
  <c r="J9" i="12" s="1"/>
  <c r="K9" i="12" s="1"/>
  <c r="L9" i="12" s="1"/>
  <c r="M9" i="12" s="1"/>
  <c r="N9" i="12" s="1"/>
  <c r="O9" i="12" s="1"/>
  <c r="P7" i="12"/>
  <c r="O7" i="12"/>
  <c r="N7" i="12"/>
  <c r="M7" i="12" s="1"/>
  <c r="L7" i="12" s="1"/>
  <c r="K7" i="12" s="1"/>
  <c r="J7" i="12" s="1"/>
  <c r="I7" i="12" s="1"/>
  <c r="H7" i="12" s="1"/>
  <c r="G7" i="12" s="1"/>
  <c r="F7" i="12" s="1"/>
  <c r="E7" i="12"/>
  <c r="E47" i="12" s="1"/>
  <c r="F47" i="12" s="1"/>
  <c r="P5" i="12"/>
  <c r="O5" i="12"/>
  <c r="N5" i="12"/>
  <c r="M5" i="12" s="1"/>
  <c r="L5" i="12" s="1"/>
  <c r="K5" i="12" s="1"/>
  <c r="J5" i="12" s="1"/>
  <c r="I5" i="12" s="1"/>
  <c r="H5" i="12" s="1"/>
  <c r="G5" i="12" s="1"/>
  <c r="F5" i="12" s="1"/>
  <c r="E5" i="12" s="1"/>
  <c r="K24" i="11"/>
  <c r="J24" i="11"/>
  <c r="I24" i="11"/>
  <c r="H24" i="11"/>
  <c r="G24" i="11"/>
  <c r="F24" i="11"/>
  <c r="E24" i="11"/>
  <c r="D24" i="11"/>
  <c r="C24" i="11"/>
  <c r="L20" i="11" s="1"/>
  <c r="H36" i="9" s="1"/>
  <c r="I48" i="9" s="1"/>
  <c r="J48" i="9" s="1"/>
  <c r="L17" i="11"/>
  <c r="K17" i="11"/>
  <c r="J17" i="11"/>
  <c r="I17" i="11"/>
  <c r="H17" i="11"/>
  <c r="G17" i="11"/>
  <c r="E17" i="11"/>
  <c r="D17" i="11"/>
  <c r="C17" i="11"/>
  <c r="L13" i="11" s="1"/>
  <c r="F36" i="9" s="1"/>
  <c r="L10" i="11"/>
  <c r="K10" i="11"/>
  <c r="J10" i="11"/>
  <c r="I10" i="11"/>
  <c r="H10" i="11"/>
  <c r="G10" i="11"/>
  <c r="F10" i="11"/>
  <c r="L6" i="11" s="1"/>
  <c r="D36" i="9" s="1"/>
  <c r="E48" i="9" s="1"/>
  <c r="F48" i="9" s="1"/>
  <c r="E10" i="11"/>
  <c r="D10" i="11"/>
  <c r="C10" i="11"/>
  <c r="K24" i="10"/>
  <c r="I24" i="10"/>
  <c r="C24" i="10"/>
  <c r="E22" i="10" s="1"/>
  <c r="G22" i="10"/>
  <c r="G20" i="10"/>
  <c r="G18" i="10"/>
  <c r="G16" i="10"/>
  <c r="E16" i="10"/>
  <c r="G14" i="10"/>
  <c r="G12" i="10"/>
  <c r="E12" i="10"/>
  <c r="G10" i="10"/>
  <c r="G24" i="10" s="1"/>
  <c r="D50" i="9"/>
  <c r="D48" i="9"/>
  <c r="D47" i="9"/>
  <c r="D45" i="9"/>
  <c r="H31" i="9"/>
  <c r="I43" i="9" s="1"/>
  <c r="F31" i="9"/>
  <c r="G43" i="9" s="1"/>
  <c r="D31" i="9"/>
  <c r="E43" i="9" s="1"/>
  <c r="B6" i="11" s="1"/>
  <c r="B33" i="11" s="1"/>
  <c r="P12" i="9"/>
  <c r="J12" i="9"/>
  <c r="O12" i="9" s="1"/>
  <c r="E50" i="9" s="1"/>
  <c r="F50" i="9" s="1"/>
  <c r="E12" i="9"/>
  <c r="E9" i="9"/>
  <c r="F9" i="9" s="1"/>
  <c r="G9" i="9" s="1"/>
  <c r="H9" i="9" s="1"/>
  <c r="I9" i="9" s="1"/>
  <c r="J9" i="9" s="1"/>
  <c r="K9" i="9" s="1"/>
  <c r="L9" i="9" s="1"/>
  <c r="M9" i="9" s="1"/>
  <c r="N9" i="9" s="1"/>
  <c r="O9" i="9" s="1"/>
  <c r="P7" i="9"/>
  <c r="O7" i="9"/>
  <c r="N7" i="9"/>
  <c r="M7" i="9"/>
  <c r="L7" i="9" s="1"/>
  <c r="K7" i="9" s="1"/>
  <c r="J7" i="9" s="1"/>
  <c r="I7" i="9" s="1"/>
  <c r="H7" i="9" s="1"/>
  <c r="G7" i="9" s="1"/>
  <c r="F7" i="9" s="1"/>
  <c r="E7" i="9"/>
  <c r="O5" i="9"/>
  <c r="P5" i="9" s="1"/>
  <c r="N5" i="9"/>
  <c r="M5" i="9" s="1"/>
  <c r="L5" i="9" s="1"/>
  <c r="K5" i="9" s="1"/>
  <c r="J5" i="9" s="1"/>
  <c r="I5" i="9" s="1"/>
  <c r="H5" i="9" s="1"/>
  <c r="G5" i="9" s="1"/>
  <c r="F5" i="9" s="1"/>
  <c r="E5" i="9" s="1"/>
  <c r="S5" i="9" s="1"/>
  <c r="B81" i="2"/>
  <c r="H71" i="2"/>
  <c r="F71" i="2"/>
  <c r="L71" i="2"/>
  <c r="J71" i="2"/>
  <c r="D71" i="2"/>
  <c r="B79" i="2"/>
  <c r="B80" i="2"/>
  <c r="B78" i="2"/>
  <c r="B64" i="2"/>
  <c r="B63" i="2"/>
  <c r="C63" i="2" s="1"/>
  <c r="B62" i="2"/>
  <c r="C62" i="2" s="1"/>
  <c r="B61" i="2"/>
  <c r="C61" i="2" s="1"/>
  <c r="J89" i="2" l="1"/>
  <c r="J88" i="2"/>
  <c r="J90" i="2"/>
  <c r="J91" i="2"/>
  <c r="I88" i="2"/>
  <c r="I91" i="2"/>
  <c r="I89" i="2"/>
  <c r="I90" i="2"/>
  <c r="H91" i="2"/>
  <c r="H88" i="2"/>
  <c r="H89" i="2"/>
  <c r="H90" i="2"/>
  <c r="G89" i="2"/>
  <c r="G90" i="2"/>
  <c r="J3" i="13"/>
  <c r="G91" i="2"/>
  <c r="G88" i="2"/>
  <c r="E52" i="12"/>
  <c r="I45" i="12"/>
  <c r="J45" i="12" s="1"/>
  <c r="G45" i="12"/>
  <c r="H45" i="12" s="1"/>
  <c r="S5" i="12"/>
  <c r="O12" i="12"/>
  <c r="E50" i="12" s="1"/>
  <c r="F50" i="12" s="1"/>
  <c r="I50" i="9"/>
  <c r="J50" i="9" s="1"/>
  <c r="B13" i="11"/>
  <c r="B37" i="11" s="1"/>
  <c r="I6" i="10"/>
  <c r="K6" i="10"/>
  <c r="B20" i="11"/>
  <c r="B41" i="11" s="1"/>
  <c r="I47" i="9"/>
  <c r="J47" i="9" s="1"/>
  <c r="G48" i="9"/>
  <c r="H48" i="9" s="1"/>
  <c r="G52" i="9" s="1"/>
  <c r="I47" i="12"/>
  <c r="J47" i="12" s="1"/>
  <c r="G47" i="12"/>
  <c r="H47" i="12" s="1"/>
  <c r="E47" i="9"/>
  <c r="F47" i="9" s="1"/>
  <c r="G50" i="9"/>
  <c r="H50" i="9" s="1"/>
  <c r="G6" i="10"/>
  <c r="G50" i="12"/>
  <c r="H50" i="12" s="1"/>
  <c r="I50" i="12"/>
  <c r="J50" i="12" s="1"/>
  <c r="G47" i="9"/>
  <c r="H47" i="9" s="1"/>
  <c r="E10" i="10"/>
  <c r="E18" i="10"/>
  <c r="E20" i="10"/>
  <c r="E14" i="10"/>
  <c r="N15" i="2"/>
  <c r="N14" i="2" s="1"/>
  <c r="N13" i="2" s="1"/>
  <c r="H15" i="2"/>
  <c r="H14" i="2" s="1"/>
  <c r="H13" i="2" s="1"/>
  <c r="K90" i="2" l="1"/>
  <c r="K89" i="2"/>
  <c r="K91" i="2"/>
  <c r="K88" i="2"/>
  <c r="G52" i="12"/>
  <c r="I52" i="12"/>
  <c r="E24" i="10"/>
  <c r="B77" i="2"/>
  <c r="B76" i="2"/>
  <c r="C76" i="2" s="1"/>
  <c r="B75" i="2"/>
  <c r="C75" i="2" s="1"/>
  <c r="B74" i="2"/>
  <c r="C74" i="2" s="1"/>
  <c r="R54" i="2"/>
  <c r="R53" i="2"/>
  <c r="S53" i="2" s="1"/>
  <c r="R52" i="2"/>
  <c r="R51" i="2"/>
  <c r="S51" i="2" s="1"/>
  <c r="N54" i="2"/>
  <c r="N53" i="2"/>
  <c r="O53" i="2" s="1"/>
  <c r="N52" i="2"/>
  <c r="N51" i="2"/>
  <c r="O51" i="2" s="1"/>
  <c r="J54" i="2"/>
  <c r="J53" i="2"/>
  <c r="K53" i="2" s="1"/>
  <c r="J52" i="2"/>
  <c r="J51" i="2"/>
  <c r="K51" i="2" s="1"/>
  <c r="F54" i="2"/>
  <c r="F53" i="2"/>
  <c r="G53" i="2" s="1"/>
  <c r="F52" i="2"/>
  <c r="F51" i="2"/>
  <c r="G51" i="2" s="1"/>
  <c r="B54" i="2"/>
  <c r="B53" i="2"/>
  <c r="C53" i="2" s="1"/>
  <c r="B52" i="2"/>
  <c r="B51" i="2"/>
  <c r="C51" i="2" s="1"/>
  <c r="R44" i="2"/>
  <c r="R43" i="2"/>
  <c r="S43" i="2" s="1"/>
  <c r="R42" i="2"/>
  <c r="R41" i="2"/>
  <c r="S41" i="2" s="1"/>
  <c r="N44" i="2"/>
  <c r="N43" i="2"/>
  <c r="O43" i="2" s="1"/>
  <c r="N42" i="2"/>
  <c r="N41" i="2"/>
  <c r="O41" i="2" s="1"/>
  <c r="J44" i="2"/>
  <c r="J43" i="2"/>
  <c r="K43" i="2" s="1"/>
  <c r="J42" i="2"/>
  <c r="J41" i="2"/>
  <c r="K41" i="2" s="1"/>
  <c r="F44" i="2"/>
  <c r="F43" i="2"/>
  <c r="G43" i="2" s="1"/>
  <c r="F42" i="2"/>
  <c r="F41" i="2"/>
  <c r="G41" i="2" s="1"/>
  <c r="D38" i="2"/>
  <c r="D58" i="2" s="1"/>
  <c r="Q13" i="6" s="1"/>
  <c r="B44" i="2"/>
  <c r="B43" i="2"/>
  <c r="C43" i="2" s="1"/>
  <c r="B42" i="2"/>
  <c r="B41" i="2"/>
  <c r="C41" i="2" s="1"/>
  <c r="B31" i="2"/>
  <c r="B30" i="2"/>
  <c r="C30" i="2" s="1"/>
  <c r="B29" i="2"/>
  <c r="C29" i="2" s="1"/>
  <c r="B28" i="2"/>
  <c r="L16" i="2"/>
  <c r="L15" i="2"/>
  <c r="M15" i="2" s="1"/>
  <c r="L14" i="2"/>
  <c r="M14" i="2" s="1"/>
  <c r="L13" i="2"/>
  <c r="M13" i="2" s="1"/>
  <c r="O13" i="2" s="1"/>
  <c r="F16" i="2"/>
  <c r="F15" i="2"/>
  <c r="G15" i="2" s="1"/>
  <c r="F14" i="2"/>
  <c r="G14" i="2" s="1"/>
  <c r="F13" i="2"/>
  <c r="B16" i="2"/>
  <c r="B15" i="2"/>
  <c r="C15" i="2" s="1"/>
  <c r="B14" i="2"/>
  <c r="C14" i="2" s="1"/>
  <c r="B13" i="2"/>
  <c r="C13" i="2" s="1"/>
  <c r="B55" i="12" l="1"/>
  <c r="I26" i="10"/>
  <c r="F32" i="9" s="1"/>
  <c r="G45" i="9" s="1"/>
  <c r="H45" i="9" s="1"/>
  <c r="G26" i="10"/>
  <c r="D32" i="9" s="1"/>
  <c r="E45" i="9" s="1"/>
  <c r="F45" i="9" s="1"/>
  <c r="E52" i="9" s="1"/>
  <c r="K26" i="10"/>
  <c r="H32" i="9" s="1"/>
  <c r="I45" i="9" s="1"/>
  <c r="J45" i="9" s="1"/>
  <c r="I52" i="9" s="1"/>
  <c r="C42" i="2"/>
  <c r="D61" i="2"/>
  <c r="E61" i="2" s="1"/>
  <c r="K42" i="2"/>
  <c r="H61" i="2"/>
  <c r="I61" i="2" s="1"/>
  <c r="S42" i="2"/>
  <c r="L61" i="2"/>
  <c r="M61" i="2" s="1"/>
  <c r="G52" i="2"/>
  <c r="P61" i="2"/>
  <c r="Q61" i="2" s="1"/>
  <c r="O52" i="2"/>
  <c r="T61" i="2"/>
  <c r="U61" i="2" s="1"/>
  <c r="G42" i="2"/>
  <c r="F61" i="2"/>
  <c r="G61" i="2" s="1"/>
  <c r="O42" i="2"/>
  <c r="J61" i="2"/>
  <c r="K61" i="2" s="1"/>
  <c r="C52" i="2"/>
  <c r="N61" i="2"/>
  <c r="O61" i="2" s="1"/>
  <c r="K52" i="2"/>
  <c r="R61" i="2"/>
  <c r="S61" i="2" s="1"/>
  <c r="S52" i="2"/>
  <c r="V61" i="2"/>
  <c r="W61" i="2" s="1"/>
  <c r="F74" i="2"/>
  <c r="G74" i="2" s="1"/>
  <c r="D74" i="2"/>
  <c r="E74" i="2" s="1"/>
  <c r="H74" i="2"/>
  <c r="I74" i="2" s="1"/>
  <c r="H75" i="2"/>
  <c r="I75" i="2" s="1"/>
  <c r="C28" i="2"/>
  <c r="D42" i="2"/>
  <c r="H38" i="2"/>
  <c r="H42" i="2" s="1"/>
  <c r="H43" i="2" s="1"/>
  <c r="H44" i="2" s="1"/>
  <c r="R14" i="6" s="1"/>
  <c r="I15" i="2"/>
  <c r="I14" i="2"/>
  <c r="O14" i="2"/>
  <c r="P15" i="2" s="1"/>
  <c r="O15" i="2"/>
  <c r="G13" i="2"/>
  <c r="I13" i="2" s="1"/>
  <c r="D15" i="2"/>
  <c r="D76" i="2" s="1"/>
  <c r="E76" i="2" s="1"/>
  <c r="D14" i="2"/>
  <c r="D75" i="2" s="1"/>
  <c r="E75" i="2" s="1"/>
  <c r="D16" i="2"/>
  <c r="D77" i="2" l="1"/>
  <c r="R5" i="6"/>
  <c r="B55" i="9"/>
  <c r="D62" i="2"/>
  <c r="E62" i="2" s="1"/>
  <c r="L38" i="2"/>
  <c r="L42" i="2" s="1"/>
  <c r="L43" i="2" s="1"/>
  <c r="L44" i="2" s="1"/>
  <c r="R15" i="6" s="1"/>
  <c r="F58" i="2"/>
  <c r="Q14" i="6" s="1"/>
  <c r="H76" i="2"/>
  <c r="I76" i="2" s="1"/>
  <c r="P16" i="2"/>
  <c r="J16" i="2"/>
  <c r="F75" i="2"/>
  <c r="G75" i="2" s="1"/>
  <c r="J15" i="2"/>
  <c r="F76" i="2" s="1"/>
  <c r="G76" i="2" s="1"/>
  <c r="D43" i="2"/>
  <c r="F77" i="2" l="1"/>
  <c r="R6" i="6"/>
  <c r="H77" i="2"/>
  <c r="R7" i="6"/>
  <c r="D63" i="2"/>
  <c r="E63" i="2" s="1"/>
  <c r="H62" i="2"/>
  <c r="I62" i="2" s="1"/>
  <c r="F62" i="2"/>
  <c r="G62" i="2" s="1"/>
  <c r="P38" i="2"/>
  <c r="H58" i="2"/>
  <c r="Q15" i="6" s="1"/>
  <c r="D44" i="2"/>
  <c r="R13" i="6" s="1"/>
  <c r="P42" i="2" l="1"/>
  <c r="P43" i="2" s="1"/>
  <c r="P44" i="2" s="1"/>
  <c r="R16" i="6" s="1"/>
  <c r="D64" i="2"/>
  <c r="H64" i="2"/>
  <c r="H63" i="2"/>
  <c r="I63" i="2" s="1"/>
  <c r="F64" i="2"/>
  <c r="F63" i="2"/>
  <c r="G63" i="2" s="1"/>
  <c r="T38" i="2"/>
  <c r="T42" i="2" s="1"/>
  <c r="T43" i="2" s="1"/>
  <c r="T44" i="2" s="1"/>
  <c r="R17" i="6" s="1"/>
  <c r="J58" i="2"/>
  <c r="Q16" i="6" s="1"/>
  <c r="D48" i="2" l="1"/>
  <c r="L58" i="2"/>
  <c r="Q17" i="6" s="1"/>
  <c r="J62" i="2"/>
  <c r="K62" i="2" s="1"/>
  <c r="N58" i="2" l="1"/>
  <c r="Q18" i="6" s="1"/>
  <c r="D52" i="2"/>
  <c r="N62" i="2" s="1"/>
  <c r="O62" i="2" s="1"/>
  <c r="H48" i="2"/>
  <c r="L62" i="2"/>
  <c r="M62" i="2" s="1"/>
  <c r="J63" i="2"/>
  <c r="K63" i="2" s="1"/>
  <c r="J24" i="8"/>
  <c r="J25" i="8" s="1"/>
  <c r="J26" i="8" s="1"/>
  <c r="M24" i="8"/>
  <c r="M25" i="8" s="1"/>
  <c r="M26" i="8" s="1"/>
  <c r="J4" i="8"/>
  <c r="K28" i="8"/>
  <c r="F26" i="8"/>
  <c r="F25" i="8"/>
  <c r="A27" i="8"/>
  <c r="F24" i="8"/>
  <c r="I24" i="8"/>
  <c r="F23" i="8"/>
  <c r="I21" i="8"/>
  <c r="F22" i="8"/>
  <c r="I26" i="8"/>
  <c r="F21" i="8"/>
  <c r="I20" i="8"/>
  <c r="F20" i="8"/>
  <c r="I17" i="8"/>
  <c r="F19" i="8"/>
  <c r="I18" i="8"/>
  <c r="I6" i="8"/>
  <c r="F18" i="8"/>
  <c r="I25" i="8"/>
  <c r="F17" i="8"/>
  <c r="I23" i="8"/>
  <c r="F16" i="8"/>
  <c r="I5" i="8"/>
  <c r="F15" i="8"/>
  <c r="I19" i="8"/>
  <c r="F14" i="8"/>
  <c r="I22" i="8"/>
  <c r="F13" i="8"/>
  <c r="I14" i="8"/>
  <c r="F12" i="8"/>
  <c r="I8" i="8"/>
  <c r="F11" i="8"/>
  <c r="I9" i="8"/>
  <c r="F10" i="8"/>
  <c r="I12" i="8"/>
  <c r="F9" i="8"/>
  <c r="I13" i="8"/>
  <c r="F8" i="8"/>
  <c r="I11" i="8"/>
  <c r="I10" i="8"/>
  <c r="I7" i="8"/>
  <c r="F7" i="8"/>
  <c r="I4" i="8"/>
  <c r="F6" i="8"/>
  <c r="I15" i="8"/>
  <c r="F5" i="8"/>
  <c r="I16" i="8"/>
  <c r="F4" i="8"/>
  <c r="H52" i="2" l="1"/>
  <c r="H53" i="2" s="1"/>
  <c r="H54" i="2" s="1"/>
  <c r="R19" i="6" s="1"/>
  <c r="J64" i="2"/>
  <c r="L64" i="2"/>
  <c r="L63" i="2"/>
  <c r="M63" i="2" s="1"/>
  <c r="P58" i="2"/>
  <c r="Q19" i="6" s="1"/>
  <c r="L48" i="2"/>
  <c r="D53" i="2"/>
  <c r="N63" i="2" s="1"/>
  <c r="O63" i="2" s="1"/>
  <c r="J5" i="8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H23" i="8"/>
  <c r="H24" i="8"/>
  <c r="H14" i="8"/>
  <c r="H25" i="8"/>
  <c r="H16" i="8"/>
  <c r="H22" i="8"/>
  <c r="H17" i="8"/>
  <c r="H11" i="8"/>
  <c r="H7" i="8"/>
  <c r="H13" i="8"/>
  <c r="H21" i="8"/>
  <c r="H8" i="8"/>
  <c r="H6" i="8"/>
  <c r="H15" i="8"/>
  <c r="H10" i="8"/>
  <c r="H19" i="8"/>
  <c r="H4" i="8"/>
  <c r="H5" i="8"/>
  <c r="H26" i="8"/>
  <c r="L16" i="8"/>
  <c r="L15" i="8"/>
  <c r="N15" i="8" s="1" a="1"/>
  <c r="N15" i="8" s="1"/>
  <c r="L4" i="8"/>
  <c r="L7" i="8"/>
  <c r="N7" i="8" s="1" a="1"/>
  <c r="N7" i="8" s="1"/>
  <c r="L10" i="8"/>
  <c r="N10" i="8" s="1" a="1"/>
  <c r="N10" i="8" s="1"/>
  <c r="L11" i="8"/>
  <c r="N11" i="8" s="1" a="1"/>
  <c r="N11" i="8" s="1"/>
  <c r="L13" i="8"/>
  <c r="N13" i="8" s="1" a="1"/>
  <c r="N13" i="8" s="1"/>
  <c r="L12" i="8"/>
  <c r="N12" i="8" s="1" a="1"/>
  <c r="N12" i="8" s="1"/>
  <c r="L9" i="8"/>
  <c r="N9" i="8" s="1" a="1"/>
  <c r="N9" i="8" s="1"/>
  <c r="L8" i="8"/>
  <c r="N8" i="8" s="1" a="1"/>
  <c r="N8" i="8" s="1"/>
  <c r="L14" i="8"/>
  <c r="N14" i="8" s="1" a="1"/>
  <c r="N14" i="8" s="1"/>
  <c r="L22" i="8"/>
  <c r="N22" i="8" s="1" a="1"/>
  <c r="N22" i="8" s="1"/>
  <c r="L19" i="8"/>
  <c r="N19" i="8" s="1" a="1"/>
  <c r="N19" i="8" s="1"/>
  <c r="L5" i="8"/>
  <c r="L23" i="8"/>
  <c r="N23" i="8" s="1" a="1"/>
  <c r="N23" i="8" s="1"/>
  <c r="L25" i="8"/>
  <c r="N25" i="8" s="1" a="1"/>
  <c r="N25" i="8" s="1"/>
  <c r="L6" i="8"/>
  <c r="L18" i="8"/>
  <c r="N18" i="8" s="1" a="1"/>
  <c r="N18" i="8" s="1"/>
  <c r="L17" i="8"/>
  <c r="N17" i="8" s="1" a="1"/>
  <c r="N17" i="8" s="1"/>
  <c r="L20" i="8"/>
  <c r="N20" i="8" s="1" a="1"/>
  <c r="N20" i="8" s="1"/>
  <c r="L26" i="8"/>
  <c r="N26" i="8" s="1" a="1"/>
  <c r="N26" i="8" s="1"/>
  <c r="L21" i="8"/>
  <c r="N21" i="8" s="1" a="1"/>
  <c r="N21" i="8" s="1"/>
  <c r="L24" i="8"/>
  <c r="N24" i="8" s="1" a="1"/>
  <c r="N24" i="8" s="1"/>
  <c r="H39" i="7"/>
  <c r="H40" i="7"/>
  <c r="H24" i="7"/>
  <c r="E39" i="7"/>
  <c r="E40" i="7"/>
  <c r="H38" i="7"/>
  <c r="H35" i="7"/>
  <c r="H32" i="7"/>
  <c r="H7" i="7"/>
  <c r="H15" i="7"/>
  <c r="H14" i="7"/>
  <c r="H10" i="7"/>
  <c r="H8" i="7"/>
  <c r="H9" i="7"/>
  <c r="H11" i="7"/>
  <c r="H13" i="7"/>
  <c r="H12" i="7"/>
  <c r="H16" i="7"/>
  <c r="H19" i="7"/>
  <c r="H6" i="7"/>
  <c r="H17" i="7"/>
  <c r="H28" i="7"/>
  <c r="H26" i="7"/>
  <c r="H27" i="7"/>
  <c r="H4" i="7"/>
  <c r="I4" i="7" s="1"/>
  <c r="H33" i="7"/>
  <c r="H29" i="7"/>
  <c r="H21" i="7"/>
  <c r="H22" i="7"/>
  <c r="H20" i="7"/>
  <c r="H25" i="7"/>
  <c r="H30" i="7"/>
  <c r="H31" i="7"/>
  <c r="H34" i="7"/>
  <c r="H23" i="7"/>
  <c r="H18" i="7"/>
  <c r="H5" i="7"/>
  <c r="H36" i="7"/>
  <c r="H37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34" i="7"/>
  <c r="E35" i="7"/>
  <c r="E36" i="7"/>
  <c r="E37" i="7"/>
  <c r="E38" i="7"/>
  <c r="E29" i="7"/>
  <c r="E30" i="7"/>
  <c r="E31" i="7"/>
  <c r="E32" i="7"/>
  <c r="E33" i="7"/>
  <c r="A41" i="7"/>
  <c r="E28" i="7"/>
  <c r="E27" i="7"/>
  <c r="E26" i="7"/>
  <c r="E25" i="7"/>
  <c r="E24" i="7"/>
  <c r="E23" i="7"/>
  <c r="E22" i="7"/>
  <c r="E21" i="7"/>
  <c r="E20" i="7"/>
  <c r="E19" i="7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4" i="4"/>
  <c r="A18" i="4"/>
  <c r="J15" i="4" s="1"/>
  <c r="F17" i="4"/>
  <c r="L18" i="4" s="1"/>
  <c r="F16" i="4"/>
  <c r="L17" i="4" s="1"/>
  <c r="F15" i="4"/>
  <c r="L16" i="4" s="1"/>
  <c r="F14" i="4"/>
  <c r="L15" i="4" s="1"/>
  <c r="F13" i="4"/>
  <c r="L14" i="4" s="1"/>
  <c r="F12" i="4"/>
  <c r="L13" i="4" s="1"/>
  <c r="F11" i="4"/>
  <c r="L12" i="4"/>
  <c r="F10" i="4"/>
  <c r="L11" i="4" s="1"/>
  <c r="F9" i="4"/>
  <c r="L10" i="4" s="1"/>
  <c r="F8" i="4"/>
  <c r="L9" i="4" s="1"/>
  <c r="F7" i="4"/>
  <c r="L8" i="4" s="1"/>
  <c r="F6" i="4"/>
  <c r="L7" i="4" s="1"/>
  <c r="F5" i="4"/>
  <c r="L6" i="4" s="1"/>
  <c r="F4" i="4"/>
  <c r="L5" i="4" s="1"/>
  <c r="F3" i="4"/>
  <c r="L4" i="4" s="1"/>
  <c r="L52" i="2" l="1"/>
  <c r="L53" i="2" s="1"/>
  <c r="L54" i="2" s="1"/>
  <c r="R20" i="6" s="1"/>
  <c r="R58" i="2"/>
  <c r="Q20" i="6" s="1"/>
  <c r="P48" i="2"/>
  <c r="P52" i="2" s="1"/>
  <c r="P53" i="2" s="1"/>
  <c r="P54" i="2" s="1"/>
  <c r="R21" i="6" s="1"/>
  <c r="D54" i="2"/>
  <c r="P62" i="2"/>
  <c r="Q62" i="2" s="1"/>
  <c r="I5" i="7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J4" i="7" a="1"/>
  <c r="N4" i="8" a="1"/>
  <c r="N4" i="8" s="1"/>
  <c r="M4" i="8"/>
  <c r="N6" i="8" a="1"/>
  <c r="N6" i="8" s="1"/>
  <c r="N5" i="8" a="1"/>
  <c r="N5" i="8" s="1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H9" i="8"/>
  <c r="H20" i="8"/>
  <c r="F28" i="8"/>
  <c r="H18" i="8"/>
  <c r="H12" i="8"/>
  <c r="N16" i="8" a="1"/>
  <c r="N16" i="8" s="1"/>
  <c r="E42" i="7"/>
  <c r="F19" i="4"/>
  <c r="J8" i="4"/>
  <c r="J16" i="4"/>
  <c r="J5" i="4"/>
  <c r="J13" i="4"/>
  <c r="J7" i="4"/>
  <c r="I19" i="4"/>
  <c r="L20" i="4"/>
  <c r="J4" i="4"/>
  <c r="K4" i="4" s="1"/>
  <c r="J11" i="4"/>
  <c r="J9" i="4"/>
  <c r="J14" i="4"/>
  <c r="J18" i="4"/>
  <c r="J10" i="4"/>
  <c r="J12" i="4"/>
  <c r="J6" i="4"/>
  <c r="J17" i="4"/>
  <c r="N64" i="2" l="1"/>
  <c r="R18" i="6"/>
  <c r="R62" i="2"/>
  <c r="S62" i="2" s="1"/>
  <c r="P64" i="2"/>
  <c r="P63" i="2"/>
  <c r="Q63" i="2" s="1"/>
  <c r="T58" i="2"/>
  <c r="Q21" i="6" s="1"/>
  <c r="T48" i="2"/>
  <c r="T52" i="2" s="1"/>
  <c r="T53" i="2" s="1"/>
  <c r="T54" i="2" s="1"/>
  <c r="R22" i="6" s="1"/>
  <c r="J4" i="7"/>
  <c r="J31" i="5"/>
  <c r="D31" i="5" s="1"/>
  <c r="J32" i="5"/>
  <c r="D32" i="5" s="1"/>
  <c r="J33" i="5"/>
  <c r="D33" i="5" s="1"/>
  <c r="J30" i="5"/>
  <c r="D30" i="5" s="1"/>
  <c r="G14" i="7"/>
  <c r="G33" i="7"/>
  <c r="G18" i="7"/>
  <c r="G11" i="7"/>
  <c r="G5" i="7"/>
  <c r="G40" i="7"/>
  <c r="G7" i="7"/>
  <c r="G32" i="7"/>
  <c r="G13" i="7"/>
  <c r="G28" i="7"/>
  <c r="G16" i="7"/>
  <c r="G12" i="7"/>
  <c r="G37" i="7"/>
  <c r="G21" i="7"/>
  <c r="G34" i="7"/>
  <c r="G35" i="7"/>
  <c r="G17" i="7"/>
  <c r="G24" i="7"/>
  <c r="G15" i="7"/>
  <c r="G36" i="7"/>
  <c r="G26" i="7"/>
  <c r="G8" i="7"/>
  <c r="G23" i="7"/>
  <c r="G20" i="7"/>
  <c r="G27" i="7"/>
  <c r="G39" i="7"/>
  <c r="G9" i="7"/>
  <c r="G10" i="7"/>
  <c r="G38" i="7"/>
  <c r="G19" i="7"/>
  <c r="G6" i="7"/>
  <c r="G22" i="7"/>
  <c r="G30" i="7"/>
  <c r="G25" i="7"/>
  <c r="G31" i="7"/>
  <c r="G29" i="7"/>
  <c r="G1" i="8"/>
  <c r="H27" i="8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M10" i="4"/>
  <c r="O10" i="4" s="1" a="1"/>
  <c r="O10" i="4" s="1"/>
  <c r="M7" i="4"/>
  <c r="O7" i="4" s="1" a="1"/>
  <c r="O7" i="4" s="1"/>
  <c r="M17" i="4"/>
  <c r="O17" i="4" s="1" a="1"/>
  <c r="O17" i="4" s="1"/>
  <c r="M12" i="4"/>
  <c r="O12" i="4" s="1" a="1"/>
  <c r="O12" i="4" s="1"/>
  <c r="M5" i="4"/>
  <c r="O5" i="4" s="1" a="1"/>
  <c r="O5" i="4" s="1"/>
  <c r="M16" i="4"/>
  <c r="O16" i="4" s="1" a="1"/>
  <c r="O16" i="4" s="1"/>
  <c r="M6" i="4"/>
  <c r="O6" i="4" s="1" a="1"/>
  <c r="O6" i="4" s="1"/>
  <c r="M11" i="4"/>
  <c r="O11" i="4" s="1" a="1"/>
  <c r="O11" i="4" s="1"/>
  <c r="M15" i="4"/>
  <c r="O15" i="4" s="1" a="1"/>
  <c r="O15" i="4" s="1"/>
  <c r="M9" i="4"/>
  <c r="O9" i="4" s="1" a="1"/>
  <c r="O9" i="4" s="1"/>
  <c r="M14" i="4"/>
  <c r="O14" i="4" s="1" a="1"/>
  <c r="O14" i="4" s="1"/>
  <c r="M8" i="4"/>
  <c r="O8" i="4" s="1" a="1"/>
  <c r="O8" i="4" s="1"/>
  <c r="M18" i="4"/>
  <c r="O18" i="4" s="1" a="1"/>
  <c r="O18" i="4" s="1"/>
  <c r="M13" i="4"/>
  <c r="O13" i="4" s="1" a="1"/>
  <c r="O13" i="4" s="1"/>
  <c r="M4" i="4"/>
  <c r="R63" i="2" l="1"/>
  <c r="S63" i="2" s="1"/>
  <c r="V58" i="2"/>
  <c r="Q22" i="6" s="1"/>
  <c r="T62" i="2"/>
  <c r="U62" i="2" s="1"/>
  <c r="G4" i="7"/>
  <c r="J29" i="5"/>
  <c r="F33" i="5"/>
  <c r="H33" i="5"/>
  <c r="B33" i="5"/>
  <c r="B31" i="5"/>
  <c r="H31" i="5"/>
  <c r="F31" i="5"/>
  <c r="H30" i="5"/>
  <c r="B30" i="5"/>
  <c r="F30" i="5"/>
  <c r="B32" i="5"/>
  <c r="F32" i="5"/>
  <c r="H32" i="5"/>
  <c r="J42" i="7"/>
  <c r="O4" i="4" a="1"/>
  <c r="O4" i="4" s="1"/>
  <c r="N4" i="4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G41" i="7" l="1"/>
  <c r="C11" i="13"/>
  <c r="C19" i="13"/>
  <c r="C27" i="13"/>
  <c r="C35" i="13"/>
  <c r="C8" i="13"/>
  <c r="C17" i="13"/>
  <c r="C4" i="13"/>
  <c r="C12" i="13"/>
  <c r="C20" i="13"/>
  <c r="C28" i="13"/>
  <c r="C36" i="13"/>
  <c r="C15" i="13"/>
  <c r="C16" i="13"/>
  <c r="C3" i="13"/>
  <c r="C5" i="13"/>
  <c r="C13" i="13"/>
  <c r="C21" i="13"/>
  <c r="C29" i="13"/>
  <c r="C37" i="13"/>
  <c r="C23" i="13"/>
  <c r="C39" i="13"/>
  <c r="C24" i="13"/>
  <c r="C25" i="13"/>
  <c r="C6" i="13"/>
  <c r="C14" i="13"/>
  <c r="C22" i="13"/>
  <c r="C30" i="13"/>
  <c r="C38" i="13"/>
  <c r="C7" i="13"/>
  <c r="I4" i="13" s="1"/>
  <c r="C31" i="13"/>
  <c r="C32" i="13"/>
  <c r="C33" i="13"/>
  <c r="C9" i="13"/>
  <c r="C10" i="13"/>
  <c r="C18" i="13"/>
  <c r="C26" i="13"/>
  <c r="C34" i="13"/>
  <c r="R64" i="2"/>
  <c r="T63" i="2"/>
  <c r="U63" i="2" s="1"/>
  <c r="V62" i="2"/>
  <c r="W62" i="2" s="1"/>
  <c r="D29" i="5"/>
  <c r="B3" i="2" s="1"/>
  <c r="K40" i="7"/>
  <c r="M40" i="7" s="1" a="1"/>
  <c r="M40" i="7" s="1"/>
  <c r="K39" i="7"/>
  <c r="M39" i="7" s="1" a="1"/>
  <c r="M39" i="7" s="1"/>
  <c r="K38" i="7"/>
  <c r="M38" i="7" s="1" a="1"/>
  <c r="M38" i="7" s="1"/>
  <c r="K16" i="7"/>
  <c r="M16" i="7" s="1" a="1"/>
  <c r="M16" i="7" s="1"/>
  <c r="K33" i="7"/>
  <c r="M33" i="7" s="1" a="1"/>
  <c r="M33" i="7" s="1"/>
  <c r="K8" i="7"/>
  <c r="M8" i="7" s="1" a="1"/>
  <c r="M8" i="7" s="1"/>
  <c r="K22" i="7"/>
  <c r="M22" i="7" s="1" a="1"/>
  <c r="M22" i="7" s="1"/>
  <c r="K28" i="7"/>
  <c r="M28" i="7" s="1" a="1"/>
  <c r="M28" i="7" s="1"/>
  <c r="K36" i="7"/>
  <c r="M36" i="7" s="1" a="1"/>
  <c r="M36" i="7" s="1"/>
  <c r="K35" i="7"/>
  <c r="M35" i="7" s="1" a="1"/>
  <c r="M35" i="7" s="1"/>
  <c r="K26" i="7"/>
  <c r="M26" i="7" s="1" a="1"/>
  <c r="M26" i="7" s="1"/>
  <c r="K15" i="7"/>
  <c r="M15" i="7" s="1" a="1"/>
  <c r="M15" i="7" s="1"/>
  <c r="K34" i="7"/>
  <c r="M34" i="7" s="1" a="1"/>
  <c r="M34" i="7" s="1"/>
  <c r="K5" i="7"/>
  <c r="M5" i="7" s="1" a="1"/>
  <c r="M5" i="7" s="1"/>
  <c r="K11" i="7"/>
  <c r="M11" i="7" s="1" a="1"/>
  <c r="M11" i="7" s="1"/>
  <c r="K37" i="7"/>
  <c r="M37" i="7" s="1" a="1"/>
  <c r="M37" i="7" s="1"/>
  <c r="K14" i="7"/>
  <c r="M14" i="7" s="1" a="1"/>
  <c r="M14" i="7" s="1"/>
  <c r="K19" i="7"/>
  <c r="M19" i="7" s="1" a="1"/>
  <c r="M19" i="7" s="1"/>
  <c r="K29" i="7"/>
  <c r="M29" i="7" s="1" a="1"/>
  <c r="M29" i="7" s="1"/>
  <c r="K23" i="7"/>
  <c r="K10" i="7"/>
  <c r="M10" i="7" s="1" a="1"/>
  <c r="M10" i="7" s="1"/>
  <c r="K6" i="7"/>
  <c r="M6" i="7" s="1" a="1"/>
  <c r="M6" i="7" s="1"/>
  <c r="K21" i="7"/>
  <c r="M21" i="7" s="1" a="1"/>
  <c r="M21" i="7" s="1"/>
  <c r="K18" i="7"/>
  <c r="K17" i="7"/>
  <c r="M17" i="7" s="1" a="1"/>
  <c r="M17" i="7" s="1"/>
  <c r="K9" i="7"/>
  <c r="M9" i="7" s="1" a="1"/>
  <c r="M9" i="7" s="1"/>
  <c r="K20" i="7"/>
  <c r="M20" i="7" s="1" a="1"/>
  <c r="M20" i="7" s="1"/>
  <c r="K25" i="7"/>
  <c r="M25" i="7" s="1" a="1"/>
  <c r="M25" i="7" s="1"/>
  <c r="K31" i="7"/>
  <c r="M31" i="7" s="1" a="1"/>
  <c r="M31" i="7" s="1"/>
  <c r="K13" i="7"/>
  <c r="M13" i="7" s="1" a="1"/>
  <c r="M13" i="7" s="1"/>
  <c r="K7" i="7"/>
  <c r="M7" i="7" s="1" a="1"/>
  <c r="M7" i="7" s="1"/>
  <c r="K4" i="7"/>
  <c r="L4" i="7" s="1"/>
  <c r="K27" i="7"/>
  <c r="M27" i="7" s="1" a="1"/>
  <c r="M27" i="7" s="1"/>
  <c r="K12" i="7"/>
  <c r="M12" i="7" s="1" a="1"/>
  <c r="M12" i="7" s="1"/>
  <c r="K30" i="7"/>
  <c r="M30" i="7" s="1" a="1"/>
  <c r="M30" i="7" s="1"/>
  <c r="K32" i="7"/>
  <c r="M32" i="7" s="1" a="1"/>
  <c r="M32" i="7" s="1"/>
  <c r="K24" i="7"/>
  <c r="M24" i="7" s="1" a="1"/>
  <c r="M24" i="7" s="1"/>
  <c r="G4" i="13" l="1"/>
  <c r="H4" i="13"/>
  <c r="V63" i="2"/>
  <c r="W63" i="2" s="1"/>
  <c r="T64" i="2"/>
  <c r="F29" i="5"/>
  <c r="F6" i="2" s="1"/>
  <c r="C64" i="2" s="1"/>
  <c r="O64" i="2" s="1"/>
  <c r="N65" i="2" s="1"/>
  <c r="B29" i="5"/>
  <c r="H29" i="5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M4" i="7" a="1"/>
  <c r="M4" i="7" s="1"/>
  <c r="N5" i="7" s="1"/>
  <c r="M18" i="7" a="1"/>
  <c r="M18" i="7" s="1"/>
  <c r="M23" i="7" a="1"/>
  <c r="M23" i="7" s="1"/>
  <c r="J4" i="13" l="1"/>
  <c r="V64" i="2"/>
  <c r="W64" i="2" s="1"/>
  <c r="V67" i="2" s="1"/>
  <c r="E64" i="2"/>
  <c r="G64" i="2"/>
  <c r="I64" i="2"/>
  <c r="K64" i="2"/>
  <c r="M64" i="2"/>
  <c r="S64" i="2"/>
  <c r="Q64" i="2"/>
  <c r="P65" i="2" s="1"/>
  <c r="U64" i="2"/>
  <c r="O12" i="7"/>
  <c r="O11" i="7"/>
  <c r="N13" i="7"/>
  <c r="O19" i="7"/>
  <c r="O27" i="7"/>
  <c r="G44" i="2"/>
  <c r="H45" i="2" s="1"/>
  <c r="S14" i="6" s="1"/>
  <c r="G16" i="2"/>
  <c r="I16" i="2" s="1"/>
  <c r="J17" i="2" s="1"/>
  <c r="S6" i="6" s="1"/>
  <c r="K44" i="2"/>
  <c r="L45" i="2" s="1"/>
  <c r="S15" i="6" s="1"/>
  <c r="C16" i="2"/>
  <c r="D17" i="2" s="1"/>
  <c r="S5" i="6" s="1"/>
  <c r="O54" i="2"/>
  <c r="P55" i="2" s="1"/>
  <c r="S21" i="6" s="1"/>
  <c r="S44" i="2"/>
  <c r="T45" i="2" s="1"/>
  <c r="S17" i="6" s="1"/>
  <c r="G54" i="2"/>
  <c r="H55" i="2" s="1"/>
  <c r="S19" i="6" s="1"/>
  <c r="O44" i="2"/>
  <c r="P45" i="2" s="1"/>
  <c r="S16" i="6" s="1"/>
  <c r="C77" i="2"/>
  <c r="S54" i="2"/>
  <c r="T55" i="2" s="1"/>
  <c r="S22" i="6" s="1"/>
  <c r="C31" i="2"/>
  <c r="K54" i="2"/>
  <c r="L55" i="2" s="1"/>
  <c r="S20" i="6" s="1"/>
  <c r="C44" i="2"/>
  <c r="D45" i="2" s="1"/>
  <c r="S13" i="6" s="1"/>
  <c r="C54" i="2"/>
  <c r="D55" i="2" s="1"/>
  <c r="S18" i="6" s="1"/>
  <c r="M16" i="2"/>
  <c r="O16" i="2" s="1"/>
  <c r="P17" i="2" s="1"/>
  <c r="S7" i="6" s="1"/>
  <c r="O25" i="7"/>
  <c r="N11" i="7"/>
  <c r="O13" i="7"/>
  <c r="N19" i="7"/>
  <c r="N27" i="7"/>
  <c r="N12" i="7"/>
  <c r="N20" i="7"/>
  <c r="N25" i="7"/>
  <c r="N34" i="7"/>
  <c r="O23" i="7"/>
  <c r="N23" i="7"/>
  <c r="N21" i="7"/>
  <c r="O28" i="7"/>
  <c r="N40" i="7"/>
  <c r="N30" i="7"/>
  <c r="O38" i="7"/>
  <c r="N6" i="7"/>
  <c r="N32" i="7"/>
  <c r="O10" i="7"/>
  <c r="N18" i="7"/>
  <c r="O18" i="7"/>
  <c r="O21" i="7"/>
  <c r="N28" i="7"/>
  <c r="O40" i="7"/>
  <c r="O30" i="7"/>
  <c r="N38" i="7"/>
  <c r="O6" i="7"/>
  <c r="O32" i="7"/>
  <c r="N10" i="7"/>
  <c r="N31" i="7"/>
  <c r="O8" i="7"/>
  <c r="O7" i="7"/>
  <c r="O37" i="7"/>
  <c r="N36" i="7"/>
  <c r="N39" i="7"/>
  <c r="O26" i="7"/>
  <c r="O16" i="7"/>
  <c r="O24" i="7"/>
  <c r="O31" i="7"/>
  <c r="O20" i="7"/>
  <c r="N8" i="7"/>
  <c r="N37" i="7"/>
  <c r="O39" i="7"/>
  <c r="N24" i="7"/>
  <c r="N22" i="7"/>
  <c r="O9" i="7"/>
  <c r="O17" i="7"/>
  <c r="O14" i="7"/>
  <c r="O35" i="7"/>
  <c r="N29" i="7"/>
  <c r="N15" i="7"/>
  <c r="O33" i="7"/>
  <c r="N4" i="7"/>
  <c r="O4" i="7"/>
  <c r="N7" i="7"/>
  <c r="O36" i="7"/>
  <c r="N26" i="7"/>
  <c r="N16" i="7"/>
  <c r="O22" i="7"/>
  <c r="N9" i="7"/>
  <c r="N17" i="7"/>
  <c r="N14" i="7"/>
  <c r="N35" i="7"/>
  <c r="O29" i="7"/>
  <c r="O15" i="7"/>
  <c r="N33" i="7"/>
  <c r="O5" i="7"/>
  <c r="O34" i="7"/>
  <c r="R65" i="2" l="1"/>
  <c r="R67" i="2"/>
  <c r="V65" i="2"/>
  <c r="L67" i="2"/>
  <c r="L65" i="2"/>
  <c r="J67" i="2"/>
  <c r="J65" i="2"/>
  <c r="T67" i="2"/>
  <c r="T65" i="2"/>
  <c r="H67" i="2"/>
  <c r="H65" i="2"/>
  <c r="F67" i="2"/>
  <c r="F65" i="2"/>
  <c r="P67" i="2"/>
  <c r="D65" i="2"/>
  <c r="D67" i="2"/>
  <c r="N67" i="2"/>
  <c r="E20" i="2"/>
  <c r="B25" i="2" a="1"/>
  <c r="I77" i="2"/>
  <c r="H78" i="2" s="1"/>
  <c r="E77" i="2"/>
  <c r="G77" i="2"/>
  <c r="F78" i="2" s="1"/>
  <c r="J69" i="2" l="1"/>
  <c r="F69" i="2"/>
  <c r="L69" i="2"/>
  <c r="H69" i="2"/>
  <c r="V69" i="2"/>
  <c r="D69" i="2"/>
  <c r="N69" i="2"/>
  <c r="T69" i="2"/>
  <c r="R69" i="2"/>
  <c r="P69" i="2"/>
  <c r="S9" i="6"/>
  <c r="R9" i="6" s="1"/>
  <c r="L72" i="2"/>
  <c r="Q9" i="6" s="1"/>
  <c r="L78" i="2"/>
  <c r="L80" i="2"/>
  <c r="H80" i="2"/>
  <c r="F80" i="2"/>
  <c r="D78" i="2"/>
  <c r="D80" i="2"/>
  <c r="B25" i="2"/>
  <c r="D32" i="2" s="1"/>
  <c r="S8" i="6" s="1"/>
  <c r="D28" i="2" l="1"/>
  <c r="J74" i="2" s="1"/>
  <c r="K74" i="2" s="1"/>
  <c r="D31" i="2"/>
  <c r="R8" i="6" s="1"/>
  <c r="D30" i="2"/>
  <c r="J76" i="2" s="1"/>
  <c r="K76" i="2" s="1"/>
  <c r="D29" i="2"/>
  <c r="J75" i="2" s="1"/>
  <c r="K75" i="2" s="1"/>
  <c r="L77" i="2"/>
  <c r="M77" i="2" s="1"/>
  <c r="L76" i="2"/>
  <c r="M76" i="2" s="1"/>
  <c r="L74" i="2"/>
  <c r="M74" i="2" s="1"/>
  <c r="L75" i="2"/>
  <c r="M75" i="2" s="1"/>
  <c r="J77" i="2" l="1"/>
  <c r="K77" i="2" s="1"/>
  <c r="J80" i="2" s="1"/>
  <c r="J78" i="2" l="1"/>
  <c r="K92" i="2" l="1"/>
  <c r="J82" i="2"/>
  <c r="H82" i="2"/>
  <c r="L82" i="2"/>
  <c r="D82" i="2"/>
  <c r="F82" i="2"/>
  <c r="B85" i="2"/>
  <c r="N88" i="2" l="1"/>
  <c r="N89" i="2"/>
  <c r="N91" i="2"/>
  <c r="N90" i="2"/>
  <c r="O90" i="2" s="1"/>
  <c r="O89" i="2" l="1"/>
  <c r="O91" i="2"/>
  <c r="N92" i="2"/>
  <c r="O88" i="2"/>
  <c r="O9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<sst xmlns="http://schemas.openxmlformats.org/spreadsheetml/2006/main" count="615" uniqueCount="264">
  <si>
    <t>פריט</t>
  </si>
  <si>
    <t>∑</t>
  </si>
  <si>
    <t>מחיר ליחידה
b</t>
  </si>
  <si>
    <t>ערך צריכה כולל</t>
  </si>
  <si>
    <r>
      <t xml:space="preserve">שכיחות יחסית פריט
</t>
    </r>
    <r>
      <rPr>
        <b/>
        <i/>
        <sz val="8"/>
        <color theme="1"/>
        <rFont val="Arial"/>
        <family val="2"/>
        <scheme val="minor"/>
      </rPr>
      <t>%f</t>
    </r>
  </si>
  <si>
    <r>
      <t>שכיחות מצטברת לפריט
%</t>
    </r>
    <r>
      <rPr>
        <b/>
        <i/>
        <sz val="8"/>
        <color theme="1"/>
        <rFont val="Arial"/>
        <family val="2"/>
        <scheme val="minor"/>
      </rPr>
      <t>F</t>
    </r>
  </si>
  <si>
    <r>
      <t xml:space="preserve">שכיחות מצטברת ערך צריכה
</t>
    </r>
    <r>
      <rPr>
        <b/>
        <i/>
        <sz val="8"/>
        <color theme="1"/>
        <rFont val="Arial"/>
        <family val="2"/>
        <scheme val="minor"/>
      </rPr>
      <t>%F</t>
    </r>
  </si>
  <si>
    <r>
      <t xml:space="preserve">שכיחות יחסית ערך צריכה
</t>
    </r>
    <r>
      <rPr>
        <b/>
        <i/>
        <sz val="8"/>
        <color theme="1"/>
        <rFont val="Arial"/>
        <family val="2"/>
        <scheme val="minor"/>
      </rPr>
      <t>%f</t>
    </r>
  </si>
  <si>
    <t>קבוצת הפריט</t>
  </si>
  <si>
    <t>כמות</t>
  </si>
  <si>
    <t>כסף</t>
  </si>
  <si>
    <t>ניתוח פארטו</t>
  </si>
  <si>
    <r>
      <t xml:space="preserve">צריכה שנתית
</t>
    </r>
    <r>
      <rPr>
        <b/>
        <i/>
        <sz val="8"/>
        <color theme="1"/>
        <rFont val="Arial"/>
        <family val="2"/>
        <scheme val="minor"/>
      </rPr>
      <t>N</t>
    </r>
  </si>
  <si>
    <t>מס"ד</t>
  </si>
  <si>
    <t>מקט</t>
  </si>
  <si>
    <t>שם מוצר</t>
  </si>
  <si>
    <t>נתוני פריטים</t>
  </si>
  <si>
    <t>שכיחות קבוצה</t>
  </si>
  <si>
    <t>פדיון מכירות של חמישה מוצרים מובילים בסניף</t>
  </si>
  <si>
    <t>מוצר</t>
  </si>
  <si>
    <t>שנה</t>
  </si>
  <si>
    <t>מכירות ביחידות</t>
  </si>
  <si>
    <t>RELEAX</t>
  </si>
  <si>
    <t>REJOY</t>
  </si>
  <si>
    <t>MIX HALVA</t>
  </si>
  <si>
    <t>SUPER GREEN</t>
  </si>
  <si>
    <t>REPLAY</t>
  </si>
  <si>
    <t>אננס</t>
  </si>
  <si>
    <t>מנגו</t>
  </si>
  <si>
    <t>סורבה פסיפלורה</t>
  </si>
  <si>
    <t>יוגורט</t>
  </si>
  <si>
    <t>תפוח סחוט</t>
  </si>
  <si>
    <t>בננה</t>
  </si>
  <si>
    <t>ממרח אגוזי לוז</t>
  </si>
  <si>
    <t>חלב</t>
  </si>
  <si>
    <t>טחינה גולמית</t>
  </si>
  <si>
    <t>תמר</t>
  </si>
  <si>
    <t>אגוזי קליפורניה</t>
  </si>
  <si>
    <t>סילאן</t>
  </si>
  <si>
    <t>אגס</t>
  </si>
  <si>
    <t>תרד</t>
  </si>
  <si>
    <t>מלפפון</t>
  </si>
  <si>
    <t>נענע</t>
  </si>
  <si>
    <t>סירופ אגבה</t>
  </si>
  <si>
    <t>ספירולינה</t>
  </si>
  <si>
    <t>תות</t>
  </si>
  <si>
    <t>סורבה תות</t>
  </si>
  <si>
    <t>יח' מידה</t>
  </si>
  <si>
    <t>גרם</t>
  </si>
  <si>
    <t>סקופ</t>
  </si>
  <si>
    <t>מ"ל</t>
  </si>
  <si>
    <t>כף</t>
  </si>
  <si>
    <t>יח'</t>
  </si>
  <si>
    <t>כפית</t>
  </si>
  <si>
    <t>עלה</t>
  </si>
  <si>
    <t>תחזיות מכירה לפריט בעל ערך הצריכה הגבוה ביותר:</t>
  </si>
  <si>
    <t>משקה פירות יער</t>
  </si>
  <si>
    <t>משקה "פאשן"</t>
  </si>
  <si>
    <t>Sour Green</t>
  </si>
  <si>
    <t>לימונדה חמוצה</t>
  </si>
  <si>
    <t>RELAX</t>
  </si>
  <si>
    <t>REFREASH</t>
  </si>
  <si>
    <t>REFEMME</t>
  </si>
  <si>
    <t>RESHAPE</t>
  </si>
  <si>
    <t>Pro Banana</t>
  </si>
  <si>
    <t>Pro berries</t>
  </si>
  <si>
    <t>pro peanuts</t>
  </si>
  <si>
    <t>super green</t>
  </si>
  <si>
    <t>super acai</t>
  </si>
  <si>
    <t>Mix respberries</t>
  </si>
  <si>
    <t>mix halva</t>
  </si>
  <si>
    <t>mix almonds</t>
  </si>
  <si>
    <t>mix cocount</t>
  </si>
  <si>
    <t>mix chai</t>
  </si>
  <si>
    <t>creamy peanut better</t>
  </si>
  <si>
    <t>creamy nuts</t>
  </si>
  <si>
    <t>creamy cocoa</t>
  </si>
  <si>
    <t>refresh</t>
  </si>
  <si>
    <t>rejoy</t>
  </si>
  <si>
    <t>replay kids</t>
  </si>
  <si>
    <t>relax kids</t>
  </si>
  <si>
    <r>
      <t xml:space="preserve">מחיר ליחידה
</t>
    </r>
    <r>
      <rPr>
        <b/>
        <i/>
        <sz val="8"/>
        <color theme="1"/>
        <rFont val="Arial"/>
        <family val="2"/>
        <scheme val="minor"/>
      </rPr>
      <t>b</t>
    </r>
  </si>
  <si>
    <r>
      <t xml:space="preserve">ערך צריכה כולל
</t>
    </r>
    <r>
      <rPr>
        <b/>
        <i/>
        <sz val="8"/>
        <color theme="1"/>
        <rFont val="Arial"/>
        <family val="2"/>
        <scheme val="minor"/>
      </rPr>
      <t>N*b</t>
    </r>
  </si>
  <si>
    <t>תמונה</t>
  </si>
  <si>
    <r>
      <t xml:space="preserve">שכיחות יחסית
</t>
    </r>
    <r>
      <rPr>
        <b/>
        <i/>
        <sz val="8"/>
        <color theme="1"/>
        <rFont val="Arial"/>
        <family val="2"/>
        <scheme val="minor"/>
      </rPr>
      <t>%f</t>
    </r>
  </si>
  <si>
    <r>
      <t xml:space="preserve">שכיחות מצטברת
</t>
    </r>
    <r>
      <rPr>
        <b/>
        <i/>
        <sz val="8"/>
        <color theme="1"/>
        <rFont val="Arial"/>
        <family val="2"/>
        <scheme val="minor"/>
      </rPr>
      <t>%F</t>
    </r>
  </si>
  <si>
    <t>MAD</t>
  </si>
  <si>
    <t>MSE</t>
  </si>
  <si>
    <r>
      <t xml:space="preserve">ערך צריכה כולל
</t>
    </r>
    <r>
      <rPr>
        <b/>
        <sz val="8"/>
        <color theme="1"/>
        <rFont val="Arial"/>
        <family val="2"/>
        <scheme val="minor"/>
      </rPr>
      <t>N*b</t>
    </r>
  </si>
  <si>
    <r>
      <t xml:space="preserve">כמות נצרכת שנתית
</t>
    </r>
    <r>
      <rPr>
        <b/>
        <sz val="8"/>
        <color theme="1"/>
        <rFont val="Arial"/>
        <family val="2"/>
        <scheme val="minor"/>
      </rPr>
      <t>N</t>
    </r>
  </si>
  <si>
    <r>
      <t xml:space="preserve">מחיר ליחידה
</t>
    </r>
    <r>
      <rPr>
        <b/>
        <sz val="8"/>
        <color theme="1"/>
        <rFont val="Arial"/>
        <family val="2"/>
        <scheme val="minor"/>
      </rPr>
      <t>b</t>
    </r>
  </si>
  <si>
    <t>ביקוש</t>
  </si>
  <si>
    <t>תחזית</t>
  </si>
  <si>
    <t>ממוצע פשוט</t>
  </si>
  <si>
    <t>משקל</t>
  </si>
  <si>
    <t>ביקוש משוקלל</t>
  </si>
  <si>
    <t>רגרסיה לניארית</t>
  </si>
  <si>
    <t>b</t>
  </si>
  <si>
    <t>a</t>
  </si>
  <si>
    <t>r</t>
  </si>
  <si>
    <t>שיפוע
הקו</t>
  </si>
  <si>
    <t>נק' חיתוך עם y</t>
  </si>
  <si>
    <t>מקדם המתאם</t>
  </si>
  <si>
    <t>החלקה מעריכית החל מ-</t>
  </si>
  <si>
    <t>α =</t>
  </si>
  <si>
    <t>ועד</t>
  </si>
  <si>
    <t>α =1</t>
  </si>
  <si>
    <t>החלקה מעריכית</t>
  </si>
  <si>
    <t>סטייה</t>
  </si>
  <si>
    <t>הפחתה שנתית 10%</t>
  </si>
  <si>
    <t>הפחתה שנתית 20%</t>
  </si>
  <si>
    <t>עוצמת הקשר הלניארי</t>
  </si>
  <si>
    <r>
      <rPr>
        <b/>
        <sz val="11"/>
        <color theme="1"/>
        <rFont val="Arial"/>
        <family val="2"/>
        <scheme val="minor"/>
      </rPr>
      <t>אין</t>
    </r>
    <r>
      <rPr>
        <sz val="11"/>
        <color theme="1"/>
        <rFont val="Arial"/>
        <family val="2"/>
        <scheme val="minor"/>
      </rPr>
      <t xml:space="preserve"> קשר בין המשתנה התלוי (השנים) למשתנה הבלתי תלוי (הביקוש), אין להשתמש בשיטת הרגרסיה לחיזוי.</t>
    </r>
  </si>
  <si>
    <r>
      <t xml:space="preserve">קיים קשר </t>
    </r>
    <r>
      <rPr>
        <b/>
        <sz val="11"/>
        <color theme="1"/>
        <rFont val="Arial"/>
        <family val="2"/>
        <scheme val="minor"/>
      </rPr>
      <t>חלש</t>
    </r>
    <r>
      <rPr>
        <sz val="11"/>
        <color theme="1"/>
        <rFont val="Arial"/>
        <family val="2"/>
        <scheme val="minor"/>
      </rPr>
      <t xml:space="preserve"> בין המשתנה התלוי (השנים) למשתנה הבלתי תלוי (הביקוש), ניתן להסתמך על השיטה אך מומלץ לבחון מודלים נוספים. </t>
    </r>
  </si>
  <si>
    <t>עד</t>
  </si>
  <si>
    <r>
      <t xml:space="preserve">קיים קשר </t>
    </r>
    <r>
      <rPr>
        <b/>
        <sz val="11"/>
        <color theme="1"/>
        <rFont val="Arial"/>
        <family val="2"/>
        <scheme val="minor"/>
      </rPr>
      <t>חלש עד בינוני</t>
    </r>
    <r>
      <rPr>
        <sz val="11"/>
        <color theme="1"/>
        <rFont val="Arial"/>
        <family val="2"/>
        <scheme val="minor"/>
      </rPr>
      <t xml:space="preserve"> בין המשתנה התלוי (השנים) למשתנה הבלתי תלוי (הביקוש), מומלץ להשתמש בשיטת הרגרסיה אך ניתן לבדוק מודלים נוספים.</t>
    </r>
  </si>
  <si>
    <r>
      <t xml:space="preserve">קיים קשר </t>
    </r>
    <r>
      <rPr>
        <b/>
        <sz val="11"/>
        <color theme="1"/>
        <rFont val="Arial"/>
        <family val="2"/>
        <scheme val="minor"/>
      </rPr>
      <t>בינוני</t>
    </r>
    <r>
      <rPr>
        <sz val="11"/>
        <color theme="1"/>
        <rFont val="Arial"/>
        <family val="2"/>
        <scheme val="minor"/>
      </rPr>
      <t xml:space="preserve"> בין המשתנה התלוי (השנים) למשתנה הבלתי תלוי (הביקוש), מומלץ להשתמש בשיטת הרגרסיה.</t>
    </r>
  </si>
  <si>
    <r>
      <t xml:space="preserve">קיים קשר </t>
    </r>
    <r>
      <rPr>
        <b/>
        <sz val="11"/>
        <color theme="1"/>
        <rFont val="Arial"/>
        <family val="2"/>
        <scheme val="minor"/>
      </rPr>
      <t>כמעט מושלם</t>
    </r>
    <r>
      <rPr>
        <sz val="11"/>
        <color theme="1"/>
        <rFont val="Arial"/>
        <family val="2"/>
        <scheme val="minor"/>
      </rPr>
      <t xml:space="preserve"> בין המשתנה התלוי (השנים) למשתנה הבלתי תלוי (הביקוש), מומלץ מאוד להשתמש בשיטת הרגרסיה.</t>
    </r>
  </si>
  <si>
    <r>
      <t xml:space="preserve">קיים קשר </t>
    </r>
    <r>
      <rPr>
        <b/>
        <sz val="11"/>
        <color theme="1"/>
        <rFont val="Arial"/>
        <family val="2"/>
        <scheme val="minor"/>
      </rPr>
      <t>מושלם</t>
    </r>
    <r>
      <rPr>
        <sz val="11"/>
        <color theme="1"/>
        <rFont val="Arial"/>
        <family val="2"/>
        <scheme val="minor"/>
      </rPr>
      <t xml:space="preserve"> בין המשתנה התלוי (השנים) למשתנה הבלתי תלוי (הביקוש), מומלץ חד-משמעית להשתמש בשיטת הרגרסיה.</t>
    </r>
  </si>
  <si>
    <t>ב</t>
  </si>
  <si>
    <r>
      <t xml:space="preserve">קיים קשר </t>
    </r>
    <r>
      <rPr>
        <b/>
        <sz val="11"/>
        <color theme="1"/>
        <rFont val="Arial"/>
        <family val="2"/>
        <scheme val="minor"/>
      </rPr>
      <t>בינוני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השואף למושלם</t>
    </r>
    <r>
      <rPr>
        <sz val="11"/>
        <color theme="1"/>
        <rFont val="Arial"/>
        <family val="2"/>
        <scheme val="minor"/>
      </rPr>
      <t xml:space="preserve"> בין המשתנה התלוי (השנים) למשתנה הבלתי תלוי (הביקוש), מומלץ להשתמש בשיטת הרגרסיה.</t>
    </r>
  </si>
  <si>
    <t>freeze bluberries</t>
  </si>
  <si>
    <t>freeze passion fruit</t>
  </si>
  <si>
    <t>sour green</t>
  </si>
  <si>
    <t>sour lemonade</t>
  </si>
  <si>
    <t>pineapple bowl</t>
  </si>
  <si>
    <t>raspberries bowl</t>
  </si>
  <si>
    <t>relax</t>
  </si>
  <si>
    <t>refresh kids</t>
  </si>
  <si>
    <t>rejoy kids</t>
  </si>
  <si>
    <t>refemme</t>
  </si>
  <si>
    <t>reshape</t>
  </si>
  <si>
    <t>replay</t>
  </si>
  <si>
    <t>pro banana</t>
  </si>
  <si>
    <t>pro berries</t>
  </si>
  <si>
    <t>acai bowl</t>
  </si>
  <si>
    <t>shot</t>
  </si>
  <si>
    <t>mix raspberries</t>
  </si>
  <si>
    <t>creamy peanut butter</t>
  </si>
  <si>
    <t>juice beetroot</t>
  </si>
  <si>
    <t>juice melon</t>
  </si>
  <si>
    <t>juice pomegrante</t>
  </si>
  <si>
    <t>תפוז סחוט</t>
  </si>
  <si>
    <t>גזר סחוט</t>
  </si>
  <si>
    <t>לא רלוונטי
שנת קורונה</t>
  </si>
  <si>
    <t>הפחתה שנתית</t>
  </si>
  <si>
    <t>ממוצע משוקלל דו-שנתי</t>
  </si>
  <si>
    <t>ממוצע סטיות</t>
  </si>
  <si>
    <t>ממוצע סטיות ריבועיות</t>
  </si>
  <si>
    <t>טבלת קריטריונים</t>
  </si>
  <si>
    <t>ערכי יעד וערכי סף</t>
  </si>
  <si>
    <t>קריטריון</t>
  </si>
  <si>
    <t>ציון</t>
  </si>
  <si>
    <t>תנאי סף</t>
  </si>
  <si>
    <t>ערך יעד</t>
  </si>
  <si>
    <t>ערך סף</t>
  </si>
  <si>
    <t>מחיר
(₪)</t>
  </si>
  <si>
    <t>זמן אספקה
(בימים)</t>
  </si>
  <si>
    <t>ימי עסקים אחד</t>
  </si>
  <si>
    <t>ימי עסקים</t>
  </si>
  <si>
    <r>
      <t>איכות</t>
    </r>
    <r>
      <rPr>
        <b/>
        <sz val="12"/>
        <color rgb="FF000000"/>
        <rFont val="Arial"/>
        <family val="2"/>
      </rPr>
      <t>⃰</t>
    </r>
  </si>
  <si>
    <t>-</t>
  </si>
  <si>
    <t>איכות</t>
  </si>
  <si>
    <t>תנאי תשלום</t>
  </si>
  <si>
    <t>שוטף</t>
  </si>
  <si>
    <t>שוטף פלוס</t>
  </si>
  <si>
    <t>תשלום</t>
  </si>
  <si>
    <t>מיידי</t>
  </si>
  <si>
    <t>* איכות- על מנת לקבוע רמת איכות, נעשה סקר ומבחני טעימה שבו לקחו חלק עשרה לקוחות קבועים של הסניף.
הסקר ומבחני הטעימה מוצגים בגיליון מצורף.</t>
  </si>
  <si>
    <t>מודל הדירוג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</si>
  <si>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מחיר:</t>
    </r>
    <r>
      <rPr>
        <sz val="12"/>
        <color theme="1"/>
        <rFont val="Arial"/>
        <family val="2"/>
      </rPr>
      <t xml:space="preserve"> הפחתה של </t>
    </r>
    <r>
      <rPr>
        <b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נקודות על כל</t>
    </r>
    <r>
      <rPr>
        <b/>
        <sz val="12"/>
        <color theme="1"/>
        <rFont val="Arial"/>
        <family val="2"/>
      </rPr>
      <t xml:space="preserve"> 1₪</t>
    </r>
    <r>
      <rPr>
        <sz val="12"/>
        <color theme="1"/>
        <rFont val="Arial"/>
        <family val="2"/>
      </rPr>
      <t xml:space="preserve"> או חלקי ניקוד באופן יחסי.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</si>
  <si>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זמן אספקה:</t>
    </r>
    <r>
      <rPr>
        <sz val="12"/>
        <color theme="1"/>
        <rFont val="Arial"/>
        <family val="2"/>
      </rPr>
      <t xml:space="preserve"> הפחתה של </t>
    </r>
    <r>
      <rPr>
        <b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נקודות על כל </t>
    </r>
    <r>
      <rPr>
        <b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ימי עסקים או חלקי ניקוד באופן יחסי.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</si>
  <si>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איכות:</t>
    </r>
    <r>
      <rPr>
        <sz val="12"/>
        <color theme="1"/>
        <rFont val="Arial"/>
        <family val="2"/>
      </rPr>
      <t xml:space="preserve"> הפחתה של </t>
    </r>
    <r>
      <rPr>
        <b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נקודות על כל רמת </t>
    </r>
    <r>
      <rPr>
        <b/>
        <sz val="12"/>
        <color theme="1"/>
        <rFont val="Arial"/>
        <family val="2"/>
      </rPr>
      <t>אחת</t>
    </r>
    <r>
      <rPr>
        <sz val="12"/>
        <color theme="1"/>
        <rFont val="Arial"/>
        <family val="2"/>
      </rPr>
      <t xml:space="preserve"> של איכות או חלקי ניקוד באופן יחסי.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</si>
  <si>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תנאי תשלום:</t>
    </r>
    <r>
      <rPr>
        <sz val="12"/>
        <color theme="1"/>
        <rFont val="Arial"/>
        <family val="2"/>
      </rPr>
      <t xml:space="preserve"> הפחתה של </t>
    </r>
    <r>
      <rPr>
        <b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 xml:space="preserve"> נקודות על כל </t>
    </r>
    <r>
      <rPr>
        <b/>
        <sz val="12"/>
        <color theme="1"/>
        <rFont val="Arial"/>
        <family val="2"/>
      </rPr>
      <t>15</t>
    </r>
    <r>
      <rPr>
        <sz val="12"/>
        <color theme="1"/>
        <rFont val="Arial"/>
        <family val="2"/>
      </rPr>
      <t xml:space="preserve"> ימי תשלומים או חלקי ניקוד באופן יחסי.</t>
    </r>
  </si>
  <si>
    <t>ספקים נבחרים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</si>
  <si>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ספק א':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</si>
  <si>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ספק ב':</t>
    </r>
  </si>
  <si>
    <t>סחוט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</si>
  <si>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ספק ג':</t>
    </r>
  </si>
  <si>
    <t>ביצועי ספקים</t>
  </si>
  <si>
    <t>ספק</t>
  </si>
  <si>
    <t>ספק א':</t>
  </si>
  <si>
    <t>ספק ב':</t>
  </si>
  <si>
    <t>ספק ג':</t>
  </si>
  <si>
    <t>תנאי
תשלום</t>
  </si>
  <si>
    <t>יישום ובחירת ספק</t>
  </si>
  <si>
    <t>פרמטרים</t>
  </si>
  <si>
    <t>ציון לפני
שקלול</t>
  </si>
  <si>
    <t>ציון משוקלל</t>
  </si>
  <si>
    <t xml:space="preserve">ציון סופי
</t>
  </si>
  <si>
    <t>חישוב מחיר ממוצע של ספק לפירות קפואים</t>
  </si>
  <si>
    <t>צריכה שנתית בק"ג (N)</t>
  </si>
  <si>
    <r>
      <t xml:space="preserve">שכיחות יחסית
</t>
    </r>
    <r>
      <rPr>
        <b/>
        <sz val="10"/>
        <color rgb="FF000000"/>
        <rFont val="Arial"/>
        <family val="2"/>
      </rPr>
      <t>(%f)</t>
    </r>
  </si>
  <si>
    <r>
      <t xml:space="preserve">מחיר לק"ג
</t>
    </r>
    <r>
      <rPr>
        <b/>
        <sz val="10"/>
        <color rgb="FF000000"/>
        <rFont val="Arial"/>
        <family val="2"/>
      </rPr>
      <t>(₪b)</t>
    </r>
  </si>
  <si>
    <t>סורבה</t>
  </si>
  <si>
    <t>סה"כ</t>
  </si>
  <si>
    <t>רמת איכות:</t>
  </si>
  <si>
    <t>10 /</t>
  </si>
  <si>
    <t>מס"ד לקוח</t>
  </si>
  <si>
    <t>מבחני הטעימה</t>
  </si>
  <si>
    <t>+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</si>
  <si>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מחיר:</t>
    </r>
    <r>
      <rPr>
        <sz val="12"/>
        <color theme="1"/>
        <rFont val="Arial"/>
        <family val="2"/>
      </rPr>
      <t xml:space="preserve"> הפחתה של </t>
    </r>
    <r>
      <rPr>
        <b/>
        <sz val="12"/>
        <color theme="1"/>
        <rFont val="Arial"/>
        <family val="2"/>
      </rPr>
      <t>0.5</t>
    </r>
    <r>
      <rPr>
        <sz val="12"/>
        <color theme="1"/>
        <rFont val="Arial"/>
        <family val="2"/>
      </rPr>
      <t xml:space="preserve"> נקודות על כל</t>
    </r>
    <r>
      <rPr>
        <b/>
        <sz val="12"/>
        <color theme="1"/>
        <rFont val="Arial"/>
        <family val="2"/>
      </rPr>
      <t xml:space="preserve"> 1₪</t>
    </r>
    <r>
      <rPr>
        <sz val="12"/>
        <color theme="1"/>
        <rFont val="Arial"/>
        <family val="2"/>
      </rPr>
      <t xml:space="preserve"> או חלקי ניקוד באופן יחסי.</t>
    </r>
  </si>
  <si>
    <t>מחלבות גד</t>
  </si>
  <si>
    <t>כפר תבור</t>
  </si>
  <si>
    <t>שטראוס</t>
  </si>
  <si>
    <t>* איכות- על מנת לקבוע רמת איכות, נעשתה התחשבות בטעם ותאריך תפוגה.</t>
  </si>
  <si>
    <t xml:space="preserve">טבלת סטיות </t>
  </si>
  <si>
    <t>חורף</t>
  </si>
  <si>
    <t>קיץ</t>
  </si>
  <si>
    <t>ממוצע ביקוש</t>
  </si>
  <si>
    <t>J_2016</t>
  </si>
  <si>
    <t>J_2017</t>
  </si>
  <si>
    <t>J_2018</t>
  </si>
  <si>
    <t>J_2019</t>
  </si>
  <si>
    <t>J</t>
  </si>
  <si>
    <t>מודל תחזית</t>
  </si>
  <si>
    <t>אלפא</t>
  </si>
  <si>
    <t>עונה</t>
  </si>
  <si>
    <t>באחוזים</t>
  </si>
  <si>
    <t>חישוב רמת איכות של מוצרי ספק</t>
  </si>
  <si>
    <t>משפחה</t>
  </si>
  <si>
    <t>קערות פרי</t>
  </si>
  <si>
    <t>מיצים</t>
  </si>
  <si>
    <t>שייקים</t>
  </si>
  <si>
    <t>מוצרים ומשפחות</t>
  </si>
  <si>
    <t>הכנסות</t>
  </si>
  <si>
    <t>כמות יחידות במשפחה</t>
  </si>
  <si>
    <t>הכנסות שנתיות בש"ח</t>
  </si>
  <si>
    <t>התפלגות משפחות המוצרים</t>
  </si>
  <si>
    <t>סומיץ</t>
  </si>
  <si>
    <t>א.א מטעמים</t>
  </si>
  <si>
    <t>עונה/שנה</t>
  </si>
  <si>
    <t>תחזיות עונתיות לשנת 2021</t>
  </si>
  <si>
    <t>טעמי הפירות הורגשו בצורה חזקה, טוב ומתוקה</t>
  </si>
  <si>
    <t>מתיקות הפרי הורגשה מאוד והייתה טרי</t>
  </si>
  <si>
    <t>היה טרי וטעים</t>
  </si>
  <si>
    <t>משקה הסופר גרין היה מרענן , חמצמץ וטרי</t>
  </si>
  <si>
    <t>המשקה היה לי טעים מאוד, הייתי מוסיפה עוד משהו מתוק (למשל תוספת תמרים)</t>
  </si>
  <si>
    <t>המשקה הוגש קר מאוד, טרי וטעים</t>
  </si>
  <si>
    <t>המשקה עם המנגו היה הטעים ביותר</t>
  </si>
  <si>
    <t>משקה האננס הזכיר לי ממש את תאילנד, אהבתי את שילוב הפירות</t>
  </si>
  <si>
    <t>האיכות הורגשה בשיאה. היה מעולה</t>
  </si>
  <si>
    <t>הורגשה טריות, אבל המשקה היה דיי רגיל</t>
  </si>
  <si>
    <t>הרגשתי פרי בצורה חזקה אבל לא את המתיקות</t>
  </si>
  <si>
    <t>חוסר המתיקות הורגש מאוד במשקה המנגו, אולי עדיף שאקנה בעונה</t>
  </si>
  <si>
    <t>לא הרגשתי את הפרי בצורה מספקת</t>
  </si>
  <si>
    <t xml:space="preserve">היה טעים, לא אחזור שוב כי הטעם שהורגש לי היה דיי רגיל לעומת המחיר שהוצע </t>
  </si>
  <si>
    <t xml:space="preserve">משקה הסופר גרין היה חמוץ מידיי לטעמי </t>
  </si>
  <si>
    <t>הרגשתי פרי אבל הרגשתי כי אינם בשלים כלל</t>
  </si>
  <si>
    <t xml:space="preserve">המשקאות היו טעימים, לא הורגשה ייחודיות </t>
  </si>
  <si>
    <t>לא אהבתי את משקה האננס, האננס היה חמוץ ואפילו מר</t>
  </si>
  <si>
    <t xml:space="preserve">המשקאות היו ממש בטעם של מים עם מעט פרי או סירופ, לא התחברתי </t>
  </si>
  <si>
    <t>המשקה עם האננס היה מעולה</t>
  </si>
  <si>
    <t>משקה המנגו היה מעולה</t>
  </si>
  <si>
    <t>לא הרגשתי טעים טובים וחזקים של פירות - לא אהבתי</t>
  </si>
  <si>
    <t>היה טרי ונחמד. לא מעבר</t>
  </si>
  <si>
    <t>חלק מהפירות הורגשו בצורה חזקה, וחלקם לא. הרגשתי שהאננס חמוץ ומשתלט</t>
  </si>
  <si>
    <t>הטעמים היו בסדר. הורגש כי זאת לא העונה של חלק מהפירות</t>
  </si>
  <si>
    <t>לא התחברתי לטעם משקה המנגו</t>
  </si>
  <si>
    <t>המשקה עם נגיעות המנגו היה קייצי וטעים, שמחתי לשתות משקה כזה טרי גם בחורף</t>
  </si>
  <si>
    <t xml:space="preserve">בחרתי במשקה המנגו, הורגש כי המנגו לא מאוד מתוק אבל השאר היה טעים מאוד </t>
  </si>
  <si>
    <t>בחרתי את משקה האננס, התאכזבתי</t>
  </si>
  <si>
    <t>סתיו</t>
  </si>
  <si>
    <t>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</si>
</sst>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₪&quot;#,##0.00"/>
    <numFmt numFmtId="165" formatCode="&quot;₪&quot;#,##0"/>
    <numFmt numFmtId="166" formatCode="#,##0.0"/>
    <numFmt numFmtId="167" formatCode="0.0000"/>
    <numFmt numFmtId="168" formatCode="0.0"/>
  </numFmts>
  <fonts count="5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8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1"/>
      <color theme="9" tint="-0.499984740745262"/>
      <name val="Arial"/>
      <family val="2"/>
      <scheme val="minor"/>
    </font>
    <font>
      <sz val="11"/>
      <color rgb="FFD00000"/>
      <name val="Arial"/>
      <family val="2"/>
      <scheme val="minor"/>
    </font>
    <font>
      <sz val="11"/>
      <color rgb="FF4B4B4B"/>
      <name val="Arial"/>
      <family val="2"/>
      <scheme val="minor"/>
    </font>
    <font>
      <sz val="11"/>
      <color theme="5" tint="-0.499984740745262"/>
      <name val="Arial"/>
      <family val="2"/>
      <scheme val="minor"/>
    </font>
    <font>
      <sz val="11"/>
      <color theme="7" tint="-0.499984740745262"/>
      <name val="Arial"/>
      <family val="2"/>
      <scheme val="minor"/>
    </font>
    <font>
      <b/>
      <sz val="11"/>
      <color theme="7" tint="-0.499984740745262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1"/>
      <color rgb="FF4B4B4B"/>
      <name val="Arial"/>
      <family val="2"/>
      <scheme val="minor"/>
    </font>
    <font>
      <b/>
      <sz val="11"/>
      <color theme="9" tint="-0.499984740745262"/>
      <name val="Arial"/>
      <family val="2"/>
      <scheme val="minor"/>
    </font>
    <font>
      <b/>
      <sz val="11"/>
      <color rgb="FFD00000"/>
      <name val="Arial"/>
      <family val="2"/>
      <scheme val="minor"/>
    </font>
    <font>
      <b/>
      <i/>
      <sz val="22"/>
      <color theme="9" tint="-0.499984740745262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8" tint="-0.499984740745262"/>
      <name val="Arial"/>
      <family val="2"/>
      <scheme val="minor"/>
    </font>
    <font>
      <b/>
      <sz val="12"/>
      <color rgb="FF0070C0"/>
      <name val="Arial"/>
      <family val="2"/>
      <scheme val="minor"/>
    </font>
    <font>
      <b/>
      <u/>
      <sz val="12"/>
      <color rgb="FF833C0B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Arial"/>
      <family val="2"/>
    </font>
    <font>
      <b/>
      <sz val="13"/>
      <color theme="1"/>
      <name val="Arial"/>
      <family val="2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b/>
      <sz val="12"/>
      <color rgb="FFDA0000"/>
      <name val="Arial"/>
      <family val="2"/>
    </font>
    <font>
      <b/>
      <u/>
      <sz val="28"/>
      <color rgb="FF833C0B"/>
      <name val="Arial"/>
      <family val="2"/>
    </font>
    <font>
      <b/>
      <u/>
      <sz val="36"/>
      <color rgb="FF833C0B"/>
      <name val="Arial"/>
      <family val="2"/>
    </font>
    <font>
      <b/>
      <i/>
      <sz val="22"/>
      <color theme="4" tint="-0.249977111117893"/>
      <name val="Arial"/>
      <family val="2"/>
      <scheme val="minor"/>
    </font>
    <font>
      <b/>
      <sz val="16"/>
      <color theme="5" tint="0.39997558519241921"/>
      <name val="Arial"/>
      <family val="2"/>
    </font>
    <font>
      <b/>
      <sz val="28"/>
      <color theme="5" tint="0.3999755851924192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  <scheme val="minor"/>
    </font>
    <font>
      <b/>
      <sz val="10.5"/>
      <color rgb="FF0070C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C8E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0" fontId="0" fillId="4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43" fontId="5" fillId="3" borderId="6" xfId="1" applyFont="1" applyFill="1" applyBorder="1" applyAlignment="1">
      <alignment horizontal="center"/>
    </xf>
    <xf numFmtId="164" fontId="5" fillId="3" borderId="7" xfId="1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5" fillId="3" borderId="5" xfId="0" applyFont="1" applyFill="1" applyBorder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9" fontId="0" fillId="3" borderId="2" xfId="2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0" fillId="7" borderId="32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5" fillId="9" borderId="31" xfId="0" applyFont="1" applyFill="1" applyBorder="1" applyAlignment="1">
      <alignment horizontal="center" vertical="center"/>
    </xf>
    <xf numFmtId="0" fontId="22" fillId="0" borderId="0" xfId="0" applyFont="1"/>
    <xf numFmtId="0" fontId="0" fillId="0" borderId="0" xfId="0" applyFont="1" applyAlignment="1">
      <alignment vertical="center"/>
    </xf>
    <xf numFmtId="0" fontId="0" fillId="9" borderId="41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21" fillId="9" borderId="40" xfId="0" applyFont="1" applyFill="1" applyBorder="1" applyAlignment="1">
      <alignment horizontal="center" vertical="center"/>
    </xf>
    <xf numFmtId="0" fontId="21" fillId="9" borderId="39" xfId="0" applyFont="1" applyFill="1" applyBorder="1" applyAlignment="1">
      <alignment vertical="center" wrapText="1"/>
    </xf>
    <xf numFmtId="9" fontId="21" fillId="9" borderId="1" xfId="0" applyNumberFormat="1" applyFont="1" applyFill="1" applyBorder="1" applyAlignment="1">
      <alignment horizontal="right" vertical="center" wrapText="1"/>
    </xf>
    <xf numFmtId="0" fontId="6" fillId="9" borderId="30" xfId="0" applyFont="1" applyFill="1" applyBorder="1" applyAlignment="1">
      <alignment vertical="center"/>
    </xf>
    <xf numFmtId="0" fontId="6" fillId="9" borderId="31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8" borderId="45" xfId="0" applyFont="1" applyFill="1" applyBorder="1" applyAlignment="1">
      <alignment horizontal="center" vertical="center"/>
    </xf>
    <xf numFmtId="0" fontId="6" fillId="8" borderId="47" xfId="0" applyFont="1" applyFill="1" applyBorder="1" applyAlignment="1">
      <alignment horizontal="center" vertical="center"/>
    </xf>
    <xf numFmtId="0" fontId="23" fillId="8" borderId="50" xfId="0" applyFont="1" applyFill="1" applyBorder="1" applyAlignment="1">
      <alignment horizontal="center"/>
    </xf>
    <xf numFmtId="0" fontId="23" fillId="8" borderId="51" xfId="0" applyFont="1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6" fillId="8" borderId="51" xfId="0" applyFont="1" applyFill="1" applyBorder="1" applyAlignment="1">
      <alignment horizontal="center" vertical="center"/>
    </xf>
    <xf numFmtId="0" fontId="0" fillId="0" borderId="56" xfId="0" applyBorder="1"/>
    <xf numFmtId="4" fontId="0" fillId="7" borderId="2" xfId="0" applyNumberFormat="1" applyFill="1" applyBorder="1" applyAlignment="1">
      <alignment horizontal="center"/>
    </xf>
    <xf numFmtId="4" fontId="0" fillId="7" borderId="38" xfId="0" applyNumberFormat="1" applyFill="1" applyBorder="1" applyAlignment="1">
      <alignment horizontal="center"/>
    </xf>
    <xf numFmtId="4" fontId="0" fillId="7" borderId="15" xfId="0" applyNumberFormat="1" applyFill="1" applyBorder="1" applyAlignment="1">
      <alignment horizontal="center"/>
    </xf>
    <xf numFmtId="4" fontId="0" fillId="7" borderId="16" xfId="0" applyNumberFormat="1" applyFill="1" applyBorder="1" applyAlignment="1">
      <alignment horizontal="center"/>
    </xf>
    <xf numFmtId="166" fontId="0" fillId="7" borderId="2" xfId="0" applyNumberFormat="1" applyFill="1" applyBorder="1" applyAlignment="1">
      <alignment horizontal="center"/>
    </xf>
    <xf numFmtId="166" fontId="0" fillId="7" borderId="15" xfId="0" applyNumberFormat="1" applyFill="1" applyBorder="1" applyAlignment="1">
      <alignment horizontal="center"/>
    </xf>
    <xf numFmtId="3" fontId="0" fillId="7" borderId="2" xfId="0" applyNumberFormat="1" applyFill="1" applyBorder="1" applyAlignment="1">
      <alignment horizontal="center"/>
    </xf>
    <xf numFmtId="3" fontId="0" fillId="7" borderId="15" xfId="0" applyNumberFormat="1" applyFill="1" applyBorder="1" applyAlignment="1">
      <alignment horizontal="center"/>
    </xf>
    <xf numFmtId="167" fontId="0" fillId="9" borderId="28" xfId="0" applyNumberFormat="1" applyFill="1" applyBorder="1" applyAlignment="1">
      <alignment horizontal="center" vertical="center"/>
    </xf>
    <xf numFmtId="4" fontId="0" fillId="9" borderId="37" xfId="0" applyNumberFormat="1" applyFill="1" applyBorder="1" applyAlignment="1">
      <alignment horizontal="center" vertical="center"/>
    </xf>
    <xf numFmtId="4" fontId="0" fillId="9" borderId="43" xfId="0" applyNumberFormat="1" applyFill="1" applyBorder="1" applyAlignment="1">
      <alignment horizontal="center" vertical="center"/>
    </xf>
    <xf numFmtId="3" fontId="0" fillId="0" borderId="0" xfId="0" applyNumberFormat="1"/>
    <xf numFmtId="4" fontId="0" fillId="7" borderId="18" xfId="0" applyNumberFormat="1" applyFill="1" applyBorder="1" applyAlignment="1">
      <alignment horizontal="center" vertical="center"/>
    </xf>
    <xf numFmtId="4" fontId="0" fillId="7" borderId="46" xfId="0" applyNumberFormat="1" applyFill="1" applyBorder="1" applyAlignment="1">
      <alignment horizontal="center" vertical="center"/>
    </xf>
    <xf numFmtId="4" fontId="0" fillId="7" borderId="49" xfId="0" applyNumberFormat="1" applyFill="1" applyBorder="1" applyAlignment="1">
      <alignment horizontal="center" vertical="center"/>
    </xf>
    <xf numFmtId="4" fontId="0" fillId="7" borderId="48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23" fillId="8" borderId="47" xfId="0" applyFont="1" applyFill="1" applyBorder="1" applyAlignment="1">
      <alignment horizontal="center"/>
    </xf>
    <xf numFmtId="0" fontId="23" fillId="8" borderId="21" xfId="0" applyFont="1" applyFill="1" applyBorder="1" applyAlignment="1">
      <alignment horizontal="center"/>
    </xf>
    <xf numFmtId="0" fontId="6" fillId="8" borderId="65" xfId="0" applyFont="1" applyFill="1" applyBorder="1" applyAlignment="1">
      <alignment horizontal="center" vertical="center"/>
    </xf>
    <xf numFmtId="3" fontId="0" fillId="7" borderId="46" xfId="0" applyNumberFormat="1" applyFill="1" applyBorder="1" applyAlignment="1">
      <alignment horizontal="center"/>
    </xf>
    <xf numFmtId="3" fontId="0" fillId="7" borderId="48" xfId="0" applyNumberForma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3" fontId="0" fillId="7" borderId="61" xfId="0" applyNumberFormat="1" applyFill="1" applyBorder="1" applyAlignment="1">
      <alignment horizontal="center"/>
    </xf>
    <xf numFmtId="4" fontId="0" fillId="7" borderId="44" xfId="0" applyNumberFormat="1" applyFill="1" applyBorder="1" applyAlignment="1">
      <alignment horizontal="center" vertical="center"/>
    </xf>
    <xf numFmtId="4" fontId="0" fillId="7" borderId="61" xfId="0" applyNumberFormat="1" applyFill="1" applyBorder="1" applyAlignment="1">
      <alignment horizontal="center" vertical="center"/>
    </xf>
    <xf numFmtId="0" fontId="27" fillId="0" borderId="0" xfId="0" applyFont="1" applyAlignment="1">
      <alignment horizontal="right" vertical="center" readingOrder="2"/>
    </xf>
    <xf numFmtId="0" fontId="32" fillId="14" borderId="6" xfId="0" applyFont="1" applyFill="1" applyBorder="1" applyAlignment="1">
      <alignment vertical="center" wrapText="1" readingOrder="2"/>
    </xf>
    <xf numFmtId="0" fontId="32" fillId="14" borderId="7" xfId="0" applyFont="1" applyFill="1" applyBorder="1" applyAlignment="1">
      <alignment horizontal="center" vertical="top" wrapText="1" readingOrder="2"/>
    </xf>
    <xf numFmtId="0" fontId="0" fillId="0" borderId="30" xfId="0" applyBorder="1"/>
    <xf numFmtId="0" fontId="0" fillId="0" borderId="31" xfId="0" applyBorder="1"/>
    <xf numFmtId="0" fontId="37" fillId="13" borderId="10" xfId="0" applyFont="1" applyFill="1" applyBorder="1" applyAlignment="1">
      <alignment horizontal="left" vertical="top" wrapText="1"/>
    </xf>
    <xf numFmtId="0" fontId="31" fillId="13" borderId="0" xfId="0" applyFont="1" applyFill="1" applyAlignment="1">
      <alignment vertical="center" wrapText="1" readingOrder="2"/>
    </xf>
    <xf numFmtId="0" fontId="38" fillId="14" borderId="72" xfId="0" applyFont="1" applyFill="1" applyBorder="1" applyAlignment="1">
      <alignment horizontal="center" vertical="center" wrapText="1" readingOrder="2"/>
    </xf>
    <xf numFmtId="0" fontId="38" fillId="14" borderId="10" xfId="0" applyFont="1" applyFill="1" applyBorder="1" applyAlignment="1">
      <alignment horizontal="center" vertical="center" wrapText="1" readingOrder="2"/>
    </xf>
    <xf numFmtId="9" fontId="31" fillId="13" borderId="10" xfId="0" applyNumberFormat="1" applyFont="1" applyFill="1" applyBorder="1" applyAlignment="1">
      <alignment horizontal="center" vertical="center" wrapText="1" readingOrder="2"/>
    </xf>
    <xf numFmtId="0" fontId="32" fillId="14" borderId="72" xfId="0" applyFont="1" applyFill="1" applyBorder="1" applyAlignment="1">
      <alignment horizontal="center" vertical="center" wrapText="1" readingOrder="2"/>
    </xf>
    <xf numFmtId="0" fontId="32" fillId="14" borderId="10" xfId="0" applyFont="1" applyFill="1" applyBorder="1" applyAlignment="1">
      <alignment horizontal="center" vertical="center" wrapText="1" readingOrder="2"/>
    </xf>
    <xf numFmtId="0" fontId="0" fillId="0" borderId="0" xfId="0" applyAlignment="1">
      <alignment vertical="center" wrapText="1"/>
    </xf>
    <xf numFmtId="0" fontId="43" fillId="0" borderId="0" xfId="0" applyFont="1" applyAlignment="1">
      <alignment vertical="center" readingOrder="2"/>
    </xf>
    <xf numFmtId="0" fontId="42" fillId="0" borderId="0" xfId="0" applyFont="1" applyAlignment="1">
      <alignment horizontal="center" vertical="center" readingOrder="2"/>
    </xf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24" xfId="0" applyFill="1" applyBorder="1"/>
    <xf numFmtId="0" fontId="0" fillId="10" borderId="0" xfId="0" applyFill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14" fontId="47" fillId="13" borderId="7" xfId="0" applyNumberFormat="1" applyFont="1" applyFill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4" fontId="0" fillId="7" borderId="36" xfId="0" applyNumberFormat="1" applyFill="1" applyBorder="1" applyAlignment="1">
      <alignment horizontal="center"/>
    </xf>
    <xf numFmtId="4" fontId="0" fillId="7" borderId="20" xfId="0" applyNumberFormat="1" applyFill="1" applyBorder="1" applyAlignment="1">
      <alignment horizontal="center"/>
    </xf>
    <xf numFmtId="4" fontId="0" fillId="7" borderId="5" xfId="0" applyNumberFormat="1" applyFill="1" applyBorder="1" applyAlignment="1">
      <alignment horizontal="center"/>
    </xf>
    <xf numFmtId="0" fontId="0" fillId="0" borderId="2" xfId="0" applyBorder="1"/>
    <xf numFmtId="168" fontId="0" fillId="0" borderId="2" xfId="0" applyNumberFormat="1" applyBorder="1"/>
    <xf numFmtId="0" fontId="0" fillId="0" borderId="17" xfId="0" applyBorder="1"/>
    <xf numFmtId="0" fontId="0" fillId="0" borderId="81" xfId="0" applyBorder="1"/>
    <xf numFmtId="0" fontId="0" fillId="0" borderId="18" xfId="0" applyBorder="1"/>
    <xf numFmtId="0" fontId="0" fillId="0" borderId="82" xfId="0" applyBorder="1"/>
    <xf numFmtId="0" fontId="0" fillId="0" borderId="83" xfId="0" applyBorder="1"/>
    <xf numFmtId="0" fontId="0" fillId="0" borderId="44" xfId="0" applyBorder="1"/>
    <xf numFmtId="0" fontId="0" fillId="0" borderId="0" xfId="0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0" fontId="0" fillId="8" borderId="3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3" fontId="0" fillId="7" borderId="38" xfId="0" applyNumberFormat="1" applyFill="1" applyBorder="1" applyAlignment="1">
      <alignment horizontal="center"/>
    </xf>
    <xf numFmtId="3" fontId="0" fillId="7" borderId="16" xfId="0" applyNumberFormat="1" applyFill="1" applyBorder="1" applyAlignment="1">
      <alignment horizontal="center"/>
    </xf>
    <xf numFmtId="3" fontId="0" fillId="7" borderId="36" xfId="0" applyNumberFormat="1" applyFill="1" applyBorder="1" applyAlignment="1">
      <alignment horizontal="center"/>
    </xf>
    <xf numFmtId="3" fontId="0" fillId="7" borderId="38" xfId="0" applyNumberFormat="1" applyFill="1" applyBorder="1"/>
    <xf numFmtId="0" fontId="0" fillId="7" borderId="2" xfId="0" applyFill="1" applyBorder="1" applyAlignment="1">
      <alignment horizontal="center"/>
    </xf>
    <xf numFmtId="0" fontId="21" fillId="8" borderId="2" xfId="0" applyFont="1" applyFill="1" applyBorder="1" applyAlignment="1">
      <alignment horizontal="center"/>
    </xf>
    <xf numFmtId="0" fontId="0" fillId="8" borderId="2" xfId="0" applyFill="1" applyBorder="1"/>
    <xf numFmtId="164" fontId="0" fillId="7" borderId="2" xfId="0" applyNumberFormat="1" applyFill="1" applyBorder="1"/>
    <xf numFmtId="0" fontId="3" fillId="7" borderId="2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10" fontId="0" fillId="0" borderId="38" xfId="2" applyNumberFormat="1" applyFont="1" applyBorder="1" applyAlignment="1">
      <alignment horizontal="center"/>
    </xf>
    <xf numFmtId="3" fontId="0" fillId="7" borderId="2" xfId="0" applyNumberFormat="1" applyFill="1" applyBorder="1" applyAlignment="1">
      <alignment horizontal="center" vertical="center"/>
    </xf>
    <xf numFmtId="3" fontId="0" fillId="7" borderId="3" xfId="0" applyNumberFormat="1" applyFill="1" applyBorder="1" applyAlignment="1">
      <alignment horizontal="center" vertical="center"/>
    </xf>
    <xf numFmtId="3" fontId="0" fillId="7" borderId="15" xfId="0" applyNumberFormat="1" applyFill="1" applyBorder="1" applyAlignment="1">
      <alignment horizontal="center" vertical="center"/>
    </xf>
    <xf numFmtId="4" fontId="0" fillId="0" borderId="3" xfId="0" applyNumberFormat="1" applyBorder="1" applyAlignment="1">
      <alignment horizontal="center"/>
    </xf>
    <xf numFmtId="10" fontId="0" fillId="0" borderId="20" xfId="2" applyNumberFormat="1" applyFont="1" applyBorder="1" applyAlignment="1">
      <alignment horizontal="center"/>
    </xf>
    <xf numFmtId="0" fontId="6" fillId="10" borderId="14" xfId="0" applyFont="1" applyFill="1" applyBorder="1"/>
    <xf numFmtId="4" fontId="6" fillId="10" borderId="15" xfId="0" applyNumberFormat="1" applyFont="1" applyFill="1" applyBorder="1" applyAlignment="1">
      <alignment horizontal="center"/>
    </xf>
    <xf numFmtId="10" fontId="6" fillId="10" borderId="16" xfId="2" applyNumberFormat="1" applyFont="1" applyFill="1" applyBorder="1" applyAlignment="1">
      <alignment horizontal="center"/>
    </xf>
    <xf numFmtId="2" fontId="0" fillId="7" borderId="2" xfId="0" applyNumberFormat="1" applyFill="1" applyBorder="1" applyAlignment="1">
      <alignment horizontal="center" vertical="center"/>
    </xf>
    <xf numFmtId="2" fontId="0" fillId="7" borderId="38" xfId="0" applyNumberForma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2" fontId="0" fillId="7" borderId="20" xfId="0" applyNumberFormat="1" applyFill="1" applyBorder="1" applyAlignment="1">
      <alignment horizontal="center" vertical="center"/>
    </xf>
    <xf numFmtId="0" fontId="32" fillId="14" borderId="6" xfId="0" applyFont="1" applyFill="1" applyBorder="1" applyAlignment="1">
      <alignment horizontal="center" vertical="center" wrapText="1" readingOrder="2"/>
    </xf>
    <xf numFmtId="0" fontId="32" fillId="14" borderId="7" xfId="0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19" borderId="4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/>
    </xf>
    <xf numFmtId="0" fontId="50" fillId="20" borderId="2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3" fontId="6" fillId="3" borderId="15" xfId="0" applyNumberFormat="1" applyFont="1" applyFill="1" applyBorder="1" applyAlignment="1">
      <alignment horizontal="center" vertical="center" wrapText="1"/>
    </xf>
    <xf numFmtId="165" fontId="6" fillId="3" borderId="17" xfId="0" applyNumberFormat="1" applyFont="1" applyFill="1" applyBorder="1" applyAlignment="1">
      <alignment horizontal="center" vertical="center" wrapText="1"/>
    </xf>
    <xf numFmtId="165" fontId="6" fillId="3" borderId="18" xfId="0" applyNumberFormat="1" applyFont="1" applyFill="1" applyBorder="1" applyAlignment="1">
      <alignment horizontal="center" vertical="center" wrapText="1"/>
    </xf>
    <xf numFmtId="165" fontId="6" fillId="3" borderId="34" xfId="0" applyNumberFormat="1" applyFont="1" applyFill="1" applyBorder="1" applyAlignment="1">
      <alignment horizontal="center" vertical="center" wrapText="1"/>
    </xf>
    <xf numFmtId="165" fontId="6" fillId="3" borderId="35" xfId="0" applyNumberFormat="1" applyFont="1" applyFill="1" applyBorder="1" applyAlignment="1">
      <alignment horizontal="center" vertical="center" wrapText="1"/>
    </xf>
    <xf numFmtId="165" fontId="6" fillId="4" borderId="17" xfId="0" applyNumberFormat="1" applyFont="1" applyFill="1" applyBorder="1" applyAlignment="1">
      <alignment horizontal="center" vertical="center" wrapText="1"/>
    </xf>
    <xf numFmtId="165" fontId="6" fillId="4" borderId="33" xfId="0" applyNumberFormat="1" applyFont="1" applyFill="1" applyBorder="1" applyAlignment="1">
      <alignment horizontal="center" vertical="center" wrapText="1"/>
    </xf>
    <xf numFmtId="165" fontId="6" fillId="4" borderId="34" xfId="0" applyNumberFormat="1" applyFont="1" applyFill="1" applyBorder="1" applyAlignment="1">
      <alignment horizontal="center" vertical="center" wrapText="1"/>
    </xf>
    <xf numFmtId="165" fontId="6" fillId="4" borderId="36" xfId="0" applyNumberFormat="1" applyFont="1" applyFill="1" applyBorder="1" applyAlignment="1">
      <alignment horizontal="center" vertical="center" wrapText="1"/>
    </xf>
    <xf numFmtId="0" fontId="52" fillId="3" borderId="29" xfId="0" applyFont="1" applyFill="1" applyBorder="1" applyAlignment="1">
      <alignment horizontal="center" wrapText="1"/>
    </xf>
    <xf numFmtId="0" fontId="52" fillId="3" borderId="30" xfId="0" applyFont="1" applyFill="1" applyBorder="1" applyAlignment="1">
      <alignment horizontal="center" wrapText="1"/>
    </xf>
    <xf numFmtId="0" fontId="52" fillId="3" borderId="26" xfId="0" applyFont="1" applyFill="1" applyBorder="1" applyAlignment="1">
      <alignment horizontal="center" wrapText="1"/>
    </xf>
    <xf numFmtId="0" fontId="52" fillId="3" borderId="27" xfId="0" applyFont="1" applyFill="1" applyBorder="1" applyAlignment="1">
      <alignment horizontal="center" wrapText="1"/>
    </xf>
    <xf numFmtId="0" fontId="21" fillId="9" borderId="29" xfId="0" applyFont="1" applyFill="1" applyBorder="1" applyAlignment="1">
      <alignment horizontal="left" vertical="center"/>
    </xf>
    <xf numFmtId="0" fontId="21" fillId="9" borderId="30" xfId="0" applyFont="1" applyFill="1" applyBorder="1" applyAlignment="1">
      <alignment horizontal="left" vertical="center"/>
    </xf>
    <xf numFmtId="0" fontId="21" fillId="9" borderId="26" xfId="0" applyFont="1" applyFill="1" applyBorder="1" applyAlignment="1">
      <alignment horizontal="left" vertical="center"/>
    </xf>
    <xf numFmtId="0" fontId="21" fillId="9" borderId="27" xfId="0" applyFont="1" applyFill="1" applyBorder="1" applyAlignment="1">
      <alignment horizontal="left" vertical="center"/>
    </xf>
    <xf numFmtId="0" fontId="21" fillId="9" borderId="29" xfId="0" applyFont="1" applyFill="1" applyBorder="1" applyAlignment="1">
      <alignment horizontal="center" vertical="center"/>
    </xf>
    <xf numFmtId="0" fontId="21" fillId="9" borderId="30" xfId="0" applyFont="1" applyFill="1" applyBorder="1" applyAlignment="1">
      <alignment horizontal="center" vertical="center"/>
    </xf>
    <xf numFmtId="0" fontId="21" fillId="9" borderId="31" xfId="0" applyFont="1" applyFill="1" applyBorder="1" applyAlignment="1">
      <alignment horizontal="center" vertical="center"/>
    </xf>
    <xf numFmtId="0" fontId="21" fillId="9" borderId="24" xfId="0" applyFont="1" applyFill="1" applyBorder="1" applyAlignment="1">
      <alignment horizontal="center" vertical="center"/>
    </xf>
    <xf numFmtId="0" fontId="21" fillId="9" borderId="0" xfId="0" applyFont="1" applyFill="1" applyBorder="1" applyAlignment="1">
      <alignment horizontal="center" vertical="center"/>
    </xf>
    <xf numFmtId="0" fontId="21" fillId="9" borderId="2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48" fillId="12" borderId="29" xfId="0" applyFont="1" applyFill="1" applyBorder="1" applyAlignment="1">
      <alignment horizontal="center" vertical="center" wrapText="1"/>
    </xf>
    <xf numFmtId="0" fontId="48" fillId="12" borderId="30" xfId="0" applyFont="1" applyFill="1" applyBorder="1" applyAlignment="1">
      <alignment horizontal="center" vertical="center" wrapText="1"/>
    </xf>
    <xf numFmtId="0" fontId="48" fillId="12" borderId="31" xfId="0" applyFont="1" applyFill="1" applyBorder="1" applyAlignment="1">
      <alignment horizontal="center" vertical="center" wrapText="1"/>
    </xf>
    <xf numFmtId="0" fontId="48" fillId="12" borderId="24" xfId="0" applyFont="1" applyFill="1" applyBorder="1" applyAlignment="1">
      <alignment horizontal="center" vertical="center" wrapText="1"/>
    </xf>
    <xf numFmtId="0" fontId="48" fillId="12" borderId="0" xfId="0" applyFont="1" applyFill="1" applyBorder="1" applyAlignment="1">
      <alignment horizontal="center" vertical="center" wrapText="1"/>
    </xf>
    <xf numFmtId="0" fontId="48" fillId="12" borderId="25" xfId="0" applyFont="1" applyFill="1" applyBorder="1" applyAlignment="1">
      <alignment horizontal="center" vertical="center" wrapText="1"/>
    </xf>
    <xf numFmtId="0" fontId="48" fillId="12" borderId="26" xfId="0" applyFont="1" applyFill="1" applyBorder="1" applyAlignment="1">
      <alignment horizontal="center" vertical="center" wrapText="1"/>
    </xf>
    <xf numFmtId="0" fontId="48" fillId="12" borderId="27" xfId="0" applyFont="1" applyFill="1" applyBorder="1" applyAlignment="1">
      <alignment horizontal="center" vertical="center" wrapText="1"/>
    </xf>
    <xf numFmtId="0" fontId="48" fillId="12" borderId="28" xfId="0" applyFont="1" applyFill="1" applyBorder="1" applyAlignment="1">
      <alignment horizontal="center" vertical="center" wrapText="1"/>
    </xf>
    <xf numFmtId="4" fontId="0" fillId="9" borderId="45" xfId="0" applyNumberFormat="1" applyFill="1" applyBorder="1" applyAlignment="1">
      <alignment horizontal="center" vertical="center"/>
    </xf>
    <xf numFmtId="4" fontId="0" fillId="9" borderId="47" xfId="0" applyNumberFormat="1" applyFill="1" applyBorder="1" applyAlignment="1">
      <alignment horizontal="center" vertical="center"/>
    </xf>
    <xf numFmtId="4" fontId="0" fillId="9" borderId="18" xfId="0" applyNumberFormat="1" applyFill="1" applyBorder="1" applyAlignment="1">
      <alignment horizontal="center" vertical="center"/>
    </xf>
    <xf numFmtId="4" fontId="0" fillId="9" borderId="46" xfId="0" applyNumberFormat="1" applyFill="1" applyBorder="1" applyAlignment="1">
      <alignment horizontal="center" vertical="center"/>
    </xf>
    <xf numFmtId="4" fontId="0" fillId="9" borderId="49" xfId="0" applyNumberFormat="1" applyFill="1" applyBorder="1" applyAlignment="1">
      <alignment horizontal="center" vertical="center"/>
    </xf>
    <xf numFmtId="4" fontId="0" fillId="9" borderId="48" xfId="0" applyNumberFormat="1" applyFill="1" applyBorder="1" applyAlignment="1">
      <alignment horizontal="center" vertical="center"/>
    </xf>
    <xf numFmtId="0" fontId="0" fillId="9" borderId="62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/>
    </xf>
    <xf numFmtId="4" fontId="0" fillId="9" borderId="44" xfId="0" applyNumberFormat="1" applyFill="1" applyBorder="1" applyAlignment="1">
      <alignment horizontal="center" vertical="center"/>
    </xf>
    <xf numFmtId="4" fontId="0" fillId="9" borderId="61" xfId="0" applyNumberForma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21" fillId="9" borderId="39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4" fontId="0" fillId="9" borderId="85" xfId="0" applyNumberFormat="1" applyFill="1" applyBorder="1" applyAlignment="1">
      <alignment horizontal="center" vertical="center"/>
    </xf>
    <xf numFmtId="4" fontId="0" fillId="9" borderId="55" xfId="0" applyNumberFormat="1" applyFill="1" applyBorder="1" applyAlignment="1">
      <alignment horizontal="center" vertical="center"/>
    </xf>
    <xf numFmtId="4" fontId="0" fillId="9" borderId="39" xfId="0" applyNumberFormat="1" applyFill="1" applyBorder="1" applyAlignment="1">
      <alignment horizontal="center" vertical="center"/>
    </xf>
    <xf numFmtId="4" fontId="0" fillId="9" borderId="63" xfId="0" applyNumberFormat="1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26" fillId="8" borderId="30" xfId="0" applyFont="1" applyFill="1" applyBorder="1" applyAlignment="1">
      <alignment horizontal="center" vertical="center"/>
    </xf>
    <xf numFmtId="0" fontId="26" fillId="8" borderId="64" xfId="0" applyFont="1" applyFill="1" applyBorder="1" applyAlignment="1">
      <alignment horizontal="center" vertical="center"/>
    </xf>
    <xf numFmtId="0" fontId="26" fillId="8" borderId="59" xfId="0" applyFont="1" applyFill="1" applyBorder="1" applyAlignment="1">
      <alignment horizontal="center" vertical="center"/>
    </xf>
    <xf numFmtId="0" fontId="26" fillId="8" borderId="58" xfId="0" applyFont="1" applyFill="1" applyBorder="1" applyAlignment="1">
      <alignment horizontal="center" vertical="center"/>
    </xf>
    <xf numFmtId="4" fontId="0" fillId="9" borderId="60" xfId="0" applyNumberFormat="1" applyFill="1" applyBorder="1" applyAlignment="1">
      <alignment horizontal="center" vertical="center"/>
    </xf>
    <xf numFmtId="4" fontId="0" fillId="9" borderId="51" xfId="0" applyNumberFormat="1" applyFill="1" applyBorder="1" applyAlignment="1">
      <alignment horizontal="center" vertical="center"/>
    </xf>
    <xf numFmtId="0" fontId="51" fillId="0" borderId="56" xfId="0" applyFont="1" applyBorder="1" applyAlignment="1">
      <alignment horizontal="center"/>
    </xf>
    <xf numFmtId="4" fontId="0" fillId="9" borderId="54" xfId="0" applyNumberFormat="1" applyFill="1" applyBorder="1" applyAlignment="1">
      <alignment horizontal="center" vertical="center"/>
    </xf>
    <xf numFmtId="4" fontId="0" fillId="9" borderId="62" xfId="0" applyNumberFormat="1" applyFill="1" applyBorder="1" applyAlignment="1">
      <alignment horizontal="center" vertical="center"/>
    </xf>
    <xf numFmtId="0" fontId="26" fillId="8" borderId="29" xfId="0" applyFont="1" applyFill="1" applyBorder="1" applyAlignment="1">
      <alignment horizontal="center" vertical="center"/>
    </xf>
    <xf numFmtId="0" fontId="26" fillId="8" borderId="67" xfId="0" applyFont="1" applyFill="1" applyBorder="1" applyAlignment="1">
      <alignment horizontal="center" vertical="center"/>
    </xf>
    <xf numFmtId="0" fontId="49" fillId="8" borderId="57" xfId="0" applyFont="1" applyFill="1" applyBorder="1" applyAlignment="1">
      <alignment horizontal="center" vertical="center"/>
    </xf>
    <xf numFmtId="0" fontId="49" fillId="8" borderId="58" xfId="0" applyFont="1" applyFill="1" applyBorder="1" applyAlignment="1">
      <alignment horizontal="center" vertical="center"/>
    </xf>
    <xf numFmtId="0" fontId="49" fillId="8" borderId="54" xfId="0" applyFont="1" applyFill="1" applyBorder="1" applyAlignment="1">
      <alignment horizontal="center" vertical="center"/>
    </xf>
    <xf numFmtId="0" fontId="49" fillId="8" borderId="55" xfId="0" applyFont="1" applyFill="1" applyBorder="1" applyAlignment="1">
      <alignment horizontal="center" vertical="center"/>
    </xf>
    <xf numFmtId="0" fontId="25" fillId="11" borderId="29" xfId="0" applyFont="1" applyFill="1" applyBorder="1" applyAlignment="1">
      <alignment horizontal="center" vertical="center"/>
    </xf>
    <xf numFmtId="0" fontId="25" fillId="11" borderId="31" xfId="0" applyFont="1" applyFill="1" applyBorder="1" applyAlignment="1">
      <alignment horizontal="center" vertical="center"/>
    </xf>
    <xf numFmtId="0" fontId="25" fillId="11" borderId="26" xfId="0" applyFont="1" applyFill="1" applyBorder="1" applyAlignment="1">
      <alignment horizontal="center" vertical="center"/>
    </xf>
    <xf numFmtId="0" fontId="25" fillId="11" borderId="28" xfId="0" applyFont="1" applyFill="1" applyBorder="1" applyAlignment="1">
      <alignment horizontal="center" vertical="center"/>
    </xf>
    <xf numFmtId="0" fontId="0" fillId="9" borderId="66" xfId="0" applyFill="1" applyBorder="1" applyAlignment="1">
      <alignment horizontal="center" vertical="center"/>
    </xf>
    <xf numFmtId="0" fontId="25" fillId="11" borderId="64" xfId="0" applyFont="1" applyFill="1" applyBorder="1" applyAlignment="1">
      <alignment horizontal="center" vertical="center"/>
    </xf>
    <xf numFmtId="0" fontId="25" fillId="11" borderId="67" xfId="0" applyFont="1" applyFill="1" applyBorder="1" applyAlignment="1">
      <alignment horizontal="center" vertical="center"/>
    </xf>
    <xf numFmtId="0" fontId="25" fillId="11" borderId="58" xfId="0" applyFont="1" applyFill="1" applyBorder="1" applyAlignment="1">
      <alignment horizontal="center" vertical="center"/>
    </xf>
    <xf numFmtId="0" fontId="51" fillId="0" borderId="2" xfId="0" applyFont="1" applyBorder="1" applyAlignment="1">
      <alignment horizontal="center"/>
    </xf>
    <xf numFmtId="4" fontId="0" fillId="9" borderId="68" xfId="0" applyNumberFormat="1" applyFill="1" applyBorder="1" applyAlignment="1">
      <alignment horizontal="center" vertical="center"/>
    </xf>
    <xf numFmtId="4" fontId="0" fillId="9" borderId="69" xfId="0" applyNumberFormat="1" applyFill="1" applyBorder="1" applyAlignment="1">
      <alignment horizontal="center" vertical="center"/>
    </xf>
    <xf numFmtId="4" fontId="0" fillId="9" borderId="57" xfId="0" applyNumberFormat="1" applyFill="1" applyBorder="1" applyAlignment="1">
      <alignment horizontal="center" vertical="center"/>
    </xf>
    <xf numFmtId="4" fontId="0" fillId="9" borderId="58" xfId="0" applyNumberFormat="1" applyFill="1" applyBorder="1" applyAlignment="1">
      <alignment horizontal="center" vertical="center"/>
    </xf>
    <xf numFmtId="4" fontId="0" fillId="9" borderId="52" xfId="0" applyNumberFormat="1" applyFill="1" applyBorder="1" applyAlignment="1">
      <alignment horizontal="center" vertical="center"/>
    </xf>
    <xf numFmtId="4" fontId="0" fillId="9" borderId="86" xfId="0" applyNumberFormat="1" applyFill="1" applyBorder="1" applyAlignment="1">
      <alignment horizontal="center" vertical="center"/>
    </xf>
    <xf numFmtId="0" fontId="21" fillId="9" borderId="40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8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0" fontId="18" fillId="6" borderId="24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24" fillId="7" borderId="38" xfId="0" applyFont="1" applyFill="1" applyBorder="1" applyAlignment="1">
      <alignment horizontal="center" vertical="center" wrapText="1"/>
    </xf>
    <xf numFmtId="0" fontId="24" fillId="7" borderId="16" xfId="0" applyFont="1" applyFill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3" fontId="6" fillId="7" borderId="2" xfId="0" applyNumberFormat="1" applyFont="1" applyFill="1" applyBorder="1" applyAlignment="1">
      <alignment horizontal="center" vertical="center" wrapText="1"/>
    </xf>
    <xf numFmtId="3" fontId="6" fillId="7" borderId="15" xfId="0" applyNumberFormat="1" applyFont="1" applyFill="1" applyBorder="1" applyAlignment="1">
      <alignment horizontal="center" vertical="center" wrapText="1"/>
    </xf>
    <xf numFmtId="0" fontId="21" fillId="9" borderId="29" xfId="0" applyFont="1" applyFill="1" applyBorder="1" applyAlignment="1">
      <alignment horizontal="center" vertical="center" wrapText="1"/>
    </xf>
    <xf numFmtId="0" fontId="21" fillId="9" borderId="30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right" vertical="center" wrapText="1"/>
    </xf>
    <xf numFmtId="0" fontId="21" fillId="9" borderId="40" xfId="0" applyFont="1" applyFill="1" applyBorder="1" applyAlignment="1">
      <alignment horizontal="right" vertical="center" wrapText="1"/>
    </xf>
    <xf numFmtId="0" fontId="49" fillId="8" borderId="59" xfId="0" applyFont="1" applyFill="1" applyBorder="1" applyAlignment="1">
      <alignment horizontal="center" vertical="center"/>
    </xf>
    <xf numFmtId="0" fontId="49" fillId="8" borderId="56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right" vertical="center"/>
    </xf>
    <xf numFmtId="0" fontId="5" fillId="9" borderId="27" xfId="0" applyFont="1" applyFill="1" applyBorder="1" applyAlignment="1">
      <alignment horizontal="right" vertical="center"/>
    </xf>
    <xf numFmtId="0" fontId="21" fillId="9" borderId="30" xfId="0" applyFont="1" applyFill="1" applyBorder="1" applyAlignment="1">
      <alignment horizontal="right" vertical="center"/>
    </xf>
    <xf numFmtId="0" fontId="21" fillId="9" borderId="27" xfId="0" applyFont="1" applyFill="1" applyBorder="1" applyAlignment="1">
      <alignment horizontal="right" vertical="center"/>
    </xf>
    <xf numFmtId="0" fontId="6" fillId="9" borderId="30" xfId="0" applyFont="1" applyFill="1" applyBorder="1" applyAlignment="1">
      <alignment horizontal="right" vertical="center"/>
    </xf>
    <xf numFmtId="0" fontId="6" fillId="9" borderId="27" xfId="0" applyFont="1" applyFill="1" applyBorder="1" applyAlignment="1">
      <alignment horizontal="right" vertical="center"/>
    </xf>
    <xf numFmtId="0" fontId="0" fillId="9" borderId="68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8" borderId="89" xfId="0" applyFill="1" applyBorder="1" applyAlignment="1">
      <alignment horizontal="center" vertical="center" wrapText="1"/>
    </xf>
    <xf numFmtId="0" fontId="0" fillId="8" borderId="37" xfId="0" applyFill="1" applyBorder="1" applyAlignment="1">
      <alignment horizontal="center" vertical="center" wrapText="1"/>
    </xf>
    <xf numFmtId="3" fontId="0" fillId="7" borderId="87" xfId="0" applyNumberFormat="1" applyFill="1" applyBorder="1" applyAlignment="1">
      <alignment horizontal="center" vertical="center"/>
    </xf>
    <xf numFmtId="3" fontId="0" fillId="7" borderId="43" xfId="0" applyNumberFormat="1" applyFill="1" applyBorder="1" applyAlignment="1">
      <alignment horizontal="center" vertical="center"/>
    </xf>
    <xf numFmtId="3" fontId="0" fillId="7" borderId="88" xfId="0" applyNumberFormat="1" applyFill="1" applyBorder="1" applyAlignment="1">
      <alignment horizontal="center" vertical="center"/>
    </xf>
    <xf numFmtId="3" fontId="0" fillId="7" borderId="84" xfId="0" applyNumberFormat="1" applyFill="1" applyBorder="1" applyAlignment="1">
      <alignment horizontal="center" vertical="center"/>
    </xf>
    <xf numFmtId="4" fontId="0" fillId="3" borderId="31" xfId="0" applyNumberFormat="1" applyFill="1" applyBorder="1" applyAlignment="1">
      <alignment horizontal="center" vertical="center" wrapText="1"/>
    </xf>
    <xf numFmtId="4" fontId="0" fillId="3" borderId="28" xfId="0" applyNumberFormat="1" applyFill="1" applyBorder="1" applyAlignment="1">
      <alignment horizontal="center" vertical="center" wrapText="1"/>
    </xf>
    <xf numFmtId="0" fontId="21" fillId="9" borderId="29" xfId="0" applyFont="1" applyFill="1" applyBorder="1" applyAlignment="1">
      <alignment horizontal="center" vertical="center" readingOrder="2"/>
    </xf>
    <xf numFmtId="0" fontId="21" fillId="9" borderId="30" xfId="0" applyFont="1" applyFill="1" applyBorder="1" applyAlignment="1">
      <alignment horizontal="center" vertical="center" readingOrder="2"/>
    </xf>
    <xf numFmtId="0" fontId="21" fillId="9" borderId="31" xfId="0" applyFont="1" applyFill="1" applyBorder="1" applyAlignment="1">
      <alignment horizontal="center" vertical="center" readingOrder="2"/>
    </xf>
    <xf numFmtId="0" fontId="21" fillId="9" borderId="26" xfId="0" applyFont="1" applyFill="1" applyBorder="1" applyAlignment="1">
      <alignment horizontal="center" vertical="center" readingOrder="2"/>
    </xf>
    <xf numFmtId="0" fontId="21" fillId="9" borderId="27" xfId="0" applyFont="1" applyFill="1" applyBorder="1" applyAlignment="1">
      <alignment horizontal="center" vertical="center" readingOrder="2"/>
    </xf>
    <xf numFmtId="0" fontId="21" fillId="9" borderId="28" xfId="0" applyFont="1" applyFill="1" applyBorder="1" applyAlignment="1">
      <alignment horizontal="center" vertical="center" readingOrder="2"/>
    </xf>
    <xf numFmtId="0" fontId="39" fillId="9" borderId="29" xfId="0" applyFont="1" applyFill="1" applyBorder="1" applyAlignment="1">
      <alignment horizontal="center" vertical="center" wrapText="1" readingOrder="2"/>
    </xf>
    <xf numFmtId="0" fontId="39" fillId="9" borderId="31" xfId="0" applyFont="1" applyFill="1" applyBorder="1" applyAlignment="1">
      <alignment horizontal="center" vertical="center" wrapText="1" readingOrder="2"/>
    </xf>
    <xf numFmtId="0" fontId="39" fillId="9" borderId="26" xfId="0" applyFont="1" applyFill="1" applyBorder="1" applyAlignment="1">
      <alignment horizontal="center" vertical="center" wrapText="1" readingOrder="2"/>
    </xf>
    <xf numFmtId="0" fontId="39" fillId="9" borderId="28" xfId="0" applyFont="1" applyFill="1" applyBorder="1" applyAlignment="1">
      <alignment horizontal="center" vertical="center" wrapText="1" readingOrder="2"/>
    </xf>
    <xf numFmtId="0" fontId="41" fillId="6" borderId="29" xfId="0" applyFont="1" applyFill="1" applyBorder="1" applyAlignment="1">
      <alignment horizontal="center" vertical="center" wrapText="1" readingOrder="2"/>
    </xf>
    <xf numFmtId="0" fontId="41" fillId="6" borderId="30" xfId="0" applyFont="1" applyFill="1" applyBorder="1" applyAlignment="1">
      <alignment horizontal="center" vertical="center" wrapText="1" readingOrder="2"/>
    </xf>
    <xf numFmtId="0" fontId="41" fillId="6" borderId="31" xfId="0" applyFont="1" applyFill="1" applyBorder="1" applyAlignment="1">
      <alignment horizontal="center" vertical="center" wrapText="1" readingOrder="2"/>
    </xf>
    <xf numFmtId="0" fontId="41" fillId="6" borderId="26" xfId="0" applyFont="1" applyFill="1" applyBorder="1" applyAlignment="1">
      <alignment horizontal="center" vertical="center" wrapText="1" readingOrder="2"/>
    </xf>
    <xf numFmtId="0" fontId="41" fillId="6" borderId="27" xfId="0" applyFont="1" applyFill="1" applyBorder="1" applyAlignment="1">
      <alignment horizontal="center" vertical="center" wrapText="1" readingOrder="2"/>
    </xf>
    <xf numFmtId="0" fontId="41" fillId="6" borderId="28" xfId="0" applyFont="1" applyFill="1" applyBorder="1" applyAlignment="1">
      <alignment horizontal="center" vertical="center" wrapText="1" readingOrder="2"/>
    </xf>
    <xf numFmtId="0" fontId="39" fillId="14" borderId="74" xfId="0" applyFont="1" applyFill="1" applyBorder="1" applyAlignment="1">
      <alignment horizontal="center" vertical="center" wrapText="1" readingOrder="2"/>
    </xf>
    <xf numFmtId="0" fontId="39" fillId="14" borderId="76" xfId="0" applyFont="1" applyFill="1" applyBorder="1" applyAlignment="1">
      <alignment horizontal="center" vertical="center" wrapText="1" readingOrder="2"/>
    </xf>
    <xf numFmtId="0" fontId="39" fillId="14" borderId="78" xfId="0" applyFont="1" applyFill="1" applyBorder="1" applyAlignment="1">
      <alignment horizontal="center" vertical="center" wrapText="1" readingOrder="2"/>
    </xf>
    <xf numFmtId="0" fontId="39" fillId="14" borderId="79" xfId="0" applyFont="1" applyFill="1" applyBorder="1" applyAlignment="1">
      <alignment horizontal="center" vertical="center" wrapText="1" readingOrder="2"/>
    </xf>
    <xf numFmtId="0" fontId="31" fillId="13" borderId="29" xfId="0" applyFont="1" applyFill="1" applyBorder="1" applyAlignment="1">
      <alignment horizontal="center" vertical="center" wrapText="1" readingOrder="2"/>
    </xf>
    <xf numFmtId="0" fontId="31" fillId="13" borderId="73" xfId="0" applyFont="1" applyFill="1" applyBorder="1" applyAlignment="1">
      <alignment horizontal="center" vertical="center" wrapText="1" readingOrder="2"/>
    </xf>
    <xf numFmtId="0" fontId="31" fillId="13" borderId="26" xfId="0" applyFont="1" applyFill="1" applyBorder="1" applyAlignment="1">
      <alignment horizontal="center" vertical="center" wrapText="1" readingOrder="2"/>
    </xf>
    <xf numFmtId="0" fontId="31" fillId="13" borderId="75" xfId="0" applyFont="1" applyFill="1" applyBorder="1" applyAlignment="1">
      <alignment horizontal="center" vertical="center" wrapText="1" readingOrder="2"/>
    </xf>
    <xf numFmtId="9" fontId="31" fillId="13" borderId="31" xfId="0" applyNumberFormat="1" applyFont="1" applyFill="1" applyBorder="1" applyAlignment="1">
      <alignment horizontal="center" vertical="center" wrapText="1" readingOrder="2"/>
    </xf>
    <xf numFmtId="0" fontId="31" fillId="13" borderId="28" xfId="0" applyFont="1" applyFill="1" applyBorder="1" applyAlignment="1">
      <alignment horizontal="center" vertical="center" wrapText="1" readingOrder="2"/>
    </xf>
    <xf numFmtId="0" fontId="39" fillId="14" borderId="31" xfId="0" applyFont="1" applyFill="1" applyBorder="1" applyAlignment="1">
      <alignment horizontal="center" vertical="center" wrapText="1" readingOrder="2"/>
    </xf>
    <xf numFmtId="0" fontId="39" fillId="14" borderId="28" xfId="0" applyFont="1" applyFill="1" applyBorder="1" applyAlignment="1">
      <alignment horizontal="center" vertical="center" wrapText="1" readingOrder="2"/>
    </xf>
    <xf numFmtId="0" fontId="31" fillId="13" borderId="8" xfId="0" applyFont="1" applyFill="1" applyBorder="1" applyAlignment="1">
      <alignment horizontal="center" vertical="center" wrapText="1" readingOrder="2"/>
    </xf>
    <xf numFmtId="0" fontId="31" fillId="13" borderId="71" xfId="0" applyFont="1" applyFill="1" applyBorder="1" applyAlignment="1">
      <alignment horizontal="center" vertical="center" wrapText="1" readingOrder="2"/>
    </xf>
    <xf numFmtId="0" fontId="31" fillId="13" borderId="24" xfId="0" applyFont="1" applyFill="1" applyBorder="1" applyAlignment="1">
      <alignment horizontal="center" vertical="center" wrapText="1" readingOrder="2"/>
    </xf>
    <xf numFmtId="0" fontId="31" fillId="13" borderId="77" xfId="0" applyFont="1" applyFill="1" applyBorder="1" applyAlignment="1">
      <alignment horizontal="center" vertical="center" wrapText="1" readingOrder="2"/>
    </xf>
    <xf numFmtId="0" fontId="40" fillId="15" borderId="29" xfId="0" applyFont="1" applyFill="1" applyBorder="1" applyAlignment="1">
      <alignment horizontal="center" vertical="center" wrapText="1" readingOrder="2"/>
    </xf>
    <xf numFmtId="0" fontId="40" fillId="15" borderId="30" xfId="0" applyFont="1" applyFill="1" applyBorder="1" applyAlignment="1">
      <alignment horizontal="center" vertical="center" wrapText="1" readingOrder="2"/>
    </xf>
    <xf numFmtId="0" fontId="40" fillId="15" borderId="31" xfId="0" applyFont="1" applyFill="1" applyBorder="1" applyAlignment="1">
      <alignment horizontal="center" vertical="center" wrapText="1" readingOrder="2"/>
    </xf>
    <xf numFmtId="0" fontId="40" fillId="15" borderId="26" xfId="0" applyFont="1" applyFill="1" applyBorder="1" applyAlignment="1">
      <alignment horizontal="center" vertical="center" wrapText="1" readingOrder="2"/>
    </xf>
    <xf numFmtId="0" fontId="40" fillId="15" borderId="27" xfId="0" applyFont="1" applyFill="1" applyBorder="1" applyAlignment="1">
      <alignment horizontal="center" vertical="center" wrapText="1" readingOrder="2"/>
    </xf>
    <xf numFmtId="0" fontId="40" fillId="15" borderId="28" xfId="0" applyFont="1" applyFill="1" applyBorder="1" applyAlignment="1">
      <alignment horizontal="center" vertical="center" wrapText="1" readingOrder="2"/>
    </xf>
    <xf numFmtId="0" fontId="32" fillId="14" borderId="74" xfId="0" applyFont="1" applyFill="1" applyBorder="1" applyAlignment="1">
      <alignment horizontal="center" vertical="center" wrapText="1" readingOrder="2"/>
    </xf>
    <xf numFmtId="0" fontId="32" fillId="14" borderId="76" xfId="0" applyFont="1" applyFill="1" applyBorder="1" applyAlignment="1">
      <alignment horizontal="center" vertical="center" wrapText="1" readingOrder="2"/>
    </xf>
    <xf numFmtId="0" fontId="32" fillId="14" borderId="31" xfId="0" applyFont="1" applyFill="1" applyBorder="1" applyAlignment="1">
      <alignment horizontal="center" vertical="center" wrapText="1" readingOrder="2"/>
    </xf>
    <xf numFmtId="0" fontId="32" fillId="14" borderId="28" xfId="0" applyFont="1" applyFill="1" applyBorder="1" applyAlignment="1">
      <alignment horizontal="center" vertical="center" wrapText="1" readingOrder="2"/>
    </xf>
    <xf numFmtId="0" fontId="32" fillId="14" borderId="26" xfId="0" applyFont="1" applyFill="1" applyBorder="1" applyAlignment="1">
      <alignment horizontal="center" vertical="center" wrapText="1" readingOrder="2"/>
    </xf>
    <xf numFmtId="0" fontId="27" fillId="0" borderId="27" xfId="0" applyFont="1" applyBorder="1" applyAlignment="1">
      <alignment horizontal="center" vertical="center" readingOrder="2"/>
    </xf>
    <xf numFmtId="0" fontId="36" fillId="13" borderId="8" xfId="0" applyFont="1" applyFill="1" applyBorder="1" applyAlignment="1">
      <alignment horizontal="right" wrapText="1"/>
    </xf>
    <xf numFmtId="0" fontId="36" fillId="13" borderId="9" xfId="0" applyFont="1" applyFill="1" applyBorder="1" applyAlignment="1">
      <alignment horizontal="right" wrapText="1"/>
    </xf>
    <xf numFmtId="0" fontId="37" fillId="13" borderId="8" xfId="0" applyFont="1" applyFill="1" applyBorder="1" applyAlignment="1">
      <alignment horizontal="center" vertical="center" wrapText="1" readingOrder="2"/>
    </xf>
    <xf numFmtId="0" fontId="37" fillId="13" borderId="10" xfId="0" applyFont="1" applyFill="1" applyBorder="1" applyAlignment="1">
      <alignment horizontal="center" vertical="center" wrapText="1" readingOrder="2"/>
    </xf>
    <xf numFmtId="0" fontId="31" fillId="13" borderId="31" xfId="0" applyFont="1" applyFill="1" applyBorder="1" applyAlignment="1">
      <alignment horizontal="center" vertical="center" wrapText="1" readingOrder="2"/>
    </xf>
    <xf numFmtId="0" fontId="32" fillId="14" borderId="29" xfId="0" applyFont="1" applyFill="1" applyBorder="1" applyAlignment="1">
      <alignment horizontal="center" vertical="center" wrapText="1" readingOrder="2"/>
    </xf>
    <xf numFmtId="2" fontId="32" fillId="14" borderId="29" xfId="0" applyNumberFormat="1" applyFont="1" applyFill="1" applyBorder="1" applyAlignment="1">
      <alignment horizontal="center" vertical="center" wrapText="1" readingOrder="2"/>
    </xf>
    <xf numFmtId="2" fontId="32" fillId="14" borderId="31" xfId="0" applyNumberFormat="1" applyFont="1" applyFill="1" applyBorder="1" applyAlignment="1">
      <alignment horizontal="center" vertical="center" wrapText="1" readingOrder="2"/>
    </xf>
    <xf numFmtId="2" fontId="32" fillId="14" borderId="26" xfId="0" applyNumberFormat="1" applyFont="1" applyFill="1" applyBorder="1" applyAlignment="1">
      <alignment horizontal="center" vertical="center" wrapText="1" readingOrder="2"/>
    </xf>
    <xf numFmtId="2" fontId="32" fillId="14" borderId="28" xfId="0" applyNumberFormat="1" applyFont="1" applyFill="1" applyBorder="1" applyAlignment="1">
      <alignment horizontal="center" vertical="center" wrapText="1" readingOrder="2"/>
    </xf>
    <xf numFmtId="0" fontId="30" fillId="13" borderId="29" xfId="0" applyFont="1" applyFill="1" applyBorder="1" applyAlignment="1">
      <alignment horizontal="right" wrapText="1" readingOrder="2"/>
    </xf>
    <xf numFmtId="0" fontId="30" fillId="13" borderId="26" xfId="0" applyFont="1" applyFill="1" applyBorder="1" applyAlignment="1">
      <alignment horizontal="right" wrapText="1" readingOrder="2"/>
    </xf>
    <xf numFmtId="0" fontId="29" fillId="13" borderId="31" xfId="0" applyFont="1" applyFill="1" applyBorder="1" applyAlignment="1">
      <alignment horizontal="left" vertical="top" wrapText="1" readingOrder="2"/>
    </xf>
    <xf numFmtId="0" fontId="29" fillId="13" borderId="28" xfId="0" applyFont="1" applyFill="1" applyBorder="1" applyAlignment="1">
      <alignment horizontal="left" vertical="top" wrapText="1" readingOrder="2"/>
    </xf>
    <xf numFmtId="0" fontId="29" fillId="13" borderId="29" xfId="0" applyFont="1" applyFill="1" applyBorder="1" applyAlignment="1">
      <alignment horizontal="center" vertical="center" wrapText="1" readingOrder="2"/>
    </xf>
    <xf numFmtId="0" fontId="29" fillId="13" borderId="31" xfId="0" applyFont="1" applyFill="1" applyBorder="1" applyAlignment="1">
      <alignment horizontal="center" vertical="center" wrapText="1" readingOrder="2"/>
    </xf>
    <xf numFmtId="0" fontId="29" fillId="13" borderId="26" xfId="0" applyFont="1" applyFill="1" applyBorder="1" applyAlignment="1">
      <alignment horizontal="center" vertical="center" wrapText="1" readingOrder="2"/>
    </xf>
    <xf numFmtId="0" fontId="29" fillId="13" borderId="28" xfId="0" applyFont="1" applyFill="1" applyBorder="1" applyAlignment="1">
      <alignment horizontal="center" vertical="center" wrapText="1" readingOrder="2"/>
    </xf>
    <xf numFmtId="0" fontId="33" fillId="0" borderId="24" xfId="0" applyFont="1" applyBorder="1" applyAlignment="1">
      <alignment horizontal="center" vertical="center" readingOrder="2"/>
    </xf>
    <xf numFmtId="0" fontId="33" fillId="0" borderId="0" xfId="0" applyFont="1" applyAlignment="1">
      <alignment horizontal="center" vertical="center" readingOrder="2"/>
    </xf>
    <xf numFmtId="0" fontId="35" fillId="0" borderId="0" xfId="0" applyFont="1" applyAlignment="1">
      <alignment horizontal="right"/>
    </xf>
    <xf numFmtId="0" fontId="35" fillId="0" borderId="25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25" xfId="0" applyFont="1" applyBorder="1" applyAlignment="1">
      <alignment horizontal="right"/>
    </xf>
    <xf numFmtId="0" fontId="33" fillId="0" borderId="26" xfId="0" applyFont="1" applyBorder="1" applyAlignment="1">
      <alignment horizontal="center" vertical="center" readingOrder="2"/>
    </xf>
    <xf numFmtId="0" fontId="33" fillId="0" borderId="27" xfId="0" applyFont="1" applyBorder="1" applyAlignment="1">
      <alignment horizontal="center" vertical="center" readingOrder="2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27" fillId="0" borderId="29" xfId="0" applyFont="1" applyBorder="1" applyAlignment="1">
      <alignment horizontal="center" vertical="center" readingOrder="2"/>
    </xf>
    <xf numFmtId="0" fontId="27" fillId="0" borderId="30" xfId="0" applyFont="1" applyBorder="1" applyAlignment="1">
      <alignment horizontal="center" vertical="center" readingOrder="2"/>
    </xf>
    <xf numFmtId="0" fontId="33" fillId="0" borderId="24" xfId="0" applyFont="1" applyBorder="1" applyAlignment="1">
      <alignment horizontal="right" vertical="center" readingOrder="2"/>
    </xf>
    <xf numFmtId="0" fontId="33" fillId="0" borderId="0" xfId="0" applyFont="1" applyAlignment="1">
      <alignment horizontal="right" vertical="center" readingOrder="2"/>
    </xf>
    <xf numFmtId="0" fontId="33" fillId="0" borderId="25" xfId="0" applyFont="1" applyBorder="1" applyAlignment="1">
      <alignment horizontal="right" vertical="center" readingOrder="2"/>
    </xf>
    <xf numFmtId="0" fontId="33" fillId="0" borderId="26" xfId="0" applyFont="1" applyBorder="1" applyAlignment="1">
      <alignment horizontal="right" vertical="center" readingOrder="2"/>
    </xf>
    <xf numFmtId="0" fontId="33" fillId="0" borderId="27" xfId="0" applyFont="1" applyBorder="1" applyAlignment="1">
      <alignment horizontal="right" vertical="center" readingOrder="2"/>
    </xf>
    <xf numFmtId="0" fontId="33" fillId="0" borderId="28" xfId="0" applyFont="1" applyBorder="1" applyAlignment="1">
      <alignment horizontal="right" vertical="center" readingOrder="2"/>
    </xf>
    <xf numFmtId="0" fontId="27" fillId="0" borderId="31" xfId="0" applyFont="1" applyBorder="1" applyAlignment="1">
      <alignment horizontal="center" vertical="center" readingOrder="2"/>
    </xf>
    <xf numFmtId="0" fontId="32" fillId="14" borderId="6" xfId="0" applyFont="1" applyFill="1" applyBorder="1" applyAlignment="1">
      <alignment horizontal="center" vertical="center" wrapText="1" readingOrder="2"/>
    </xf>
    <xf numFmtId="0" fontId="32" fillId="14" borderId="7" xfId="0" applyFont="1" applyFill="1" applyBorder="1" applyAlignment="1">
      <alignment horizontal="center" vertical="center" wrapText="1" readingOrder="2"/>
    </xf>
    <xf numFmtId="0" fontId="31" fillId="13" borderId="6" xfId="0" applyFont="1" applyFill="1" applyBorder="1" applyAlignment="1">
      <alignment horizontal="center" vertical="center" wrapText="1" readingOrder="2"/>
    </xf>
    <xf numFmtId="0" fontId="31" fillId="13" borderId="7" xfId="0" applyFont="1" applyFill="1" applyBorder="1" applyAlignment="1">
      <alignment horizontal="center" vertical="center" wrapText="1" readingOrder="2"/>
    </xf>
    <xf numFmtId="9" fontId="32" fillId="14" borderId="29" xfId="0" applyNumberFormat="1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 wrapText="1" readingOrder="2"/>
    </xf>
    <xf numFmtId="0" fontId="0" fillId="0" borderId="0" xfId="0" applyAlignment="1">
      <alignment horizontal="center" wrapText="1" readingOrder="2"/>
    </xf>
    <xf numFmtId="0" fontId="29" fillId="13" borderId="6" xfId="0" applyFont="1" applyFill="1" applyBorder="1" applyAlignment="1">
      <alignment horizontal="center" vertical="center" wrapText="1" readingOrder="2"/>
    </xf>
    <xf numFmtId="0" fontId="29" fillId="13" borderId="7" xfId="0" applyFont="1" applyFill="1" applyBorder="1" applyAlignment="1">
      <alignment horizontal="center" vertical="center" wrapText="1" readingOrder="2"/>
    </xf>
    <xf numFmtId="0" fontId="31" fillId="13" borderId="70" xfId="0" applyFont="1" applyFill="1" applyBorder="1" applyAlignment="1">
      <alignment horizontal="center" vertical="center" wrapText="1" readingOrder="2"/>
    </xf>
    <xf numFmtId="0" fontId="28" fillId="13" borderId="29" xfId="0" applyFont="1" applyFill="1" applyBorder="1" applyAlignment="1">
      <alignment horizontal="center" vertical="center" wrapText="1" readingOrder="2"/>
    </xf>
    <xf numFmtId="0" fontId="28" fillId="13" borderId="26" xfId="0" applyFont="1" applyFill="1" applyBorder="1" applyAlignment="1">
      <alignment horizontal="center" vertical="center" wrapText="1" readingOrder="2"/>
    </xf>
    <xf numFmtId="0" fontId="29" fillId="13" borderId="29" xfId="0" applyFont="1" applyFill="1" applyBorder="1" applyAlignment="1">
      <alignment horizontal="right" wrapText="1" readingOrder="2"/>
    </xf>
    <xf numFmtId="0" fontId="29" fillId="13" borderId="26" xfId="0" applyFont="1" applyFill="1" applyBorder="1" applyAlignment="1">
      <alignment horizontal="right" wrapText="1" readingOrder="2"/>
    </xf>
    <xf numFmtId="9" fontId="32" fillId="14" borderId="24" xfId="0" applyNumberFormat="1" applyFont="1" applyFill="1" applyBorder="1" applyAlignment="1">
      <alignment horizontal="center" vertical="center" wrapText="1" readingOrder="2"/>
    </xf>
    <xf numFmtId="0" fontId="32" fillId="14" borderId="25" xfId="0" applyFont="1" applyFill="1" applyBorder="1" applyAlignment="1">
      <alignment horizontal="center" vertical="center" wrapText="1" readingOrder="2"/>
    </xf>
    <xf numFmtId="0" fontId="30" fillId="13" borderId="6" xfId="0" applyFont="1" applyFill="1" applyBorder="1" applyAlignment="1">
      <alignment horizontal="center" vertical="center" wrapText="1" readingOrder="2"/>
    </xf>
    <xf numFmtId="0" fontId="30" fillId="13" borderId="7" xfId="0" applyFont="1" applyFill="1" applyBorder="1" applyAlignment="1">
      <alignment horizontal="center" vertical="center" wrapText="1" readingOrder="2"/>
    </xf>
    <xf numFmtId="0" fontId="29" fillId="13" borderId="30" xfId="0" applyFont="1" applyFill="1" applyBorder="1" applyAlignment="1">
      <alignment horizontal="center" vertical="center" wrapText="1" readingOrder="2"/>
    </xf>
    <xf numFmtId="0" fontId="29" fillId="13" borderId="27" xfId="0" applyFont="1" applyFill="1" applyBorder="1" applyAlignment="1">
      <alignment horizontal="center" vertical="center" wrapText="1" readingOrder="2"/>
    </xf>
    <xf numFmtId="164" fontId="44" fillId="10" borderId="29" xfId="0" applyNumberFormat="1" applyFont="1" applyFill="1" applyBorder="1" applyAlignment="1">
      <alignment horizontal="center" vertical="center"/>
    </xf>
    <xf numFmtId="164" fontId="44" fillId="10" borderId="31" xfId="0" applyNumberFormat="1" applyFont="1" applyFill="1" applyBorder="1" applyAlignment="1">
      <alignment horizontal="center" vertical="center"/>
    </xf>
    <xf numFmtId="164" fontId="44" fillId="10" borderId="24" xfId="0" applyNumberFormat="1" applyFont="1" applyFill="1" applyBorder="1" applyAlignment="1">
      <alignment horizontal="center" vertical="center"/>
    </xf>
    <xf numFmtId="164" fontId="44" fillId="10" borderId="25" xfId="0" applyNumberFormat="1" applyFont="1" applyFill="1" applyBorder="1" applyAlignment="1">
      <alignment horizontal="center" vertical="center"/>
    </xf>
    <xf numFmtId="164" fontId="44" fillId="10" borderId="26" xfId="0" applyNumberFormat="1" applyFont="1" applyFill="1" applyBorder="1" applyAlignment="1">
      <alignment horizontal="center" vertical="center"/>
    </xf>
    <xf numFmtId="164" fontId="44" fillId="10" borderId="28" xfId="0" applyNumberFormat="1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 wrapText="1" readingOrder="2"/>
    </xf>
    <xf numFmtId="0" fontId="31" fillId="15" borderId="7" xfId="0" applyFont="1" applyFill="1" applyBorder="1" applyAlignment="1">
      <alignment horizontal="center" vertical="center" wrapText="1" readingOrder="2"/>
    </xf>
    <xf numFmtId="3" fontId="32" fillId="9" borderId="29" xfId="0" applyNumberFormat="1" applyFont="1" applyFill="1" applyBorder="1" applyAlignment="1">
      <alignment horizontal="center" vertical="center" wrapText="1" readingOrder="2"/>
    </xf>
    <xf numFmtId="3" fontId="32" fillId="9" borderId="31" xfId="0" applyNumberFormat="1" applyFont="1" applyFill="1" applyBorder="1" applyAlignment="1">
      <alignment horizontal="center" vertical="center" wrapText="1" readingOrder="2"/>
    </xf>
    <xf numFmtId="3" fontId="32" fillId="9" borderId="26" xfId="0" applyNumberFormat="1" applyFont="1" applyFill="1" applyBorder="1" applyAlignment="1">
      <alignment horizontal="center" vertical="center" wrapText="1" readingOrder="2"/>
    </xf>
    <xf numFmtId="3" fontId="32" fillId="9" borderId="28" xfId="0" applyNumberFormat="1" applyFont="1" applyFill="1" applyBorder="1" applyAlignment="1">
      <alignment horizontal="center" vertical="center" wrapText="1" readingOrder="2"/>
    </xf>
    <xf numFmtId="9" fontId="32" fillId="9" borderId="29" xfId="2" applyFont="1" applyFill="1" applyBorder="1" applyAlignment="1">
      <alignment horizontal="center" vertical="center" wrapText="1" readingOrder="2"/>
    </xf>
    <xf numFmtId="9" fontId="32" fillId="9" borderId="31" xfId="2" applyFont="1" applyFill="1" applyBorder="1" applyAlignment="1">
      <alignment horizontal="center" vertical="center" wrapText="1" readingOrder="2"/>
    </xf>
    <xf numFmtId="9" fontId="32" fillId="9" borderId="26" xfId="2" applyFont="1" applyFill="1" applyBorder="1" applyAlignment="1">
      <alignment horizontal="center" vertical="center" wrapText="1" readingOrder="2"/>
    </xf>
    <xf numFmtId="9" fontId="32" fillId="9" borderId="28" xfId="2" applyFont="1" applyFill="1" applyBorder="1" applyAlignment="1">
      <alignment horizontal="center" vertical="center" wrapText="1" readingOrder="2"/>
    </xf>
    <xf numFmtId="0" fontId="32" fillId="9" borderId="29" xfId="0" applyFont="1" applyFill="1" applyBorder="1" applyAlignment="1">
      <alignment horizontal="center" vertical="center" wrapText="1" readingOrder="2"/>
    </xf>
    <xf numFmtId="0" fontId="32" fillId="9" borderId="31" xfId="0" applyFont="1" applyFill="1" applyBorder="1" applyAlignment="1">
      <alignment horizontal="center" vertical="center" wrapText="1" readingOrder="2"/>
    </xf>
    <xf numFmtId="0" fontId="32" fillId="9" borderId="26" xfId="0" applyFont="1" applyFill="1" applyBorder="1" applyAlignment="1">
      <alignment horizontal="center" vertical="center" wrapText="1" readingOrder="2"/>
    </xf>
    <xf numFmtId="0" fontId="32" fillId="9" borderId="28" xfId="0" applyFont="1" applyFill="1" applyBorder="1" applyAlignment="1">
      <alignment horizontal="center" vertical="center" wrapText="1" readingOrder="2"/>
    </xf>
    <xf numFmtId="3" fontId="32" fillId="14" borderId="29" xfId="0" applyNumberFormat="1" applyFont="1" applyFill="1" applyBorder="1" applyAlignment="1">
      <alignment horizontal="center" vertical="center" wrapText="1" readingOrder="2"/>
    </xf>
    <xf numFmtId="3" fontId="32" fillId="14" borderId="31" xfId="0" applyNumberFormat="1" applyFont="1" applyFill="1" applyBorder="1" applyAlignment="1">
      <alignment horizontal="center" vertical="center" wrapText="1" readingOrder="2"/>
    </xf>
    <xf numFmtId="3" fontId="32" fillId="14" borderId="26" xfId="0" applyNumberFormat="1" applyFont="1" applyFill="1" applyBorder="1" applyAlignment="1">
      <alignment horizontal="center" vertical="center" wrapText="1" readingOrder="2"/>
    </xf>
    <xf numFmtId="3" fontId="32" fillId="14" borderId="28" xfId="0" applyNumberFormat="1" applyFont="1" applyFill="1" applyBorder="1" applyAlignment="1">
      <alignment horizontal="center" vertical="center" wrapText="1" readingOrder="2"/>
    </xf>
    <xf numFmtId="9" fontId="32" fillId="14" borderId="29" xfId="2" applyFont="1" applyFill="1" applyBorder="1" applyAlignment="1">
      <alignment horizontal="center" vertical="center" wrapText="1" readingOrder="2"/>
    </xf>
    <xf numFmtId="9" fontId="32" fillId="14" borderId="31" xfId="2" applyFont="1" applyFill="1" applyBorder="1" applyAlignment="1">
      <alignment horizontal="center" vertical="center" wrapText="1" readingOrder="2"/>
    </xf>
    <xf numFmtId="9" fontId="32" fillId="14" borderId="26" xfId="2" applyFont="1" applyFill="1" applyBorder="1" applyAlignment="1">
      <alignment horizontal="center" vertical="center" wrapText="1" readingOrder="2"/>
    </xf>
    <xf numFmtId="9" fontId="32" fillId="14" borderId="28" xfId="2" applyFont="1" applyFill="1" applyBorder="1" applyAlignment="1">
      <alignment horizontal="center" vertical="center" wrapText="1" readingOrder="2"/>
    </xf>
    <xf numFmtId="0" fontId="31" fillId="13" borderId="6" xfId="0" applyFont="1" applyFill="1" applyBorder="1" applyAlignment="1">
      <alignment horizontal="center" vertical="center" readingOrder="2"/>
    </xf>
    <xf numFmtId="0" fontId="31" fillId="13" borderId="7" xfId="0" applyFont="1" applyFill="1" applyBorder="1" applyAlignment="1">
      <alignment horizontal="center" vertical="center" readingOrder="2"/>
    </xf>
    <xf numFmtId="0" fontId="42" fillId="16" borderId="29" xfId="0" applyFont="1" applyFill="1" applyBorder="1" applyAlignment="1">
      <alignment horizontal="center" vertical="center" readingOrder="2"/>
    </xf>
    <xf numFmtId="0" fontId="42" fillId="16" borderId="30" xfId="0" applyFont="1" applyFill="1" applyBorder="1" applyAlignment="1">
      <alignment horizontal="center" vertical="center" readingOrder="2"/>
    </xf>
    <xf numFmtId="0" fontId="42" fillId="16" borderId="31" xfId="0" applyFont="1" applyFill="1" applyBorder="1" applyAlignment="1">
      <alignment horizontal="center" vertical="center" readingOrder="2"/>
    </xf>
    <xf numFmtId="0" fontId="42" fillId="16" borderId="24" xfId="0" applyFont="1" applyFill="1" applyBorder="1" applyAlignment="1">
      <alignment horizontal="center" vertical="center" readingOrder="2"/>
    </xf>
    <xf numFmtId="0" fontId="42" fillId="16" borderId="0" xfId="0" applyFont="1" applyFill="1" applyAlignment="1">
      <alignment horizontal="center" vertical="center" readingOrder="2"/>
    </xf>
    <xf numFmtId="0" fontId="42" fillId="16" borderId="25" xfId="0" applyFont="1" applyFill="1" applyBorder="1" applyAlignment="1">
      <alignment horizontal="center" vertical="center" readingOrder="2"/>
    </xf>
    <xf numFmtId="0" fontId="42" fillId="16" borderId="26" xfId="0" applyFont="1" applyFill="1" applyBorder="1" applyAlignment="1">
      <alignment horizontal="center" vertical="center" readingOrder="2"/>
    </xf>
    <xf numFmtId="0" fontId="42" fillId="16" borderId="27" xfId="0" applyFont="1" applyFill="1" applyBorder="1" applyAlignment="1">
      <alignment horizontal="center" vertical="center" readingOrder="2"/>
    </xf>
    <xf numFmtId="0" fontId="42" fillId="16" borderId="28" xfId="0" applyFont="1" applyFill="1" applyBorder="1" applyAlignment="1">
      <alignment horizontal="center" vertical="center" readingOrder="2"/>
    </xf>
    <xf numFmtId="0" fontId="28" fillId="13" borderId="6" xfId="0" applyFont="1" applyFill="1" applyBorder="1" applyAlignment="1">
      <alignment horizontal="center" vertical="center" wrapText="1" readingOrder="2"/>
    </xf>
    <xf numFmtId="0" fontId="28" fillId="13" borderId="70" xfId="0" applyFont="1" applyFill="1" applyBorder="1" applyAlignment="1">
      <alignment horizontal="center" vertical="center" wrapText="1" readingOrder="2"/>
    </xf>
    <xf numFmtId="0" fontId="28" fillId="13" borderId="7" xfId="0" applyFont="1" applyFill="1" applyBorder="1" applyAlignment="1">
      <alignment horizontal="center" vertical="center" wrapText="1" readingOrder="2"/>
    </xf>
    <xf numFmtId="0" fontId="29" fillId="13" borderId="24" xfId="0" applyFont="1" applyFill="1" applyBorder="1" applyAlignment="1">
      <alignment horizontal="center" vertical="center" wrapText="1" readingOrder="2"/>
    </xf>
    <xf numFmtId="0" fontId="29" fillId="13" borderId="25" xfId="0" applyFont="1" applyFill="1" applyBorder="1" applyAlignment="1">
      <alignment horizontal="center" vertical="center" wrapText="1" readingOrder="2"/>
    </xf>
    <xf numFmtId="0" fontId="29" fillId="2" borderId="29" xfId="0" applyFont="1" applyFill="1" applyBorder="1" applyAlignment="1">
      <alignment horizontal="center" wrapText="1" readingOrder="2"/>
    </xf>
    <xf numFmtId="0" fontId="29" fillId="2" borderId="31" xfId="0" applyFont="1" applyFill="1" applyBorder="1" applyAlignment="1">
      <alignment horizontal="center" wrapText="1" readingOrder="2"/>
    </xf>
    <xf numFmtId="0" fontId="29" fillId="2" borderId="26" xfId="0" applyFont="1" applyFill="1" applyBorder="1" applyAlignment="1">
      <alignment horizontal="center" wrapText="1" readingOrder="2"/>
    </xf>
    <xf numFmtId="0" fontId="29" fillId="2" borderId="28" xfId="0" applyFont="1" applyFill="1" applyBorder="1" applyAlignment="1">
      <alignment horizontal="center" wrapText="1" readingOrder="2"/>
    </xf>
    <xf numFmtId="0" fontId="29" fillId="13" borderId="29" xfId="0" applyFont="1" applyFill="1" applyBorder="1" applyAlignment="1">
      <alignment horizontal="center" wrapText="1" readingOrder="2"/>
    </xf>
    <xf numFmtId="0" fontId="29" fillId="13" borderId="31" xfId="0" applyFont="1" applyFill="1" applyBorder="1" applyAlignment="1">
      <alignment horizontal="center" wrapText="1" readingOrder="2"/>
    </xf>
    <xf numFmtId="0" fontId="29" fillId="13" borderId="26" xfId="0" applyFont="1" applyFill="1" applyBorder="1" applyAlignment="1">
      <alignment horizontal="center" wrapText="1" readingOrder="2"/>
    </xf>
    <xf numFmtId="0" fontId="29" fillId="13" borderId="28" xfId="0" applyFont="1" applyFill="1" applyBorder="1" applyAlignment="1">
      <alignment horizontal="center" wrapText="1" readingOrder="2"/>
    </xf>
    <xf numFmtId="0" fontId="32" fillId="14" borderId="80" xfId="0" applyFont="1" applyFill="1" applyBorder="1" applyAlignment="1">
      <alignment horizontal="center" vertical="center" wrapText="1" readingOrder="2"/>
    </xf>
    <xf numFmtId="0" fontId="32" fillId="14" borderId="36" xfId="0" applyFont="1" applyFill="1" applyBorder="1" applyAlignment="1">
      <alignment horizontal="center" vertical="center" wrapText="1" readingOrder="2"/>
    </xf>
    <xf numFmtId="0" fontId="32" fillId="14" borderId="24" xfId="0" applyFont="1" applyFill="1" applyBorder="1" applyAlignment="1">
      <alignment horizontal="center" vertical="center" wrapText="1" readingOrder="2"/>
    </xf>
    <xf numFmtId="0" fontId="32" fillId="14" borderId="39" xfId="0" applyFont="1" applyFill="1" applyBorder="1" applyAlignment="1">
      <alignment horizontal="center" vertical="center" wrapText="1" readingOrder="2"/>
    </xf>
    <xf numFmtId="0" fontId="32" fillId="14" borderId="40" xfId="0" applyFont="1" applyFill="1" applyBorder="1" applyAlignment="1">
      <alignment horizontal="center" vertical="center" wrapText="1" readingOrder="2"/>
    </xf>
    <xf numFmtId="0" fontId="47" fillId="13" borderId="6" xfId="0" applyFont="1" applyFill="1" applyBorder="1" applyAlignment="1">
      <alignment horizontal="center" vertical="center" wrapText="1" readingOrder="2"/>
    </xf>
    <xf numFmtId="0" fontId="47" fillId="13" borderId="70" xfId="0" applyFont="1" applyFill="1" applyBorder="1" applyAlignment="1">
      <alignment horizontal="center" vertical="center" wrapText="1" readingOrder="2"/>
    </xf>
    <xf numFmtId="0" fontId="46" fillId="18" borderId="29" xfId="0" applyFont="1" applyFill="1" applyBorder="1" applyAlignment="1">
      <alignment horizontal="center" vertical="center" readingOrder="2"/>
    </xf>
    <xf numFmtId="0" fontId="46" fillId="18" borderId="30" xfId="0" applyFont="1" applyFill="1" applyBorder="1" applyAlignment="1">
      <alignment horizontal="center" vertical="center" readingOrder="2"/>
    </xf>
    <xf numFmtId="0" fontId="46" fillId="18" borderId="31" xfId="0" applyFont="1" applyFill="1" applyBorder="1" applyAlignment="1">
      <alignment horizontal="center" vertical="center" readingOrder="2"/>
    </xf>
    <xf numFmtId="0" fontId="46" fillId="18" borderId="24" xfId="0" applyFont="1" applyFill="1" applyBorder="1" applyAlignment="1">
      <alignment horizontal="center" vertical="center" readingOrder="2"/>
    </xf>
    <xf numFmtId="0" fontId="46" fillId="18" borderId="0" xfId="0" applyFont="1" applyFill="1" applyAlignment="1">
      <alignment horizontal="center" vertical="center" readingOrder="2"/>
    </xf>
    <xf numFmtId="0" fontId="46" fillId="18" borderId="25" xfId="0" applyFont="1" applyFill="1" applyBorder="1" applyAlignment="1">
      <alignment horizontal="center" vertical="center" readingOrder="2"/>
    </xf>
    <xf numFmtId="0" fontId="46" fillId="18" borderId="26" xfId="0" applyFont="1" applyFill="1" applyBorder="1" applyAlignment="1">
      <alignment horizontal="center" vertical="center" readingOrder="2"/>
    </xf>
    <xf numFmtId="0" fontId="46" fillId="18" borderId="27" xfId="0" applyFont="1" applyFill="1" applyBorder="1" applyAlignment="1">
      <alignment horizontal="center" vertical="center" readingOrder="2"/>
    </xf>
    <xf numFmtId="0" fontId="46" fillId="18" borderId="28" xfId="0" applyFont="1" applyFill="1" applyBorder="1" applyAlignment="1">
      <alignment horizontal="center" vertical="center" readingOrder="2"/>
    </xf>
    <xf numFmtId="0" fontId="45" fillId="17" borderId="29" xfId="0" applyFont="1" applyFill="1" applyBorder="1" applyAlignment="1">
      <alignment horizontal="center" vertical="center" readingOrder="2"/>
    </xf>
    <xf numFmtId="0" fontId="45" fillId="17" borderId="30" xfId="0" applyFont="1" applyFill="1" applyBorder="1" applyAlignment="1">
      <alignment horizontal="center" vertical="center" readingOrder="2"/>
    </xf>
    <xf numFmtId="0" fontId="45" fillId="17" borderId="26" xfId="0" applyFont="1" applyFill="1" applyBorder="1" applyAlignment="1">
      <alignment horizontal="center" vertical="center" readingOrder="2"/>
    </xf>
    <xf numFmtId="0" fontId="45" fillId="17" borderId="27" xfId="0" applyFont="1" applyFill="1" applyBorder="1" applyAlignment="1">
      <alignment horizontal="center" vertical="center" readingOrder="2"/>
    </xf>
    <xf numFmtId="0" fontId="45" fillId="17" borderId="30" xfId="0" applyFont="1" applyFill="1" applyBorder="1" applyAlignment="1">
      <alignment horizontal="left" vertical="center" readingOrder="2"/>
    </xf>
    <xf numFmtId="0" fontId="45" fillId="17" borderId="27" xfId="0" applyFont="1" applyFill="1" applyBorder="1" applyAlignment="1">
      <alignment horizontal="left" vertical="center" readingOrder="2"/>
    </xf>
    <xf numFmtId="0" fontId="45" fillId="17" borderId="31" xfId="0" applyFont="1" applyFill="1" applyBorder="1" applyAlignment="1">
      <alignment horizontal="right" vertical="center" readingOrder="2"/>
    </xf>
    <xf numFmtId="0" fontId="45" fillId="17" borderId="28" xfId="0" applyFont="1" applyFill="1" applyBorder="1" applyAlignment="1">
      <alignment horizontal="right" vertical="center" readingOrder="2"/>
    </xf>
    <xf numFmtId="0" fontId="0" fillId="0" borderId="30" xfId="0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0">
    <dxf>
      <font>
        <b/>
        <i val="0"/>
        <color rgb="FFDA0000"/>
      </font>
    </dxf>
    <dxf>
      <font>
        <b/>
        <i val="0"/>
        <color rgb="FFDA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33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33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7030A0"/>
      </font>
    </dxf>
    <dxf>
      <font>
        <color theme="9" tint="-0.24994659260841701"/>
      </font>
    </dxf>
    <dxf>
      <fill>
        <patternFill>
          <bgColor theme="9" tint="0.59996337778862885"/>
        </patternFill>
      </fill>
    </dxf>
    <dxf>
      <fill>
        <patternFill>
          <bgColor rgb="FFFFD13F"/>
        </patternFill>
      </fill>
    </dxf>
    <dxf>
      <fill>
        <patternFill>
          <bgColor rgb="FFFF4B4B"/>
        </patternFill>
      </fill>
    </dxf>
    <dxf>
      <fill>
        <patternFill>
          <bgColor theme="9" tint="0.59996337778862885"/>
        </patternFill>
      </fill>
    </dxf>
    <dxf>
      <fill>
        <patternFill>
          <bgColor rgb="FFFFD13F"/>
        </patternFill>
      </fill>
    </dxf>
    <dxf>
      <fill>
        <patternFill>
          <bgColor rgb="FFFF4B4B"/>
        </patternFill>
      </fill>
    </dxf>
    <dxf>
      <fill>
        <patternFill>
          <bgColor theme="9" tint="0.59996337778862885"/>
        </patternFill>
      </fill>
    </dxf>
    <dxf>
      <fill>
        <patternFill>
          <bgColor rgb="FFFFD13F"/>
        </patternFill>
      </fill>
    </dxf>
    <dxf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C198E0"/>
      <color rgb="FFA365D1"/>
      <color rgb="FFF0B6DF"/>
      <color rgb="FF9A6666"/>
      <color rgb="FFF66F0A"/>
      <color rgb="FFCC0000"/>
      <color rgb="FF7DD8DF"/>
      <color rgb="FFBACDD8"/>
      <color rgb="FF93A1B7"/>
      <color rgb="FFB0C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600" b="1"/>
              <a:t>התפלגות</a:t>
            </a:r>
            <a:r>
              <a:rPr lang="he-IL" sz="1600" b="1" baseline="0"/>
              <a:t> למשפחות ביחידות ובאחוזים</a:t>
            </a:r>
            <a:endParaRPr lang="he-I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129873364369606E-2"/>
          <c:y val="0.30295463067116613"/>
          <c:w val="0.81388888888888888"/>
          <c:h val="0.57880504520268294"/>
        </c:manualLayout>
      </c:layout>
      <c:pie3DChart>
        <c:varyColors val="1"/>
        <c:ser>
          <c:idx val="0"/>
          <c:order val="0"/>
          <c:tx>
            <c:strRef>
              <c:f>'מוצרים ומשפחות'!$F$3</c:f>
              <c:strCache>
                <c:ptCount val="1"/>
                <c:pt idx="0">
                  <c:v>כמות יחידות במשפחה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FDA-4E45-ACD9-9468373899A0}"/>
              </c:ext>
            </c:extLst>
          </c:dPt>
          <c:dPt>
            <c:idx val="1"/>
            <c:bubble3D val="0"/>
            <c:spPr>
              <a:solidFill>
                <a:srgbClr val="DA58D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FDA-4E45-ACD9-9468373899A0}"/>
              </c:ext>
            </c:extLst>
          </c:dPt>
          <c:dPt>
            <c:idx val="2"/>
            <c:bubble3D val="0"/>
            <c:spPr>
              <a:solidFill>
                <a:srgbClr val="FF4B4B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FDA-4E45-ACD9-9468373899A0}"/>
              </c:ext>
            </c:extLst>
          </c:dPt>
          <c:dLbls>
            <c:dLbl>
              <c:idx val="0"/>
              <c:layout>
                <c:manualLayout>
                  <c:x val="9.58429234807197E-3"/>
                  <c:y val="4.259952028203742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DA-4E45-ACD9-9468373899A0}"/>
                </c:ext>
              </c:extLst>
            </c:dLbl>
            <c:dLbl>
              <c:idx val="1"/>
              <c:layout>
                <c:manualLayout>
                  <c:x val="-1.4667878053707176E-4"/>
                  <c:y val="-0.10976180130915668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DA-4E45-ACD9-9468373899A0}"/>
                </c:ext>
              </c:extLst>
            </c:dLbl>
            <c:dLbl>
              <c:idx val="2"/>
              <c:layout>
                <c:manualLayout>
                  <c:x val="0.17711064001615182"/>
                  <c:y val="-2.436599866470257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DA-4E45-ACD9-9468373899A0}"/>
                </c:ext>
              </c:extLst>
            </c:dLbl>
            <c:spPr>
              <a:solidFill>
                <a:sysClr val="window" lastClr="FFFFFF">
                  <a:lumMod val="95000"/>
                </a:sys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'מוצרים ומשפחות'!$G$2:$I$2</c:f>
              <c:strCache>
                <c:ptCount val="3"/>
                <c:pt idx="0">
                  <c:v>שייקים</c:v>
                </c:pt>
                <c:pt idx="1">
                  <c:v>מיצים</c:v>
                </c:pt>
                <c:pt idx="2">
                  <c:v>קערות פרי</c:v>
                </c:pt>
              </c:strCache>
            </c:strRef>
          </c:cat>
          <c:val>
            <c:numRef>
              <c:f>'מוצרים ומשפחות'!$G$3:$I$3</c:f>
              <c:numCache>
                <c:formatCode>General</c:formatCode>
                <c:ptCount val="3"/>
                <c:pt idx="0">
                  <c:v>27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9-4EA1-B115-8FD8B0094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600" b="1"/>
              <a:t>הכנסות משפחות</a:t>
            </a:r>
            <a:r>
              <a:rPr lang="he-IL" sz="1600" b="1" baseline="0"/>
              <a:t> שנתיות בש"ח ובאחוזים</a:t>
            </a:r>
            <a:endParaRPr lang="he-I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129873364369606E-2"/>
          <c:y val="0.30295463067116613"/>
          <c:w val="0.81388888888888888"/>
          <c:h val="0.57880504520268294"/>
        </c:manualLayout>
      </c:layout>
      <c:pie3DChart>
        <c:varyColors val="1"/>
        <c:ser>
          <c:idx val="0"/>
          <c:order val="0"/>
          <c:tx>
            <c:strRef>
              <c:f>'מוצרים ומשפחות'!$F$4</c:f>
              <c:strCache>
                <c:ptCount val="1"/>
                <c:pt idx="0">
                  <c:v>הכנסות שנתיות בש"ח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1A-4B46-B1FF-5BB6297D807F}"/>
              </c:ext>
            </c:extLst>
          </c:dPt>
          <c:dPt>
            <c:idx val="1"/>
            <c:bubble3D val="0"/>
            <c:spPr>
              <a:solidFill>
                <a:srgbClr val="DA58D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1A-4B46-B1FF-5BB6297D807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1A-4B46-B1FF-5BB6297D807F}"/>
              </c:ext>
            </c:extLst>
          </c:dPt>
          <c:dLbls>
            <c:dLbl>
              <c:idx val="0"/>
              <c:layout>
                <c:manualLayout>
                  <c:x val="0.16789299414496264"/>
                  <c:y val="-0.1367986144589069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1A-4B46-B1FF-5BB6297D807F}"/>
                </c:ext>
              </c:extLst>
            </c:dLbl>
            <c:dLbl>
              <c:idx val="1"/>
              <c:layout>
                <c:manualLayout>
                  <c:x val="-8.826630325055522E-2"/>
                  <c:y val="1.910868284321602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1A-4B46-B1FF-5BB6297D807F}"/>
                </c:ext>
              </c:extLst>
            </c:dLbl>
            <c:dLbl>
              <c:idx val="2"/>
              <c:layout>
                <c:manualLayout>
                  <c:x val="0.21733595800524935"/>
                  <c:y val="-1.946542396486153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1A-4B46-B1FF-5BB6297D807F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'מוצרים ומשפחות'!$G$2:$I$2</c:f>
              <c:strCache>
                <c:ptCount val="3"/>
                <c:pt idx="0">
                  <c:v>שייקים</c:v>
                </c:pt>
                <c:pt idx="1">
                  <c:v>מיצים</c:v>
                </c:pt>
                <c:pt idx="2">
                  <c:v>קערות פרי</c:v>
                </c:pt>
              </c:strCache>
            </c:strRef>
          </c:cat>
          <c:val>
            <c:numRef>
              <c:f>'מוצרים ומשפחות'!$G$4:$I$4</c:f>
              <c:numCache>
                <c:formatCode>"₪"#,##0.00</c:formatCode>
                <c:ptCount val="3"/>
                <c:pt idx="0">
                  <c:v>2529510</c:v>
                </c:pt>
                <c:pt idx="1">
                  <c:v>97584</c:v>
                </c:pt>
                <c:pt idx="2">
                  <c:v>138278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1A-4B46-B1FF-5BB6297D8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2">
            <a:lumMod val="20000"/>
            <a:lumOff val="80000"/>
          </a:schemeClr>
        </a:gs>
        <a:gs pos="74000">
          <a:srgbClr val="D6A300"/>
        </a:gs>
        <a:gs pos="83000">
          <a:schemeClr val="accent2">
            <a:lumMod val="40000"/>
            <a:lumOff val="60000"/>
          </a:schemeClr>
        </a:gs>
        <a:gs pos="99000">
          <a:schemeClr val="accent2">
            <a:lumMod val="60000"/>
            <a:lumOff val="4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פדיון המוצרים המובילים בסניף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1485573971761818E-2"/>
          <c:y val="0.32709113607990015"/>
          <c:w val="0.90814349173204179"/>
          <c:h val="0.67290886392009985"/>
        </c:manualLayout>
      </c:layout>
      <c:pie3DChart>
        <c:varyColors val="1"/>
        <c:ser>
          <c:idx val="0"/>
          <c:order val="0"/>
          <c:tx>
            <c:strRef>
              <c:f>'מוצרים מובילים'!$J$28</c:f>
              <c:strCache>
                <c:ptCount val="1"/>
                <c:pt idx="0">
                  <c:v>ערך צריכה כולל
N*b</c:v>
                </c:pt>
              </c:strCache>
            </c:strRef>
          </c:tx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24-4C30-B7DE-3F7EB9BF7DE4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24-4C30-B7DE-3F7EB9BF7DE4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C44-416F-9217-A9EDEEDB105B}"/>
              </c:ext>
            </c:extLst>
          </c:dPt>
          <c:dPt>
            <c:idx val="3"/>
            <c:bubble3D val="0"/>
            <c:spPr>
              <a:solidFill>
                <a:srgbClr val="F0EA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624-4C30-B7DE-3F7EB9BF7DE4}"/>
              </c:ext>
            </c:extLst>
          </c:dPt>
          <c:dPt>
            <c:idx val="4"/>
            <c:bubble3D val="0"/>
            <c:spPr>
              <a:solidFill>
                <a:srgbClr val="FF4F4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624-4C30-B7DE-3F7EB9BF7DE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'מוצרים מובילים'!$D$29:$D$33</c:f>
              <c:strCache>
                <c:ptCount val="5"/>
                <c:pt idx="0">
                  <c:v>super green</c:v>
                </c:pt>
                <c:pt idx="1">
                  <c:v>mix halva</c:v>
                </c:pt>
                <c:pt idx="2">
                  <c:v>rejoy</c:v>
                </c:pt>
                <c:pt idx="3">
                  <c:v>relax</c:v>
                </c:pt>
                <c:pt idx="4">
                  <c:v>replay</c:v>
                </c:pt>
              </c:strCache>
            </c:strRef>
          </c:cat>
          <c:val>
            <c:numRef>
              <c:f>'מוצרים מובילים'!$J$29:$J$33</c:f>
              <c:numCache>
                <c:formatCode>"₪"#,##0</c:formatCode>
                <c:ptCount val="5"/>
                <c:pt idx="0">
                  <c:v>444192</c:v>
                </c:pt>
                <c:pt idx="1">
                  <c:v>432276</c:v>
                </c:pt>
                <c:pt idx="2">
                  <c:v>419352</c:v>
                </c:pt>
                <c:pt idx="3">
                  <c:v>303648</c:v>
                </c:pt>
                <c:pt idx="4">
                  <c:v>272064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4-416F-9217-A9EDEEDB105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קו</a:t>
            </a:r>
            <a:r>
              <a:rPr lang="he-IL" baseline="0"/>
              <a:t> הרגרסיה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תחזיות!$D$26</c:f>
              <c:strCache>
                <c:ptCount val="1"/>
                <c:pt idx="0">
                  <c:v>תחזית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C0000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תחזיות!$B$28:$B$32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2021</c:v>
                </c:pt>
              </c:numCache>
            </c:numRef>
          </c:cat>
          <c:val>
            <c:numRef>
              <c:f>תחזיות!$D$28:$D$32</c:f>
              <c:numCache>
                <c:formatCode>#,##0.00</c:formatCode>
                <c:ptCount val="5"/>
                <c:pt idx="0">
                  <c:v>10527.2</c:v>
                </c:pt>
                <c:pt idx="1">
                  <c:v>12285.9</c:v>
                </c:pt>
                <c:pt idx="2">
                  <c:v>14044.599999999999</c:v>
                </c:pt>
                <c:pt idx="3">
                  <c:v>15803.3</c:v>
                </c:pt>
                <c:pt idx="4">
                  <c:v>17562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D-49DF-86AD-0F3864FC2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50240"/>
        <c:axId val="159751488"/>
      </c:lineChart>
      <c:catAx>
        <c:axId val="159750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1"/>
                  <a:t>שנים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9751488"/>
        <c:crosses val="autoZero"/>
        <c:auto val="1"/>
        <c:lblAlgn val="ctr"/>
        <c:lblOffset val="100"/>
        <c:noMultiLvlLbl val="0"/>
      </c:catAx>
      <c:valAx>
        <c:axId val="159751488"/>
        <c:scaling>
          <c:orientation val="minMax"/>
          <c:max val="20000"/>
          <c:min val="5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1"/>
                  <a:t>ביקוש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97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600" b="1">
                <a:solidFill>
                  <a:schemeClr val="bg1">
                    <a:lumMod val="95000"/>
                  </a:schemeClr>
                </a:solidFill>
              </a:rPr>
              <a:t>התפלגות</a:t>
            </a:r>
            <a:r>
              <a:rPr lang="he-IL" sz="1600" b="1" baseline="0">
                <a:solidFill>
                  <a:schemeClr val="bg1">
                    <a:lumMod val="95000"/>
                  </a:schemeClr>
                </a:solidFill>
              </a:rPr>
              <a:t> מכירות לשנת 2021 לפי עונות</a:t>
            </a:r>
            <a:endParaRPr lang="he-IL" sz="1600" b="1">
              <a:solidFill>
                <a:schemeClr val="bg1">
                  <a:lumMod val="9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759-46B0-9B27-51C88C30C067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463-44C2-AEC4-BA47852EC80F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463-44C2-AEC4-BA47852EC80F}"/>
              </c:ext>
            </c:extLst>
          </c:dPt>
          <c:dPt>
            <c:idx val="3"/>
            <c:bubble3D val="0"/>
            <c:spPr>
              <a:solidFill>
                <a:srgbClr val="9A666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463-44C2-AEC4-BA47852EC8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תחזיות!$M$88:$M$91</c:f>
              <c:strCache>
                <c:ptCount val="4"/>
                <c:pt idx="0">
                  <c:v>חורף</c:v>
                </c:pt>
                <c:pt idx="1">
                  <c:v>אביב</c:v>
                </c:pt>
                <c:pt idx="2">
                  <c:v>קיץ</c:v>
                </c:pt>
                <c:pt idx="3">
                  <c:v>סתיו</c:v>
                </c:pt>
              </c:strCache>
            </c:strRef>
          </c:cat>
          <c:val>
            <c:numRef>
              <c:f>תחזיות!$N$88:$N$91</c:f>
              <c:numCache>
                <c:formatCode>#,##0.00</c:formatCode>
                <c:ptCount val="4"/>
                <c:pt idx="0">
                  <c:v>3190.9875790595097</c:v>
                </c:pt>
                <c:pt idx="1">
                  <c:v>4692.7551449887078</c:v>
                </c:pt>
                <c:pt idx="2">
                  <c:v>5455.1932493419999</c:v>
                </c:pt>
                <c:pt idx="3">
                  <c:v>4223.0640266097835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3-44C2-AEC4-BA47852EC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C198E0"/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rgbClr val="F0B6DF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133350</xdr:rowOff>
    </xdr:from>
    <xdr:ext cx="65" cy="172227"/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E07AF7D1-3261-4309-A809-6D349C594D2B}"/>
            </a:ext>
          </a:extLst>
        </xdr:cNvPr>
        <xdr:cNvSpPr txBox="1"/>
      </xdr:nvSpPr>
      <xdr:spPr>
        <a:xfrm>
          <a:off x="9982474255" y="16878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6</xdr:col>
      <xdr:colOff>0</xdr:colOff>
      <xdr:row>5</xdr:row>
      <xdr:rowOff>133350</xdr:rowOff>
    </xdr:from>
    <xdr:ext cx="65" cy="172227"/>
    <xdr:sp macro="" textlink="">
      <xdr:nvSpPr>
        <xdr:cNvPr id="3" name="תיבת טקסט 2">
          <a:extLst>
            <a:ext uri="{FF2B5EF4-FFF2-40B4-BE49-F238E27FC236}">
              <a16:creationId xmlns:a16="http://schemas.microsoft.com/office/drawing/2014/main" id="{F3432362-5367-45D4-A0E7-434C65F920E2}"/>
            </a:ext>
          </a:extLst>
        </xdr:cNvPr>
        <xdr:cNvSpPr txBox="1"/>
      </xdr:nvSpPr>
      <xdr:spPr>
        <a:xfrm>
          <a:off x="9982474255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14</xdr:col>
      <xdr:colOff>335280</xdr:colOff>
      <xdr:row>4</xdr:row>
      <xdr:rowOff>133350</xdr:rowOff>
    </xdr:from>
    <xdr:ext cx="65" cy="172227"/>
    <xdr:sp macro="" textlink="">
      <xdr:nvSpPr>
        <xdr:cNvPr id="4" name="תיבת טקסט 3">
          <a:extLst>
            <a:ext uri="{FF2B5EF4-FFF2-40B4-BE49-F238E27FC236}">
              <a16:creationId xmlns:a16="http://schemas.microsoft.com/office/drawing/2014/main" id="{312F624A-4422-4A5C-84A7-67F8C81B1C4C}"/>
            </a:ext>
          </a:extLst>
        </xdr:cNvPr>
        <xdr:cNvSpPr txBox="1"/>
      </xdr:nvSpPr>
      <xdr:spPr>
        <a:xfrm>
          <a:off x="9982474255" y="16878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14</xdr:col>
      <xdr:colOff>335280</xdr:colOff>
      <xdr:row>5</xdr:row>
      <xdr:rowOff>133350</xdr:rowOff>
    </xdr:from>
    <xdr:ext cx="65" cy="172227"/>
    <xdr:sp macro="" textlink="">
      <xdr:nvSpPr>
        <xdr:cNvPr id="5" name="תיבת טקסט 4">
          <a:extLst>
            <a:ext uri="{FF2B5EF4-FFF2-40B4-BE49-F238E27FC236}">
              <a16:creationId xmlns:a16="http://schemas.microsoft.com/office/drawing/2014/main" id="{F76E1ECD-FECE-462F-94EE-AF25D06E53AA}"/>
            </a:ext>
          </a:extLst>
        </xdr:cNvPr>
        <xdr:cNvSpPr txBox="1"/>
      </xdr:nvSpPr>
      <xdr:spPr>
        <a:xfrm>
          <a:off x="9982474255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133350</xdr:rowOff>
    </xdr:from>
    <xdr:ext cx="65" cy="172227"/>
    <xdr:sp macro="" textlink="">
      <xdr:nvSpPr>
        <xdr:cNvPr id="3" name="תיבת טקסט 2">
          <a:extLst>
            <a:ext uri="{FF2B5EF4-FFF2-40B4-BE49-F238E27FC236}">
              <a16:creationId xmlns:a16="http://schemas.microsoft.com/office/drawing/2014/main" id="{9AA39FBC-6DC9-4656-AE30-C56C3A29875A}"/>
            </a:ext>
          </a:extLst>
        </xdr:cNvPr>
        <xdr:cNvSpPr txBox="1"/>
      </xdr:nvSpPr>
      <xdr:spPr>
        <a:xfrm>
          <a:off x="9985324135" y="1192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12</xdr:col>
      <xdr:colOff>335280</xdr:colOff>
      <xdr:row>22</xdr:row>
      <xdr:rowOff>133350</xdr:rowOff>
    </xdr:from>
    <xdr:ext cx="65" cy="172227"/>
    <xdr:sp macro="" textlink="">
      <xdr:nvSpPr>
        <xdr:cNvPr id="4" name="תיבת טקסט 3">
          <a:extLst>
            <a:ext uri="{FF2B5EF4-FFF2-40B4-BE49-F238E27FC236}">
              <a16:creationId xmlns:a16="http://schemas.microsoft.com/office/drawing/2014/main" id="{A5019300-8CB3-4C17-922F-494044A92CC8}"/>
            </a:ext>
          </a:extLst>
        </xdr:cNvPr>
        <xdr:cNvSpPr txBox="1"/>
      </xdr:nvSpPr>
      <xdr:spPr>
        <a:xfrm>
          <a:off x="9978816655" y="1009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12</xdr:col>
      <xdr:colOff>335280</xdr:colOff>
      <xdr:row>17</xdr:row>
      <xdr:rowOff>133350</xdr:rowOff>
    </xdr:from>
    <xdr:ext cx="65" cy="172227"/>
    <xdr:sp macro="" textlink="">
      <xdr:nvSpPr>
        <xdr:cNvPr id="5" name="תיבת טקסט 4">
          <a:extLst>
            <a:ext uri="{FF2B5EF4-FFF2-40B4-BE49-F238E27FC236}">
              <a16:creationId xmlns:a16="http://schemas.microsoft.com/office/drawing/2014/main" id="{49282367-FE46-451E-A607-36575F9C6C30}"/>
            </a:ext>
          </a:extLst>
        </xdr:cNvPr>
        <xdr:cNvSpPr txBox="1"/>
      </xdr:nvSpPr>
      <xdr:spPr>
        <a:xfrm>
          <a:off x="9978816655" y="1192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133350</xdr:rowOff>
    </xdr:from>
    <xdr:ext cx="65" cy="172227"/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B24D8688-D18D-492A-A3DF-88D07907CA8E}"/>
            </a:ext>
          </a:extLst>
        </xdr:cNvPr>
        <xdr:cNvSpPr txBox="1"/>
      </xdr:nvSpPr>
      <xdr:spPr>
        <a:xfrm>
          <a:off x="9986573815" y="14439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13</xdr:col>
      <xdr:colOff>335280</xdr:colOff>
      <xdr:row>16</xdr:row>
      <xdr:rowOff>133350</xdr:rowOff>
    </xdr:from>
    <xdr:ext cx="65" cy="172227"/>
    <xdr:sp macro="" textlink="">
      <xdr:nvSpPr>
        <xdr:cNvPr id="3" name="תיבת טקסט 2">
          <a:extLst>
            <a:ext uri="{FF2B5EF4-FFF2-40B4-BE49-F238E27FC236}">
              <a16:creationId xmlns:a16="http://schemas.microsoft.com/office/drawing/2014/main" id="{81E9FBEE-77C2-49A6-B3CF-C2D086206BBC}"/>
            </a:ext>
          </a:extLst>
        </xdr:cNvPr>
        <xdr:cNvSpPr txBox="1"/>
      </xdr:nvSpPr>
      <xdr:spPr>
        <a:xfrm>
          <a:off x="9979426255" y="4552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  <xdr:oneCellAnchor>
    <xdr:from>
      <xdr:col>13</xdr:col>
      <xdr:colOff>335280</xdr:colOff>
      <xdr:row>22</xdr:row>
      <xdr:rowOff>133350</xdr:rowOff>
    </xdr:from>
    <xdr:ext cx="65" cy="172227"/>
    <xdr:sp macro="" textlink="">
      <xdr:nvSpPr>
        <xdr:cNvPr id="4" name="תיבת טקסט 3">
          <a:extLst>
            <a:ext uri="{FF2B5EF4-FFF2-40B4-BE49-F238E27FC236}">
              <a16:creationId xmlns:a16="http://schemas.microsoft.com/office/drawing/2014/main" id="{817A977F-DF80-47D3-8D46-CE60A459A4F5}"/>
            </a:ext>
          </a:extLst>
        </xdr:cNvPr>
        <xdr:cNvSpPr txBox="1"/>
      </xdr:nvSpPr>
      <xdr:spPr>
        <a:xfrm>
          <a:off x="9979426255" y="3638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IL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662940</xdr:colOff>
      <xdr:row>5</xdr:row>
      <xdr:rowOff>156210</xdr:rowOff>
    </xdr:from>
    <xdr:to>
      <xdr:col>10</xdr:col>
      <xdr:colOff>15240</xdr:colOff>
      <xdr:row>22</xdr:row>
      <xdr:rowOff>7620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543BD41-99B5-4A96-9CA6-122D887E0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22860</xdr:colOff>
      <xdr:row>38</xdr:row>
      <xdr:rowOff>171450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1585E3D0-B0C0-4B9A-BD85-3EDEBD9F4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23</xdr:row>
      <xdr:rowOff>175260</xdr:rowOff>
    </xdr:from>
    <xdr:to>
      <xdr:col>20</xdr:col>
      <xdr:colOff>7620</xdr:colOff>
      <xdr:row>33</xdr:row>
      <xdr:rowOff>15240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1585F150-6488-49CE-AD0E-5986E8135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421957</xdr:colOff>
      <xdr:row>1</xdr:row>
      <xdr:rowOff>0</xdr:rowOff>
    </xdr:from>
    <xdr:to>
      <xdr:col>15</xdr:col>
      <xdr:colOff>342900</xdr:colOff>
      <xdr:row>11</xdr:row>
      <xdr:rowOff>0</xdr:rowOff>
    </xdr:to>
    <xdr:pic>
      <xdr:nvPicPr>
        <xdr:cNvPr id="4" name="Picture 10">
          <a:extLst>
            <a:ext uri="{FF2B5EF4-FFF2-40B4-BE49-F238E27FC236}">
              <a16:creationId xmlns:a16="http://schemas.microsoft.com/office/drawing/2014/main" id="{6D1EAC00-9E57-4053-9E0B-69B18E653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3173500" y="180975"/>
          <a:ext cx="1940243" cy="1724025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1</xdr:row>
      <xdr:rowOff>131846</xdr:rowOff>
    </xdr:from>
    <xdr:to>
      <xdr:col>15</xdr:col>
      <xdr:colOff>126882</xdr:colOff>
      <xdr:row>4</xdr:row>
      <xdr:rowOff>82627</xdr:rowOff>
    </xdr:to>
    <xdr:sp macro="" textlink="$D$32">
      <xdr:nvSpPr>
        <xdr:cNvPr id="5" name="TextBox 114" descr="Milestone title">
          <a:extLst>
            <a:ext uri="{FF2B5EF4-FFF2-40B4-BE49-F238E27FC236}">
              <a16:creationId xmlns:a16="http://schemas.microsoft.com/office/drawing/2014/main" id="{1CF17AEB-DCC8-4ABB-BFEE-2480101DB2D2}"/>
            </a:ext>
          </a:extLst>
        </xdr:cNvPr>
        <xdr:cNvSpPr txBox="1"/>
      </xdr:nvSpPr>
      <xdr:spPr>
        <a:xfrm>
          <a:off x="10913389518" y="312821"/>
          <a:ext cx="1403232" cy="4746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prstTxWarp prst="textArchUp">
            <a:avLst/>
          </a:prstTxWarp>
        </a:bodyPr>
        <a:lstStyle/>
        <a:p>
          <a:pPr algn="ctr"/>
          <a:fld id="{4CFA257F-83E9-467F-9615-A008D0FF86DA}" type="TxLink">
            <a:rPr lang="en-US" sz="11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relax</a:t>
          </a:fld>
          <a:endParaRPr lang="en-US" sz="1200" b="0" i="0" u="none" strike="noStrike">
            <a:solidFill>
              <a:srgbClr val="000000"/>
            </a:solidFill>
            <a:latin typeface="+mj-lt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16</xdr:col>
      <xdr:colOff>590550</xdr:colOff>
      <xdr:row>1</xdr:row>
      <xdr:rowOff>9525</xdr:rowOff>
    </xdr:from>
    <xdr:to>
      <xdr:col>20</xdr:col>
      <xdr:colOff>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8A7C0C-8630-480E-8168-603CCE6DD8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" t="1322" r="11621" b="480"/>
        <a:stretch/>
      </xdr:blipFill>
      <xdr:spPr>
        <a:xfrm>
          <a:off x="10910697000" y="190500"/>
          <a:ext cx="1685925" cy="171450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1</xdr:row>
      <xdr:rowOff>9525</xdr:rowOff>
    </xdr:from>
    <xdr:to>
      <xdr:col>11</xdr:col>
      <xdr:colOff>447675</xdr:colOff>
      <xdr:row>11</xdr:row>
      <xdr:rowOff>0</xdr:rowOff>
    </xdr:to>
    <xdr:grpSp>
      <xdr:nvGrpSpPr>
        <xdr:cNvPr id="15" name="קבוצה 14">
          <a:extLst>
            <a:ext uri="{FF2B5EF4-FFF2-40B4-BE49-F238E27FC236}">
              <a16:creationId xmlns:a16="http://schemas.microsoft.com/office/drawing/2014/main" id="{1E3C6843-CEFA-4D60-B07C-4D05C92ABCEA}"/>
            </a:ext>
          </a:extLst>
        </xdr:cNvPr>
        <xdr:cNvGrpSpPr/>
      </xdr:nvGrpSpPr>
      <xdr:grpSpPr>
        <a:xfrm>
          <a:off x="10977983505" y="192405"/>
          <a:ext cx="1708785" cy="1750695"/>
          <a:chOff x="10915630950" y="190500"/>
          <a:chExt cx="1704975" cy="17145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4E3E7313-CFF9-45B9-81FE-B49B00F872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5630950" y="190500"/>
            <a:ext cx="1704975" cy="1714500"/>
          </a:xfrm>
          <a:prstGeom prst="rect">
            <a:avLst/>
          </a:prstGeom>
        </xdr:spPr>
      </xdr:pic>
      <xdr:sp macro="" textlink="$D$31">
        <xdr:nvSpPr>
          <xdr:cNvPr id="10" name="TextBox 110" descr="Milestone title">
            <a:extLst>
              <a:ext uri="{FF2B5EF4-FFF2-40B4-BE49-F238E27FC236}">
                <a16:creationId xmlns:a16="http://schemas.microsoft.com/office/drawing/2014/main" id="{99640F3F-85C7-4104-87FC-25CA735F9CCF}"/>
              </a:ext>
            </a:extLst>
          </xdr:cNvPr>
          <xdr:cNvSpPr txBox="1"/>
        </xdr:nvSpPr>
        <xdr:spPr>
          <a:xfrm>
            <a:off x="10915832385" y="322346"/>
            <a:ext cx="1239092" cy="3336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prstTxWarp prst="textArchUp">
              <a:avLst/>
            </a:prstTxWarp>
          </a:bodyPr>
          <a:lstStyle/>
          <a:p>
            <a:pPr algn="ctr"/>
            <a:fld id="{023F93DE-E486-4EA2-B424-D536B02B0B18}" type="TxLink">
              <a:rPr lang="en-US" sz="11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rejoy</a:t>
            </a:fld>
            <a:endParaRPr lang="en-US" sz="1200">
              <a:solidFill>
                <a:schemeClr val="accent5">
                  <a:lumMod val="50000"/>
                </a:schemeClr>
              </a:solidFill>
              <a:latin typeface="+mj-lt"/>
              <a:cs typeface="Courier New" panose="02070309020205020404" pitchFamily="49" charset="0"/>
            </a:endParaRPr>
          </a:p>
        </xdr:txBody>
      </xdr:sp>
    </xdr:grpSp>
    <xdr:clientData/>
  </xdr:twoCellAnchor>
  <xdr:twoCellAnchor>
    <xdr:from>
      <xdr:col>4</xdr:col>
      <xdr:colOff>542989</xdr:colOff>
      <xdr:row>1</xdr:row>
      <xdr:rowOff>9525</xdr:rowOff>
    </xdr:from>
    <xdr:to>
      <xdr:col>7</xdr:col>
      <xdr:colOff>476250</xdr:colOff>
      <xdr:row>11</xdr:row>
      <xdr:rowOff>0</xdr:rowOff>
    </xdr:to>
    <xdr:grpSp>
      <xdr:nvGrpSpPr>
        <xdr:cNvPr id="14" name="קבוצה 13">
          <a:extLst>
            <a:ext uri="{FF2B5EF4-FFF2-40B4-BE49-F238E27FC236}">
              <a16:creationId xmlns:a16="http://schemas.microsoft.com/office/drawing/2014/main" id="{A0FAF701-7D77-4363-BD8A-FBAAE4392020}"/>
            </a:ext>
          </a:extLst>
        </xdr:cNvPr>
        <xdr:cNvGrpSpPr/>
      </xdr:nvGrpSpPr>
      <xdr:grpSpPr>
        <a:xfrm>
          <a:off x="10980454290" y="192405"/>
          <a:ext cx="1838261" cy="1750695"/>
          <a:chOff x="10918097925" y="190500"/>
          <a:chExt cx="1838261" cy="1714500"/>
        </a:xfrm>
      </xdr:grpSpPr>
      <xdr:pic>
        <xdr:nvPicPr>
          <xdr:cNvPr id="7" name="Picture 4">
            <a:extLst>
              <a:ext uri="{FF2B5EF4-FFF2-40B4-BE49-F238E27FC236}">
                <a16:creationId xmlns:a16="http://schemas.microsoft.com/office/drawing/2014/main" id="{1C0DA03F-BFAA-48B4-B6B2-01F80A8DE8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8097925" y="190500"/>
            <a:ext cx="1838261" cy="1714500"/>
          </a:xfrm>
          <a:prstGeom prst="rect">
            <a:avLst/>
          </a:prstGeom>
        </xdr:spPr>
      </xdr:pic>
      <xdr:sp macro="" textlink="$D$30">
        <xdr:nvSpPr>
          <xdr:cNvPr id="11" name="TextBox 111" descr="Milestone title">
            <a:extLst>
              <a:ext uri="{FF2B5EF4-FFF2-40B4-BE49-F238E27FC236}">
                <a16:creationId xmlns:a16="http://schemas.microsoft.com/office/drawing/2014/main" id="{CFC8B9CA-DDC4-4925-88CE-3CA18C82D15B}"/>
              </a:ext>
            </a:extLst>
          </xdr:cNvPr>
          <xdr:cNvSpPr txBox="1"/>
        </xdr:nvSpPr>
        <xdr:spPr>
          <a:xfrm>
            <a:off x="10918438728" y="284246"/>
            <a:ext cx="1116522" cy="4396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prstTxWarp prst="textArchUp">
              <a:avLst/>
            </a:prstTxWarp>
          </a:bodyPr>
          <a:lstStyle/>
          <a:p>
            <a:pPr algn="ctr"/>
            <a:fld id="{12A25ED1-00A1-4AB9-9E32-CC2F2AE7F9D1}" type="TxLink">
              <a:rPr lang="en-US" sz="11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mix halva</a:t>
            </a:fld>
            <a:endParaRPr lang="en-US" sz="1200">
              <a:solidFill>
                <a:schemeClr val="accent5">
                  <a:lumMod val="50000"/>
                </a:schemeClr>
              </a:solidFill>
              <a:latin typeface="+mj-lt"/>
              <a:cs typeface="Courier New" panose="02070309020205020404" pitchFamily="49" charset="0"/>
            </a:endParaRPr>
          </a:p>
        </xdr:txBody>
      </xdr:sp>
    </xdr:grpSp>
    <xdr:clientData/>
  </xdr:twoCellAnchor>
  <xdr:twoCellAnchor>
    <xdr:from>
      <xdr:col>1</xdr:col>
      <xdr:colOff>114299</xdr:colOff>
      <xdr:row>1</xdr:row>
      <xdr:rowOff>9525</xdr:rowOff>
    </xdr:from>
    <xdr:to>
      <xdr:col>4</xdr:col>
      <xdr:colOff>152400</xdr:colOff>
      <xdr:row>11</xdr:row>
      <xdr:rowOff>543</xdr:rowOff>
    </xdr:to>
    <xdr:grpSp>
      <xdr:nvGrpSpPr>
        <xdr:cNvPr id="2" name="קבוצה 1">
          <a:extLst>
            <a:ext uri="{FF2B5EF4-FFF2-40B4-BE49-F238E27FC236}">
              <a16:creationId xmlns:a16="http://schemas.microsoft.com/office/drawing/2014/main" id="{8512FEF8-34E2-495B-906D-609FAFD39F63}"/>
            </a:ext>
          </a:extLst>
        </xdr:cNvPr>
        <xdr:cNvGrpSpPr/>
      </xdr:nvGrpSpPr>
      <xdr:grpSpPr>
        <a:xfrm>
          <a:off x="10982683140" y="192405"/>
          <a:ext cx="1668781" cy="1751238"/>
          <a:chOff x="10920326775" y="190500"/>
          <a:chExt cx="1666876" cy="1715043"/>
        </a:xfrm>
      </xdr:grpSpPr>
      <xdr:pic>
        <xdr:nvPicPr>
          <xdr:cNvPr id="8" name="Picture 2">
            <a:extLst>
              <a:ext uri="{FF2B5EF4-FFF2-40B4-BE49-F238E27FC236}">
                <a16:creationId xmlns:a16="http://schemas.microsoft.com/office/drawing/2014/main" id="{EE149E1D-48E9-4772-9834-FBBA5186575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811"/>
          <a:stretch/>
        </xdr:blipFill>
        <xdr:spPr>
          <a:xfrm>
            <a:off x="10920326775" y="190500"/>
            <a:ext cx="1666876" cy="1715043"/>
          </a:xfrm>
          <a:prstGeom prst="rect">
            <a:avLst/>
          </a:prstGeom>
        </xdr:spPr>
      </xdr:pic>
      <xdr:sp macro="" textlink="$D$29">
        <xdr:nvSpPr>
          <xdr:cNvPr id="12" name="TextBox 112" descr="Milestone title">
            <a:extLst>
              <a:ext uri="{FF2B5EF4-FFF2-40B4-BE49-F238E27FC236}">
                <a16:creationId xmlns:a16="http://schemas.microsoft.com/office/drawing/2014/main" id="{185B565B-BCCC-459A-B864-81255402E5A5}"/>
              </a:ext>
            </a:extLst>
          </xdr:cNvPr>
          <xdr:cNvSpPr txBox="1"/>
        </xdr:nvSpPr>
        <xdr:spPr>
          <a:xfrm>
            <a:off x="10920641211" y="236621"/>
            <a:ext cx="950292" cy="8502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prstTxWarp prst="textArchUp">
              <a:avLst/>
            </a:prstTxWarp>
          </a:bodyPr>
          <a:lstStyle/>
          <a:p>
            <a:pPr algn="ctr"/>
            <a:fld id="{DFBC75D2-1899-45AA-A9FB-C77C2496B747}" type="TxLink">
              <a:rPr lang="en-US" sz="11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super green</a:t>
            </a:fld>
            <a:endParaRPr lang="en-US" sz="1200">
              <a:solidFill>
                <a:schemeClr val="accent5">
                  <a:lumMod val="50000"/>
                </a:schemeClr>
              </a:solidFill>
              <a:latin typeface="+mj-lt"/>
              <a:cs typeface="Courier New" panose="02070309020205020404" pitchFamily="49" charset="0"/>
            </a:endParaRPr>
          </a:p>
        </xdr:txBody>
      </xdr:sp>
    </xdr:grpSp>
    <xdr:clientData/>
  </xdr:twoCellAnchor>
  <xdr:twoCellAnchor>
    <xdr:from>
      <xdr:col>17</xdr:col>
      <xdr:colOff>66675</xdr:colOff>
      <xdr:row>1</xdr:row>
      <xdr:rowOff>123825</xdr:rowOff>
    </xdr:from>
    <xdr:to>
      <xdr:col>19</xdr:col>
      <xdr:colOff>327357</xdr:colOff>
      <xdr:row>6</xdr:row>
      <xdr:rowOff>95879</xdr:rowOff>
    </xdr:to>
    <xdr:sp macro="" textlink="$D$33">
      <xdr:nvSpPr>
        <xdr:cNvPr id="13" name="TextBox 113" descr="Milestone title">
          <a:extLst>
            <a:ext uri="{FF2B5EF4-FFF2-40B4-BE49-F238E27FC236}">
              <a16:creationId xmlns:a16="http://schemas.microsoft.com/office/drawing/2014/main" id="{7DD1B3B6-9B96-4978-8FE9-5EE503C59AA6}"/>
            </a:ext>
          </a:extLst>
        </xdr:cNvPr>
        <xdr:cNvSpPr txBox="1"/>
      </xdr:nvSpPr>
      <xdr:spPr>
        <a:xfrm>
          <a:off x="10910912568" y="304800"/>
          <a:ext cx="1327482" cy="83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prstTxWarp prst="textArchUp">
            <a:avLst/>
          </a:prstTxWarp>
        </a:bodyPr>
        <a:lstStyle/>
        <a:p>
          <a:pPr algn="ctr"/>
          <a:fld id="{9A3B790F-2F10-4020-8699-861008695689}" type="TxLink">
            <a:rPr lang="en-US" sz="11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replay</a:t>
          </a:fld>
          <a:endParaRPr lang="en-US" sz="1200">
            <a:solidFill>
              <a:schemeClr val="accent5">
                <a:lumMod val="50000"/>
              </a:schemeClr>
            </a:solidFill>
            <a:latin typeface="+mj-lt"/>
            <a:cs typeface="Courier New" panose="020703090202050204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0</xdr:rowOff>
    </xdr:from>
    <xdr:to>
      <xdr:col>15</xdr:col>
      <xdr:colOff>647700</xdr:colOff>
      <xdr:row>32</xdr:row>
      <xdr:rowOff>15240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5BF74D8-5A96-4EDC-9B91-7D4F2EE00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273571</xdr:colOff>
      <xdr:row>86</xdr:row>
      <xdr:rowOff>21464</xdr:rowOff>
    </xdr:from>
    <xdr:to>
      <xdr:col>10</xdr:col>
      <xdr:colOff>342258</xdr:colOff>
      <xdr:row>86</xdr:row>
      <xdr:rowOff>21464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FA74E545-8DEE-4379-BCFF-C377C23890BA}"/>
            </a:ext>
          </a:extLst>
        </xdr:cNvPr>
        <xdr:cNvCxnSpPr/>
      </xdr:nvCxnSpPr>
      <xdr:spPr>
        <a:xfrm>
          <a:off x="10979407182" y="12701144"/>
          <a:ext cx="68687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659130</xdr:colOff>
      <xdr:row>83</xdr:row>
      <xdr:rowOff>171450</xdr:rowOff>
    </xdr:from>
    <xdr:to>
      <xdr:col>22</xdr:col>
      <xdr:colOff>647700</xdr:colOff>
      <xdr:row>99</xdr:row>
      <xdr:rowOff>64770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EA2296C4-778F-47F8-A90A-CF3573A1A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7620</xdr:colOff>
      <xdr:row>4</xdr:row>
      <xdr:rowOff>0</xdr:rowOff>
    </xdr:to>
    <xdr:cxnSp macro="">
      <xdr:nvCxnSpPr>
        <xdr:cNvPr id="2" name="מחבר ישר 1">
          <a:extLst>
            <a:ext uri="{FF2B5EF4-FFF2-40B4-BE49-F238E27FC236}">
              <a16:creationId xmlns:a16="http://schemas.microsoft.com/office/drawing/2014/main" id="{5F3467FC-63DC-45D6-8D7C-4B9FC81436CD}"/>
            </a:ext>
          </a:extLst>
        </xdr:cNvPr>
        <xdr:cNvCxnSpPr/>
      </xdr:nvCxnSpPr>
      <xdr:spPr>
        <a:xfrm flipV="1">
          <a:off x="10984092840" y="381000"/>
          <a:ext cx="134874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594360</xdr:colOff>
      <xdr:row>30</xdr:row>
      <xdr:rowOff>186056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D6E8F56C-5BFC-4A77-9781-CCCF9F810331}"/>
            </a:ext>
          </a:extLst>
        </xdr:cNvPr>
        <xdr:cNvCxnSpPr/>
      </xdr:nvCxnSpPr>
      <xdr:spPr>
        <a:xfrm flipV="1">
          <a:off x="10984847220" y="6484620"/>
          <a:ext cx="1264920" cy="391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51</xdr:row>
      <xdr:rowOff>114300</xdr:rowOff>
    </xdr:from>
    <xdr:to>
      <xdr:col>3</xdr:col>
      <xdr:colOff>518160</xdr:colOff>
      <xdr:row>52</xdr:row>
      <xdr:rowOff>182880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D30A7950-A080-4338-9669-17245F7C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4252860" y="11490960"/>
          <a:ext cx="81534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198120</xdr:colOff>
      <xdr:row>41</xdr:row>
      <xdr:rowOff>198120</xdr:rowOff>
    </xdr:from>
    <xdr:to>
      <xdr:col>3</xdr:col>
      <xdr:colOff>594360</xdr:colOff>
      <xdr:row>42</xdr:row>
      <xdr:rowOff>426720</xdr:rowOff>
    </xdr:to>
    <xdr:cxnSp macro="">
      <xdr:nvCxnSpPr>
        <xdr:cNvPr id="5" name="מחבר ישר 4">
          <a:extLst>
            <a:ext uri="{FF2B5EF4-FFF2-40B4-BE49-F238E27FC236}">
              <a16:creationId xmlns:a16="http://schemas.microsoft.com/office/drawing/2014/main" id="{5A253B06-E518-4BFE-856C-676E6D57794E}"/>
            </a:ext>
          </a:extLst>
        </xdr:cNvPr>
        <xdr:cNvCxnSpPr/>
      </xdr:nvCxnSpPr>
      <xdr:spPr>
        <a:xfrm flipV="1">
          <a:off x="10984176660" y="9014460"/>
          <a:ext cx="1950720" cy="4343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25</xdr:row>
      <xdr:rowOff>7620</xdr:rowOff>
    </xdr:from>
    <xdr:ext cx="2933700" cy="690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תיבת טקסט 1">
              <a:extLst>
                <a:ext uri="{FF2B5EF4-FFF2-40B4-BE49-F238E27FC236}">
                  <a16:creationId xmlns:a16="http://schemas.microsoft.com/office/drawing/2014/main" id="{0D50078B-A327-449A-B590-3BA6BD37566B}"/>
                </a:ext>
              </a:extLst>
            </xdr:cNvPr>
            <xdr:cNvSpPr txBox="1"/>
          </xdr:nvSpPr>
          <xdr:spPr>
            <a:xfrm flipH="1">
              <a:off x="10982614560" y="4671060"/>
              <a:ext cx="2933700" cy="690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>
                        <a:solidFill>
                          <a:schemeClr val="accent1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he-IL" sz="2000" b="1" i="1">
                        <a:solidFill>
                          <a:schemeClr val="accent1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ממוצע</m:t>
                    </m:r>
                    <m:r>
                      <a:rPr lang="he-IL" sz="2000" b="1" i="1">
                        <a:solidFill>
                          <a:schemeClr val="accent1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he-IL" sz="2000" b="0" i="1">
                        <a:solidFill>
                          <a:schemeClr val="accent1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מחיר</m:t>
                    </m:r>
                    <m:r>
                      <a:rPr lang="en-US" sz="2000" b="1" i="1">
                        <a:solidFill>
                          <a:schemeClr val="accent1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L" sz="2000" b="1" i="1">
                            <a:solidFill>
                              <a:schemeClr val="accent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L" sz="2000" b="1" i="1">
                            <a:solidFill>
                              <a:schemeClr val="accent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𝜮</m:t>
                        </m:r>
                        <m:d>
                          <m:dPr>
                            <m:ctrlPr>
                              <a:rPr lang="en-IL" sz="2000" b="1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he-IL" sz="2000" b="1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L" sz="2000" b="1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he-IL" sz="2000" b="1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%</m:t>
                                </m:r>
                              </m:sub>
                            </m:sSub>
                            <m:r>
                              <a:rPr lang="en-IL" sz="2000" b="1" i="0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⋅</m:t>
                            </m:r>
                            <m:sSub>
                              <m:sSubPr>
                                <m:ctrlPr>
                                  <a:rPr lang="he-IL" sz="2000" b="1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L" sz="2000" b="1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he-IL" sz="2000" b="1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₪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IL" sz="2000" b="1" i="1">
                            <a:solidFill>
                              <a:schemeClr val="accent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𝜮</m:t>
                        </m:r>
                        <m:r>
                          <a:rPr lang="en-US" sz="2000" b="1" i="1">
                            <a:solidFill>
                              <a:schemeClr val="accent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</m:den>
                    </m:f>
                  </m:oMath>
                </m:oMathPara>
              </a14:m>
              <a:endParaRPr lang="he-IL" sz="2000" b="1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תיבת טקסט 1">
              <a:extLst>
                <a:ext uri="{FF2B5EF4-FFF2-40B4-BE49-F238E27FC236}">
                  <a16:creationId xmlns:a16="http://schemas.microsoft.com/office/drawing/2014/main" id="{0D50078B-A327-449A-B590-3BA6BD37566B}"/>
                </a:ext>
              </a:extLst>
            </xdr:cNvPr>
            <xdr:cNvSpPr txBox="1"/>
          </xdr:nvSpPr>
          <xdr:spPr>
            <a:xfrm flipH="1">
              <a:off x="10982614560" y="4671060"/>
              <a:ext cx="2933700" cy="690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 </a:t>
              </a:r>
              <a:r>
                <a:rPr lang="he-IL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ממוצע </a:t>
              </a:r>
              <a:r>
                <a:rPr lang="he-IL" sz="2000" b="0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מחיר</a:t>
              </a:r>
              <a:r>
                <a:rPr lang="en-US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=</a:t>
              </a:r>
              <a:r>
                <a:rPr lang="en-IL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𝜮(𝒇</a:t>
              </a:r>
              <a:r>
                <a:rPr lang="he-IL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_%</a:t>
              </a:r>
              <a:r>
                <a:rPr lang="en-IL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⋅𝒃</a:t>
              </a:r>
              <a:r>
                <a:rPr lang="he-IL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_₪ )</a:t>
              </a:r>
              <a:r>
                <a:rPr lang="en-IL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/𝜮</a:t>
              </a:r>
              <a:r>
                <a:rPr lang="en-US" sz="2000" b="1" i="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𝒇</a:t>
              </a:r>
              <a:endParaRPr lang="he-IL" sz="2000" b="1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7620</xdr:colOff>
      <xdr:row>4</xdr:row>
      <xdr:rowOff>0</xdr:rowOff>
    </xdr:to>
    <xdr:cxnSp macro="">
      <xdr:nvCxnSpPr>
        <xdr:cNvPr id="2" name="מחבר ישר 1">
          <a:extLst>
            <a:ext uri="{FF2B5EF4-FFF2-40B4-BE49-F238E27FC236}">
              <a16:creationId xmlns:a16="http://schemas.microsoft.com/office/drawing/2014/main" id="{CB812A09-52F8-4888-8A55-8DE5294267B4}"/>
            </a:ext>
          </a:extLst>
        </xdr:cNvPr>
        <xdr:cNvCxnSpPr/>
      </xdr:nvCxnSpPr>
      <xdr:spPr>
        <a:xfrm flipV="1">
          <a:off x="10984092840" y="381000"/>
          <a:ext cx="134874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594360</xdr:colOff>
      <xdr:row>30</xdr:row>
      <xdr:rowOff>186056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3761EBFE-1DAF-410A-896F-51971DA90AB5}"/>
            </a:ext>
          </a:extLst>
        </xdr:cNvPr>
        <xdr:cNvCxnSpPr/>
      </xdr:nvCxnSpPr>
      <xdr:spPr>
        <a:xfrm flipV="1">
          <a:off x="10984847220" y="6423660"/>
          <a:ext cx="1264920" cy="391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51</xdr:row>
      <xdr:rowOff>114300</xdr:rowOff>
    </xdr:from>
    <xdr:to>
      <xdr:col>3</xdr:col>
      <xdr:colOff>518160</xdr:colOff>
      <xdr:row>52</xdr:row>
      <xdr:rowOff>182880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5B2BD563-282A-422D-ADF8-819053AD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4252860" y="11430000"/>
          <a:ext cx="81534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182880</xdr:colOff>
      <xdr:row>41</xdr:row>
      <xdr:rowOff>198120</xdr:rowOff>
    </xdr:from>
    <xdr:to>
      <xdr:col>3</xdr:col>
      <xdr:colOff>579120</xdr:colOff>
      <xdr:row>42</xdr:row>
      <xdr:rowOff>426720</xdr:rowOff>
    </xdr:to>
    <xdr:cxnSp macro="">
      <xdr:nvCxnSpPr>
        <xdr:cNvPr id="5" name="מחבר ישר 4">
          <a:extLst>
            <a:ext uri="{FF2B5EF4-FFF2-40B4-BE49-F238E27FC236}">
              <a16:creationId xmlns:a16="http://schemas.microsoft.com/office/drawing/2014/main" id="{D025817F-CBB9-4A13-978B-3FDEC5B91561}"/>
            </a:ext>
          </a:extLst>
        </xdr:cNvPr>
        <xdr:cNvCxnSpPr/>
      </xdr:nvCxnSpPr>
      <xdr:spPr>
        <a:xfrm flipV="1">
          <a:off x="10984191900" y="8953500"/>
          <a:ext cx="1950720" cy="4343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9093-D388-4930-B0A7-55E25053681E}">
  <dimension ref="A1:Q20"/>
  <sheetViews>
    <sheetView rightToLeft="1" workbookViewId="0">
      <selection activeCell="F21" sqref="F21"/>
    </sheetView>
  </sheetViews>
  <sheetFormatPr defaultRowHeight="13.8" x14ac:dyDescent="0.25"/>
  <cols>
    <col min="1" max="1" width="5.8984375" bestFit="1" customWidth="1"/>
    <col min="3" max="3" width="19.3984375" bestFit="1" customWidth="1"/>
    <col min="4" max="4" width="15.09765625" bestFit="1" customWidth="1"/>
    <col min="6" max="6" width="17.19921875" bestFit="1" customWidth="1"/>
    <col min="9" max="9" width="19.3984375" bestFit="1" customWidth="1"/>
    <col min="12" max="12" width="17.19921875" bestFit="1" customWidth="1"/>
  </cols>
  <sheetData>
    <row r="1" spans="1:17" ht="24.6" x14ac:dyDescent="0.4">
      <c r="A1" s="176" t="s">
        <v>16</v>
      </c>
      <c r="B1" s="177"/>
      <c r="C1" s="177"/>
      <c r="D1" s="177"/>
      <c r="E1" s="177"/>
      <c r="F1" s="177"/>
      <c r="I1" s="178" t="s">
        <v>11</v>
      </c>
      <c r="J1" s="179"/>
      <c r="K1" s="179"/>
      <c r="L1" s="179"/>
      <c r="M1" s="179"/>
      <c r="N1" s="179"/>
      <c r="O1" s="179"/>
      <c r="P1" s="179"/>
      <c r="Q1" s="179"/>
    </row>
    <row r="2" spans="1:17" ht="14.4" customHeight="1" x14ac:dyDescent="0.25">
      <c r="A2" s="1" t="s">
        <v>13</v>
      </c>
      <c r="B2" s="1" t="s">
        <v>14</v>
      </c>
      <c r="C2" s="1" t="s">
        <v>15</v>
      </c>
      <c r="D2" s="2" t="s">
        <v>12</v>
      </c>
      <c r="E2" s="2" t="s">
        <v>2</v>
      </c>
      <c r="F2" s="8" t="s">
        <v>3</v>
      </c>
      <c r="I2" s="183" t="s">
        <v>0</v>
      </c>
      <c r="J2" s="174" t="s">
        <v>4</v>
      </c>
      <c r="K2" s="174" t="s">
        <v>5</v>
      </c>
      <c r="L2" s="175" t="s">
        <v>3</v>
      </c>
      <c r="M2" s="174" t="s">
        <v>7</v>
      </c>
      <c r="N2" s="174" t="s">
        <v>6</v>
      </c>
      <c r="O2" s="175" t="s">
        <v>8</v>
      </c>
      <c r="P2" s="175" t="s">
        <v>17</v>
      </c>
      <c r="Q2" s="175"/>
    </row>
    <row r="3" spans="1:17" x14ac:dyDescent="0.25">
      <c r="A3" s="3">
        <v>1</v>
      </c>
      <c r="B3" s="3"/>
      <c r="C3" s="3" t="s">
        <v>22</v>
      </c>
      <c r="D3" s="29">
        <v>7724</v>
      </c>
      <c r="E3" s="6">
        <v>24</v>
      </c>
      <c r="F3" s="6">
        <f t="shared" ref="F3:F17" si="0">E3*D3</f>
        <v>185376</v>
      </c>
      <c r="I3" s="183"/>
      <c r="J3" s="174"/>
      <c r="K3" s="174"/>
      <c r="L3" s="175"/>
      <c r="M3" s="174"/>
      <c r="N3" s="174"/>
      <c r="O3" s="175"/>
      <c r="P3" s="2" t="s">
        <v>9</v>
      </c>
      <c r="Q3" s="2" t="s">
        <v>10</v>
      </c>
    </row>
    <row r="4" spans="1:17" x14ac:dyDescent="0.25">
      <c r="A4" s="3">
        <v>2</v>
      </c>
      <c r="B4" s="3"/>
      <c r="C4" s="3" t="s">
        <v>23</v>
      </c>
      <c r="D4" s="29">
        <v>9545</v>
      </c>
      <c r="E4" s="6">
        <v>24</v>
      </c>
      <c r="F4" s="6">
        <f t="shared" si="0"/>
        <v>229080</v>
      </c>
      <c r="I4" s="3" t="str">
        <f>C3</f>
        <v>RELEAX</v>
      </c>
      <c r="J4" s="4">
        <f t="shared" ref="J4:J18" si="1">1/COUNTA($A$4:$A$18)</f>
        <v>6.6666666666666666E-2</v>
      </c>
      <c r="K4" s="4">
        <f>J4</f>
        <v>6.6666666666666666E-2</v>
      </c>
      <c r="L4" s="6">
        <f>F3</f>
        <v>185376</v>
      </c>
      <c r="M4" s="4">
        <f>L4/$L$20</f>
        <v>0.16482584348586884</v>
      </c>
      <c r="N4" s="5">
        <f>M4</f>
        <v>0.16482584348586884</v>
      </c>
      <c r="O4" s="3" t="str" cm="1">
        <f t="array" ref="O4">_xlfn.IFS(M4 &gt;= 15%,"A",AND(M4 &lt; 15%,M4 &gt;= 3%),"B",M4 &lt; 3%,"C")</f>
        <v>A</v>
      </c>
      <c r="P4" s="3"/>
      <c r="Q4" s="3"/>
    </row>
    <row r="5" spans="1:17" x14ac:dyDescent="0.25">
      <c r="A5" s="3">
        <v>3</v>
      </c>
      <c r="B5" s="3"/>
      <c r="C5" s="3" t="s">
        <v>24</v>
      </c>
      <c r="D5" s="29">
        <v>9703</v>
      </c>
      <c r="E5" s="6">
        <v>26</v>
      </c>
      <c r="F5" s="6">
        <f t="shared" si="0"/>
        <v>252278</v>
      </c>
      <c r="I5" s="3" t="str">
        <f t="shared" ref="I5:I18" si="2">C4</f>
        <v>REJOY</v>
      </c>
      <c r="J5" s="4">
        <f t="shared" si="1"/>
        <v>6.6666666666666666E-2</v>
      </c>
      <c r="K5" s="4">
        <f>K4+J5</f>
        <v>0.13333333333333333</v>
      </c>
      <c r="L5" s="6">
        <f t="shared" ref="L5:L18" si="3">F4</f>
        <v>229080</v>
      </c>
      <c r="M5" s="4">
        <f t="shared" ref="M5:M18" si="4">L5/$L$20</f>
        <v>0.20368496583021986</v>
      </c>
      <c r="N5" s="5">
        <f>N4+M5</f>
        <v>0.36851080931608871</v>
      </c>
      <c r="O5" s="3" t="str" cm="1">
        <f t="array" ref="O5">_xlfn.IFS(M5 &gt;= 15%,"A",AND(M5 &lt; 15%,M5 &gt;= 3%),"B",M5 &lt; 3%,"C")</f>
        <v>A</v>
      </c>
      <c r="P5" s="3"/>
      <c r="Q5" s="3"/>
    </row>
    <row r="6" spans="1:17" x14ac:dyDescent="0.25">
      <c r="A6" s="3">
        <v>4</v>
      </c>
      <c r="B6" s="3"/>
      <c r="C6" s="3" t="s">
        <v>25</v>
      </c>
      <c r="D6" s="29">
        <v>9234</v>
      </c>
      <c r="E6" s="6">
        <v>28</v>
      </c>
      <c r="F6" s="6">
        <f t="shared" si="0"/>
        <v>258552</v>
      </c>
      <c r="I6" s="3" t="str">
        <f t="shared" si="2"/>
        <v>MIX HALVA</v>
      </c>
      <c r="J6" s="4">
        <f t="shared" si="1"/>
        <v>6.6666666666666666E-2</v>
      </c>
      <c r="K6" s="4">
        <f t="shared" ref="K6:K18" si="5">K5+J6</f>
        <v>0.2</v>
      </c>
      <c r="L6" s="6">
        <f t="shared" si="3"/>
        <v>252278</v>
      </c>
      <c r="M6" s="4">
        <f t="shared" si="4"/>
        <v>0.22431131399387202</v>
      </c>
      <c r="N6" s="5">
        <f t="shared" ref="N6:N18" si="6">N5+M6</f>
        <v>0.59282212330996076</v>
      </c>
      <c r="O6" s="3" t="str" cm="1">
        <f t="array" ref="O6">_xlfn.IFS(M6 &gt;= 15%,"A",AND(M6 &lt; 15%,M6 &gt;= 3%),"B",M6 &lt; 3%,"C")</f>
        <v>A</v>
      </c>
      <c r="P6" s="3"/>
      <c r="Q6" s="3"/>
    </row>
    <row r="7" spans="1:17" x14ac:dyDescent="0.25">
      <c r="A7" s="3">
        <v>5</v>
      </c>
      <c r="B7" s="3"/>
      <c r="C7" s="3" t="s">
        <v>26</v>
      </c>
      <c r="D7" s="29">
        <v>8308</v>
      </c>
      <c r="E7" s="6">
        <v>24</v>
      </c>
      <c r="F7" s="6">
        <f t="shared" si="0"/>
        <v>199392</v>
      </c>
      <c r="I7" s="3" t="str">
        <f t="shared" si="2"/>
        <v>SUPER GREEN</v>
      </c>
      <c r="J7" s="4">
        <f t="shared" si="1"/>
        <v>6.6666666666666666E-2</v>
      </c>
      <c r="K7" s="4">
        <f t="shared" si="5"/>
        <v>0.26666666666666666</v>
      </c>
      <c r="L7" s="6">
        <f t="shared" si="3"/>
        <v>258552</v>
      </c>
      <c r="M7" s="4">
        <f t="shared" si="4"/>
        <v>0.22988979956929895</v>
      </c>
      <c r="N7" s="5">
        <f t="shared" si="6"/>
        <v>0.82271192287925965</v>
      </c>
      <c r="O7" s="3" t="str" cm="1">
        <f t="array" ref="O7">_xlfn.IFS(M7 &gt;= 15%,"A",AND(M7 &lt; 15%,M7 &gt;= 3%),"B",M7 &lt; 3%,"C")</f>
        <v>A</v>
      </c>
      <c r="P7" s="3"/>
      <c r="Q7" s="3"/>
    </row>
    <row r="8" spans="1:17" x14ac:dyDescent="0.25">
      <c r="A8" s="3">
        <v>6</v>
      </c>
      <c r="B8" s="3"/>
      <c r="C8" s="3"/>
      <c r="D8" s="3"/>
      <c r="E8" s="6"/>
      <c r="F8" s="6">
        <f t="shared" si="0"/>
        <v>0</v>
      </c>
      <c r="I8" s="3" t="str">
        <f t="shared" si="2"/>
        <v>REPLAY</v>
      </c>
      <c r="J8" s="4">
        <f t="shared" si="1"/>
        <v>6.6666666666666666E-2</v>
      </c>
      <c r="K8" s="4">
        <f t="shared" si="5"/>
        <v>0.33333333333333331</v>
      </c>
      <c r="L8" s="6">
        <f t="shared" si="3"/>
        <v>199392</v>
      </c>
      <c r="M8" s="4">
        <f t="shared" si="4"/>
        <v>0.17728807712074032</v>
      </c>
      <c r="N8" s="5">
        <f t="shared" si="6"/>
        <v>1</v>
      </c>
      <c r="O8" s="3" t="str" cm="1">
        <f t="array" ref="O8">_xlfn.IFS(M8 &gt;= 15%,"A",AND(M8 &lt; 15%,M8 &gt;= 3%),"B",M8 &lt; 3%,"C")</f>
        <v>A</v>
      </c>
      <c r="P8" s="3"/>
      <c r="Q8" s="3"/>
    </row>
    <row r="9" spans="1:17" x14ac:dyDescent="0.25">
      <c r="A9" s="3">
        <v>7</v>
      </c>
      <c r="B9" s="3"/>
      <c r="C9" s="3"/>
      <c r="D9" s="3"/>
      <c r="E9" s="6"/>
      <c r="F9" s="6">
        <f t="shared" si="0"/>
        <v>0</v>
      </c>
      <c r="I9" s="3">
        <f t="shared" si="2"/>
        <v>0</v>
      </c>
      <c r="J9" s="4">
        <f t="shared" si="1"/>
        <v>6.6666666666666666E-2</v>
      </c>
      <c r="K9" s="4">
        <f t="shared" si="5"/>
        <v>0.39999999999999997</v>
      </c>
      <c r="L9" s="6">
        <f t="shared" si="3"/>
        <v>0</v>
      </c>
      <c r="M9" s="4">
        <f t="shared" si="4"/>
        <v>0</v>
      </c>
      <c r="N9" s="5">
        <f t="shared" si="6"/>
        <v>1</v>
      </c>
      <c r="O9" s="3" t="str" cm="1">
        <f t="array" ref="O9">_xlfn.IFS(M9 &gt;= 15%,"A",AND(M9 &lt; 15%,M9 &gt;= 3%),"B",M9 &lt; 3%,"C")</f>
        <v>C</v>
      </c>
      <c r="P9" s="3"/>
      <c r="Q9" s="3"/>
    </row>
    <row r="10" spans="1:17" x14ac:dyDescent="0.25">
      <c r="A10" s="3">
        <v>8</v>
      </c>
      <c r="B10" s="3"/>
      <c r="C10" s="3"/>
      <c r="D10" s="3"/>
      <c r="E10" s="6"/>
      <c r="F10" s="6">
        <f t="shared" si="0"/>
        <v>0</v>
      </c>
      <c r="I10" s="3">
        <f t="shared" si="2"/>
        <v>0</v>
      </c>
      <c r="J10" s="4">
        <f t="shared" si="1"/>
        <v>6.6666666666666666E-2</v>
      </c>
      <c r="K10" s="4">
        <f t="shared" si="5"/>
        <v>0.46666666666666662</v>
      </c>
      <c r="L10" s="6">
        <f t="shared" si="3"/>
        <v>0</v>
      </c>
      <c r="M10" s="4">
        <f t="shared" si="4"/>
        <v>0</v>
      </c>
      <c r="N10" s="5">
        <f t="shared" si="6"/>
        <v>1</v>
      </c>
      <c r="O10" s="3" t="str" cm="1">
        <f t="array" ref="O10">_xlfn.IFS(M10 &gt;= 15%,"A",AND(M10 &lt; 15%,M10 &gt;= 3%),"B",M10 &lt; 3%,"C")</f>
        <v>C</v>
      </c>
      <c r="P10" s="3"/>
      <c r="Q10" s="3"/>
    </row>
    <row r="11" spans="1:17" x14ac:dyDescent="0.25">
      <c r="A11" s="3">
        <v>9</v>
      </c>
      <c r="B11" s="3"/>
      <c r="C11" s="3"/>
      <c r="D11" s="3"/>
      <c r="E11" s="6"/>
      <c r="F11" s="6">
        <f t="shared" si="0"/>
        <v>0</v>
      </c>
      <c r="I11" s="3">
        <f t="shared" si="2"/>
        <v>0</v>
      </c>
      <c r="J11" s="4">
        <f t="shared" si="1"/>
        <v>6.6666666666666666E-2</v>
      </c>
      <c r="K11" s="4">
        <f t="shared" si="5"/>
        <v>0.53333333333333333</v>
      </c>
      <c r="L11" s="6">
        <f t="shared" si="3"/>
        <v>0</v>
      </c>
      <c r="M11" s="4">
        <f t="shared" si="4"/>
        <v>0</v>
      </c>
      <c r="N11" s="5">
        <f t="shared" si="6"/>
        <v>1</v>
      </c>
      <c r="O11" s="3" t="str" cm="1">
        <f t="array" ref="O11">_xlfn.IFS(M11 &gt;= 15%,"A",AND(M11 &lt; 15%,M11 &gt;= 3%),"B",M11 &lt; 3%,"C")</f>
        <v>C</v>
      </c>
      <c r="P11" s="3"/>
      <c r="Q11" s="3"/>
    </row>
    <row r="12" spans="1:17" x14ac:dyDescent="0.25">
      <c r="A12" s="3">
        <v>10</v>
      </c>
      <c r="B12" s="3"/>
      <c r="C12" s="3"/>
      <c r="D12" s="3"/>
      <c r="E12" s="6"/>
      <c r="F12" s="6">
        <f t="shared" si="0"/>
        <v>0</v>
      </c>
      <c r="I12" s="3">
        <f t="shared" si="2"/>
        <v>0</v>
      </c>
      <c r="J12" s="4">
        <f t="shared" si="1"/>
        <v>6.6666666666666666E-2</v>
      </c>
      <c r="K12" s="4">
        <f t="shared" si="5"/>
        <v>0.6</v>
      </c>
      <c r="L12" s="6">
        <f t="shared" si="3"/>
        <v>0</v>
      </c>
      <c r="M12" s="4">
        <f t="shared" si="4"/>
        <v>0</v>
      </c>
      <c r="N12" s="5">
        <f t="shared" si="6"/>
        <v>1</v>
      </c>
      <c r="O12" s="3" t="str" cm="1">
        <f t="array" ref="O12">_xlfn.IFS(M12 &gt;= 15%,"A",AND(M12 &lt; 15%,M12 &gt;= 3%),"B",M12 &lt; 3%,"C")</f>
        <v>C</v>
      </c>
      <c r="P12" s="3"/>
      <c r="Q12" s="3"/>
    </row>
    <row r="13" spans="1:17" x14ac:dyDescent="0.25">
      <c r="A13" s="3">
        <v>11</v>
      </c>
      <c r="B13" s="3"/>
      <c r="C13" s="3"/>
      <c r="D13" s="3"/>
      <c r="E13" s="6"/>
      <c r="F13" s="6">
        <f t="shared" si="0"/>
        <v>0</v>
      </c>
      <c r="I13" s="3">
        <f t="shared" si="2"/>
        <v>0</v>
      </c>
      <c r="J13" s="4">
        <f t="shared" si="1"/>
        <v>6.6666666666666666E-2</v>
      </c>
      <c r="K13" s="4">
        <f t="shared" si="5"/>
        <v>0.66666666666666663</v>
      </c>
      <c r="L13" s="6">
        <f t="shared" si="3"/>
        <v>0</v>
      </c>
      <c r="M13" s="4">
        <f t="shared" si="4"/>
        <v>0</v>
      </c>
      <c r="N13" s="5">
        <f t="shared" si="6"/>
        <v>1</v>
      </c>
      <c r="O13" s="3" t="str" cm="1">
        <f t="array" ref="O13">_xlfn.IFS(M13 &gt;= 15%,"A",AND(M13 &lt; 15%,M13 &gt;= 3%),"B",M13 &lt; 3%,"C")</f>
        <v>C</v>
      </c>
      <c r="P13" s="3"/>
      <c r="Q13" s="3"/>
    </row>
    <row r="14" spans="1:17" x14ac:dyDescent="0.25">
      <c r="A14" s="3">
        <v>12</v>
      </c>
      <c r="B14" s="3"/>
      <c r="C14" s="3"/>
      <c r="D14" s="3"/>
      <c r="E14" s="6"/>
      <c r="F14" s="6">
        <f t="shared" si="0"/>
        <v>0</v>
      </c>
      <c r="I14" s="3">
        <f t="shared" si="2"/>
        <v>0</v>
      </c>
      <c r="J14" s="4">
        <f t="shared" si="1"/>
        <v>6.6666666666666666E-2</v>
      </c>
      <c r="K14" s="4">
        <f t="shared" si="5"/>
        <v>0.73333333333333328</v>
      </c>
      <c r="L14" s="6">
        <f t="shared" si="3"/>
        <v>0</v>
      </c>
      <c r="M14" s="4">
        <f t="shared" si="4"/>
        <v>0</v>
      </c>
      <c r="N14" s="5">
        <f t="shared" si="6"/>
        <v>1</v>
      </c>
      <c r="O14" s="3" t="str" cm="1">
        <f t="array" ref="O14">_xlfn.IFS(M14 &gt;= 15%,"A",AND(M14 &lt; 15%,M14 &gt;= 3%),"B",M14 &lt; 3%,"C")</f>
        <v>C</v>
      </c>
      <c r="P14" s="3"/>
      <c r="Q14" s="3"/>
    </row>
    <row r="15" spans="1:17" x14ac:dyDescent="0.25">
      <c r="A15" s="3">
        <v>13</v>
      </c>
      <c r="B15" s="3"/>
      <c r="C15" s="3"/>
      <c r="D15" s="3"/>
      <c r="E15" s="6"/>
      <c r="F15" s="6">
        <f t="shared" si="0"/>
        <v>0</v>
      </c>
      <c r="I15" s="3">
        <f t="shared" si="2"/>
        <v>0</v>
      </c>
      <c r="J15" s="4">
        <f t="shared" si="1"/>
        <v>6.6666666666666666E-2</v>
      </c>
      <c r="K15" s="4">
        <f t="shared" si="5"/>
        <v>0.79999999999999993</v>
      </c>
      <c r="L15" s="6">
        <f t="shared" si="3"/>
        <v>0</v>
      </c>
      <c r="M15" s="4">
        <f t="shared" si="4"/>
        <v>0</v>
      </c>
      <c r="N15" s="5">
        <f t="shared" si="6"/>
        <v>1</v>
      </c>
      <c r="O15" s="3" t="str" cm="1">
        <f t="array" ref="O15">_xlfn.IFS(M15 &gt;= 15%,"A",AND(M15 &lt; 15%,M15 &gt;= 3%),"B",M15 &lt; 3%,"C")</f>
        <v>C</v>
      </c>
      <c r="P15" s="3"/>
      <c r="Q15" s="3"/>
    </row>
    <row r="16" spans="1:17" x14ac:dyDescent="0.25">
      <c r="A16" s="3">
        <v>14</v>
      </c>
      <c r="B16" s="3"/>
      <c r="C16" s="3"/>
      <c r="D16" s="3"/>
      <c r="E16" s="6"/>
      <c r="F16" s="6">
        <f t="shared" si="0"/>
        <v>0</v>
      </c>
      <c r="I16" s="3">
        <f t="shared" si="2"/>
        <v>0</v>
      </c>
      <c r="J16" s="4">
        <f t="shared" si="1"/>
        <v>6.6666666666666666E-2</v>
      </c>
      <c r="K16" s="4">
        <f t="shared" si="5"/>
        <v>0.86666666666666659</v>
      </c>
      <c r="L16" s="6">
        <f t="shared" si="3"/>
        <v>0</v>
      </c>
      <c r="M16" s="4">
        <f t="shared" si="4"/>
        <v>0</v>
      </c>
      <c r="N16" s="5">
        <f t="shared" si="6"/>
        <v>1</v>
      </c>
      <c r="O16" s="3" t="str" cm="1">
        <f t="array" ref="O16">_xlfn.IFS(M16 &gt;= 15%,"A",AND(M16 &lt; 15%,M16 &gt;= 3%),"B",M16 &lt; 3%,"C")</f>
        <v>C</v>
      </c>
      <c r="P16" s="3"/>
      <c r="Q16" s="3"/>
    </row>
    <row r="17" spans="1:17" ht="14.4" thickBot="1" x14ac:dyDescent="0.3">
      <c r="A17" s="11">
        <v>15</v>
      </c>
      <c r="B17" s="11"/>
      <c r="C17" s="11"/>
      <c r="D17" s="3"/>
      <c r="E17" s="6"/>
      <c r="F17" s="7">
        <f t="shared" si="0"/>
        <v>0</v>
      </c>
      <c r="I17" s="3">
        <f t="shared" si="2"/>
        <v>0</v>
      </c>
      <c r="J17" s="4">
        <f t="shared" si="1"/>
        <v>6.6666666666666666E-2</v>
      </c>
      <c r="K17" s="4">
        <f t="shared" si="5"/>
        <v>0.93333333333333324</v>
      </c>
      <c r="L17" s="6">
        <f t="shared" si="3"/>
        <v>0</v>
      </c>
      <c r="M17" s="4">
        <f t="shared" si="4"/>
        <v>0</v>
      </c>
      <c r="N17" s="5">
        <f t="shared" si="6"/>
        <v>1</v>
      </c>
      <c r="O17" s="3" t="str" cm="1">
        <f t="array" ref="O17">_xlfn.IFS(M17 &gt;= 15%,"A",AND(M17 &lt; 15%,M17 &gt;= 3%),"B",M17 &lt; 3%,"C")</f>
        <v>C</v>
      </c>
      <c r="P17" s="3"/>
      <c r="Q17" s="3"/>
    </row>
    <row r="18" spans="1:17" ht="18" thickBot="1" x14ac:dyDescent="0.35">
      <c r="A18" s="180" t="str">
        <f>"סך הכל פריטים: " &amp; COUNTA(C3:C17)</f>
        <v>סך הכל פריטים: 5</v>
      </c>
      <c r="B18" s="181"/>
      <c r="C18" s="182"/>
      <c r="F18" s="9" t="s">
        <v>1</v>
      </c>
      <c r="I18" s="11">
        <f t="shared" si="2"/>
        <v>0</v>
      </c>
      <c r="J18" s="4">
        <f t="shared" si="1"/>
        <v>6.6666666666666666E-2</v>
      </c>
      <c r="K18" s="4">
        <f t="shared" si="5"/>
        <v>0.99999999999999989</v>
      </c>
      <c r="L18" s="7">
        <f t="shared" si="3"/>
        <v>0</v>
      </c>
      <c r="M18" s="4">
        <f t="shared" si="4"/>
        <v>0</v>
      </c>
      <c r="N18" s="5">
        <f t="shared" si="6"/>
        <v>1</v>
      </c>
      <c r="O18" s="3" t="str" cm="1">
        <f t="array" ref="O18">_xlfn.IFS(M18 &gt;= 15%,"A",AND(M18 &lt; 15%,M18 &gt;= 3%),"B",M18 &lt; 3%,"C")</f>
        <v>C</v>
      </c>
      <c r="P18" s="3"/>
      <c r="Q18" s="3"/>
    </row>
    <row r="19" spans="1:17" ht="18" thickBot="1" x14ac:dyDescent="0.35">
      <c r="F19" s="10">
        <f>SUM(F3:F17)</f>
        <v>1124678</v>
      </c>
      <c r="I19" s="12" t="str">
        <f>"סך הכל פריטים: " &amp; COUNTA(I4:I18)</f>
        <v>סך הכל פריטים: 15</v>
      </c>
      <c r="L19" s="9" t="s">
        <v>1</v>
      </c>
    </row>
    <row r="20" spans="1:17" ht="18" thickBot="1" x14ac:dyDescent="0.3">
      <c r="L20" s="10">
        <f>SUM(L4:L18)</f>
        <v>1124678</v>
      </c>
    </row>
  </sheetData>
  <mergeCells count="11">
    <mergeCell ref="A18:C18"/>
    <mergeCell ref="I2:I3"/>
    <mergeCell ref="J2:J3"/>
    <mergeCell ref="K2:K3"/>
    <mergeCell ref="L2:L3"/>
    <mergeCell ref="M2:M3"/>
    <mergeCell ref="N2:N3"/>
    <mergeCell ref="O2:O3"/>
    <mergeCell ref="P2:Q2"/>
    <mergeCell ref="A1:F1"/>
    <mergeCell ref="I1:Q1"/>
  </mergeCells>
  <conditionalFormatting sqref="O4:Q18">
    <cfRule type="containsText" dxfId="19" priority="1" operator="containsText" text="C">
      <formula>NOT(ISERROR(SEARCH("C",O4)))</formula>
    </cfRule>
    <cfRule type="containsText" dxfId="18" priority="2" operator="containsText" text="B">
      <formula>NOT(ISERROR(SEARCH("B",O4)))</formula>
    </cfRule>
    <cfRule type="containsText" dxfId="17" priority="3" operator="containsText" text="A">
      <formula>NOT(ISERROR(SEARCH("A",O4)))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6AF1-3ED1-4BB1-9A0E-D1B893440240}">
  <sheetPr>
    <tabColor rgb="FFBC8EDE"/>
  </sheetPr>
  <dimension ref="A1:O44"/>
  <sheetViews>
    <sheetView rightToLeft="1" tabSelected="1" zoomScaleNormal="100" workbookViewId="0">
      <selection sqref="A1:E1"/>
    </sheetView>
  </sheetViews>
  <sheetFormatPr defaultRowHeight="13.8" x14ac:dyDescent="0.25"/>
  <cols>
    <col min="1" max="1" width="5.8984375" bestFit="1" customWidth="1"/>
    <col min="2" max="2" width="19.3984375" bestFit="1" customWidth="1"/>
    <col min="3" max="3" width="15.09765625" bestFit="1" customWidth="1"/>
    <col min="4" max="4" width="11" customWidth="1"/>
    <col min="5" max="5" width="17.19921875" bestFit="1" customWidth="1"/>
    <col min="6" max="6" width="10.796875" customWidth="1"/>
    <col min="7" max="7" width="19.3984375" bestFit="1" customWidth="1"/>
    <col min="8" max="8" width="12.09765625" bestFit="1" customWidth="1"/>
    <col min="9" max="9" width="14" bestFit="1" customWidth="1"/>
    <col min="10" max="10" width="17.19921875" bestFit="1" customWidth="1"/>
    <col min="11" max="11" width="12.8984375" bestFit="1" customWidth="1"/>
    <col min="12" max="12" width="14.796875" bestFit="1" customWidth="1"/>
  </cols>
  <sheetData>
    <row r="1" spans="1:15" ht="35.4" x14ac:dyDescent="0.25">
      <c r="A1" s="186" t="s">
        <v>16</v>
      </c>
      <c r="B1" s="187"/>
      <c r="C1" s="187"/>
      <c r="D1" s="187"/>
      <c r="E1" s="187"/>
      <c r="F1" s="32"/>
      <c r="G1" s="190" t="s">
        <v>11</v>
      </c>
      <c r="H1" s="191"/>
      <c r="I1" s="191"/>
      <c r="J1" s="191"/>
      <c r="K1" s="191"/>
      <c r="L1" s="191"/>
      <c r="M1" s="191"/>
      <c r="N1" s="191"/>
      <c r="O1" s="191"/>
    </row>
    <row r="2" spans="1:15" ht="14.4" customHeight="1" x14ac:dyDescent="0.25">
      <c r="A2" s="188" t="s">
        <v>13</v>
      </c>
      <c r="B2" s="188" t="s">
        <v>15</v>
      </c>
      <c r="C2" s="184" t="s">
        <v>12</v>
      </c>
      <c r="D2" s="184" t="s">
        <v>81</v>
      </c>
      <c r="E2" s="184" t="s">
        <v>82</v>
      </c>
      <c r="G2" s="183" t="s">
        <v>0</v>
      </c>
      <c r="H2" s="174" t="s">
        <v>84</v>
      </c>
      <c r="I2" s="174" t="s">
        <v>85</v>
      </c>
      <c r="J2" s="175" t="s">
        <v>82</v>
      </c>
      <c r="K2" s="174" t="s">
        <v>7</v>
      </c>
      <c r="L2" s="174" t="s">
        <v>6</v>
      </c>
      <c r="M2" s="175" t="s">
        <v>8</v>
      </c>
      <c r="N2" s="175" t="s">
        <v>17</v>
      </c>
      <c r="O2" s="175"/>
    </row>
    <row r="3" spans="1:15" x14ac:dyDescent="0.25">
      <c r="A3" s="189"/>
      <c r="B3" s="189"/>
      <c r="C3" s="185"/>
      <c r="D3" s="185"/>
      <c r="E3" s="185"/>
      <c r="G3" s="183"/>
      <c r="H3" s="174"/>
      <c r="I3" s="174"/>
      <c r="J3" s="175"/>
      <c r="K3" s="174"/>
      <c r="L3" s="174"/>
      <c r="M3" s="175"/>
      <c r="N3" s="16" t="s">
        <v>9</v>
      </c>
      <c r="O3" s="16" t="s">
        <v>10</v>
      </c>
    </row>
    <row r="4" spans="1:15" x14ac:dyDescent="0.25">
      <c r="A4" s="3">
        <v>1</v>
      </c>
      <c r="B4" s="3" t="str" cm="1">
        <f t="array" ref="B4:B40">'מוצרים ומשפחות'!A3:A39</f>
        <v>freeze bluberries</v>
      </c>
      <c r="C4" s="29">
        <v>1105</v>
      </c>
      <c r="D4" s="6">
        <v>26</v>
      </c>
      <c r="E4" s="6">
        <f t="shared" ref="E4:E28" si="0">D4*C4</f>
        <v>28730</v>
      </c>
      <c r="G4" s="3" t="str">
        <f t="shared" ref="G4:G40" si="1">_xlfn.XLOOKUP(J4,$E$4:$E$40,$B$4:$B$40)</f>
        <v>super green</v>
      </c>
      <c r="H4" s="4">
        <f t="shared" ref="H4:H40" si="2">1/COUNTA($A$4:$A$40)</f>
        <v>2.7027027027027029E-2</v>
      </c>
      <c r="I4" s="4">
        <f>IF(ISNUMBER(I3),I3+H4,H4)</f>
        <v>2.7027027027027029E-2</v>
      </c>
      <c r="J4" s="6" cm="1">
        <f t="array" ref="J4:J40">_xlfn._xlws.SORT($E$4:$E$40,,-1)</f>
        <v>444192</v>
      </c>
      <c r="K4" s="4">
        <f>J4/$J$42</f>
        <v>0.1606264907578438</v>
      </c>
      <c r="L4" s="5">
        <f>IF(ISNUMBER(L3),L3+K4,K4)</f>
        <v>0.1606264907578438</v>
      </c>
      <c r="M4" s="3" t="str" cm="1">
        <f t="array" ref="M4">_xlfn.IFS(K4 &gt;= 15%,"A",AND(K4 &lt; 15%,K4 &gt;= 3%),"B",K4 &lt; 3%,"C")</f>
        <v>A</v>
      </c>
      <c r="N4" s="34">
        <f>COUNTIF($M$4:$M$40,M4)/COUNT($L$4:$L$40)</f>
        <v>8.1081081081081086E-2</v>
      </c>
      <c r="O4" s="34">
        <f>SUMIF($M$4:$M$40,M4,$K$4:$K$40)</f>
        <v>0.46858795127744113</v>
      </c>
    </row>
    <row r="5" spans="1:15" x14ac:dyDescent="0.25">
      <c r="A5" s="3">
        <v>2</v>
      </c>
      <c r="B5" s="3" t="str">
        <v>freeze passion fruit</v>
      </c>
      <c r="C5" s="29">
        <v>1079</v>
      </c>
      <c r="D5" s="6">
        <v>26</v>
      </c>
      <c r="E5" s="6">
        <f t="shared" si="0"/>
        <v>28054</v>
      </c>
      <c r="G5" s="3" t="str">
        <f t="shared" si="1"/>
        <v>mix halva</v>
      </c>
      <c r="H5" s="4">
        <f t="shared" si="2"/>
        <v>2.7027027027027029E-2</v>
      </c>
      <c r="I5" s="4">
        <f t="shared" ref="I5:I40" si="3">IF(ISNUMBER(I4),I4+H5,H5)</f>
        <v>5.4054054054054057E-2</v>
      </c>
      <c r="J5" s="6">
        <v>432276</v>
      </c>
      <c r="K5" s="4">
        <f t="shared" ref="K5:K40" si="4">J5/$J$42</f>
        <v>0.15631748639965978</v>
      </c>
      <c r="L5" s="5">
        <f t="shared" ref="L5:L40" si="5">IF(ISNUMBER(L4),L4+K5,K5)</f>
        <v>0.31694397715750355</v>
      </c>
      <c r="M5" s="3" t="str" cm="1">
        <f t="array" ref="M5">_xlfn.IFS(K5 &gt;= 15%,"A",AND(K5 &lt; 15%,K5 &gt;= 3%),"B",K5 &lt; 3%,"C")</f>
        <v>A</v>
      </c>
      <c r="N5" s="34">
        <f t="shared" ref="N5:N40" si="6">COUNTIF($M$4:$M$40,M5)/COUNT($L$4:$L$40)</f>
        <v>8.1081081081081086E-2</v>
      </c>
      <c r="O5" s="34">
        <f t="shared" ref="O5:O39" si="7">SUMIF($M$4:$M$40,M5,$K$4:$K$40)</f>
        <v>0.46858795127744113</v>
      </c>
    </row>
    <row r="6" spans="1:15" x14ac:dyDescent="0.25">
      <c r="A6" s="3">
        <v>3</v>
      </c>
      <c r="B6" s="3" t="str">
        <v>sour green</v>
      </c>
      <c r="C6" s="29">
        <v>3985</v>
      </c>
      <c r="D6" s="6">
        <v>26</v>
      </c>
      <c r="E6" s="6">
        <f t="shared" si="0"/>
        <v>103610</v>
      </c>
      <c r="G6" s="3" t="str">
        <f t="shared" si="1"/>
        <v>rejoy</v>
      </c>
      <c r="H6" s="4">
        <f t="shared" si="2"/>
        <v>2.7027027027027029E-2</v>
      </c>
      <c r="I6" s="4">
        <f t="shared" si="3"/>
        <v>8.1081081081081086E-2</v>
      </c>
      <c r="J6" s="6">
        <v>419352</v>
      </c>
      <c r="K6" s="4">
        <f t="shared" si="4"/>
        <v>0.15164397411993757</v>
      </c>
      <c r="L6" s="5">
        <f t="shared" si="5"/>
        <v>0.46858795127744113</v>
      </c>
      <c r="M6" s="3" t="str" cm="1">
        <f t="array" ref="M6">_xlfn.IFS(K6 &gt;= 15%,"A",AND(K6 &lt; 15%,K6 &gt;= 3%),"B",K6 &lt; 3%,"C")</f>
        <v>A</v>
      </c>
      <c r="N6" s="34">
        <f t="shared" si="6"/>
        <v>8.1081081081081086E-2</v>
      </c>
      <c r="O6" s="34">
        <f t="shared" si="7"/>
        <v>0.46858795127744113</v>
      </c>
    </row>
    <row r="7" spans="1:15" x14ac:dyDescent="0.25">
      <c r="A7" s="3">
        <v>4</v>
      </c>
      <c r="B7" s="3" t="str">
        <v>sour lemonade</v>
      </c>
      <c r="C7" s="29">
        <v>3969</v>
      </c>
      <c r="D7" s="6">
        <v>26</v>
      </c>
      <c r="E7" s="6">
        <f t="shared" si="0"/>
        <v>103194</v>
      </c>
      <c r="G7" s="3" t="str">
        <f t="shared" si="1"/>
        <v>relax</v>
      </c>
      <c r="H7" s="4">
        <f t="shared" si="2"/>
        <v>2.7027027027027029E-2</v>
      </c>
      <c r="I7" s="4">
        <f t="shared" si="3"/>
        <v>0.10810810810810811</v>
      </c>
      <c r="J7" s="6">
        <v>303648</v>
      </c>
      <c r="K7" s="4">
        <f t="shared" si="4"/>
        <v>0.1098036719833715</v>
      </c>
      <c r="L7" s="5">
        <f t="shared" si="5"/>
        <v>0.57839162326081262</v>
      </c>
      <c r="M7" s="3" t="str" cm="1">
        <f t="array" ref="M7">_xlfn.IFS(K7 &gt;= 15%,"A",AND(K7 &lt; 15%,K7 &gt;= 3%),"B",K7 &lt; 3%,"C")</f>
        <v>B</v>
      </c>
      <c r="N7" s="34">
        <f t="shared" si="6"/>
        <v>0.16216216216216217</v>
      </c>
      <c r="O7" s="34">
        <f t="shared" si="7"/>
        <v>0.35366308764245824</v>
      </c>
    </row>
    <row r="8" spans="1:15" x14ac:dyDescent="0.25">
      <c r="A8" s="3">
        <v>5</v>
      </c>
      <c r="B8" s="3" t="str">
        <v>pineapple bowl</v>
      </c>
      <c r="C8" s="29">
        <v>3343</v>
      </c>
      <c r="D8" s="6">
        <v>26</v>
      </c>
      <c r="E8" s="6">
        <f t="shared" si="0"/>
        <v>86918</v>
      </c>
      <c r="G8" s="3" t="str">
        <f t="shared" si="1"/>
        <v>replay</v>
      </c>
      <c r="H8" s="4">
        <f t="shared" si="2"/>
        <v>2.7027027027027029E-2</v>
      </c>
      <c r="I8" s="4">
        <f t="shared" si="3"/>
        <v>0.13513513513513514</v>
      </c>
      <c r="J8" s="6">
        <v>272064</v>
      </c>
      <c r="K8" s="4">
        <f t="shared" si="4"/>
        <v>9.8382423775173825E-2</v>
      </c>
      <c r="L8" s="5">
        <f t="shared" si="5"/>
        <v>0.67677404703598643</v>
      </c>
      <c r="M8" s="3" t="str" cm="1">
        <f t="array" ref="M8">_xlfn.IFS(K8 &gt;= 15%,"A",AND(K8 &lt; 15%,K8 &gt;= 3%),"B",K8 &lt; 3%,"C")</f>
        <v>B</v>
      </c>
      <c r="N8" s="34">
        <f t="shared" si="6"/>
        <v>0.16216216216216217</v>
      </c>
      <c r="O8" s="34">
        <f t="shared" si="7"/>
        <v>0.35366308764245824</v>
      </c>
    </row>
    <row r="9" spans="1:15" x14ac:dyDescent="0.25">
      <c r="A9" s="3">
        <v>6</v>
      </c>
      <c r="B9" s="3" t="str">
        <v>raspberries bowl</v>
      </c>
      <c r="C9" s="29">
        <v>1158</v>
      </c>
      <c r="D9" s="6">
        <v>26</v>
      </c>
      <c r="E9" s="6">
        <f t="shared" si="0"/>
        <v>30108</v>
      </c>
      <c r="G9" s="3" t="str">
        <f t="shared" si="1"/>
        <v>refresh</v>
      </c>
      <c r="H9" s="4">
        <f t="shared" si="2"/>
        <v>2.7027027027027029E-2</v>
      </c>
      <c r="I9" s="4">
        <f t="shared" si="3"/>
        <v>0.16216216216216217</v>
      </c>
      <c r="J9" s="6">
        <v>108576</v>
      </c>
      <c r="K9" s="4">
        <f t="shared" si="4"/>
        <v>3.9262710405688635E-2</v>
      </c>
      <c r="L9" s="5">
        <f t="shared" si="5"/>
        <v>0.71603675744167505</v>
      </c>
      <c r="M9" s="3" t="str" cm="1">
        <f t="array" ref="M9">_xlfn.IFS(K9 &gt;= 15%,"A",AND(K9 &lt; 15%,K9 &gt;= 3%),"B",K9 &lt; 3%,"C")</f>
        <v>B</v>
      </c>
      <c r="N9" s="34">
        <f t="shared" si="6"/>
        <v>0.16216216216216217</v>
      </c>
      <c r="O9" s="34">
        <f t="shared" si="7"/>
        <v>0.35366308764245824</v>
      </c>
    </row>
    <row r="10" spans="1:15" x14ac:dyDescent="0.25">
      <c r="A10" s="3">
        <v>7</v>
      </c>
      <c r="B10" s="3" t="str">
        <v>relax</v>
      </c>
      <c r="C10" s="29">
        <v>12652</v>
      </c>
      <c r="D10" s="6">
        <v>24</v>
      </c>
      <c r="E10" s="6">
        <f t="shared" si="0"/>
        <v>303648</v>
      </c>
      <c r="G10" s="3" t="str">
        <f t="shared" si="1"/>
        <v>sour green</v>
      </c>
      <c r="H10" s="4">
        <f t="shared" si="2"/>
        <v>2.7027027027027029E-2</v>
      </c>
      <c r="I10" s="4">
        <f t="shared" si="3"/>
        <v>0.1891891891891892</v>
      </c>
      <c r="J10" s="6">
        <v>103610</v>
      </c>
      <c r="K10" s="4">
        <f t="shared" si="4"/>
        <v>3.7466930308110449E-2</v>
      </c>
      <c r="L10" s="5">
        <f t="shared" si="5"/>
        <v>0.75350368774978549</v>
      </c>
      <c r="M10" s="3" t="str" cm="1">
        <f t="array" ref="M10">_xlfn.IFS(K10 &gt;= 15%,"A",AND(K10 &lt; 15%,K10 &gt;= 3%),"B",K10 &lt; 3%,"C")</f>
        <v>B</v>
      </c>
      <c r="N10" s="34">
        <f t="shared" si="6"/>
        <v>0.16216216216216217</v>
      </c>
      <c r="O10" s="34">
        <f t="shared" si="7"/>
        <v>0.35366308764245824</v>
      </c>
    </row>
    <row r="11" spans="1:15" x14ac:dyDescent="0.25">
      <c r="A11" s="3">
        <v>8</v>
      </c>
      <c r="B11" s="3" t="str">
        <v>refresh</v>
      </c>
      <c r="C11" s="29">
        <v>4524</v>
      </c>
      <c r="D11" s="6">
        <v>24</v>
      </c>
      <c r="E11" s="6">
        <f t="shared" si="0"/>
        <v>108576</v>
      </c>
      <c r="G11" s="3" t="str">
        <f t="shared" si="1"/>
        <v>sour lemonade</v>
      </c>
      <c r="H11" s="4">
        <f t="shared" si="2"/>
        <v>2.7027027027027029E-2</v>
      </c>
      <c r="I11" s="4">
        <f t="shared" si="3"/>
        <v>0.21621621621621623</v>
      </c>
      <c r="J11" s="6">
        <v>103194</v>
      </c>
      <c r="K11" s="4">
        <f t="shared" si="4"/>
        <v>3.7316498467475624E-2</v>
      </c>
      <c r="L11" s="5">
        <f t="shared" si="5"/>
        <v>0.79082018621726113</v>
      </c>
      <c r="M11" s="3" t="str" cm="1">
        <f t="array" ref="M11">_xlfn.IFS(K11 &gt;= 15%,"A",AND(K11 &lt; 15%,K11 &gt;= 3%),"B",K11 &lt; 3%,"C")</f>
        <v>B</v>
      </c>
      <c r="N11" s="34">
        <f t="shared" si="6"/>
        <v>0.16216216216216217</v>
      </c>
      <c r="O11" s="34">
        <f t="shared" si="7"/>
        <v>0.35366308764245824</v>
      </c>
    </row>
    <row r="12" spans="1:15" x14ac:dyDescent="0.25">
      <c r="A12" s="3">
        <v>9</v>
      </c>
      <c r="B12" s="3" t="str">
        <v>refemme</v>
      </c>
      <c r="C12" s="29">
        <v>2012</v>
      </c>
      <c r="D12" s="6">
        <v>24</v>
      </c>
      <c r="E12" s="6">
        <f t="shared" si="0"/>
        <v>48288</v>
      </c>
      <c r="G12" s="3" t="str">
        <f t="shared" si="1"/>
        <v>pineapple bowl</v>
      </c>
      <c r="H12" s="4">
        <f t="shared" si="2"/>
        <v>2.7027027027027029E-2</v>
      </c>
      <c r="I12" s="4">
        <f t="shared" si="3"/>
        <v>0.24324324324324326</v>
      </c>
      <c r="J12" s="6">
        <v>86918</v>
      </c>
      <c r="K12" s="4">
        <f t="shared" si="4"/>
        <v>3.14308527026382E-2</v>
      </c>
      <c r="L12" s="5">
        <f t="shared" si="5"/>
        <v>0.82225103891989937</v>
      </c>
      <c r="M12" s="3" t="str" cm="1">
        <f t="array" ref="M12">_xlfn.IFS(K12 &gt;= 15%,"A",AND(K12 &lt; 15%,K12 &gt;= 3%),"B",K12 &lt; 3%,"C")</f>
        <v>B</v>
      </c>
      <c r="N12" s="34">
        <f t="shared" si="6"/>
        <v>0.16216216216216217</v>
      </c>
      <c r="O12" s="34">
        <f t="shared" si="7"/>
        <v>0.35366308764245824</v>
      </c>
    </row>
    <row r="13" spans="1:15" x14ac:dyDescent="0.25">
      <c r="A13" s="3">
        <v>10</v>
      </c>
      <c r="B13" s="3" t="str">
        <v>reshape</v>
      </c>
      <c r="C13" s="29">
        <v>2265</v>
      </c>
      <c r="D13" s="6">
        <v>24</v>
      </c>
      <c r="E13" s="6">
        <f t="shared" si="0"/>
        <v>54360</v>
      </c>
      <c r="G13" s="3" t="str">
        <f t="shared" si="1"/>
        <v>reshape</v>
      </c>
      <c r="H13" s="4">
        <f t="shared" si="2"/>
        <v>2.7027027027027029E-2</v>
      </c>
      <c r="I13" s="4">
        <f t="shared" si="3"/>
        <v>0.27027027027027029</v>
      </c>
      <c r="J13" s="6">
        <v>54360</v>
      </c>
      <c r="K13" s="4">
        <f t="shared" si="4"/>
        <v>1.9657391482954194E-2</v>
      </c>
      <c r="L13" s="5">
        <f t="shared" si="5"/>
        <v>0.84190843040285357</v>
      </c>
      <c r="M13" s="3" t="str" cm="1">
        <f t="array" ref="M13">_xlfn.IFS(K13 &gt;= 15%,"A",AND(K13 &lt; 15%,K13 &gt;= 3%),"B",K13 &lt; 3%,"C")</f>
        <v>C</v>
      </c>
      <c r="N13" s="34">
        <f t="shared" si="6"/>
        <v>0.7567567567567568</v>
      </c>
      <c r="O13" s="34">
        <f t="shared" si="7"/>
        <v>0.1777489610801006</v>
      </c>
    </row>
    <row r="14" spans="1:15" x14ac:dyDescent="0.25">
      <c r="A14" s="3">
        <v>11</v>
      </c>
      <c r="B14" s="3" t="str">
        <v>replay</v>
      </c>
      <c r="C14" s="29">
        <v>11336</v>
      </c>
      <c r="D14" s="6">
        <v>24</v>
      </c>
      <c r="E14" s="6">
        <f t="shared" si="0"/>
        <v>272064</v>
      </c>
      <c r="G14" s="3" t="str">
        <f t="shared" si="1"/>
        <v>refemme</v>
      </c>
      <c r="H14" s="4">
        <f t="shared" si="2"/>
        <v>2.7027027027027029E-2</v>
      </c>
      <c r="I14" s="4">
        <f t="shared" si="3"/>
        <v>0.29729729729729731</v>
      </c>
      <c r="J14" s="6">
        <v>48288</v>
      </c>
      <c r="K14" s="4">
        <f t="shared" si="4"/>
        <v>1.7461665193688226E-2</v>
      </c>
      <c r="L14" s="5">
        <f t="shared" si="5"/>
        <v>0.85937009559654176</v>
      </c>
      <c r="M14" s="3" t="str" cm="1">
        <f t="array" ref="M14">_xlfn.IFS(K14 &gt;= 15%,"A",AND(K14 &lt; 15%,K14 &gt;= 3%),"B",K14 &lt; 3%,"C")</f>
        <v>C</v>
      </c>
      <c r="N14" s="34">
        <f t="shared" si="6"/>
        <v>0.7567567567567568</v>
      </c>
      <c r="O14" s="34">
        <f t="shared" si="7"/>
        <v>0.1777489610801006</v>
      </c>
    </row>
    <row r="15" spans="1:15" x14ac:dyDescent="0.25">
      <c r="A15" s="3">
        <v>12</v>
      </c>
      <c r="B15" s="3" t="str">
        <v>rejoy</v>
      </c>
      <c r="C15" s="29">
        <v>17473</v>
      </c>
      <c r="D15" s="6">
        <v>24</v>
      </c>
      <c r="E15" s="6">
        <f t="shared" si="0"/>
        <v>419352</v>
      </c>
      <c r="G15" s="3" t="str">
        <f t="shared" si="1"/>
        <v>תפוז סחוט</v>
      </c>
      <c r="H15" s="4">
        <f t="shared" si="2"/>
        <v>2.7027027027027029E-2</v>
      </c>
      <c r="I15" s="4">
        <f t="shared" si="3"/>
        <v>0.32432432432432434</v>
      </c>
      <c r="J15" s="6">
        <v>33800</v>
      </c>
      <c r="K15" s="4">
        <f t="shared" si="4"/>
        <v>1.2222587051579317E-2</v>
      </c>
      <c r="L15" s="5">
        <f t="shared" si="5"/>
        <v>0.87159268264812106</v>
      </c>
      <c r="M15" s="3" t="str" cm="1">
        <f t="array" ref="M15">_xlfn.IFS(K15 &gt;= 15%,"A",AND(K15 &lt; 15%,K15 &gt;= 3%),"B",K15 &lt; 3%,"C")</f>
        <v>C</v>
      </c>
      <c r="N15" s="34">
        <f t="shared" si="6"/>
        <v>0.7567567567567568</v>
      </c>
      <c r="O15" s="34">
        <f t="shared" si="7"/>
        <v>0.1777489610801006</v>
      </c>
    </row>
    <row r="16" spans="1:15" x14ac:dyDescent="0.25">
      <c r="A16" s="3">
        <v>13</v>
      </c>
      <c r="B16" s="3" t="str">
        <v>pro banana</v>
      </c>
      <c r="C16" s="29">
        <v>1083</v>
      </c>
      <c r="D16" s="6">
        <v>24</v>
      </c>
      <c r="E16" s="6">
        <f t="shared" si="0"/>
        <v>25992</v>
      </c>
      <c r="G16" s="3" t="str">
        <f t="shared" si="1"/>
        <v>raspberries bowl</v>
      </c>
      <c r="H16" s="4">
        <f t="shared" si="2"/>
        <v>2.7027027027027029E-2</v>
      </c>
      <c r="I16" s="4">
        <f t="shared" si="3"/>
        <v>0.35135135135135137</v>
      </c>
      <c r="J16" s="6">
        <v>30108</v>
      </c>
      <c r="K16" s="4">
        <f t="shared" si="4"/>
        <v>1.0887504465945269E-2</v>
      </c>
      <c r="L16" s="5">
        <f t="shared" si="5"/>
        <v>0.88248018711406628</v>
      </c>
      <c r="M16" s="3" t="str" cm="1">
        <f t="array" ref="M16">_xlfn.IFS(K16 &gt;= 15%,"A",AND(K16 &lt; 15%,K16 &gt;= 3%),"B",K16 &lt; 3%,"C")</f>
        <v>C</v>
      </c>
      <c r="N16" s="34">
        <f t="shared" si="6"/>
        <v>0.7567567567567568</v>
      </c>
      <c r="O16" s="34">
        <f t="shared" si="7"/>
        <v>0.1777489610801006</v>
      </c>
    </row>
    <row r="17" spans="1:15" x14ac:dyDescent="0.25">
      <c r="A17" s="3">
        <v>14</v>
      </c>
      <c r="B17" s="3" t="str">
        <v>pro berries</v>
      </c>
      <c r="C17" s="29">
        <v>619</v>
      </c>
      <c r="D17" s="6">
        <v>28</v>
      </c>
      <c r="E17" s="6">
        <f t="shared" si="0"/>
        <v>17332</v>
      </c>
      <c r="G17" s="3" t="str">
        <f t="shared" si="1"/>
        <v>freeze bluberries</v>
      </c>
      <c r="H17" s="4">
        <f t="shared" si="2"/>
        <v>2.7027027027027029E-2</v>
      </c>
      <c r="I17" s="4">
        <f t="shared" si="3"/>
        <v>0.3783783783783784</v>
      </c>
      <c r="J17" s="6">
        <v>28730</v>
      </c>
      <c r="K17" s="4">
        <f t="shared" si="4"/>
        <v>1.038919899384242E-2</v>
      </c>
      <c r="L17" s="5">
        <f t="shared" si="5"/>
        <v>0.89286938610790867</v>
      </c>
      <c r="M17" s="3" t="str" cm="1">
        <f t="array" ref="M17">_xlfn.IFS(K17 &gt;= 15%,"A",AND(K17 &lt; 15%,K17 &gt;= 3%),"B",K17 &lt; 3%,"C")</f>
        <v>C</v>
      </c>
      <c r="N17" s="34">
        <f t="shared" si="6"/>
        <v>0.7567567567567568</v>
      </c>
      <c r="O17" s="34">
        <f t="shared" si="7"/>
        <v>0.1777489610801006</v>
      </c>
    </row>
    <row r="18" spans="1:15" x14ac:dyDescent="0.25">
      <c r="A18" s="3">
        <v>15</v>
      </c>
      <c r="B18" s="3" t="str">
        <v>pro peanuts</v>
      </c>
      <c r="C18" s="29">
        <v>748</v>
      </c>
      <c r="D18" s="6">
        <v>28</v>
      </c>
      <c r="E18" s="6">
        <f t="shared" si="0"/>
        <v>20944</v>
      </c>
      <c r="G18" s="3" t="str">
        <f t="shared" si="1"/>
        <v>freeze passion fruit</v>
      </c>
      <c r="H18" s="4">
        <f t="shared" si="2"/>
        <v>2.7027027027027029E-2</v>
      </c>
      <c r="I18" s="4">
        <f t="shared" si="3"/>
        <v>0.40540540540540543</v>
      </c>
      <c r="J18" s="6">
        <v>28054</v>
      </c>
      <c r="K18" s="4">
        <f t="shared" si="4"/>
        <v>1.0144747252810834E-2</v>
      </c>
      <c r="L18" s="5">
        <f t="shared" si="5"/>
        <v>0.90301413336071945</v>
      </c>
      <c r="M18" s="3" t="str" cm="1">
        <f t="array" ref="M18">_xlfn.IFS(K18 &gt;= 15%,"A",AND(K18 &lt; 15%,K18 &gt;= 3%),"B",K18 &lt; 3%,"C")</f>
        <v>C</v>
      </c>
      <c r="N18" s="34">
        <f t="shared" si="6"/>
        <v>0.7567567567567568</v>
      </c>
      <c r="O18" s="34">
        <f t="shared" si="7"/>
        <v>0.1777489610801006</v>
      </c>
    </row>
    <row r="19" spans="1:15" x14ac:dyDescent="0.25">
      <c r="A19" s="3">
        <v>16</v>
      </c>
      <c r="B19" s="3" t="str">
        <v>acai bowl</v>
      </c>
      <c r="C19" s="29">
        <v>759</v>
      </c>
      <c r="D19" s="6">
        <v>28</v>
      </c>
      <c r="E19" s="6">
        <f t="shared" si="0"/>
        <v>21252</v>
      </c>
      <c r="G19" s="3" t="str">
        <f t="shared" si="1"/>
        <v>pro banana</v>
      </c>
      <c r="H19" s="4">
        <f t="shared" si="2"/>
        <v>2.7027027027027029E-2</v>
      </c>
      <c r="I19" s="4">
        <f t="shared" si="3"/>
        <v>0.43243243243243246</v>
      </c>
      <c r="J19" s="6">
        <v>25992</v>
      </c>
      <c r="K19" s="4">
        <f t="shared" si="4"/>
        <v>9.3990971196641904E-3</v>
      </c>
      <c r="L19" s="5">
        <f t="shared" si="5"/>
        <v>0.91241323048038359</v>
      </c>
      <c r="M19" s="3" t="str" cm="1">
        <f t="array" ref="M19">_xlfn.IFS(K19 &gt;= 15%,"A",AND(K19 &lt; 15%,K19 &gt;= 3%),"B",K19 &lt; 3%,"C")</f>
        <v>C</v>
      </c>
      <c r="N19" s="34">
        <f t="shared" si="6"/>
        <v>0.7567567567567568</v>
      </c>
      <c r="O19" s="34">
        <f t="shared" si="7"/>
        <v>0.1777489610801006</v>
      </c>
    </row>
    <row r="20" spans="1:15" x14ac:dyDescent="0.25">
      <c r="A20" s="3">
        <v>17</v>
      </c>
      <c r="B20" s="3" t="str">
        <v>super green</v>
      </c>
      <c r="C20" s="29">
        <v>15864</v>
      </c>
      <c r="D20" s="6">
        <v>28</v>
      </c>
      <c r="E20" s="6">
        <f t="shared" si="0"/>
        <v>444192</v>
      </c>
      <c r="G20" s="3" t="str">
        <f t="shared" si="1"/>
        <v>acai bowl</v>
      </c>
      <c r="H20" s="4">
        <f t="shared" si="2"/>
        <v>2.7027027027027029E-2</v>
      </c>
      <c r="I20" s="4">
        <f t="shared" si="3"/>
        <v>0.45945945945945948</v>
      </c>
      <c r="J20" s="6">
        <v>21252</v>
      </c>
      <c r="K20" s="4">
        <f t="shared" si="4"/>
        <v>7.6850420124308771E-3</v>
      </c>
      <c r="L20" s="5">
        <f t="shared" si="5"/>
        <v>0.92009827249281451</v>
      </c>
      <c r="M20" s="3" t="str" cm="1">
        <f t="array" ref="M20">_xlfn.IFS(K20 &gt;= 15%,"A",AND(K20 &lt; 15%,K20 &gt;= 3%),"B",K20 &lt; 3%,"C")</f>
        <v>C</v>
      </c>
      <c r="N20" s="34">
        <f t="shared" si="6"/>
        <v>0.7567567567567568</v>
      </c>
      <c r="O20" s="34">
        <f t="shared" si="7"/>
        <v>0.1777489610801006</v>
      </c>
    </row>
    <row r="21" spans="1:15" x14ac:dyDescent="0.25">
      <c r="A21" s="3">
        <v>18</v>
      </c>
      <c r="B21" s="3" t="str">
        <v>super acai</v>
      </c>
      <c r="C21" s="29">
        <v>611</v>
      </c>
      <c r="D21" s="6">
        <v>28</v>
      </c>
      <c r="E21" s="6">
        <f t="shared" si="0"/>
        <v>17108</v>
      </c>
      <c r="G21" s="3" t="str">
        <f t="shared" si="1"/>
        <v>pro peanuts</v>
      </c>
      <c r="H21" s="4">
        <f t="shared" si="2"/>
        <v>2.7027027027027029E-2</v>
      </c>
      <c r="I21" s="4">
        <f t="shared" si="3"/>
        <v>0.48648648648648651</v>
      </c>
      <c r="J21" s="6">
        <v>20944</v>
      </c>
      <c r="K21" s="4">
        <f t="shared" si="4"/>
        <v>7.5736645919608648E-3</v>
      </c>
      <c r="L21" s="5">
        <f t="shared" si="5"/>
        <v>0.92767193708477536</v>
      </c>
      <c r="M21" s="3" t="str" cm="1">
        <f t="array" ref="M21">_xlfn.IFS(K21 &gt;= 15%,"A",AND(K21 &lt; 15%,K21 &gt;= 3%),"B",K21 &lt; 3%,"C")</f>
        <v>C</v>
      </c>
      <c r="N21" s="34">
        <f t="shared" si="6"/>
        <v>0.7567567567567568</v>
      </c>
      <c r="O21" s="34">
        <f t="shared" si="7"/>
        <v>0.1777489610801006</v>
      </c>
    </row>
    <row r="22" spans="1:15" x14ac:dyDescent="0.25">
      <c r="A22" s="3">
        <v>19</v>
      </c>
      <c r="B22" s="3" t="str">
        <v>shot</v>
      </c>
      <c r="C22" s="29">
        <v>558</v>
      </c>
      <c r="D22" s="6">
        <v>28</v>
      </c>
      <c r="E22" s="6">
        <f t="shared" si="0"/>
        <v>15624</v>
      </c>
      <c r="G22" s="3" t="str">
        <f t="shared" si="1"/>
        <v>mix almonds</v>
      </c>
      <c r="H22" s="4">
        <f t="shared" si="2"/>
        <v>2.7027027027027029E-2</v>
      </c>
      <c r="I22" s="4">
        <f t="shared" si="3"/>
        <v>0.5135135135135136</v>
      </c>
      <c r="J22" s="6">
        <v>20202</v>
      </c>
      <c r="K22" s="4">
        <f t="shared" si="4"/>
        <v>7.3053462608285609E-3</v>
      </c>
      <c r="L22" s="5">
        <f t="shared" si="5"/>
        <v>0.93497728334560393</v>
      </c>
      <c r="M22" s="3" t="str" cm="1">
        <f t="array" ref="M22">_xlfn.IFS(K22 &gt;= 15%,"A",AND(K22 &lt; 15%,K22 &gt;= 3%),"B",K22 &lt; 3%,"C")</f>
        <v>C</v>
      </c>
      <c r="N22" s="34">
        <f t="shared" si="6"/>
        <v>0.7567567567567568</v>
      </c>
      <c r="O22" s="34">
        <f t="shared" si="7"/>
        <v>0.1777489610801006</v>
      </c>
    </row>
    <row r="23" spans="1:15" x14ac:dyDescent="0.25">
      <c r="A23" s="3">
        <v>20</v>
      </c>
      <c r="B23" s="3" t="str">
        <v>mix raspberries</v>
      </c>
      <c r="C23" s="3">
        <v>353</v>
      </c>
      <c r="D23" s="6">
        <v>26</v>
      </c>
      <c r="E23" s="6">
        <f t="shared" si="0"/>
        <v>9178</v>
      </c>
      <c r="G23" s="3" t="str">
        <f t="shared" si="1"/>
        <v>creamy nuts</v>
      </c>
      <c r="H23" s="4">
        <f t="shared" si="2"/>
        <v>2.7027027027027029E-2</v>
      </c>
      <c r="I23" s="4">
        <f t="shared" si="3"/>
        <v>0.54054054054054057</v>
      </c>
      <c r="J23" s="6">
        <v>17732</v>
      </c>
      <c r="K23" s="4">
        <f t="shared" si="4"/>
        <v>6.4121572070593037E-3</v>
      </c>
      <c r="L23" s="5">
        <f t="shared" si="5"/>
        <v>0.94138944055266327</v>
      </c>
      <c r="M23" s="3" t="str" cm="1">
        <f t="array" ref="M23">_xlfn.IFS(K23 &gt;= 15%,"A",AND(K23 &lt; 15%,K23 &gt;= 3%),"B",K23 &lt; 3%,"C")</f>
        <v>C</v>
      </c>
      <c r="N23" s="34">
        <f t="shared" si="6"/>
        <v>0.7567567567567568</v>
      </c>
      <c r="O23" s="34">
        <f t="shared" si="7"/>
        <v>0.1777489610801006</v>
      </c>
    </row>
    <row r="24" spans="1:15" x14ac:dyDescent="0.25">
      <c r="A24" s="3">
        <v>21</v>
      </c>
      <c r="B24" s="3" t="str">
        <v>mix halva</v>
      </c>
      <c r="C24" s="3">
        <v>16626</v>
      </c>
      <c r="D24" s="6">
        <v>26</v>
      </c>
      <c r="E24" s="6">
        <f t="shared" si="0"/>
        <v>432276</v>
      </c>
      <c r="G24" s="3" t="str">
        <f t="shared" si="1"/>
        <v>pro berries</v>
      </c>
      <c r="H24" s="4">
        <f t="shared" si="2"/>
        <v>2.7027027027027029E-2</v>
      </c>
      <c r="I24" s="4">
        <f t="shared" si="3"/>
        <v>0.56756756756756754</v>
      </c>
      <c r="J24" s="6">
        <v>17332</v>
      </c>
      <c r="K24" s="4">
        <f t="shared" si="4"/>
        <v>6.267511206448897E-3</v>
      </c>
      <c r="L24" s="5">
        <f t="shared" si="5"/>
        <v>0.94765695175911213</v>
      </c>
      <c r="M24" s="3" t="str" cm="1">
        <f t="array" ref="M24">_xlfn.IFS(K24 &gt;= 15%,"A",AND(K24 &lt; 15%,K24 &gt;= 3%),"B",K24 &lt; 3%,"C")</f>
        <v>C</v>
      </c>
      <c r="N24" s="34">
        <f t="shared" si="6"/>
        <v>0.7567567567567568</v>
      </c>
      <c r="O24" s="34">
        <f t="shared" si="7"/>
        <v>0.1777489610801006</v>
      </c>
    </row>
    <row r="25" spans="1:15" x14ac:dyDescent="0.25">
      <c r="A25" s="3">
        <v>22</v>
      </c>
      <c r="B25" s="3" t="str">
        <v>mix almonds</v>
      </c>
      <c r="C25" s="3">
        <v>777</v>
      </c>
      <c r="D25" s="6">
        <v>26</v>
      </c>
      <c r="E25" s="6">
        <f t="shared" si="0"/>
        <v>20202</v>
      </c>
      <c r="G25" s="3" t="str">
        <f t="shared" si="1"/>
        <v>super acai</v>
      </c>
      <c r="H25" s="4">
        <f t="shared" si="2"/>
        <v>2.7027027027027029E-2</v>
      </c>
      <c r="I25" s="4">
        <f t="shared" si="3"/>
        <v>0.59459459459459452</v>
      </c>
      <c r="J25" s="6">
        <v>17108</v>
      </c>
      <c r="K25" s="4">
        <f t="shared" si="4"/>
        <v>6.1865094461070694E-3</v>
      </c>
      <c r="L25" s="5">
        <f t="shared" si="5"/>
        <v>0.95384346120521923</v>
      </c>
      <c r="M25" s="3" t="str" cm="1">
        <f t="array" ref="M25">_xlfn.IFS(K25 &gt;= 15%,"A",AND(K25 &lt; 15%,K25 &gt;= 3%),"B",K25 &lt; 3%,"C")</f>
        <v>C</v>
      </c>
      <c r="N25" s="34">
        <f t="shared" si="6"/>
        <v>0.7567567567567568</v>
      </c>
      <c r="O25" s="34">
        <f t="shared" si="7"/>
        <v>0.1777489610801006</v>
      </c>
    </row>
    <row r="26" spans="1:15" x14ac:dyDescent="0.25">
      <c r="A26" s="3">
        <v>23</v>
      </c>
      <c r="B26" s="3" t="str">
        <v>mix cocount</v>
      </c>
      <c r="C26" s="3">
        <v>197</v>
      </c>
      <c r="D26" s="6">
        <v>26</v>
      </c>
      <c r="E26" s="6">
        <f t="shared" si="0"/>
        <v>5122</v>
      </c>
      <c r="G26" s="3" t="str">
        <f t="shared" si="1"/>
        <v>creamy cocoa</v>
      </c>
      <c r="H26" s="4">
        <f t="shared" si="2"/>
        <v>2.7027027027027029E-2</v>
      </c>
      <c r="I26" s="4">
        <f t="shared" si="3"/>
        <v>0.62162162162162149</v>
      </c>
      <c r="J26" s="6">
        <v>15704</v>
      </c>
      <c r="K26" s="4">
        <f t="shared" si="4"/>
        <v>5.6788019839645442E-3</v>
      </c>
      <c r="L26" s="5">
        <f t="shared" si="5"/>
        <v>0.95952226318918377</v>
      </c>
      <c r="M26" s="3" t="str" cm="1">
        <f t="array" ref="M26">_xlfn.IFS(K26 &gt;= 15%,"A",AND(K26 &lt; 15%,K26 &gt;= 3%),"B",K26 &lt; 3%,"C")</f>
        <v>C</v>
      </c>
      <c r="N26" s="34">
        <f t="shared" si="6"/>
        <v>0.7567567567567568</v>
      </c>
      <c r="O26" s="34">
        <f t="shared" si="7"/>
        <v>0.1777489610801006</v>
      </c>
    </row>
    <row r="27" spans="1:15" x14ac:dyDescent="0.25">
      <c r="A27" s="3">
        <v>24</v>
      </c>
      <c r="B27" s="3" t="str">
        <v>mix chai</v>
      </c>
      <c r="C27" s="3">
        <v>582</v>
      </c>
      <c r="D27" s="6">
        <v>26</v>
      </c>
      <c r="E27" s="6">
        <f t="shared" si="0"/>
        <v>15132</v>
      </c>
      <c r="G27" s="3" t="str">
        <f t="shared" si="1"/>
        <v>shot</v>
      </c>
      <c r="H27" s="4">
        <f t="shared" si="2"/>
        <v>2.7027027027027029E-2</v>
      </c>
      <c r="I27" s="4">
        <f t="shared" si="3"/>
        <v>0.64864864864864846</v>
      </c>
      <c r="J27" s="6">
        <v>15624</v>
      </c>
      <c r="K27" s="4">
        <f t="shared" si="4"/>
        <v>5.6498727838424634E-3</v>
      </c>
      <c r="L27" s="5">
        <f t="shared" si="5"/>
        <v>0.9651721359730262</v>
      </c>
      <c r="M27" s="3" t="str" cm="1">
        <f t="array" ref="M27">_xlfn.IFS(K27 &gt;= 15%,"A",AND(K27 &lt; 15%,K27 &gt;= 3%),"B",K27 &lt; 3%,"C")</f>
        <v>C</v>
      </c>
      <c r="N27" s="34">
        <f t="shared" si="6"/>
        <v>0.7567567567567568</v>
      </c>
      <c r="O27" s="34">
        <f t="shared" si="7"/>
        <v>0.1777489610801006</v>
      </c>
    </row>
    <row r="28" spans="1:15" x14ac:dyDescent="0.25">
      <c r="A28" s="3">
        <v>25</v>
      </c>
      <c r="B28" s="3" t="str">
        <v>creamy peanut butter</v>
      </c>
      <c r="C28" s="3">
        <v>345</v>
      </c>
      <c r="D28" s="6">
        <v>26</v>
      </c>
      <c r="E28" s="6">
        <f t="shared" si="0"/>
        <v>8970</v>
      </c>
      <c r="G28" s="3" t="str">
        <f t="shared" si="1"/>
        <v>mix chai</v>
      </c>
      <c r="H28" s="4">
        <f t="shared" si="2"/>
        <v>2.7027027027027029E-2</v>
      </c>
      <c r="I28" s="4">
        <f t="shared" si="3"/>
        <v>0.67567567567567544</v>
      </c>
      <c r="J28" s="6">
        <v>15132</v>
      </c>
      <c r="K28" s="4">
        <f t="shared" si="4"/>
        <v>5.471958203091664E-3</v>
      </c>
      <c r="L28" s="5">
        <f t="shared" si="5"/>
        <v>0.97064409417611786</v>
      </c>
      <c r="M28" s="3" t="str" cm="1">
        <f t="array" ref="M28">_xlfn.IFS(K28 &gt;= 15%,"A",AND(K28 &lt; 15%,K28 &gt;= 3%),"B",K28 &lt; 3%,"C")</f>
        <v>C</v>
      </c>
      <c r="N28" s="34">
        <f t="shared" si="6"/>
        <v>0.7567567567567568</v>
      </c>
      <c r="O28" s="34">
        <f t="shared" si="7"/>
        <v>0.1777489610801006</v>
      </c>
    </row>
    <row r="29" spans="1:15" x14ac:dyDescent="0.25">
      <c r="A29" s="3">
        <v>26</v>
      </c>
      <c r="B29" s="3" t="str">
        <v>creamy nuts</v>
      </c>
      <c r="C29" s="3">
        <v>682</v>
      </c>
      <c r="D29" s="6">
        <v>26</v>
      </c>
      <c r="E29" s="6">
        <f t="shared" ref="E29:E33" si="8">D29*C29</f>
        <v>17732</v>
      </c>
      <c r="G29" s="3" t="str">
        <f t="shared" si="1"/>
        <v>גזר סחוט</v>
      </c>
      <c r="H29" s="4">
        <f t="shared" si="2"/>
        <v>2.7027027027027029E-2</v>
      </c>
      <c r="I29" s="4">
        <f t="shared" si="3"/>
        <v>0.70270270270270241</v>
      </c>
      <c r="J29" s="6">
        <v>13300</v>
      </c>
      <c r="K29" s="4">
        <f t="shared" si="4"/>
        <v>4.8094795202960035E-3</v>
      </c>
      <c r="L29" s="5">
        <f t="shared" si="5"/>
        <v>0.97545357369641383</v>
      </c>
      <c r="M29" s="3" t="str" cm="1">
        <f t="array" ref="M29">_xlfn.IFS(K29 &gt;= 15%,"A",AND(K29 &lt; 15%,K29 &gt;= 3%),"B",K29 &lt; 3%,"C")</f>
        <v>C</v>
      </c>
      <c r="N29" s="34">
        <f t="shared" si="6"/>
        <v>0.7567567567567568</v>
      </c>
      <c r="O29" s="34">
        <f t="shared" si="7"/>
        <v>0.1777489610801006</v>
      </c>
    </row>
    <row r="30" spans="1:15" x14ac:dyDescent="0.25">
      <c r="A30" s="3">
        <v>27</v>
      </c>
      <c r="B30" s="3" t="str">
        <v>creamy cocoa</v>
      </c>
      <c r="C30" s="3">
        <v>604</v>
      </c>
      <c r="D30" s="6">
        <v>26</v>
      </c>
      <c r="E30" s="6">
        <f t="shared" si="8"/>
        <v>15704</v>
      </c>
      <c r="G30" s="3" t="str">
        <f t="shared" si="1"/>
        <v>juice melon</v>
      </c>
      <c r="H30" s="4">
        <f t="shared" si="2"/>
        <v>2.7027027027027029E-2</v>
      </c>
      <c r="I30" s="4">
        <f t="shared" si="3"/>
        <v>0.72972972972972938</v>
      </c>
      <c r="J30" s="6">
        <v>11680</v>
      </c>
      <c r="K30" s="4">
        <f t="shared" si="4"/>
        <v>4.2236632178238587E-3</v>
      </c>
      <c r="L30" s="5">
        <f t="shared" si="5"/>
        <v>0.97967723691423769</v>
      </c>
      <c r="M30" s="3" t="str" cm="1">
        <f t="array" ref="M30">_xlfn.IFS(K30 &gt;= 15%,"A",AND(K30 &lt; 15%,K30 &gt;= 3%),"B",K30 &lt; 3%,"C")</f>
        <v>C</v>
      </c>
      <c r="N30" s="34">
        <f t="shared" si="6"/>
        <v>0.7567567567567568</v>
      </c>
      <c r="O30" s="34">
        <f t="shared" si="7"/>
        <v>0.1777489610801006</v>
      </c>
    </row>
    <row r="31" spans="1:15" x14ac:dyDescent="0.25">
      <c r="A31" s="3">
        <v>28</v>
      </c>
      <c r="B31" s="3" t="str">
        <v>גזר סחוט</v>
      </c>
      <c r="C31" s="3">
        <v>665</v>
      </c>
      <c r="D31" s="6">
        <v>20</v>
      </c>
      <c r="E31" s="6">
        <f t="shared" si="8"/>
        <v>13300</v>
      </c>
      <c r="G31" s="3" t="str">
        <f t="shared" si="1"/>
        <v>juice pomegrante</v>
      </c>
      <c r="H31" s="4">
        <f t="shared" si="2"/>
        <v>2.7027027027027029E-2</v>
      </c>
      <c r="I31" s="4">
        <f t="shared" si="3"/>
        <v>0.75675675675675635</v>
      </c>
      <c r="J31" s="6">
        <v>11660</v>
      </c>
      <c r="K31" s="4">
        <f t="shared" si="4"/>
        <v>4.2164309177933389E-3</v>
      </c>
      <c r="L31" s="5">
        <f t="shared" si="5"/>
        <v>0.98389366783203103</v>
      </c>
      <c r="M31" s="3" t="str" cm="1">
        <f t="array" ref="M31">_xlfn.IFS(K31 &gt;= 15%,"A",AND(K31 &lt; 15%,K31 &gt;= 3%),"B",K31 &lt; 3%,"C")</f>
        <v>C</v>
      </c>
      <c r="N31" s="34">
        <f t="shared" si="6"/>
        <v>0.7567567567567568</v>
      </c>
      <c r="O31" s="34">
        <f t="shared" si="7"/>
        <v>0.1777489610801006</v>
      </c>
    </row>
    <row r="32" spans="1:15" x14ac:dyDescent="0.25">
      <c r="A32" s="3">
        <v>29</v>
      </c>
      <c r="B32" s="3" t="str">
        <v>juice beetroot</v>
      </c>
      <c r="C32" s="3">
        <v>336</v>
      </c>
      <c r="D32" s="6">
        <v>20</v>
      </c>
      <c r="E32" s="6">
        <f t="shared" si="8"/>
        <v>6720</v>
      </c>
      <c r="G32" s="3" t="str">
        <f t="shared" si="1"/>
        <v>mix raspberries</v>
      </c>
      <c r="H32" s="4">
        <f t="shared" si="2"/>
        <v>2.7027027027027029E-2</v>
      </c>
      <c r="I32" s="4">
        <f t="shared" si="3"/>
        <v>0.78378378378378333</v>
      </c>
      <c r="J32" s="6">
        <v>9178</v>
      </c>
      <c r="K32" s="4">
        <f t="shared" si="4"/>
        <v>3.3189024840057685E-3</v>
      </c>
      <c r="L32" s="5">
        <f t="shared" si="5"/>
        <v>0.98721257031603682</v>
      </c>
      <c r="M32" s="3" t="str" cm="1">
        <f t="array" ref="M32">_xlfn.IFS(K32 &gt;= 15%,"A",AND(K32 &lt; 15%,K32 &gt;= 3%),"B",K32 &lt; 3%,"C")</f>
        <v>C</v>
      </c>
      <c r="N32" s="34">
        <f t="shared" si="6"/>
        <v>0.7567567567567568</v>
      </c>
      <c r="O32" s="34">
        <f t="shared" si="7"/>
        <v>0.1777489610801006</v>
      </c>
    </row>
    <row r="33" spans="1:15" x14ac:dyDescent="0.25">
      <c r="A33" s="3">
        <v>30</v>
      </c>
      <c r="B33" s="3" t="str">
        <v>juice melon</v>
      </c>
      <c r="C33" s="3">
        <v>584</v>
      </c>
      <c r="D33" s="6">
        <v>20</v>
      </c>
      <c r="E33" s="6">
        <f t="shared" si="8"/>
        <v>11680</v>
      </c>
      <c r="G33" s="3" t="str">
        <f t="shared" si="1"/>
        <v>creamy peanut butter</v>
      </c>
      <c r="H33" s="4">
        <f t="shared" si="2"/>
        <v>2.7027027027027029E-2</v>
      </c>
      <c r="I33" s="4">
        <f t="shared" si="3"/>
        <v>0.8108108108108103</v>
      </c>
      <c r="J33" s="6">
        <v>8970</v>
      </c>
      <c r="K33" s="4">
        <f t="shared" si="4"/>
        <v>3.2436865636883572E-3</v>
      </c>
      <c r="L33" s="5">
        <f t="shared" si="5"/>
        <v>0.99045625687972516</v>
      </c>
      <c r="M33" s="3" t="str" cm="1">
        <f t="array" ref="M33">_xlfn.IFS(K33 &gt;= 15%,"A",AND(K33 &lt; 15%,K33 &gt;= 3%),"B",K33 &lt; 3%,"C")</f>
        <v>C</v>
      </c>
      <c r="N33" s="34">
        <f t="shared" si="6"/>
        <v>0.7567567567567568</v>
      </c>
      <c r="O33" s="34">
        <f t="shared" si="7"/>
        <v>0.1777489610801006</v>
      </c>
    </row>
    <row r="34" spans="1:15" x14ac:dyDescent="0.25">
      <c r="A34" s="3">
        <v>31</v>
      </c>
      <c r="B34" s="3" t="str">
        <v>juice pomegrante</v>
      </c>
      <c r="C34" s="3">
        <v>583</v>
      </c>
      <c r="D34" s="6">
        <v>20</v>
      </c>
      <c r="E34" s="6">
        <f t="shared" ref="E34:E40" si="9">D34*C34</f>
        <v>11660</v>
      </c>
      <c r="G34" s="3" t="str">
        <f t="shared" si="1"/>
        <v>juice beetroot</v>
      </c>
      <c r="H34" s="4">
        <f t="shared" si="2"/>
        <v>2.7027027027027029E-2</v>
      </c>
      <c r="I34" s="4">
        <f t="shared" si="3"/>
        <v>0.83783783783783727</v>
      </c>
      <c r="J34" s="6">
        <v>6720</v>
      </c>
      <c r="K34" s="4">
        <f t="shared" si="4"/>
        <v>2.4300528102548227E-3</v>
      </c>
      <c r="L34" s="5">
        <f t="shared" si="5"/>
        <v>0.99288630968997993</v>
      </c>
      <c r="M34" s="3" t="str" cm="1">
        <f t="array" ref="M34">_xlfn.IFS(K34 &gt;= 15%,"A",AND(K34 &lt; 15%,K34 &gt;= 3%),"B",K34 &lt; 3%,"C")</f>
        <v>C</v>
      </c>
      <c r="N34" s="34">
        <f t="shared" si="6"/>
        <v>0.7567567567567568</v>
      </c>
      <c r="O34" s="34">
        <f t="shared" si="7"/>
        <v>0.1777489610801006</v>
      </c>
    </row>
    <row r="35" spans="1:15" x14ac:dyDescent="0.25">
      <c r="A35" s="3">
        <v>32</v>
      </c>
      <c r="B35" s="3" t="str">
        <v>תפוז סחוט</v>
      </c>
      <c r="C35" s="3">
        <v>1690</v>
      </c>
      <c r="D35" s="6">
        <v>20</v>
      </c>
      <c r="E35" s="6">
        <f t="shared" si="9"/>
        <v>33800</v>
      </c>
      <c r="G35" s="3" t="str">
        <f t="shared" si="1"/>
        <v>mix cocount</v>
      </c>
      <c r="H35" s="4">
        <f t="shared" si="2"/>
        <v>2.7027027027027029E-2</v>
      </c>
      <c r="I35" s="4">
        <f t="shared" si="3"/>
        <v>0.86486486486486425</v>
      </c>
      <c r="J35" s="6">
        <v>5122</v>
      </c>
      <c r="K35" s="4">
        <f t="shared" si="4"/>
        <v>1.8521920378162505E-3</v>
      </c>
      <c r="L35" s="5">
        <f t="shared" si="5"/>
        <v>0.99473850172779621</v>
      </c>
      <c r="M35" s="3" t="str" cm="1">
        <f t="array" ref="M35">_xlfn.IFS(K35 &gt;= 15%,"A",AND(K35 &lt; 15%,K35 &gt;= 3%),"B",K35 &lt; 3%,"C")</f>
        <v>C</v>
      </c>
      <c r="N35" s="34">
        <f t="shared" si="6"/>
        <v>0.7567567567567568</v>
      </c>
      <c r="O35" s="34">
        <f t="shared" si="7"/>
        <v>0.1777489610801006</v>
      </c>
    </row>
    <row r="36" spans="1:15" x14ac:dyDescent="0.25">
      <c r="A36" s="3">
        <v>33</v>
      </c>
      <c r="B36" s="3" t="str">
        <v>תפוח סחוט</v>
      </c>
      <c r="C36" s="3">
        <v>240</v>
      </c>
      <c r="D36" s="6">
        <v>20</v>
      </c>
      <c r="E36" s="6">
        <f t="shared" si="9"/>
        <v>4800</v>
      </c>
      <c r="G36" s="3" t="str">
        <f t="shared" si="1"/>
        <v>תפוח סחוט</v>
      </c>
      <c r="H36" s="4">
        <f t="shared" si="2"/>
        <v>2.7027027027027029E-2</v>
      </c>
      <c r="I36" s="4">
        <f t="shared" si="3"/>
        <v>0.89189189189189122</v>
      </c>
      <c r="J36" s="6">
        <v>4800</v>
      </c>
      <c r="K36" s="4">
        <f t="shared" si="4"/>
        <v>1.7357520073248735E-3</v>
      </c>
      <c r="L36" s="5">
        <f t="shared" si="5"/>
        <v>0.99647425373512111</v>
      </c>
      <c r="M36" s="3" t="str" cm="1">
        <f t="array" ref="M36">_xlfn.IFS(K36 &gt;= 15%,"A",AND(K36 &lt; 15%,K36 &gt;= 3%),"B",K36 &lt; 3%,"C")</f>
        <v>C</v>
      </c>
      <c r="N36" s="34">
        <f t="shared" si="6"/>
        <v>0.7567567567567568</v>
      </c>
      <c r="O36" s="34">
        <f t="shared" si="7"/>
        <v>0.1777489610801006</v>
      </c>
    </row>
    <row r="37" spans="1:15" x14ac:dyDescent="0.25">
      <c r="A37" s="3">
        <v>34</v>
      </c>
      <c r="B37" s="3" t="str">
        <v>refresh kids</v>
      </c>
      <c r="C37" s="3">
        <v>158</v>
      </c>
      <c r="D37" s="6">
        <v>15</v>
      </c>
      <c r="E37" s="6">
        <f t="shared" si="9"/>
        <v>2370</v>
      </c>
      <c r="G37" s="3" t="str">
        <f t="shared" si="1"/>
        <v>replay kids</v>
      </c>
      <c r="H37" s="4">
        <f t="shared" si="2"/>
        <v>2.7027027027027029E-2</v>
      </c>
      <c r="I37" s="4">
        <f t="shared" si="3"/>
        <v>0.91891891891891819</v>
      </c>
      <c r="J37" s="6">
        <v>2910</v>
      </c>
      <c r="K37" s="4">
        <f t="shared" si="4"/>
        <v>1.0522996544407046E-3</v>
      </c>
      <c r="L37" s="5">
        <f t="shared" si="5"/>
        <v>0.99752655338956187</v>
      </c>
      <c r="M37" s="3" t="str" cm="1">
        <f t="array" ref="M37">_xlfn.IFS(K37 &gt;= 15%,"A",AND(K37 &lt; 15%,K37 &gt;= 3%),"B",K37 &lt; 3%,"C")</f>
        <v>C</v>
      </c>
      <c r="N37" s="34">
        <f t="shared" si="6"/>
        <v>0.7567567567567568</v>
      </c>
      <c r="O37" s="34">
        <f t="shared" si="7"/>
        <v>0.1777489610801006</v>
      </c>
    </row>
    <row r="38" spans="1:15" x14ac:dyDescent="0.25">
      <c r="A38" s="3">
        <v>35</v>
      </c>
      <c r="B38" s="3" t="str">
        <v>rejoy kids</v>
      </c>
      <c r="C38" s="3">
        <v>143</v>
      </c>
      <c r="D38" s="6">
        <v>15</v>
      </c>
      <c r="E38" s="6">
        <f t="shared" si="9"/>
        <v>2145</v>
      </c>
      <c r="G38" s="3" t="str">
        <f t="shared" si="1"/>
        <v>refresh kids</v>
      </c>
      <c r="H38" s="4">
        <f t="shared" si="2"/>
        <v>2.7027027027027029E-2</v>
      </c>
      <c r="I38" s="4">
        <f t="shared" si="3"/>
        <v>0.94594594594594517</v>
      </c>
      <c r="J38" s="6">
        <v>2370</v>
      </c>
      <c r="K38" s="4">
        <f t="shared" si="4"/>
        <v>8.5702755361665632E-4</v>
      </c>
      <c r="L38" s="5">
        <f t="shared" si="5"/>
        <v>0.99838358094317847</v>
      </c>
      <c r="M38" s="3" t="str" cm="1">
        <f t="array" ref="M38">_xlfn.IFS(K38 &gt;= 15%,"A",AND(K38 &lt; 15%,K38 &gt;= 3%),"B",K38 &lt; 3%,"C")</f>
        <v>C</v>
      </c>
      <c r="N38" s="34">
        <f t="shared" si="6"/>
        <v>0.7567567567567568</v>
      </c>
      <c r="O38" s="34">
        <f t="shared" si="7"/>
        <v>0.1777489610801006</v>
      </c>
    </row>
    <row r="39" spans="1:15" x14ac:dyDescent="0.25">
      <c r="A39" s="3">
        <v>36</v>
      </c>
      <c r="B39" s="3" t="str">
        <v>replay kids</v>
      </c>
      <c r="C39" s="3">
        <v>194</v>
      </c>
      <c r="D39" s="6">
        <v>15</v>
      </c>
      <c r="E39" s="6">
        <f t="shared" si="9"/>
        <v>2910</v>
      </c>
      <c r="G39" s="3" t="str">
        <f t="shared" si="1"/>
        <v>relax kids</v>
      </c>
      <c r="H39" s="4">
        <f t="shared" si="2"/>
        <v>2.7027027027027029E-2</v>
      </c>
      <c r="I39" s="4">
        <f t="shared" si="3"/>
        <v>0.97297297297297214</v>
      </c>
      <c r="J39" s="6">
        <v>2325</v>
      </c>
      <c r="K39" s="4">
        <f t="shared" si="4"/>
        <v>8.4075487854798554E-4</v>
      </c>
      <c r="L39" s="5">
        <f t="shared" si="5"/>
        <v>0.99922433582172643</v>
      </c>
      <c r="M39" s="3" t="str" cm="1">
        <f t="array" ref="M39">_xlfn.IFS(K39 &gt;= 15%,"A",AND(K39 &lt; 15%,K39 &gt;= 3%),"B",K39 &lt; 3%,"C")</f>
        <v>C</v>
      </c>
      <c r="N39" s="34">
        <f t="shared" si="6"/>
        <v>0.7567567567567568</v>
      </c>
      <c r="O39" s="34">
        <f t="shared" si="7"/>
        <v>0.1777489610801006</v>
      </c>
    </row>
    <row r="40" spans="1:15" ht="14.4" thickBot="1" x14ac:dyDescent="0.3">
      <c r="A40" s="3">
        <v>37</v>
      </c>
      <c r="B40" s="3" t="str">
        <v>relax kids</v>
      </c>
      <c r="C40" s="3">
        <v>155</v>
      </c>
      <c r="D40" s="6">
        <v>15</v>
      </c>
      <c r="E40" s="6">
        <f t="shared" si="9"/>
        <v>2325</v>
      </c>
      <c r="G40" s="3" t="str">
        <f t="shared" si="1"/>
        <v>rejoy kids</v>
      </c>
      <c r="H40" s="4">
        <f t="shared" si="2"/>
        <v>2.7027027027027029E-2</v>
      </c>
      <c r="I40" s="4">
        <f t="shared" si="3"/>
        <v>0.99999999999999911</v>
      </c>
      <c r="J40" s="6">
        <v>2145</v>
      </c>
      <c r="K40" s="4">
        <f t="shared" si="4"/>
        <v>7.7566417827330282E-4</v>
      </c>
      <c r="L40" s="5">
        <f t="shared" si="5"/>
        <v>0.99999999999999978</v>
      </c>
      <c r="M40" s="3" t="str" cm="1">
        <f t="array" ref="M40">_xlfn.IFS(K40 &gt;= 15%,"A",AND(K40 &lt; 15%,K40 &gt;= 3%),"B",K40 &lt; 3%,"C")</f>
        <v>C</v>
      </c>
      <c r="N40" s="34">
        <f t="shared" si="6"/>
        <v>0.7567567567567568</v>
      </c>
      <c r="O40" s="34">
        <f>SUMIF($M$4:$M$40,M40,$K$4:$K$40)</f>
        <v>0.1777489610801006</v>
      </c>
    </row>
    <row r="41" spans="1:15" ht="18" thickBot="1" x14ac:dyDescent="0.35">
      <c r="A41" s="180" t="str">
        <f>"סך הכל פריטים: " &amp; COUNTA(B4:B40)</f>
        <v>סך הכל פריטים: 37</v>
      </c>
      <c r="B41" s="182"/>
      <c r="E41" s="9" t="s">
        <v>1</v>
      </c>
      <c r="G41" s="12" t="str">
        <f>"סך הכל פריטים: " &amp; COUNTA(G4:G40)</f>
        <v>סך הכל פריטים: 37</v>
      </c>
      <c r="J41" s="9" t="s">
        <v>1</v>
      </c>
    </row>
    <row r="42" spans="1:15" ht="18" thickBot="1" x14ac:dyDescent="0.3">
      <c r="E42" s="10">
        <f>SUM(E4:E40)</f>
        <v>2765372</v>
      </c>
      <c r="J42" s="10">
        <f>SUM(J4:J40)</f>
        <v>2765372</v>
      </c>
    </row>
    <row r="43" spans="1:15" x14ac:dyDescent="0.25">
      <c r="E43" s="31"/>
    </row>
    <row r="44" spans="1:15" x14ac:dyDescent="0.25">
      <c r="E44" s="33"/>
    </row>
  </sheetData>
  <sheetProtection algorithmName="SHA-512" hashValue="vjs007/DanVMyQma+Pol0M6u9QSVbFku/L+jwHZIPpTDbhDkZalvWTnsgPXCUoVppQmOsQmF2mLxOWx2iA10/A==" saltValue="hsWTR9GTRyWHWcB2+cykxQ==" spinCount="100000" sheet="1" objects="1" scenarios="1" selectLockedCells="1" selectUnlockedCells="1"/>
  <sortState xmlns:xlrd2="http://schemas.microsoft.com/office/spreadsheetml/2017/richdata2" ref="G4:M40">
    <sortCondition descending="1" ref="J4:J40"/>
  </sortState>
  <mergeCells count="16">
    <mergeCell ref="G1:O1"/>
    <mergeCell ref="G2:G3"/>
    <mergeCell ref="H2:H3"/>
    <mergeCell ref="I2:I3"/>
    <mergeCell ref="J2:J3"/>
    <mergeCell ref="K2:K3"/>
    <mergeCell ref="L2:L3"/>
    <mergeCell ref="M2:M3"/>
    <mergeCell ref="N2:O2"/>
    <mergeCell ref="A41:B41"/>
    <mergeCell ref="E2:E3"/>
    <mergeCell ref="D2:D3"/>
    <mergeCell ref="A1:E1"/>
    <mergeCell ref="A2:A3"/>
    <mergeCell ref="B2:B3"/>
    <mergeCell ref="C2:C3"/>
  </mergeCells>
  <conditionalFormatting sqref="M4:O40">
    <cfRule type="containsText" dxfId="16" priority="1" operator="containsText" text="C">
      <formula>NOT(ISERROR(SEARCH("C",M4)))</formula>
    </cfRule>
    <cfRule type="containsText" dxfId="15" priority="2" operator="containsText" text="B">
      <formula>NOT(ISERROR(SEARCH("B",M4)))</formula>
    </cfRule>
    <cfRule type="containsText" dxfId="14" priority="3" operator="containsText" text="A">
      <formula>NOT(ISERROR(SEARCH("A",M4)))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BC1D-46E6-4DEA-BC44-E28EB1054858}">
  <dimension ref="A1:P28"/>
  <sheetViews>
    <sheetView rightToLeft="1" workbookViewId="0">
      <selection activeCell="G18" sqref="G18"/>
    </sheetView>
  </sheetViews>
  <sheetFormatPr defaultRowHeight="13.8" x14ac:dyDescent="0.25"/>
  <cols>
    <col min="1" max="1" width="5.8984375" bestFit="1" customWidth="1"/>
    <col min="3" max="3" width="19.3984375" bestFit="1" customWidth="1"/>
    <col min="4" max="4" width="15.09765625" bestFit="1" customWidth="1"/>
    <col min="5" max="5" width="11" customWidth="1"/>
    <col min="6" max="6" width="17.19921875" bestFit="1" customWidth="1"/>
    <col min="7" max="7" width="11.3984375" bestFit="1" customWidth="1"/>
    <col min="8" max="8" width="19.3984375" bestFit="1" customWidth="1"/>
    <col min="9" max="9" width="12.09765625" bestFit="1" customWidth="1"/>
    <col min="10" max="10" width="14" bestFit="1" customWidth="1"/>
    <col min="11" max="11" width="17.19921875" bestFit="1" customWidth="1"/>
    <col min="12" max="12" width="12.8984375" bestFit="1" customWidth="1"/>
    <col min="13" max="13" width="14.796875" bestFit="1" customWidth="1"/>
  </cols>
  <sheetData>
    <row r="1" spans="1:16" ht="35.4" x14ac:dyDescent="0.25">
      <c r="A1" s="186" t="s">
        <v>16</v>
      </c>
      <c r="B1" s="187"/>
      <c r="C1" s="187"/>
      <c r="D1" s="187"/>
      <c r="E1" s="187"/>
      <c r="F1" s="187"/>
      <c r="G1" s="32">
        <f>'פארטו כלל המוצרים'!E42-'פארטו שייקים'!F28</f>
        <v>411012</v>
      </c>
      <c r="H1" s="190" t="s">
        <v>11</v>
      </c>
      <c r="I1" s="191"/>
      <c r="J1" s="191"/>
      <c r="K1" s="191"/>
      <c r="L1" s="191"/>
      <c r="M1" s="191"/>
      <c r="N1" s="191"/>
      <c r="O1" s="191"/>
      <c r="P1" s="191"/>
    </row>
    <row r="2" spans="1:16" ht="14.4" customHeight="1" x14ac:dyDescent="0.25">
      <c r="A2" s="188" t="s">
        <v>13</v>
      </c>
      <c r="B2" s="188" t="s">
        <v>83</v>
      </c>
      <c r="C2" s="188" t="s">
        <v>15</v>
      </c>
      <c r="D2" s="184" t="s">
        <v>12</v>
      </c>
      <c r="E2" s="184" t="s">
        <v>81</v>
      </c>
      <c r="F2" s="184" t="s">
        <v>82</v>
      </c>
      <c r="H2" s="183" t="s">
        <v>0</v>
      </c>
      <c r="I2" s="174" t="s">
        <v>84</v>
      </c>
      <c r="J2" s="174" t="s">
        <v>85</v>
      </c>
      <c r="K2" s="175" t="s">
        <v>82</v>
      </c>
      <c r="L2" s="174" t="s">
        <v>7</v>
      </c>
      <c r="M2" s="174" t="s">
        <v>6</v>
      </c>
      <c r="N2" s="175" t="s">
        <v>8</v>
      </c>
      <c r="O2" s="175" t="s">
        <v>17</v>
      </c>
      <c r="P2" s="175"/>
    </row>
    <row r="3" spans="1:16" x14ac:dyDescent="0.25">
      <c r="A3" s="189"/>
      <c r="B3" s="189"/>
      <c r="C3" s="189"/>
      <c r="D3" s="185"/>
      <c r="E3" s="185"/>
      <c r="F3" s="185"/>
      <c r="H3" s="183"/>
      <c r="I3" s="174"/>
      <c r="J3" s="174"/>
      <c r="K3" s="175"/>
      <c r="L3" s="174"/>
      <c r="M3" s="174"/>
      <c r="N3" s="175"/>
      <c r="O3" s="30" t="s">
        <v>9</v>
      </c>
      <c r="P3" s="30" t="s">
        <v>10</v>
      </c>
    </row>
    <row r="4" spans="1:16" x14ac:dyDescent="0.25">
      <c r="A4" s="3">
        <v>1</v>
      </c>
      <c r="B4" s="3"/>
      <c r="C4" s="3" t="s">
        <v>56</v>
      </c>
      <c r="D4" s="29">
        <v>2105</v>
      </c>
      <c r="E4" s="6">
        <v>26</v>
      </c>
      <c r="F4" s="6">
        <f t="shared" ref="F4:F26" si="0">E4*D4</f>
        <v>54730</v>
      </c>
      <c r="H4" s="3" t="str">
        <f t="shared" ref="H4:H26" si="1">_xlfn.XLOOKUP(K4,$F$4:$F$26,$C$4:$C$26)</f>
        <v>Sour Green</v>
      </c>
      <c r="I4" s="4">
        <f t="shared" ref="I4:I26" si="2">1/COUNTA($A$4:$A$26)</f>
        <v>4.3478260869565216E-2</v>
      </c>
      <c r="J4" s="4">
        <f>I4</f>
        <v>4.3478260869565216E-2</v>
      </c>
      <c r="K4" s="6">
        <v>285610</v>
      </c>
      <c r="L4" s="4">
        <f t="shared" ref="L4:L26" si="3">K4/$K$28</f>
        <v>0.12131109940705755</v>
      </c>
      <c r="M4" s="5">
        <f>L4</f>
        <v>0.12131109940705755</v>
      </c>
      <c r="N4" s="3" t="str" cm="1">
        <f t="array" ref="N4">_xlfn.IFS(L4 &gt;= 15%,"A",AND(L4 &lt; 15%,L4 &gt;= 3%),"B",L4 &lt; 3%,"C")</f>
        <v>B</v>
      </c>
      <c r="O4" s="3"/>
      <c r="P4" s="3"/>
    </row>
    <row r="5" spans="1:16" x14ac:dyDescent="0.25">
      <c r="A5" s="3">
        <v>2</v>
      </c>
      <c r="B5" s="3"/>
      <c r="C5" s="3" t="s">
        <v>57</v>
      </c>
      <c r="D5" s="29">
        <v>2179</v>
      </c>
      <c r="E5" s="6">
        <v>26</v>
      </c>
      <c r="F5" s="6">
        <f t="shared" si="0"/>
        <v>56654</v>
      </c>
      <c r="H5" s="3" t="str">
        <f t="shared" si="1"/>
        <v>super green</v>
      </c>
      <c r="I5" s="4">
        <f t="shared" si="2"/>
        <v>4.3478260869565216E-2</v>
      </c>
      <c r="J5" s="4">
        <f>I5+J4</f>
        <v>8.6956521739130432E-2</v>
      </c>
      <c r="K5" s="6">
        <v>276192</v>
      </c>
      <c r="L5" s="4">
        <f t="shared" si="3"/>
        <v>0.11731086155048506</v>
      </c>
      <c r="M5" s="5">
        <f>L5+M4</f>
        <v>0.23862196095754262</v>
      </c>
      <c r="N5" s="3" t="str" cm="1">
        <f t="array" ref="N5">_xlfn.IFS(L5 &gt;= 15%,"A",AND(L5 &lt; 15%,L5 &gt;= 3%),"B",L5 &lt; 3%,"C")</f>
        <v>B</v>
      </c>
      <c r="O5" s="3"/>
      <c r="P5" s="3"/>
    </row>
    <row r="6" spans="1:16" x14ac:dyDescent="0.25">
      <c r="A6" s="3">
        <v>3</v>
      </c>
      <c r="B6" s="3"/>
      <c r="C6" s="3" t="s">
        <v>58</v>
      </c>
      <c r="D6" s="29">
        <v>10985</v>
      </c>
      <c r="E6" s="6">
        <v>26</v>
      </c>
      <c r="F6" s="6">
        <f t="shared" si="0"/>
        <v>285610</v>
      </c>
      <c r="H6" s="3" t="str">
        <f t="shared" si="1"/>
        <v>mix halva</v>
      </c>
      <c r="I6" s="4">
        <f t="shared" si="2"/>
        <v>4.3478260869565216E-2</v>
      </c>
      <c r="J6" s="4">
        <f t="shared" ref="J6:J26" si="4">I6+J5</f>
        <v>0.13043478260869565</v>
      </c>
      <c r="K6" s="6">
        <v>250276</v>
      </c>
      <c r="L6" s="4">
        <f t="shared" si="3"/>
        <v>0.10630319917089995</v>
      </c>
      <c r="M6" s="5">
        <f t="shared" ref="M6:M26" si="5">L6+M5</f>
        <v>0.34492516012844254</v>
      </c>
      <c r="N6" s="3" t="str" cm="1">
        <f t="array" ref="N6">_xlfn.IFS(L6 &gt;= 15%,"A",AND(L6 &lt; 15%,L6 &gt;= 3%),"B",L6 &lt; 3%,"C")</f>
        <v>B</v>
      </c>
      <c r="O6" s="3"/>
      <c r="P6" s="3"/>
    </row>
    <row r="7" spans="1:16" x14ac:dyDescent="0.25">
      <c r="A7" s="3">
        <v>4</v>
      </c>
      <c r="B7" s="3"/>
      <c r="C7" s="3" t="s">
        <v>59</v>
      </c>
      <c r="D7" s="29">
        <v>8969</v>
      </c>
      <c r="E7" s="6">
        <v>26</v>
      </c>
      <c r="F7" s="6">
        <f t="shared" si="0"/>
        <v>233194</v>
      </c>
      <c r="H7" s="3" t="str">
        <f t="shared" si="1"/>
        <v>לימונדה חמוצה</v>
      </c>
      <c r="I7" s="4">
        <f t="shared" si="2"/>
        <v>4.3478260869565216E-2</v>
      </c>
      <c r="J7" s="4">
        <f t="shared" si="4"/>
        <v>0.17391304347826086</v>
      </c>
      <c r="K7" s="6">
        <v>233194</v>
      </c>
      <c r="L7" s="4">
        <f t="shared" si="3"/>
        <v>9.9047724222293951E-2</v>
      </c>
      <c r="M7" s="5">
        <f t="shared" si="5"/>
        <v>0.44397288435073651</v>
      </c>
      <c r="N7" s="3" t="str" cm="1">
        <f t="array" ref="N7">_xlfn.IFS(L7 &gt;= 15%,"A",AND(L7 &lt; 15%,L7 &gt;= 3%),"B",L7 &lt; 3%,"C")</f>
        <v>B</v>
      </c>
      <c r="O7" s="3"/>
      <c r="P7" s="3"/>
    </row>
    <row r="8" spans="1:16" x14ac:dyDescent="0.25">
      <c r="A8" s="3">
        <v>7</v>
      </c>
      <c r="B8" s="3"/>
      <c r="C8" s="3" t="s">
        <v>60</v>
      </c>
      <c r="D8" s="29">
        <v>7652</v>
      </c>
      <c r="E8" s="6">
        <v>24</v>
      </c>
      <c r="F8" s="6">
        <f t="shared" si="0"/>
        <v>183648</v>
      </c>
      <c r="H8" s="3" t="str">
        <f t="shared" si="1"/>
        <v>REJOY</v>
      </c>
      <c r="I8" s="4">
        <f t="shared" si="2"/>
        <v>4.3478260869565216E-2</v>
      </c>
      <c r="J8" s="4">
        <f t="shared" si="4"/>
        <v>0.21739130434782608</v>
      </c>
      <c r="K8" s="6">
        <v>227352</v>
      </c>
      <c r="L8" s="4">
        <f t="shared" si="3"/>
        <v>9.6566370478601407E-2</v>
      </c>
      <c r="M8" s="5">
        <f t="shared" si="5"/>
        <v>0.54053925482933796</v>
      </c>
      <c r="N8" s="3" t="str" cm="1">
        <f t="array" ref="N8">_xlfn.IFS(L8 &gt;= 15%,"A",AND(L8 &lt; 15%,L8 &gt;= 3%),"B",L8 &lt; 3%,"C")</f>
        <v>B</v>
      </c>
      <c r="O8" s="3"/>
      <c r="P8" s="3"/>
    </row>
    <row r="9" spans="1:16" x14ac:dyDescent="0.25">
      <c r="A9" s="3">
        <v>8</v>
      </c>
      <c r="B9" s="3"/>
      <c r="C9" s="3" t="s">
        <v>61</v>
      </c>
      <c r="D9" s="29">
        <v>4424</v>
      </c>
      <c r="E9" s="6">
        <v>24</v>
      </c>
      <c r="F9" s="6">
        <f t="shared" si="0"/>
        <v>106176</v>
      </c>
      <c r="H9" s="3" t="str">
        <f t="shared" si="1"/>
        <v>REPLAY</v>
      </c>
      <c r="I9" s="4">
        <f t="shared" si="2"/>
        <v>4.3478260869565216E-2</v>
      </c>
      <c r="J9" s="4">
        <f t="shared" si="4"/>
        <v>0.2608695652173913</v>
      </c>
      <c r="K9" s="6">
        <v>197664</v>
      </c>
      <c r="L9" s="4">
        <f t="shared" si="3"/>
        <v>8.3956574185765978E-2</v>
      </c>
      <c r="M9" s="5">
        <f t="shared" si="5"/>
        <v>0.62449582901510392</v>
      </c>
      <c r="N9" s="3" t="str" cm="1">
        <f t="array" ref="N9">_xlfn.IFS(L9 &gt;= 15%,"A",AND(L9 &lt; 15%,L9 &gt;= 3%),"B",L9 &lt; 3%,"C")</f>
        <v>B</v>
      </c>
      <c r="O9" s="3"/>
      <c r="P9" s="3"/>
    </row>
    <row r="10" spans="1:16" x14ac:dyDescent="0.25">
      <c r="A10" s="3">
        <v>9</v>
      </c>
      <c r="B10" s="3"/>
      <c r="C10" s="3" t="s">
        <v>62</v>
      </c>
      <c r="D10" s="29">
        <v>4012</v>
      </c>
      <c r="E10" s="6">
        <v>24</v>
      </c>
      <c r="F10" s="6">
        <f t="shared" si="0"/>
        <v>96288</v>
      </c>
      <c r="H10" s="3" t="str">
        <f t="shared" si="1"/>
        <v>RELAX</v>
      </c>
      <c r="I10" s="4">
        <f t="shared" si="2"/>
        <v>4.3478260869565216E-2</v>
      </c>
      <c r="J10" s="4">
        <f t="shared" si="4"/>
        <v>0.30434782608695654</v>
      </c>
      <c r="K10" s="6">
        <v>183648</v>
      </c>
      <c r="L10" s="4">
        <f t="shared" si="3"/>
        <v>7.8003363971525172E-2</v>
      </c>
      <c r="M10" s="5">
        <f t="shared" si="5"/>
        <v>0.70249919298662911</v>
      </c>
      <c r="N10" s="3" t="str" cm="1">
        <f t="array" ref="N10">_xlfn.IFS(L10 &gt;= 15%,"A",AND(L10 &lt; 15%,L10 &gt;= 3%),"B",L10 &lt; 3%,"C")</f>
        <v>B</v>
      </c>
      <c r="O10" s="3"/>
      <c r="P10" s="3"/>
    </row>
    <row r="11" spans="1:16" x14ac:dyDescent="0.25">
      <c r="A11" s="3">
        <v>10</v>
      </c>
      <c r="B11" s="3"/>
      <c r="C11" s="3" t="s">
        <v>63</v>
      </c>
      <c r="D11" s="29">
        <v>4365</v>
      </c>
      <c r="E11" s="6">
        <v>24</v>
      </c>
      <c r="F11" s="6">
        <f t="shared" si="0"/>
        <v>104760</v>
      </c>
      <c r="H11" s="3" t="str">
        <f t="shared" si="1"/>
        <v>REFREASH</v>
      </c>
      <c r="I11" s="4">
        <f t="shared" si="2"/>
        <v>4.3478260869565216E-2</v>
      </c>
      <c r="J11" s="4">
        <f t="shared" si="4"/>
        <v>0.34782608695652173</v>
      </c>
      <c r="K11" s="6">
        <v>106176</v>
      </c>
      <c r="L11" s="4">
        <f t="shared" si="3"/>
        <v>4.5097606143495471E-2</v>
      </c>
      <c r="M11" s="5">
        <f t="shared" si="5"/>
        <v>0.74759679913012456</v>
      </c>
      <c r="N11" s="3" t="str" cm="1">
        <f t="array" ref="N11">_xlfn.IFS(L11 &gt;= 15%,"A",AND(L11 &lt; 15%,L11 &gt;= 3%),"B",L11 &lt; 3%,"C")</f>
        <v>B</v>
      </c>
      <c r="O11" s="3"/>
      <c r="P11" s="3"/>
    </row>
    <row r="12" spans="1:16" x14ac:dyDescent="0.25">
      <c r="A12" s="3">
        <v>11</v>
      </c>
      <c r="B12" s="3"/>
      <c r="C12" s="3" t="s">
        <v>26</v>
      </c>
      <c r="D12" s="29">
        <v>8236</v>
      </c>
      <c r="E12" s="6">
        <v>24</v>
      </c>
      <c r="F12" s="6">
        <f t="shared" si="0"/>
        <v>197664</v>
      </c>
      <c r="H12" s="3" t="str">
        <f t="shared" si="1"/>
        <v>RESHAPE</v>
      </c>
      <c r="I12" s="4">
        <f t="shared" si="2"/>
        <v>4.3478260869565216E-2</v>
      </c>
      <c r="J12" s="4">
        <f t="shared" si="4"/>
        <v>0.39130434782608692</v>
      </c>
      <c r="K12" s="6">
        <v>104760</v>
      </c>
      <c r="L12" s="4">
        <f t="shared" si="3"/>
        <v>4.4496168810207445E-2</v>
      </c>
      <c r="M12" s="5">
        <f t="shared" si="5"/>
        <v>0.79209296794033202</v>
      </c>
      <c r="N12" s="3" t="str" cm="1">
        <f t="array" ref="N12">_xlfn.IFS(L12 &gt;= 15%,"A",AND(L12 &lt; 15%,L12 &gt;= 3%),"B",L12 &lt; 3%,"C")</f>
        <v>B</v>
      </c>
      <c r="O12" s="3"/>
      <c r="P12" s="3"/>
    </row>
    <row r="13" spans="1:16" x14ac:dyDescent="0.25">
      <c r="A13" s="3">
        <v>12</v>
      </c>
      <c r="B13" s="3"/>
      <c r="C13" s="3" t="s">
        <v>23</v>
      </c>
      <c r="D13" s="29">
        <v>9473</v>
      </c>
      <c r="E13" s="6">
        <v>24</v>
      </c>
      <c r="F13" s="6">
        <f t="shared" si="0"/>
        <v>227352</v>
      </c>
      <c r="H13" s="3" t="str">
        <f t="shared" si="1"/>
        <v>REFEMME</v>
      </c>
      <c r="I13" s="4">
        <f t="shared" si="2"/>
        <v>4.3478260869565216E-2</v>
      </c>
      <c r="J13" s="4">
        <f t="shared" si="4"/>
        <v>0.43478260869565211</v>
      </c>
      <c r="K13" s="6">
        <v>96288</v>
      </c>
      <c r="L13" s="4">
        <f t="shared" si="3"/>
        <v>4.0897738663585856E-2</v>
      </c>
      <c r="M13" s="5">
        <f t="shared" si="5"/>
        <v>0.83299070660391783</v>
      </c>
      <c r="N13" s="3" t="str" cm="1">
        <f t="array" ref="N13">_xlfn.IFS(L13 &gt;= 15%,"A",AND(L13 &lt; 15%,L13 &gt;= 3%),"B",L13 &lt; 3%,"C")</f>
        <v>B</v>
      </c>
      <c r="O13" s="3"/>
      <c r="P13" s="3"/>
    </row>
    <row r="14" spans="1:16" x14ac:dyDescent="0.25">
      <c r="A14" s="3">
        <v>13</v>
      </c>
      <c r="B14" s="3"/>
      <c r="C14" s="3" t="s">
        <v>64</v>
      </c>
      <c r="D14" s="29">
        <v>3083</v>
      </c>
      <c r="E14" s="6">
        <v>24</v>
      </c>
      <c r="F14" s="6">
        <f t="shared" si="0"/>
        <v>73992</v>
      </c>
      <c r="H14" s="3" t="str">
        <f t="shared" si="1"/>
        <v>Pro Banana</v>
      </c>
      <c r="I14" s="4">
        <f t="shared" si="2"/>
        <v>4.3478260869565216E-2</v>
      </c>
      <c r="J14" s="4">
        <f t="shared" si="4"/>
        <v>0.47826086956521729</v>
      </c>
      <c r="K14" s="6">
        <v>73992</v>
      </c>
      <c r="L14" s="4">
        <f t="shared" si="3"/>
        <v>3.142764912757607E-2</v>
      </c>
      <c r="M14" s="5">
        <f t="shared" si="5"/>
        <v>0.86441835573149395</v>
      </c>
      <c r="N14" s="3" t="str" cm="1">
        <f t="array" ref="N14">_xlfn.IFS(L14 &gt;= 15%,"A",AND(L14 &lt; 15%,L14 &gt;= 3%),"B",L14 &lt; 3%,"C")</f>
        <v>B</v>
      </c>
      <c r="O14" s="3"/>
      <c r="P14" s="3"/>
    </row>
    <row r="15" spans="1:16" x14ac:dyDescent="0.25">
      <c r="A15" s="3">
        <v>14</v>
      </c>
      <c r="B15" s="3"/>
      <c r="C15" s="3" t="s">
        <v>65</v>
      </c>
      <c r="D15" s="29">
        <v>719</v>
      </c>
      <c r="E15" s="6">
        <v>28</v>
      </c>
      <c r="F15" s="6">
        <f t="shared" si="0"/>
        <v>20132</v>
      </c>
      <c r="H15" s="3" t="str">
        <f t="shared" si="1"/>
        <v>משקה "פאשן"</v>
      </c>
      <c r="I15" s="4">
        <f t="shared" si="2"/>
        <v>4.3478260869565216E-2</v>
      </c>
      <c r="J15" s="4">
        <f t="shared" si="4"/>
        <v>0.52173913043478248</v>
      </c>
      <c r="K15" s="6">
        <v>56654</v>
      </c>
      <c r="L15" s="4">
        <f t="shared" si="3"/>
        <v>2.4063439745833262E-2</v>
      </c>
      <c r="M15" s="5">
        <f t="shared" si="5"/>
        <v>0.8884817954773272</v>
      </c>
      <c r="N15" s="3" t="str" cm="1">
        <f t="array" ref="N15">_xlfn.IFS(L15 &gt;= 15%,"A",AND(L15 &lt; 15%,L15 &gt;= 3%),"B",L15 &lt; 3%,"C")</f>
        <v>C</v>
      </c>
      <c r="O15" s="3"/>
      <c r="P15" s="3"/>
    </row>
    <row r="16" spans="1:16" x14ac:dyDescent="0.25">
      <c r="A16" s="3">
        <v>15</v>
      </c>
      <c r="B16" s="3"/>
      <c r="C16" s="3" t="s">
        <v>66</v>
      </c>
      <c r="D16" s="29">
        <v>848</v>
      </c>
      <c r="E16" s="6">
        <v>28</v>
      </c>
      <c r="F16" s="6">
        <f t="shared" si="0"/>
        <v>23744</v>
      </c>
      <c r="H16" s="3" t="str">
        <f t="shared" si="1"/>
        <v>משקה פירות יער</v>
      </c>
      <c r="I16" s="4">
        <f t="shared" si="2"/>
        <v>4.3478260869565216E-2</v>
      </c>
      <c r="J16" s="4">
        <f t="shared" si="4"/>
        <v>0.56521739130434767</v>
      </c>
      <c r="K16" s="6">
        <v>54730</v>
      </c>
      <c r="L16" s="4">
        <f t="shared" si="3"/>
        <v>2.324623252178936E-2</v>
      </c>
      <c r="M16" s="5">
        <f t="shared" si="5"/>
        <v>0.91172802799911656</v>
      </c>
      <c r="N16" s="3" t="str" cm="1">
        <f t="array" ref="N16">_xlfn.IFS(L16 &gt;= 15%,"A",AND(L16 &lt; 15%,L16 &gt;= 3%),"B",L16 &lt; 3%,"C")</f>
        <v>C</v>
      </c>
      <c r="O16" s="3"/>
      <c r="P16" s="3"/>
    </row>
    <row r="17" spans="1:16" x14ac:dyDescent="0.25">
      <c r="A17" s="3">
        <v>17</v>
      </c>
      <c r="B17" s="3"/>
      <c r="C17" s="3" t="s">
        <v>67</v>
      </c>
      <c r="D17" s="29">
        <v>9864</v>
      </c>
      <c r="E17" s="6">
        <v>28</v>
      </c>
      <c r="F17" s="6">
        <f t="shared" si="0"/>
        <v>276192</v>
      </c>
      <c r="H17" s="3" t="str">
        <f t="shared" si="1"/>
        <v>mix cocount</v>
      </c>
      <c r="I17" s="4">
        <f t="shared" si="2"/>
        <v>4.3478260869565216E-2</v>
      </c>
      <c r="J17" s="4">
        <f t="shared" si="4"/>
        <v>0.60869565217391286</v>
      </c>
      <c r="K17" s="6">
        <v>33722</v>
      </c>
      <c r="L17" s="4">
        <f t="shared" si="3"/>
        <v>1.4323213102499193E-2</v>
      </c>
      <c r="M17" s="5">
        <f t="shared" si="5"/>
        <v>0.92605124110161574</v>
      </c>
      <c r="N17" s="3" t="str" cm="1">
        <f t="array" ref="N17">_xlfn.IFS(L17 &gt;= 15%,"A",AND(L17 &lt; 15%,L17 &gt;= 3%),"B",L17 &lt; 3%,"C")</f>
        <v>C</v>
      </c>
      <c r="O17" s="3"/>
      <c r="P17" s="3"/>
    </row>
    <row r="18" spans="1:16" x14ac:dyDescent="0.25">
      <c r="A18" s="3">
        <v>18</v>
      </c>
      <c r="B18" s="3"/>
      <c r="C18" s="3" t="s">
        <v>68</v>
      </c>
      <c r="D18" s="29">
        <v>711</v>
      </c>
      <c r="E18" s="6">
        <v>28</v>
      </c>
      <c r="F18" s="6">
        <f t="shared" si="0"/>
        <v>19908</v>
      </c>
      <c r="H18" s="3" t="str">
        <f t="shared" si="1"/>
        <v>mix almonds</v>
      </c>
      <c r="I18" s="4">
        <f t="shared" si="2"/>
        <v>4.3478260869565216E-2</v>
      </c>
      <c r="J18" s="4">
        <f t="shared" si="4"/>
        <v>0.65217391304347805</v>
      </c>
      <c r="K18" s="6">
        <v>25402</v>
      </c>
      <c r="L18" s="4">
        <f t="shared" si="3"/>
        <v>1.0789344025552592E-2</v>
      </c>
      <c r="M18" s="5">
        <f t="shared" si="5"/>
        <v>0.93684058512716828</v>
      </c>
      <c r="N18" s="3" t="str" cm="1">
        <f t="array" ref="N18">_xlfn.IFS(L18 &gt;= 15%,"A",AND(L18 &lt; 15%,L18 &gt;= 3%),"B",L18 &lt; 3%,"C")</f>
        <v>C</v>
      </c>
      <c r="O18" s="3"/>
      <c r="P18" s="3"/>
    </row>
    <row r="19" spans="1:16" x14ac:dyDescent="0.25">
      <c r="A19" s="3">
        <v>20</v>
      </c>
      <c r="B19" s="3"/>
      <c r="C19" s="3" t="s">
        <v>69</v>
      </c>
      <c r="D19" s="3">
        <v>453</v>
      </c>
      <c r="E19" s="6">
        <v>26</v>
      </c>
      <c r="F19" s="6">
        <f t="shared" si="0"/>
        <v>11778</v>
      </c>
      <c r="H19" s="3" t="str">
        <f t="shared" si="1"/>
        <v>pro peanuts</v>
      </c>
      <c r="I19" s="4">
        <f t="shared" si="2"/>
        <v>4.3478260869565216E-2</v>
      </c>
      <c r="J19" s="4">
        <f t="shared" si="4"/>
        <v>0.69565217391304324</v>
      </c>
      <c r="K19" s="6">
        <v>23744</v>
      </c>
      <c r="L19" s="4">
        <f t="shared" si="3"/>
        <v>1.0085118673439915E-2</v>
      </c>
      <c r="M19" s="5">
        <f t="shared" si="5"/>
        <v>0.94692570380060814</v>
      </c>
      <c r="N19" s="3" t="str" cm="1">
        <f t="array" ref="N19">_xlfn.IFS(L19 &gt;= 15%,"A",AND(L19 &lt; 15%,L19 &gt;= 3%),"B",L19 &lt; 3%,"C")</f>
        <v>C</v>
      </c>
      <c r="O19" s="3"/>
      <c r="P19" s="3"/>
    </row>
    <row r="20" spans="1:16" x14ac:dyDescent="0.25">
      <c r="A20" s="3">
        <v>21</v>
      </c>
      <c r="B20" s="3"/>
      <c r="C20" s="3" t="s">
        <v>70</v>
      </c>
      <c r="D20" s="3">
        <v>9626</v>
      </c>
      <c r="E20" s="6">
        <v>26</v>
      </c>
      <c r="F20" s="6">
        <f t="shared" si="0"/>
        <v>250276</v>
      </c>
      <c r="H20" s="3" t="str">
        <f t="shared" si="1"/>
        <v>mix chai</v>
      </c>
      <c r="I20" s="4">
        <f t="shared" si="2"/>
        <v>4.3478260869565216E-2</v>
      </c>
      <c r="J20" s="4">
        <f t="shared" si="4"/>
        <v>0.73913043478260843</v>
      </c>
      <c r="K20" s="6">
        <v>22932</v>
      </c>
      <c r="L20" s="4">
        <f t="shared" si="3"/>
        <v>9.7402266433340694E-3</v>
      </c>
      <c r="M20" s="5">
        <f t="shared" si="5"/>
        <v>0.95666593044394221</v>
      </c>
      <c r="N20" s="3" t="str" cm="1">
        <f t="array" ref="N20">_xlfn.IFS(L20 &gt;= 15%,"A",AND(L20 &lt; 15%,L20 &gt;= 3%),"B",L20 &lt; 3%,"C")</f>
        <v>C</v>
      </c>
      <c r="O20" s="3"/>
      <c r="P20" s="3"/>
    </row>
    <row r="21" spans="1:16" x14ac:dyDescent="0.25">
      <c r="A21" s="3">
        <v>22</v>
      </c>
      <c r="B21" s="3"/>
      <c r="C21" s="3" t="s">
        <v>71</v>
      </c>
      <c r="D21" s="3">
        <v>977</v>
      </c>
      <c r="E21" s="6">
        <v>26</v>
      </c>
      <c r="F21" s="6">
        <f t="shared" si="0"/>
        <v>25402</v>
      </c>
      <c r="H21" s="3" t="str">
        <f t="shared" si="1"/>
        <v>creamy nuts</v>
      </c>
      <c r="I21" s="4">
        <f t="shared" si="2"/>
        <v>4.3478260869565216E-2</v>
      </c>
      <c r="J21" s="4">
        <f t="shared" si="4"/>
        <v>0.78260869565217361</v>
      </c>
      <c r="K21" s="6">
        <v>20332</v>
      </c>
      <c r="L21" s="4">
        <f t="shared" si="3"/>
        <v>8.635892556788257E-3</v>
      </c>
      <c r="M21" s="5">
        <f t="shared" si="5"/>
        <v>0.96530182300073042</v>
      </c>
      <c r="N21" s="3" t="str" cm="1">
        <f t="array" ref="N21">_xlfn.IFS(L21 &gt;= 15%,"A",AND(L21 &lt; 15%,L21 &gt;= 3%),"B",L21 &lt; 3%,"C")</f>
        <v>C</v>
      </c>
      <c r="O21" s="3"/>
      <c r="P21" s="3"/>
    </row>
    <row r="22" spans="1:16" x14ac:dyDescent="0.25">
      <c r="A22" s="3">
        <v>23</v>
      </c>
      <c r="B22" s="3"/>
      <c r="C22" s="3" t="s">
        <v>72</v>
      </c>
      <c r="D22" s="3">
        <v>1297</v>
      </c>
      <c r="E22" s="6">
        <v>26</v>
      </c>
      <c r="F22" s="6">
        <f t="shared" si="0"/>
        <v>33722</v>
      </c>
      <c r="H22" s="3" t="str">
        <f t="shared" si="1"/>
        <v>Pro berries</v>
      </c>
      <c r="I22" s="4">
        <f t="shared" si="2"/>
        <v>4.3478260869565216E-2</v>
      </c>
      <c r="J22" s="4">
        <f t="shared" si="4"/>
        <v>0.8260869565217388</v>
      </c>
      <c r="K22" s="6">
        <v>20132</v>
      </c>
      <c r="L22" s="4">
        <f t="shared" si="3"/>
        <v>8.5509437809001172E-3</v>
      </c>
      <c r="M22" s="5">
        <f t="shared" si="5"/>
        <v>0.97385276678163057</v>
      </c>
      <c r="N22" s="3" t="str" cm="1">
        <f t="array" ref="N22">_xlfn.IFS(L22 &gt;= 15%,"A",AND(L22 &lt; 15%,L22 &gt;= 3%),"B",L22 &lt; 3%,"C")</f>
        <v>C</v>
      </c>
      <c r="O22" s="3"/>
      <c r="P22" s="3"/>
    </row>
    <row r="23" spans="1:16" x14ac:dyDescent="0.25">
      <c r="A23" s="3">
        <v>24</v>
      </c>
      <c r="B23" s="3"/>
      <c r="C23" s="3" t="s">
        <v>73</v>
      </c>
      <c r="D23" s="3">
        <v>882</v>
      </c>
      <c r="E23" s="6">
        <v>26</v>
      </c>
      <c r="F23" s="6">
        <f t="shared" si="0"/>
        <v>22932</v>
      </c>
      <c r="H23" s="3" t="str">
        <f t="shared" si="1"/>
        <v>super acai</v>
      </c>
      <c r="I23" s="4">
        <f t="shared" si="2"/>
        <v>4.3478260869565216E-2</v>
      </c>
      <c r="J23" s="4">
        <f t="shared" si="4"/>
        <v>0.86956521739130399</v>
      </c>
      <c r="K23" s="6">
        <v>19908</v>
      </c>
      <c r="L23" s="4">
        <f t="shared" si="3"/>
        <v>8.4558011519054004E-3</v>
      </c>
      <c r="M23" s="5">
        <f t="shared" si="5"/>
        <v>0.98230856793353594</v>
      </c>
      <c r="N23" s="3" t="str" cm="1">
        <f t="array" ref="N23">_xlfn.IFS(L23 &gt;= 15%,"A",AND(L23 &lt; 15%,L23 &gt;= 3%),"B",L23 &lt; 3%,"C")</f>
        <v>C</v>
      </c>
      <c r="O23" s="3"/>
      <c r="P23" s="3"/>
    </row>
    <row r="24" spans="1:16" x14ac:dyDescent="0.25">
      <c r="A24" s="3">
        <v>25</v>
      </c>
      <c r="B24" s="3"/>
      <c r="C24" s="3" t="s">
        <v>74</v>
      </c>
      <c r="D24" s="3">
        <v>445</v>
      </c>
      <c r="E24" s="6">
        <v>26</v>
      </c>
      <c r="F24" s="6">
        <f t="shared" si="0"/>
        <v>11570</v>
      </c>
      <c r="H24" s="3" t="str">
        <f t="shared" si="1"/>
        <v>creamy cocoa</v>
      </c>
      <c r="I24" s="4">
        <f t="shared" si="2"/>
        <v>4.3478260869565216E-2</v>
      </c>
      <c r="J24" s="4">
        <f t="shared" si="4"/>
        <v>0.91304347826086918</v>
      </c>
      <c r="K24" s="6">
        <v>18304</v>
      </c>
      <c r="L24" s="4">
        <f t="shared" si="3"/>
        <v>7.7745119692825227E-3</v>
      </c>
      <c r="M24" s="5">
        <f t="shared" si="5"/>
        <v>0.99008307990281841</v>
      </c>
      <c r="N24" s="3" t="str" cm="1">
        <f t="array" ref="N24">_xlfn.IFS(L24 &gt;= 15%,"A",AND(L24 &lt; 15%,L24 &gt;= 3%),"B",L24 &lt; 3%,"C")</f>
        <v>C</v>
      </c>
      <c r="O24" s="3"/>
      <c r="P24" s="3"/>
    </row>
    <row r="25" spans="1:16" x14ac:dyDescent="0.25">
      <c r="A25" s="3">
        <v>26</v>
      </c>
      <c r="B25" s="3"/>
      <c r="C25" s="3" t="s">
        <v>75</v>
      </c>
      <c r="D25" s="3">
        <v>782</v>
      </c>
      <c r="E25" s="6">
        <v>26</v>
      </c>
      <c r="F25" s="6">
        <f t="shared" si="0"/>
        <v>20332</v>
      </c>
      <c r="H25" s="3" t="str">
        <f t="shared" si="1"/>
        <v>Mix respberries</v>
      </c>
      <c r="I25" s="4">
        <f t="shared" si="2"/>
        <v>4.3478260869565216E-2</v>
      </c>
      <c r="J25" s="4">
        <f t="shared" si="4"/>
        <v>0.95652173913043437</v>
      </c>
      <c r="K25" s="6">
        <v>11778</v>
      </c>
      <c r="L25" s="4">
        <f t="shared" si="3"/>
        <v>5.0026334120525321E-3</v>
      </c>
      <c r="M25" s="5">
        <f t="shared" si="5"/>
        <v>0.99508571331487095</v>
      </c>
      <c r="N25" s="3" t="str" cm="1">
        <f t="array" ref="N25">_xlfn.IFS(L25 &gt;= 15%,"A",AND(L25 &lt; 15%,L25 &gt;= 3%),"B",L25 &lt; 3%,"C")</f>
        <v>C</v>
      </c>
      <c r="O25" s="3"/>
      <c r="P25" s="3"/>
    </row>
    <row r="26" spans="1:16" ht="14.4" thickBot="1" x14ac:dyDescent="0.3">
      <c r="A26" s="3">
        <v>27</v>
      </c>
      <c r="B26" s="3"/>
      <c r="C26" s="3" t="s">
        <v>76</v>
      </c>
      <c r="D26" s="3">
        <v>704</v>
      </c>
      <c r="E26" s="6">
        <v>26</v>
      </c>
      <c r="F26" s="6">
        <f t="shared" si="0"/>
        <v>18304</v>
      </c>
      <c r="H26" s="3" t="str">
        <f t="shared" si="1"/>
        <v>creamy peanut better</v>
      </c>
      <c r="I26" s="4">
        <f t="shared" si="2"/>
        <v>4.3478260869565216E-2</v>
      </c>
      <c r="J26" s="4">
        <f t="shared" si="4"/>
        <v>0.99999999999999956</v>
      </c>
      <c r="K26" s="6">
        <v>11570</v>
      </c>
      <c r="L26" s="4">
        <f t="shared" si="3"/>
        <v>4.9142866851288672E-3</v>
      </c>
      <c r="M26" s="5">
        <f t="shared" si="5"/>
        <v>0.99999999999999978</v>
      </c>
      <c r="N26" s="3" t="str" cm="1">
        <f t="array" ref="N26">_xlfn.IFS(L26 &gt;= 15%,"A",AND(L26 &lt; 15%,L26 &gt;= 3%),"B",L26 &lt; 3%,"C")</f>
        <v>C</v>
      </c>
      <c r="O26" s="3"/>
      <c r="P26" s="3"/>
    </row>
    <row r="27" spans="1:16" ht="18" thickBot="1" x14ac:dyDescent="0.35">
      <c r="A27" s="180" t="str">
        <f>"סך הכל פריטים: " &amp; COUNTA(C4:C26)</f>
        <v>סך הכל פריטים: 23</v>
      </c>
      <c r="B27" s="181"/>
      <c r="C27" s="182"/>
      <c r="F27" s="9" t="s">
        <v>1</v>
      </c>
      <c r="H27" s="12" t="str">
        <f>"סך הכל פריטים: " &amp; COUNTA(H4:H26)</f>
        <v>סך הכל פריטים: 23</v>
      </c>
      <c r="K27" s="9" t="s">
        <v>1</v>
      </c>
    </row>
    <row r="28" spans="1:16" ht="18" thickBot="1" x14ac:dyDescent="0.3">
      <c r="F28" s="10">
        <f>SUM(F4:F26)</f>
        <v>2354360</v>
      </c>
      <c r="K28" s="10">
        <f>SUM(K4:K26)</f>
        <v>2354360</v>
      </c>
    </row>
  </sheetData>
  <sortState xmlns:xlrd2="http://schemas.microsoft.com/office/spreadsheetml/2017/richdata2" ref="H4:N26">
    <sortCondition descending="1" ref="K4:K26"/>
  </sortState>
  <mergeCells count="17">
    <mergeCell ref="A27:C27"/>
    <mergeCell ref="J2:J3"/>
    <mergeCell ref="K2:K3"/>
    <mergeCell ref="L2:L3"/>
    <mergeCell ref="M2:M3"/>
    <mergeCell ref="N2:N3"/>
    <mergeCell ref="O2:P2"/>
    <mergeCell ref="A1:F1"/>
    <mergeCell ref="H1:P1"/>
    <mergeCell ref="A2:A3"/>
    <mergeCell ref="B2:B3"/>
    <mergeCell ref="C2:C3"/>
    <mergeCell ref="D2:D3"/>
    <mergeCell ref="E2:E3"/>
    <mergeCell ref="F2:F3"/>
    <mergeCell ref="H2:H3"/>
    <mergeCell ref="I2:I3"/>
  </mergeCells>
  <conditionalFormatting sqref="N4:P26">
    <cfRule type="containsText" dxfId="13" priority="1" operator="containsText" text="C">
      <formula>NOT(ISERROR(SEARCH("C",N4)))</formula>
    </cfRule>
    <cfRule type="containsText" dxfId="12" priority="2" operator="containsText" text="B">
      <formula>NOT(ISERROR(SEARCH("B",N4)))</formula>
    </cfRule>
    <cfRule type="containsText" dxfId="11" priority="3" operator="containsText" text="A">
      <formula>NOT(ISERROR(SEARCH("A",N4)))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294E-7641-476B-B3FF-99B223252CA4}">
  <sheetPr>
    <tabColor rgb="FFC00000"/>
  </sheetPr>
  <dimension ref="A1:J39"/>
  <sheetViews>
    <sheetView rightToLeft="1" workbookViewId="0">
      <selection sqref="A1:C1"/>
    </sheetView>
  </sheetViews>
  <sheetFormatPr defaultRowHeight="13.8" x14ac:dyDescent="0.25"/>
  <cols>
    <col min="1" max="1" width="18" bestFit="1" customWidth="1"/>
    <col min="2" max="2" width="8.19921875" bestFit="1" customWidth="1"/>
    <col min="3" max="3" width="13.09765625" bestFit="1" customWidth="1"/>
    <col min="6" max="6" width="16.5" bestFit="1" customWidth="1"/>
    <col min="7" max="7" width="13.09765625" bestFit="1" customWidth="1"/>
    <col min="8" max="8" width="10.5" bestFit="1" customWidth="1"/>
    <col min="9" max="9" width="11.5" bestFit="1" customWidth="1"/>
    <col min="10" max="10" width="13.09765625" bestFit="1" customWidth="1"/>
  </cols>
  <sheetData>
    <row r="1" spans="1:10" ht="35.4" x14ac:dyDescent="0.25">
      <c r="A1" s="192" t="s">
        <v>224</v>
      </c>
      <c r="B1" s="193"/>
      <c r="C1" s="193"/>
      <c r="F1" s="194" t="s">
        <v>228</v>
      </c>
      <c r="G1" s="194"/>
      <c r="H1" s="194"/>
      <c r="I1" s="194"/>
      <c r="J1" s="194"/>
    </row>
    <row r="2" spans="1:10" ht="15.6" x14ac:dyDescent="0.3">
      <c r="A2" s="144" t="s">
        <v>15</v>
      </c>
      <c r="B2" s="144" t="s">
        <v>220</v>
      </c>
      <c r="C2" s="144" t="s">
        <v>225</v>
      </c>
      <c r="F2" s="144" t="s">
        <v>220</v>
      </c>
      <c r="G2" s="147" t="s">
        <v>223</v>
      </c>
      <c r="H2" s="147" t="s">
        <v>222</v>
      </c>
      <c r="I2" s="147" t="s">
        <v>221</v>
      </c>
      <c r="J2" s="147" t="s">
        <v>195</v>
      </c>
    </row>
    <row r="3" spans="1:10" x14ac:dyDescent="0.25">
      <c r="A3" s="3" t="s">
        <v>121</v>
      </c>
      <c r="B3" s="3" t="str">
        <f>$G$2</f>
        <v>שייקים</v>
      </c>
      <c r="C3" s="6">
        <f>VLOOKUP(A3,'פארטו כלל המוצרים'!$G$4:$J$40,4,0)</f>
        <v>28730</v>
      </c>
      <c r="F3" s="145" t="s">
        <v>226</v>
      </c>
      <c r="G3" s="143">
        <f>COUNTIF($B$3:$B$39,G2)</f>
        <v>27</v>
      </c>
      <c r="H3" s="143">
        <f t="shared" ref="H3:I3" si="0">COUNTIF($B$3:$B$39,H2)</f>
        <v>7</v>
      </c>
      <c r="I3" s="143">
        <f t="shared" si="0"/>
        <v>3</v>
      </c>
      <c r="J3" s="143">
        <f>SUM(G3:I3)</f>
        <v>37</v>
      </c>
    </row>
    <row r="4" spans="1:10" x14ac:dyDescent="0.25">
      <c r="A4" s="3" t="s">
        <v>122</v>
      </c>
      <c r="B4" s="3" t="str">
        <f>$G$2</f>
        <v>שייקים</v>
      </c>
      <c r="C4" s="6">
        <f>VLOOKUP(A4,'פארטו כלל המוצרים'!$G$4:$J$40,4,0)</f>
        <v>28054</v>
      </c>
      <c r="F4" s="145" t="s">
        <v>227</v>
      </c>
      <c r="G4" s="146">
        <f>SUMIF($B$3:$B$39,G2,$C$3:$C$39)</f>
        <v>2529510</v>
      </c>
      <c r="H4" s="146">
        <f t="shared" ref="H4:I4" si="1">SUMIF($B$3:$B$39,H2,$C$3:$C$39)</f>
        <v>97584</v>
      </c>
      <c r="I4" s="146">
        <f t="shared" si="1"/>
        <v>138278</v>
      </c>
      <c r="J4" s="146">
        <f>SUM(G4:I4)</f>
        <v>2765372</v>
      </c>
    </row>
    <row r="5" spans="1:10" x14ac:dyDescent="0.25">
      <c r="A5" s="3" t="s">
        <v>123</v>
      </c>
      <c r="B5" s="3" t="str">
        <f>$G$2</f>
        <v>שייקים</v>
      </c>
      <c r="C5" s="6">
        <f>VLOOKUP(A5,'פארטו כלל המוצרים'!$G$4:$J$40,4,0)</f>
        <v>103610</v>
      </c>
    </row>
    <row r="6" spans="1:10" x14ac:dyDescent="0.25">
      <c r="A6" s="3" t="s">
        <v>124</v>
      </c>
      <c r="B6" s="3" t="str">
        <f>$G$2</f>
        <v>שייקים</v>
      </c>
      <c r="C6" s="6">
        <f>VLOOKUP(A6,'פארטו כלל המוצרים'!$G$4:$J$40,4,0)</f>
        <v>103194</v>
      </c>
    </row>
    <row r="7" spans="1:10" x14ac:dyDescent="0.25">
      <c r="A7" s="3" t="s">
        <v>125</v>
      </c>
      <c r="B7" s="3" t="str">
        <f>$I$2</f>
        <v>קערות פרי</v>
      </c>
      <c r="C7" s="6">
        <f>VLOOKUP(A7,'פארטו כלל המוצרים'!$G$4:$J$40,4,0)</f>
        <v>86918</v>
      </c>
    </row>
    <row r="8" spans="1:10" x14ac:dyDescent="0.25">
      <c r="A8" s="3" t="s">
        <v>126</v>
      </c>
      <c r="B8" s="3" t="str">
        <f>$I$2</f>
        <v>קערות פרי</v>
      </c>
      <c r="C8" s="6">
        <f>VLOOKUP(A8,'פארטו כלל המוצרים'!$G$4:$J$40,4,0)</f>
        <v>30108</v>
      </c>
    </row>
    <row r="9" spans="1:10" x14ac:dyDescent="0.25">
      <c r="A9" s="3" t="s">
        <v>127</v>
      </c>
      <c r="B9" s="3" t="str">
        <f t="shared" ref="B9:B17" si="2">$G$2</f>
        <v>שייקים</v>
      </c>
      <c r="C9" s="6">
        <f>VLOOKUP(A9,'פארטו כלל המוצרים'!$G$4:$J$40,4,0)</f>
        <v>303648</v>
      </c>
    </row>
    <row r="10" spans="1:10" x14ac:dyDescent="0.25">
      <c r="A10" s="3" t="s">
        <v>77</v>
      </c>
      <c r="B10" s="3" t="str">
        <f t="shared" si="2"/>
        <v>שייקים</v>
      </c>
      <c r="C10" s="6">
        <f>VLOOKUP(A10,'פארטו כלל המוצרים'!$G$4:$J$40,4,0)</f>
        <v>108576</v>
      </c>
    </row>
    <row r="11" spans="1:10" x14ac:dyDescent="0.25">
      <c r="A11" s="3" t="s">
        <v>130</v>
      </c>
      <c r="B11" s="3" t="str">
        <f t="shared" si="2"/>
        <v>שייקים</v>
      </c>
      <c r="C11" s="6">
        <f>VLOOKUP(A11,'פארטו כלל המוצרים'!$G$4:$J$40,4,0)</f>
        <v>48288</v>
      </c>
    </row>
    <row r="12" spans="1:10" x14ac:dyDescent="0.25">
      <c r="A12" s="3" t="s">
        <v>131</v>
      </c>
      <c r="B12" s="3" t="str">
        <f t="shared" si="2"/>
        <v>שייקים</v>
      </c>
      <c r="C12" s="6">
        <f>VLOOKUP(A12,'פארטו כלל המוצרים'!$G$4:$J$40,4,0)</f>
        <v>54360</v>
      </c>
    </row>
    <row r="13" spans="1:10" x14ac:dyDescent="0.25">
      <c r="A13" s="3" t="s">
        <v>132</v>
      </c>
      <c r="B13" s="3" t="str">
        <f t="shared" si="2"/>
        <v>שייקים</v>
      </c>
      <c r="C13" s="6">
        <f>VLOOKUP(A13,'פארטו כלל המוצרים'!$G$4:$J$40,4,0)</f>
        <v>272064</v>
      </c>
    </row>
    <row r="14" spans="1:10" x14ac:dyDescent="0.25">
      <c r="A14" s="3" t="s">
        <v>78</v>
      </c>
      <c r="B14" s="3" t="str">
        <f t="shared" si="2"/>
        <v>שייקים</v>
      </c>
      <c r="C14" s="6">
        <f>VLOOKUP(A14,'פארטו כלל המוצרים'!$G$4:$J$40,4,0)</f>
        <v>419352</v>
      </c>
    </row>
    <row r="15" spans="1:10" x14ac:dyDescent="0.25">
      <c r="A15" s="3" t="s">
        <v>133</v>
      </c>
      <c r="B15" s="3" t="str">
        <f t="shared" si="2"/>
        <v>שייקים</v>
      </c>
      <c r="C15" s="6">
        <f>VLOOKUP(A15,'פארטו כלל המוצרים'!$G$4:$J$40,4,0)</f>
        <v>25992</v>
      </c>
    </row>
    <row r="16" spans="1:10" x14ac:dyDescent="0.25">
      <c r="A16" s="3" t="s">
        <v>134</v>
      </c>
      <c r="B16" s="3" t="str">
        <f t="shared" si="2"/>
        <v>שייקים</v>
      </c>
      <c r="C16" s="6">
        <f>VLOOKUP(A16,'פארטו כלל המוצרים'!$G$4:$J$40,4,0)</f>
        <v>17332</v>
      </c>
    </row>
    <row r="17" spans="1:3" x14ac:dyDescent="0.25">
      <c r="A17" s="3" t="s">
        <v>66</v>
      </c>
      <c r="B17" s="3" t="str">
        <f t="shared" si="2"/>
        <v>שייקים</v>
      </c>
      <c r="C17" s="6">
        <f>VLOOKUP(A17,'פארטו כלל המוצרים'!$G$4:$J$40,4,0)</f>
        <v>20944</v>
      </c>
    </row>
    <row r="18" spans="1:3" x14ac:dyDescent="0.25">
      <c r="A18" s="3" t="s">
        <v>135</v>
      </c>
      <c r="B18" s="3" t="str">
        <f>$I$2</f>
        <v>קערות פרי</v>
      </c>
      <c r="C18" s="6">
        <f>VLOOKUP(A18,'פארטו כלל המוצרים'!$G$4:$J$40,4,0)</f>
        <v>21252</v>
      </c>
    </row>
    <row r="19" spans="1:3" x14ac:dyDescent="0.25">
      <c r="A19" s="3" t="s">
        <v>67</v>
      </c>
      <c r="B19" s="3" t="str">
        <f>$G$2</f>
        <v>שייקים</v>
      </c>
      <c r="C19" s="6">
        <f>VLOOKUP(A19,'פארטו כלל המוצרים'!$G$4:$J$40,4,0)</f>
        <v>444192</v>
      </c>
    </row>
    <row r="20" spans="1:3" x14ac:dyDescent="0.25">
      <c r="A20" s="3" t="s">
        <v>68</v>
      </c>
      <c r="B20" s="3" t="str">
        <f>$G$2</f>
        <v>שייקים</v>
      </c>
      <c r="C20" s="6">
        <f>VLOOKUP(A20,'פארטו כלל המוצרים'!$G$4:$J$40,4,0)</f>
        <v>17108</v>
      </c>
    </row>
    <row r="21" spans="1:3" x14ac:dyDescent="0.25">
      <c r="A21" s="3" t="s">
        <v>136</v>
      </c>
      <c r="B21" s="3" t="str">
        <f>$H$2</f>
        <v>מיצים</v>
      </c>
      <c r="C21" s="6">
        <f>VLOOKUP(A21,'פארטו כלל המוצרים'!$G$4:$J$40,4,0)</f>
        <v>15624</v>
      </c>
    </row>
    <row r="22" spans="1:3" x14ac:dyDescent="0.25">
      <c r="A22" s="3" t="s">
        <v>137</v>
      </c>
      <c r="B22" s="3" t="str">
        <f t="shared" ref="B22:B29" si="3">$G$2</f>
        <v>שייקים</v>
      </c>
      <c r="C22" s="6">
        <f>VLOOKUP(A22,'פארטו כלל המוצרים'!$G$4:$J$40,4,0)</f>
        <v>9178</v>
      </c>
    </row>
    <row r="23" spans="1:3" x14ac:dyDescent="0.25">
      <c r="A23" s="3" t="s">
        <v>70</v>
      </c>
      <c r="B23" s="3" t="str">
        <f t="shared" si="3"/>
        <v>שייקים</v>
      </c>
      <c r="C23" s="6">
        <f>VLOOKUP(A23,'פארטו כלל המוצרים'!$G$4:$J$40,4,0)</f>
        <v>432276</v>
      </c>
    </row>
    <row r="24" spans="1:3" x14ac:dyDescent="0.25">
      <c r="A24" s="3" t="s">
        <v>71</v>
      </c>
      <c r="B24" s="3" t="str">
        <f t="shared" si="3"/>
        <v>שייקים</v>
      </c>
      <c r="C24" s="6">
        <f>VLOOKUP(A24,'פארטו כלל המוצרים'!$G$4:$J$40,4,0)</f>
        <v>20202</v>
      </c>
    </row>
    <row r="25" spans="1:3" x14ac:dyDescent="0.25">
      <c r="A25" s="3" t="s">
        <v>72</v>
      </c>
      <c r="B25" s="3" t="str">
        <f t="shared" si="3"/>
        <v>שייקים</v>
      </c>
      <c r="C25" s="6">
        <f>VLOOKUP(A25,'פארטו כלל המוצרים'!$G$4:$J$40,4,0)</f>
        <v>5122</v>
      </c>
    </row>
    <row r="26" spans="1:3" x14ac:dyDescent="0.25">
      <c r="A26" s="3" t="s">
        <v>73</v>
      </c>
      <c r="B26" s="3" t="str">
        <f t="shared" si="3"/>
        <v>שייקים</v>
      </c>
      <c r="C26" s="6">
        <f>VLOOKUP(A26,'פארטו כלל המוצרים'!$G$4:$J$40,4,0)</f>
        <v>15132</v>
      </c>
    </row>
    <row r="27" spans="1:3" x14ac:dyDescent="0.25">
      <c r="A27" s="3" t="s">
        <v>138</v>
      </c>
      <c r="B27" s="3" t="str">
        <f t="shared" si="3"/>
        <v>שייקים</v>
      </c>
      <c r="C27" s="6">
        <f>VLOOKUP(A27,'פארטו כלל המוצרים'!$G$4:$J$40,4,0)</f>
        <v>8970</v>
      </c>
    </row>
    <row r="28" spans="1:3" x14ac:dyDescent="0.25">
      <c r="A28" s="3" t="s">
        <v>75</v>
      </c>
      <c r="B28" s="3" t="str">
        <f t="shared" si="3"/>
        <v>שייקים</v>
      </c>
      <c r="C28" s="6">
        <f>VLOOKUP(A28,'פארטו כלל המוצרים'!$G$4:$J$40,4,0)</f>
        <v>17732</v>
      </c>
    </row>
    <row r="29" spans="1:3" x14ac:dyDescent="0.25">
      <c r="A29" s="3" t="s">
        <v>76</v>
      </c>
      <c r="B29" s="3" t="str">
        <f t="shared" si="3"/>
        <v>שייקים</v>
      </c>
      <c r="C29" s="6">
        <f>VLOOKUP(A29,'פארטו כלל המוצרים'!$G$4:$J$40,4,0)</f>
        <v>15704</v>
      </c>
    </row>
    <row r="30" spans="1:3" x14ac:dyDescent="0.25">
      <c r="A30" s="3" t="s">
        <v>143</v>
      </c>
      <c r="B30" s="3" t="str">
        <f t="shared" ref="B30:B35" si="4">$H$2</f>
        <v>מיצים</v>
      </c>
      <c r="C30" s="6">
        <f>VLOOKUP(A30,'פארטו כלל המוצרים'!$G$4:$J$40,4,0)</f>
        <v>13300</v>
      </c>
    </row>
    <row r="31" spans="1:3" x14ac:dyDescent="0.25">
      <c r="A31" s="3" t="s">
        <v>139</v>
      </c>
      <c r="B31" s="3" t="str">
        <f t="shared" si="4"/>
        <v>מיצים</v>
      </c>
      <c r="C31" s="6">
        <f>VLOOKUP(A31,'פארטו כלל המוצרים'!$G$4:$J$40,4,0)</f>
        <v>6720</v>
      </c>
    </row>
    <row r="32" spans="1:3" x14ac:dyDescent="0.25">
      <c r="A32" s="3" t="s">
        <v>140</v>
      </c>
      <c r="B32" s="3" t="str">
        <f t="shared" si="4"/>
        <v>מיצים</v>
      </c>
      <c r="C32" s="6">
        <f>VLOOKUP(A32,'פארטו כלל המוצרים'!$G$4:$J$40,4,0)</f>
        <v>11680</v>
      </c>
    </row>
    <row r="33" spans="1:3" x14ac:dyDescent="0.25">
      <c r="A33" s="3" t="s">
        <v>141</v>
      </c>
      <c r="B33" s="3" t="str">
        <f t="shared" si="4"/>
        <v>מיצים</v>
      </c>
      <c r="C33" s="6">
        <f>VLOOKUP(A33,'פארטו כלל המוצרים'!$G$4:$J$40,4,0)</f>
        <v>11660</v>
      </c>
    </row>
    <row r="34" spans="1:3" x14ac:dyDescent="0.25">
      <c r="A34" s="3" t="s">
        <v>142</v>
      </c>
      <c r="B34" s="3" t="str">
        <f t="shared" si="4"/>
        <v>מיצים</v>
      </c>
      <c r="C34" s="6">
        <f>VLOOKUP(A34,'פארטו כלל המוצרים'!$G$4:$J$40,4,0)</f>
        <v>33800</v>
      </c>
    </row>
    <row r="35" spans="1:3" x14ac:dyDescent="0.25">
      <c r="A35" s="3" t="s">
        <v>31</v>
      </c>
      <c r="B35" s="3" t="str">
        <f t="shared" si="4"/>
        <v>מיצים</v>
      </c>
      <c r="C35" s="6">
        <f>VLOOKUP(A35,'פארטו כלל המוצרים'!$G$4:$J$40,4,0)</f>
        <v>4800</v>
      </c>
    </row>
    <row r="36" spans="1:3" x14ac:dyDescent="0.25">
      <c r="A36" s="3" t="s">
        <v>128</v>
      </c>
      <c r="B36" s="3" t="str">
        <f>$G$2</f>
        <v>שייקים</v>
      </c>
      <c r="C36" s="6">
        <f>VLOOKUP(A36,'פארטו כלל המוצרים'!$G$4:$J$40,4,0)</f>
        <v>2370</v>
      </c>
    </row>
    <row r="37" spans="1:3" x14ac:dyDescent="0.25">
      <c r="A37" s="3" t="s">
        <v>129</v>
      </c>
      <c r="B37" s="3" t="str">
        <f>$G$2</f>
        <v>שייקים</v>
      </c>
      <c r="C37" s="6">
        <f>VLOOKUP(A37,'פארטו כלל המוצרים'!$G$4:$J$40,4,0)</f>
        <v>2145</v>
      </c>
    </row>
    <row r="38" spans="1:3" x14ac:dyDescent="0.25">
      <c r="A38" s="3" t="s">
        <v>79</v>
      </c>
      <c r="B38" s="3" t="str">
        <f>$G$2</f>
        <v>שייקים</v>
      </c>
      <c r="C38" s="6">
        <f>VLOOKUP(A38,'פארטו כלל המוצרים'!$G$4:$J$40,4,0)</f>
        <v>2910</v>
      </c>
    </row>
    <row r="39" spans="1:3" x14ac:dyDescent="0.25">
      <c r="A39" s="3" t="s">
        <v>80</v>
      </c>
      <c r="B39" s="3" t="str">
        <f>$G$2</f>
        <v>שייקים</v>
      </c>
      <c r="C39" s="6">
        <f>VLOOKUP(A39,'פארטו כלל המוצרים'!$G$4:$J$40,4,0)</f>
        <v>2325</v>
      </c>
    </row>
  </sheetData>
  <sheetProtection algorithmName="SHA-512" hashValue="cG21h0dZsccELrpF9HRCFjydrBxFlZpDTXLS5Rsju29nfW2EhxexyAL/IpmMYgA4NvyaQtkQf2PHYJApJzSP8w==" saltValue="vn2IiUXSn483SWdAIbgD/g==" spinCount="100000" sheet="1" objects="1" scenarios="1" selectLockedCells="1" selectUnlockedCells="1"/>
  <mergeCells count="2">
    <mergeCell ref="A1:C1"/>
    <mergeCell ref="F1:J1"/>
  </mergeCells>
  <conditionalFormatting sqref="A3:C39">
    <cfRule type="expression" dxfId="10" priority="1">
      <formula>$B3="שייקים"</formula>
    </cfRule>
    <cfRule type="expression" dxfId="9" priority="2">
      <formula>$B3="מיצים"</formula>
    </cfRule>
    <cfRule type="expression" dxfId="8" priority="3">
      <formula>$B3="קערות פרי"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794F-CF20-4154-94AD-6E1B7A0BC80C}">
  <sheetPr>
    <tabColor theme="9" tint="0.39997558519241921"/>
  </sheetPr>
  <dimension ref="B1:X33"/>
  <sheetViews>
    <sheetView rightToLeft="1" zoomScaleNormal="100" workbookViewId="0"/>
  </sheetViews>
  <sheetFormatPr defaultRowHeight="13.8" x14ac:dyDescent="0.25"/>
  <cols>
    <col min="1" max="1" width="2.796875" customWidth="1"/>
    <col min="2" max="2" width="9.3984375" bestFit="1" customWidth="1"/>
    <col min="3" max="3" width="4.8984375" bestFit="1" customWidth="1"/>
    <col min="4" max="4" width="7.09765625" bestFit="1" customWidth="1"/>
    <col min="5" max="5" width="8.8984375" customWidth="1"/>
    <col min="6" max="6" width="11.19921875" bestFit="1" customWidth="1"/>
    <col min="7" max="7" width="4.8984375" bestFit="1" customWidth="1"/>
    <col min="8" max="8" width="7.09765625" bestFit="1" customWidth="1"/>
    <col min="9" max="9" width="8.8984375" customWidth="1"/>
    <col min="10" max="10" width="11.8984375" bestFit="1" customWidth="1"/>
    <col min="11" max="11" width="4.8984375" bestFit="1" customWidth="1"/>
    <col min="12" max="12" width="7.09765625" bestFit="1" customWidth="1"/>
    <col min="14" max="14" width="12.8984375" bestFit="1" customWidth="1"/>
    <col min="15" max="15" width="4.8984375" bestFit="1" customWidth="1"/>
    <col min="16" max="16" width="7.09765625" bestFit="1" customWidth="1"/>
    <col min="18" max="18" width="9.09765625" bestFit="1" customWidth="1"/>
    <col min="19" max="19" width="4.8984375" bestFit="1" customWidth="1"/>
    <col min="20" max="20" width="7.09765625" bestFit="1" customWidth="1"/>
  </cols>
  <sheetData>
    <row r="1" spans="2:24" ht="14.4" customHeight="1" x14ac:dyDescent="0.25">
      <c r="G1" s="13"/>
    </row>
    <row r="2" spans="2:24" ht="14.4" customHeight="1" x14ac:dyDescent="0.25">
      <c r="G2" s="13"/>
    </row>
    <row r="9" spans="2:24" x14ac:dyDescent="0.25">
      <c r="L9" s="15"/>
    </row>
    <row r="10" spans="2:24" x14ac:dyDescent="0.25">
      <c r="J10" s="18"/>
      <c r="K10" s="18"/>
      <c r="L10" s="15"/>
    </row>
    <row r="11" spans="2:24" x14ac:dyDescent="0.25">
      <c r="J11" s="17"/>
      <c r="K11" s="15"/>
      <c r="L11" s="15"/>
    </row>
    <row r="12" spans="2:24" x14ac:dyDescent="0.25">
      <c r="B12" s="25" t="s">
        <v>0</v>
      </c>
      <c r="C12" s="25" t="s">
        <v>9</v>
      </c>
      <c r="D12" s="25" t="s">
        <v>47</v>
      </c>
      <c r="E12" s="14"/>
      <c r="F12" s="23" t="s">
        <v>0</v>
      </c>
      <c r="G12" s="23" t="s">
        <v>9</v>
      </c>
      <c r="H12" s="23" t="s">
        <v>47</v>
      </c>
      <c r="I12" s="14"/>
      <c r="J12" s="20" t="s">
        <v>0</v>
      </c>
      <c r="K12" s="20" t="s">
        <v>9</v>
      </c>
      <c r="L12" s="20" t="s">
        <v>47</v>
      </c>
      <c r="M12" s="14"/>
      <c r="N12" s="20" t="s">
        <v>0</v>
      </c>
      <c r="O12" s="20" t="s">
        <v>9</v>
      </c>
      <c r="P12" s="20" t="s">
        <v>47</v>
      </c>
      <c r="Q12" s="14"/>
      <c r="R12" s="27" t="s">
        <v>0</v>
      </c>
      <c r="S12" s="27" t="s">
        <v>9</v>
      </c>
      <c r="T12" s="27" t="s">
        <v>47</v>
      </c>
      <c r="W12" s="19"/>
    </row>
    <row r="13" spans="2:24" x14ac:dyDescent="0.25">
      <c r="B13" s="26" t="s">
        <v>31</v>
      </c>
      <c r="C13" s="26">
        <v>150</v>
      </c>
      <c r="D13" s="26" t="s">
        <v>50</v>
      </c>
      <c r="E13" s="14"/>
      <c r="F13" s="24" t="s">
        <v>35</v>
      </c>
      <c r="G13" s="24">
        <v>1</v>
      </c>
      <c r="H13" s="24" t="s">
        <v>51</v>
      </c>
      <c r="I13" s="14"/>
      <c r="J13" s="22" t="s">
        <v>32</v>
      </c>
      <c r="K13" s="22">
        <v>100</v>
      </c>
      <c r="L13" s="22" t="s">
        <v>48</v>
      </c>
      <c r="M13" s="14"/>
      <c r="N13" s="21" t="s">
        <v>27</v>
      </c>
      <c r="O13" s="21">
        <v>70</v>
      </c>
      <c r="P13" s="21" t="s">
        <v>48</v>
      </c>
      <c r="Q13" s="14"/>
      <c r="R13" s="28" t="s">
        <v>45</v>
      </c>
      <c r="S13" s="28">
        <v>70</v>
      </c>
      <c r="T13" s="28" t="s">
        <v>48</v>
      </c>
    </row>
    <row r="14" spans="2:24" x14ac:dyDescent="0.25">
      <c r="B14" s="26" t="s">
        <v>39</v>
      </c>
      <c r="C14" s="26">
        <v>70</v>
      </c>
      <c r="D14" s="26" t="s">
        <v>48</v>
      </c>
      <c r="E14" s="14"/>
      <c r="F14" s="24" t="s">
        <v>36</v>
      </c>
      <c r="G14" s="24">
        <v>1</v>
      </c>
      <c r="H14" s="24" t="s">
        <v>52</v>
      </c>
      <c r="I14" s="14"/>
      <c r="J14" s="22" t="s">
        <v>33</v>
      </c>
      <c r="K14" s="22">
        <v>2</v>
      </c>
      <c r="L14" s="22" t="s">
        <v>51</v>
      </c>
      <c r="M14" s="14"/>
      <c r="N14" s="21" t="s">
        <v>28</v>
      </c>
      <c r="O14" s="21">
        <v>40</v>
      </c>
      <c r="P14" s="21" t="s">
        <v>48</v>
      </c>
      <c r="Q14" s="14"/>
      <c r="R14" s="28" t="s">
        <v>32</v>
      </c>
      <c r="S14" s="28">
        <v>70</v>
      </c>
      <c r="T14" s="28" t="s">
        <v>48</v>
      </c>
      <c r="W14" s="19"/>
      <c r="X14" s="19"/>
    </row>
    <row r="15" spans="2:24" x14ac:dyDescent="0.25">
      <c r="B15" s="26" t="s">
        <v>32</v>
      </c>
      <c r="C15" s="26">
        <v>70</v>
      </c>
      <c r="D15" s="26" t="s">
        <v>48</v>
      </c>
      <c r="E15" s="14"/>
      <c r="F15" s="24" t="s">
        <v>37</v>
      </c>
      <c r="G15" s="24">
        <v>20</v>
      </c>
      <c r="H15" s="24" t="s">
        <v>48</v>
      </c>
      <c r="I15" s="14"/>
      <c r="J15" s="22" t="s">
        <v>30</v>
      </c>
      <c r="K15" s="22">
        <v>300</v>
      </c>
      <c r="L15" s="22" t="s">
        <v>50</v>
      </c>
      <c r="M15" s="14"/>
      <c r="N15" s="21" t="s">
        <v>29</v>
      </c>
      <c r="O15" s="21">
        <v>1</v>
      </c>
      <c r="P15" s="21" t="s">
        <v>49</v>
      </c>
      <c r="Q15" s="14"/>
      <c r="R15" s="28" t="s">
        <v>46</v>
      </c>
      <c r="S15" s="28">
        <v>1</v>
      </c>
      <c r="T15" s="28" t="s">
        <v>49</v>
      </c>
      <c r="W15" s="19"/>
      <c r="X15" s="19"/>
    </row>
    <row r="16" spans="2:24" x14ac:dyDescent="0.25">
      <c r="B16" s="26" t="s">
        <v>40</v>
      </c>
      <c r="C16" s="26">
        <v>30</v>
      </c>
      <c r="D16" s="26" t="s">
        <v>48</v>
      </c>
      <c r="E16" s="14"/>
      <c r="F16" s="24" t="s">
        <v>38</v>
      </c>
      <c r="G16" s="24">
        <v>1</v>
      </c>
      <c r="H16" s="24" t="s">
        <v>53</v>
      </c>
      <c r="I16" s="14"/>
      <c r="J16" s="22" t="s">
        <v>34</v>
      </c>
      <c r="K16" s="22">
        <v>100</v>
      </c>
      <c r="L16" s="22" t="s">
        <v>50</v>
      </c>
      <c r="M16" s="14"/>
      <c r="N16" s="21" t="s">
        <v>30</v>
      </c>
      <c r="O16" s="21">
        <v>100</v>
      </c>
      <c r="P16" s="21" t="s">
        <v>50</v>
      </c>
      <c r="Q16" s="14"/>
      <c r="R16" s="28" t="s">
        <v>30</v>
      </c>
      <c r="S16" s="28">
        <v>100</v>
      </c>
      <c r="T16" s="28" t="s">
        <v>50</v>
      </c>
      <c r="W16" s="19"/>
      <c r="X16" s="19"/>
    </row>
    <row r="17" spans="2:23" x14ac:dyDescent="0.25">
      <c r="B17" s="26" t="s">
        <v>41</v>
      </c>
      <c r="C17" s="26">
        <v>40</v>
      </c>
      <c r="D17" s="26" t="s">
        <v>48</v>
      </c>
      <c r="E17" s="14"/>
      <c r="F17" s="24" t="s">
        <v>30</v>
      </c>
      <c r="G17" s="24">
        <v>450</v>
      </c>
      <c r="H17" s="24" t="s">
        <v>50</v>
      </c>
      <c r="I17" s="14"/>
      <c r="M17" s="14"/>
      <c r="N17" s="21" t="s">
        <v>31</v>
      </c>
      <c r="O17" s="21">
        <v>150</v>
      </c>
      <c r="P17" s="21" t="s">
        <v>50</v>
      </c>
      <c r="Q17" s="14"/>
      <c r="R17" s="28" t="s">
        <v>31</v>
      </c>
      <c r="S17" s="28">
        <v>150</v>
      </c>
      <c r="T17" s="28" t="s">
        <v>50</v>
      </c>
      <c r="W17" s="19"/>
    </row>
    <row r="18" spans="2:23" x14ac:dyDescent="0.25">
      <c r="B18" s="26" t="s">
        <v>42</v>
      </c>
      <c r="C18" s="26">
        <v>5</v>
      </c>
      <c r="D18" s="26" t="s">
        <v>54</v>
      </c>
      <c r="E18" s="14"/>
      <c r="F18" s="14"/>
      <c r="G18" s="14"/>
      <c r="H18" s="14"/>
      <c r="I18" s="14"/>
      <c r="J18" s="14"/>
      <c r="K18" s="14"/>
      <c r="L18" s="14"/>
      <c r="M18" s="14"/>
      <c r="Q18" s="14"/>
      <c r="R18" s="14"/>
      <c r="S18" s="14"/>
      <c r="T18" s="14"/>
      <c r="W18" s="19"/>
    </row>
    <row r="19" spans="2:23" x14ac:dyDescent="0.25">
      <c r="B19" s="26" t="s">
        <v>43</v>
      </c>
      <c r="C19" s="26">
        <v>1</v>
      </c>
      <c r="D19" s="26" t="s">
        <v>53</v>
      </c>
      <c r="E19" s="14"/>
      <c r="F19" s="14"/>
      <c r="G19" s="14"/>
      <c r="H19" s="14"/>
      <c r="I19" s="14"/>
      <c r="J19" s="14"/>
      <c r="K19" s="14"/>
      <c r="L19" s="14"/>
      <c r="M19" s="14"/>
      <c r="Q19" s="14"/>
      <c r="R19" s="14"/>
      <c r="S19" s="14"/>
      <c r="T19" s="14"/>
      <c r="W19" s="19"/>
    </row>
    <row r="20" spans="2:23" ht="14.4" customHeight="1" x14ac:dyDescent="0.25">
      <c r="B20" s="26" t="s">
        <v>44</v>
      </c>
      <c r="C20" s="26">
        <v>10</v>
      </c>
      <c r="D20" s="26" t="s">
        <v>48</v>
      </c>
      <c r="E20" s="14"/>
      <c r="F20" s="14"/>
      <c r="G20" s="14"/>
      <c r="H20" s="14"/>
      <c r="I20" s="14"/>
      <c r="J20" s="14"/>
      <c r="K20" s="14"/>
      <c r="L20" s="14"/>
      <c r="M20" s="14"/>
      <c r="Q20" s="14"/>
      <c r="R20" s="14"/>
      <c r="S20" s="14"/>
      <c r="T20" s="14"/>
      <c r="W20" s="19"/>
    </row>
    <row r="24" spans="2:23" ht="14.4" thickBot="1" x14ac:dyDescent="0.3"/>
    <row r="25" spans="2:23" ht="14.4" customHeight="1" x14ac:dyDescent="0.25">
      <c r="B25" s="195" t="s">
        <v>18</v>
      </c>
      <c r="C25" s="196"/>
      <c r="D25" s="196"/>
      <c r="E25" s="196"/>
      <c r="F25" s="196"/>
      <c r="G25" s="196"/>
      <c r="H25" s="196"/>
      <c r="I25" s="196"/>
      <c r="J25" s="196"/>
      <c r="K25" s="197"/>
    </row>
    <row r="26" spans="2:23" ht="14.4" customHeight="1" x14ac:dyDescent="0.25">
      <c r="B26" s="198"/>
      <c r="C26" s="199"/>
      <c r="D26" s="199"/>
      <c r="E26" s="199"/>
      <c r="F26" s="199"/>
      <c r="G26" s="199"/>
      <c r="H26" s="199"/>
      <c r="I26" s="199"/>
      <c r="J26" s="199"/>
      <c r="K26" s="200"/>
    </row>
    <row r="27" spans="2:23" ht="14.4" customHeight="1" thickBot="1" x14ac:dyDescent="0.3">
      <c r="B27" s="201"/>
      <c r="C27" s="202"/>
      <c r="D27" s="202"/>
      <c r="E27" s="202"/>
      <c r="F27" s="202"/>
      <c r="G27" s="202"/>
      <c r="H27" s="202"/>
      <c r="I27" s="202"/>
      <c r="J27" s="202"/>
      <c r="K27" s="203"/>
    </row>
    <row r="28" spans="2:23" ht="43.2" customHeight="1" x14ac:dyDescent="0.25">
      <c r="B28" s="206" t="s">
        <v>13</v>
      </c>
      <c r="C28" s="207"/>
      <c r="D28" s="208" t="s">
        <v>19</v>
      </c>
      <c r="E28" s="208"/>
      <c r="F28" s="208" t="s">
        <v>89</v>
      </c>
      <c r="G28" s="208"/>
      <c r="H28" s="208" t="s">
        <v>90</v>
      </c>
      <c r="I28" s="208"/>
      <c r="J28" s="204" t="s">
        <v>88</v>
      </c>
      <c r="K28" s="205"/>
    </row>
    <row r="29" spans="2:23" x14ac:dyDescent="0.25">
      <c r="B29" s="211">
        <f>_xlfn.XLOOKUP($D29,'פארטו כלל המוצרים'!$B$4:$B$40,'פארטו כלל המוצרים'!$A$4:$A$40,"NOT FOUND")</f>
        <v>17</v>
      </c>
      <c r="C29" s="212"/>
      <c r="D29" s="213" t="str">
        <f>_xlfn.XLOOKUP(J29,'פארטו כלל המוצרים'!$E$4:$E$40,'פארטו כלל המוצרים'!$B$4:$B$40,"NOT FOUND")</f>
        <v>super green</v>
      </c>
      <c r="E29" s="213"/>
      <c r="F29" s="215">
        <f>_xlfn.XLOOKUP($D29,'פארטו כלל המוצרים'!$B$4:$B$40,'פארטו כלל המוצרים'!C$4:C$40,"NOT FOUND")</f>
        <v>15864</v>
      </c>
      <c r="G29" s="215"/>
      <c r="H29" s="217">
        <f>_xlfn.XLOOKUP($D29,'פארטו כלל המוצרים'!$B$4:$B$40,'פארטו כלל המוצרים'!D$4:D$40,"NOT FOUND")</f>
        <v>28</v>
      </c>
      <c r="I29" s="218"/>
      <c r="J29" s="221">
        <f>MAX('פארטו כלל המוצרים'!J4:J8)</f>
        <v>444192</v>
      </c>
      <c r="K29" s="222"/>
    </row>
    <row r="30" spans="2:23" x14ac:dyDescent="0.25">
      <c r="B30" s="211">
        <f>_xlfn.XLOOKUP($D30,'פארטו כלל המוצרים'!$B$4:$B$40,'פארטו כלל המוצרים'!$A$4:$A$40,"NOT FOUND")</f>
        <v>21</v>
      </c>
      <c r="C30" s="212"/>
      <c r="D30" s="213" t="str">
        <f>_xlfn.XLOOKUP(J30,'פארטו כלל המוצרים'!$E$4:$E$40,'פארטו כלל המוצרים'!$B$4:$B$40,"NOT FOUND")</f>
        <v>mix halva</v>
      </c>
      <c r="E30" s="213"/>
      <c r="F30" s="215">
        <f>_xlfn.XLOOKUP($D30,'פארטו כלל המוצרים'!$B$4:$B$40,'פארטו כלל המוצרים'!C$4:C$40,"NOT FOUND")</f>
        <v>16626</v>
      </c>
      <c r="G30" s="215"/>
      <c r="H30" s="217">
        <f>_xlfn.XLOOKUP($D30,'פארטו כלל המוצרים'!$B$4:$B$40,'פארטו כלל המוצרים'!D$4:D$40,"NOT FOUND")</f>
        <v>26</v>
      </c>
      <c r="I30" s="218"/>
      <c r="J30" s="221">
        <f>MAX('פארטו כלל המוצרים'!J5:J9)</f>
        <v>432276</v>
      </c>
      <c r="K30" s="222"/>
    </row>
    <row r="31" spans="2:23" ht="14.4" customHeight="1" x14ac:dyDescent="0.25">
      <c r="B31" s="211">
        <f>_xlfn.XLOOKUP($D31,'פארטו כלל המוצרים'!$B$4:$B$40,'פארטו כלל המוצרים'!$A$4:$A$40,"NOT FOUND")</f>
        <v>12</v>
      </c>
      <c r="C31" s="212"/>
      <c r="D31" s="213" t="str">
        <f>_xlfn.XLOOKUP(J31,'פארטו כלל המוצרים'!$E$4:$E$40,'פארטו כלל המוצרים'!$B$4:$B$40,"NOT FOUND")</f>
        <v>rejoy</v>
      </c>
      <c r="E31" s="213"/>
      <c r="F31" s="215">
        <f>_xlfn.XLOOKUP($D31,'פארטו כלל המוצרים'!$B$4:$B$40,'פארטו כלל המוצרים'!C$4:C$40,"NOT FOUND")</f>
        <v>17473</v>
      </c>
      <c r="G31" s="215"/>
      <c r="H31" s="217">
        <f>_xlfn.XLOOKUP($D31,'פארטו כלל המוצרים'!$B$4:$B$40,'פארטו כלל המוצרים'!D$4:D$40,"NOT FOUND")</f>
        <v>24</v>
      </c>
      <c r="I31" s="218"/>
      <c r="J31" s="221">
        <f>MAX('פארטו כלל המוצרים'!J6:J10)</f>
        <v>419352</v>
      </c>
      <c r="K31" s="222"/>
    </row>
    <row r="32" spans="2:23" ht="14.4" customHeight="1" x14ac:dyDescent="0.25">
      <c r="B32" s="211">
        <f>_xlfn.XLOOKUP($D32,'פארטו כלל המוצרים'!$B$4:$B$40,'פארטו כלל המוצרים'!$A$4:$A$40,"NOT FOUND")</f>
        <v>7</v>
      </c>
      <c r="C32" s="212"/>
      <c r="D32" s="213" t="str">
        <f>_xlfn.XLOOKUP(J32,'פארטו כלל המוצרים'!$E$4:$E$40,'פארטו כלל המוצרים'!$B$4:$B$40,"NOT FOUND")</f>
        <v>relax</v>
      </c>
      <c r="E32" s="213"/>
      <c r="F32" s="215">
        <f>_xlfn.XLOOKUP($D32,'פארטו כלל המוצרים'!$B$4:$B$40,'פארטו כלל המוצרים'!C$4:C$40,"NOT FOUND")</f>
        <v>12652</v>
      </c>
      <c r="G32" s="215"/>
      <c r="H32" s="217">
        <f>_xlfn.XLOOKUP($D32,'פארטו כלל המוצרים'!$B$4:$B$40,'פארטו כלל המוצרים'!D$4:D$40,"NOT FOUND")</f>
        <v>24</v>
      </c>
      <c r="I32" s="218"/>
      <c r="J32" s="221">
        <f>MAX('פארטו כלל המוצרים'!J7:J11)</f>
        <v>303648</v>
      </c>
      <c r="K32" s="222"/>
    </row>
    <row r="33" spans="2:11" ht="15" customHeight="1" thickBot="1" x14ac:dyDescent="0.3">
      <c r="B33" s="209">
        <f>_xlfn.XLOOKUP($D33,'פארטו כלל המוצרים'!$B$4:$B$40,'פארטו כלל המוצרים'!$A$4:$A$40,"NOT FOUND")</f>
        <v>11</v>
      </c>
      <c r="C33" s="210"/>
      <c r="D33" s="214" t="str">
        <f>_xlfn.XLOOKUP(J33,'פארטו כלל המוצרים'!$E$4:$E$40,'פארטו כלל המוצרים'!$B$4:$B$40,"NOT FOUND")</f>
        <v>replay</v>
      </c>
      <c r="E33" s="214"/>
      <c r="F33" s="216">
        <f>_xlfn.XLOOKUP($D33,'פארטו כלל המוצרים'!$B$4:$B$40,'פארטו כלל המוצרים'!C$4:C$40,"NOT FOUND")</f>
        <v>11336</v>
      </c>
      <c r="G33" s="216"/>
      <c r="H33" s="219">
        <f>_xlfn.XLOOKUP($D33,'פארטו כלל המוצרים'!$B$4:$B$40,'פארטו כלל המוצרים'!D$4:D$40,"NOT FOUND")</f>
        <v>24</v>
      </c>
      <c r="I33" s="220"/>
      <c r="J33" s="223">
        <f>MAX('פארטו כלל המוצרים'!J8:J12)</f>
        <v>272064</v>
      </c>
      <c r="K33" s="224"/>
    </row>
  </sheetData>
  <sheetProtection algorithmName="SHA-512" hashValue="f5OhbSOgDEaOW7eZ7tLYyxVxyf0rozXz4stQmYx28C5q5W6ctjatUTGWHATHURTgZF9geN5uM1IFBgdHOfZzqg==" saltValue="aS//qMxzwGPraBoyjda2bg==" spinCount="100000" sheet="1" objects="1" scenarios="1" selectLockedCells="1" selectUnlockedCells="1"/>
  <mergeCells count="31">
    <mergeCell ref="J29:K29"/>
    <mergeCell ref="J30:K30"/>
    <mergeCell ref="J31:K31"/>
    <mergeCell ref="J32:K32"/>
    <mergeCell ref="J33:K33"/>
    <mergeCell ref="H29:I29"/>
    <mergeCell ref="H30:I30"/>
    <mergeCell ref="H31:I31"/>
    <mergeCell ref="H32:I32"/>
    <mergeCell ref="H33:I33"/>
    <mergeCell ref="F29:G29"/>
    <mergeCell ref="F30:G30"/>
    <mergeCell ref="F31:G31"/>
    <mergeCell ref="F32:G32"/>
    <mergeCell ref="F33:G33"/>
    <mergeCell ref="D29:E29"/>
    <mergeCell ref="D30:E30"/>
    <mergeCell ref="D31:E31"/>
    <mergeCell ref="D32:E32"/>
    <mergeCell ref="D33:E33"/>
    <mergeCell ref="B33:C33"/>
    <mergeCell ref="B29:C29"/>
    <mergeCell ref="B30:C30"/>
    <mergeCell ref="B31:C31"/>
    <mergeCell ref="B32:C32"/>
    <mergeCell ref="B25:K27"/>
    <mergeCell ref="J28:K28"/>
    <mergeCell ref="B28:C28"/>
    <mergeCell ref="D28:E28"/>
    <mergeCell ref="F28:G28"/>
    <mergeCell ref="H28:I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E3FD-6F5C-4BC6-97F8-26766293F296}">
  <sheetPr>
    <tabColor theme="7" tint="0.39997558519241921"/>
  </sheetPr>
  <dimension ref="B1:W93"/>
  <sheetViews>
    <sheetView rightToLeft="1" zoomScaleNormal="100" workbookViewId="0"/>
  </sheetViews>
  <sheetFormatPr defaultRowHeight="13.8" x14ac:dyDescent="0.25"/>
  <cols>
    <col min="1" max="1" width="2.796875" customWidth="1"/>
    <col min="2" max="2" width="8.8984375" customWidth="1"/>
  </cols>
  <sheetData>
    <row r="1" spans="2:16" ht="14.4" thickBot="1" x14ac:dyDescent="0.3"/>
    <row r="2" spans="2:16" ht="14.4" customHeight="1" x14ac:dyDescent="0.25">
      <c r="B2" s="319" t="s">
        <v>55</v>
      </c>
      <c r="C2" s="320"/>
      <c r="D2" s="320"/>
      <c r="E2" s="320"/>
      <c r="F2" s="320"/>
      <c r="G2" s="321"/>
    </row>
    <row r="3" spans="2:16" ht="14.4" customHeight="1" x14ac:dyDescent="0.25">
      <c r="B3" s="316" t="str">
        <f>_xlfn.XLOOKUP(MAX('מוצרים מובילים'!J29:J33),'מוצרים מובילים'!J29:J33,'מוצרים מובילים'!D29:D33,"NON")</f>
        <v>super green</v>
      </c>
      <c r="C3" s="317"/>
      <c r="D3" s="317"/>
      <c r="E3" s="317"/>
      <c r="F3" s="317"/>
      <c r="G3" s="318"/>
    </row>
    <row r="4" spans="2:16" ht="14.4" customHeight="1" thickBot="1" x14ac:dyDescent="0.3">
      <c r="B4" s="316"/>
      <c r="C4" s="317"/>
      <c r="D4" s="317"/>
      <c r="E4" s="317"/>
      <c r="F4" s="317"/>
      <c r="G4" s="318"/>
    </row>
    <row r="5" spans="2:16" ht="15" customHeight="1" x14ac:dyDescent="0.25">
      <c r="B5" s="35" t="s">
        <v>20</v>
      </c>
      <c r="C5" s="36">
        <v>2016</v>
      </c>
      <c r="D5" s="36">
        <v>2017</v>
      </c>
      <c r="E5" s="36">
        <v>2018</v>
      </c>
      <c r="F5" s="36">
        <v>2019</v>
      </c>
      <c r="G5" s="37">
        <v>2020</v>
      </c>
    </row>
    <row r="6" spans="2:16" x14ac:dyDescent="0.25">
      <c r="B6" s="324" t="s">
        <v>21</v>
      </c>
      <c r="C6" s="326">
        <v>10478</v>
      </c>
      <c r="D6" s="326">
        <v>12445</v>
      </c>
      <c r="E6" s="326">
        <v>13874</v>
      </c>
      <c r="F6" s="326">
        <f>_xlfn.XLOOKUP(B3,'מוצרים מובילים'!$D$29:$D$33,'מוצרים מובילים'!$F$29:$F$33)</f>
        <v>15864</v>
      </c>
      <c r="G6" s="322" t="s">
        <v>144</v>
      </c>
    </row>
    <row r="7" spans="2:16" ht="14.4" thickBot="1" x14ac:dyDescent="0.3">
      <c r="B7" s="325"/>
      <c r="C7" s="327"/>
      <c r="D7" s="327"/>
      <c r="E7" s="327"/>
      <c r="F7" s="327"/>
      <c r="G7" s="323"/>
    </row>
    <row r="8" spans="2:16" ht="14.4" thickBot="1" x14ac:dyDescent="0.3">
      <c r="C8" s="72"/>
      <c r="D8" s="72"/>
      <c r="E8" s="72"/>
      <c r="F8" s="72"/>
    </row>
    <row r="9" spans="2:16" ht="14.4" customHeight="1" x14ac:dyDescent="0.25">
      <c r="B9" s="233" t="s">
        <v>93</v>
      </c>
      <c r="C9" s="234"/>
      <c r="D9" s="235"/>
      <c r="E9" s="41"/>
      <c r="F9" s="328" t="s">
        <v>146</v>
      </c>
      <c r="G9" s="329"/>
      <c r="H9" s="329"/>
      <c r="I9" s="329"/>
      <c r="J9" s="330"/>
      <c r="L9" s="328" t="s">
        <v>146</v>
      </c>
      <c r="M9" s="329"/>
      <c r="N9" s="329"/>
      <c r="O9" s="329"/>
      <c r="P9" s="330"/>
    </row>
    <row r="10" spans="2:16" ht="14.4" customHeight="1" x14ac:dyDescent="0.25">
      <c r="B10" s="262"/>
      <c r="C10" s="263"/>
      <c r="D10" s="305"/>
      <c r="E10" s="41"/>
      <c r="F10" s="47"/>
      <c r="G10" s="48">
        <v>0.1</v>
      </c>
      <c r="H10" s="331" t="s">
        <v>145</v>
      </c>
      <c r="I10" s="331"/>
      <c r="J10" s="332"/>
      <c r="L10" s="47"/>
      <c r="M10" s="48">
        <v>0.2</v>
      </c>
      <c r="N10" s="331" t="s">
        <v>145</v>
      </c>
      <c r="O10" s="331"/>
      <c r="P10" s="332"/>
    </row>
    <row r="11" spans="2:16" x14ac:dyDescent="0.25">
      <c r="B11" s="306" t="s">
        <v>20</v>
      </c>
      <c r="C11" s="307" t="s">
        <v>91</v>
      </c>
      <c r="D11" s="308" t="s">
        <v>92</v>
      </c>
      <c r="E11" s="42"/>
      <c r="F11" s="306" t="s">
        <v>20</v>
      </c>
      <c r="G11" s="307" t="s">
        <v>91</v>
      </c>
      <c r="H11" s="307" t="s">
        <v>94</v>
      </c>
      <c r="I11" s="335" t="s">
        <v>95</v>
      </c>
      <c r="J11" s="308" t="s">
        <v>92</v>
      </c>
      <c r="L11" s="306" t="s">
        <v>20</v>
      </c>
      <c r="M11" s="307" t="s">
        <v>91</v>
      </c>
      <c r="N11" s="307" t="s">
        <v>94</v>
      </c>
      <c r="O11" s="335" t="s">
        <v>95</v>
      </c>
      <c r="P11" s="308" t="s">
        <v>92</v>
      </c>
    </row>
    <row r="12" spans="2:16" x14ac:dyDescent="0.25">
      <c r="B12" s="306"/>
      <c r="C12" s="307"/>
      <c r="D12" s="308"/>
      <c r="E12" s="42"/>
      <c r="F12" s="306"/>
      <c r="G12" s="307"/>
      <c r="H12" s="307"/>
      <c r="I12" s="335"/>
      <c r="J12" s="308"/>
      <c r="L12" s="306"/>
      <c r="M12" s="307"/>
      <c r="N12" s="307"/>
      <c r="O12" s="335"/>
      <c r="P12" s="308"/>
    </row>
    <row r="13" spans="2:16" x14ac:dyDescent="0.25">
      <c r="B13" s="38">
        <f>$C$5</f>
        <v>2016</v>
      </c>
      <c r="C13" s="67">
        <f>_xlfn.XLOOKUP(B13,$C$5:$F$5,$C$6:$F$6)</f>
        <v>10478</v>
      </c>
      <c r="D13" s="142"/>
      <c r="F13" s="78">
        <f>$C$5</f>
        <v>2016</v>
      </c>
      <c r="G13" s="67">
        <f>_xlfn.XLOOKUP(F13,$C$5:$F$5,$C$6:$F$6)</f>
        <v>10478</v>
      </c>
      <c r="H13" s="65">
        <f t="shared" ref="H13:H14" si="0">H14-$G$10</f>
        <v>0.70000000000000007</v>
      </c>
      <c r="I13" s="61">
        <f>G13*H13</f>
        <v>7334.6</v>
      </c>
      <c r="J13" s="142"/>
      <c r="L13" s="78">
        <f>$C$5</f>
        <v>2016</v>
      </c>
      <c r="M13" s="67">
        <f>_xlfn.XLOOKUP(L13,$C$5:$F$5,$C$6:$F$6)</f>
        <v>10478</v>
      </c>
      <c r="N13" s="65">
        <f t="shared" ref="N13:N14" si="1">N14-$M$10</f>
        <v>0.40000000000000008</v>
      </c>
      <c r="O13" s="61">
        <f>M13*N13</f>
        <v>4191.2000000000007</v>
      </c>
      <c r="P13" s="142"/>
    </row>
    <row r="14" spans="2:16" x14ac:dyDescent="0.25">
      <c r="B14" s="38">
        <f>$D$5</f>
        <v>2017</v>
      </c>
      <c r="C14" s="67">
        <f t="shared" ref="C14:C16" si="2">_xlfn.XLOOKUP(B14,$C$5:$F$5,$C$6:$F$6)</f>
        <v>12445</v>
      </c>
      <c r="D14" s="139">
        <f>AVERAGE($C$13:C13)</f>
        <v>10478</v>
      </c>
      <c r="F14" s="78">
        <f>$D$5</f>
        <v>2017</v>
      </c>
      <c r="G14" s="67">
        <f t="shared" ref="G14:G16" si="3">_xlfn.XLOOKUP(F14,$C$5:$F$5,$C$6:$F$6)</f>
        <v>12445</v>
      </c>
      <c r="H14" s="65">
        <f t="shared" si="0"/>
        <v>0.8</v>
      </c>
      <c r="I14" s="61">
        <f t="shared" ref="I14:I16" si="4">G14*H14</f>
        <v>9956</v>
      </c>
      <c r="J14" s="139"/>
      <c r="L14" s="78">
        <f>$D$5</f>
        <v>2017</v>
      </c>
      <c r="M14" s="67">
        <f t="shared" ref="M14:M16" si="5">_xlfn.XLOOKUP(L14,$C$5:$F$5,$C$6:$F$6)</f>
        <v>12445</v>
      </c>
      <c r="N14" s="65">
        <f t="shared" si="1"/>
        <v>0.60000000000000009</v>
      </c>
      <c r="O14" s="61">
        <f t="shared" ref="O14:O16" si="6">M14*N14</f>
        <v>7467.0000000000009</v>
      </c>
      <c r="P14" s="139"/>
    </row>
    <row r="15" spans="2:16" x14ac:dyDescent="0.25">
      <c r="B15" s="38">
        <f>$E$5</f>
        <v>2018</v>
      </c>
      <c r="C15" s="67">
        <f t="shared" si="2"/>
        <v>13874</v>
      </c>
      <c r="D15" s="139">
        <f>AVERAGE($C$13:C14)</f>
        <v>11461.5</v>
      </c>
      <c r="F15" s="78">
        <f>$E$5</f>
        <v>2018</v>
      </c>
      <c r="G15" s="67">
        <f t="shared" si="3"/>
        <v>13874</v>
      </c>
      <c r="H15" s="65">
        <f>H16-$G$10</f>
        <v>0.9</v>
      </c>
      <c r="I15" s="61">
        <f t="shared" si="4"/>
        <v>12486.6</v>
      </c>
      <c r="J15" s="139">
        <f>(I13+I14)/(H13+H14)</f>
        <v>11527.066666666666</v>
      </c>
      <c r="L15" s="78">
        <f>$E$5</f>
        <v>2018</v>
      </c>
      <c r="M15" s="67">
        <f t="shared" si="5"/>
        <v>13874</v>
      </c>
      <c r="N15" s="65">
        <f>N16-$M$10</f>
        <v>0.8</v>
      </c>
      <c r="O15" s="61">
        <f t="shared" si="6"/>
        <v>11099.2</v>
      </c>
      <c r="P15" s="139">
        <f>(O13+O14)/(N13+N14)</f>
        <v>11658.199999999999</v>
      </c>
    </row>
    <row r="16" spans="2:16" ht="14.4" thickBot="1" x14ac:dyDescent="0.3">
      <c r="B16" s="39">
        <f>$F$5</f>
        <v>2019</v>
      </c>
      <c r="C16" s="68">
        <f t="shared" si="2"/>
        <v>15864</v>
      </c>
      <c r="D16" s="140">
        <f>AVERAGE($C$13:C15)</f>
        <v>12265.666666666666</v>
      </c>
      <c r="F16" s="77">
        <f>$F$5</f>
        <v>2019</v>
      </c>
      <c r="G16" s="68">
        <f t="shared" si="3"/>
        <v>15864</v>
      </c>
      <c r="H16" s="66">
        <v>1</v>
      </c>
      <c r="I16" s="63">
        <f t="shared" si="4"/>
        <v>15864</v>
      </c>
      <c r="J16" s="140">
        <f>(I14+I15)/(H14+H15)</f>
        <v>13201.529411764704</v>
      </c>
      <c r="L16" s="77">
        <f>$F$5</f>
        <v>2019</v>
      </c>
      <c r="M16" s="68">
        <f t="shared" si="5"/>
        <v>15864</v>
      </c>
      <c r="N16" s="66">
        <v>1</v>
      </c>
      <c r="O16" s="63">
        <f t="shared" si="6"/>
        <v>15864</v>
      </c>
      <c r="P16" s="140">
        <f>(O14+O15)/(N14+N15)</f>
        <v>13261.571428571428</v>
      </c>
    </row>
    <row r="17" spans="2:22" ht="14.4" thickBot="1" x14ac:dyDescent="0.3">
      <c r="B17" s="239">
        <v>2021</v>
      </c>
      <c r="C17" s="240"/>
      <c r="D17" s="141">
        <f>AVERAGE($C$13:C16)</f>
        <v>13165.25</v>
      </c>
      <c r="F17" s="239">
        <v>2021</v>
      </c>
      <c r="G17" s="315"/>
      <c r="H17" s="315"/>
      <c r="I17" s="240"/>
      <c r="J17" s="141">
        <f>(I15+I16)/(H15+H16)</f>
        <v>14921.368421052632</v>
      </c>
      <c r="L17" s="239">
        <v>2021</v>
      </c>
      <c r="M17" s="315"/>
      <c r="N17" s="315"/>
      <c r="O17" s="240"/>
      <c r="P17" s="141">
        <f>(O15+O16)/(N15+N16)</f>
        <v>14979.555555555555</v>
      </c>
    </row>
    <row r="18" spans="2:22" s="152" customFormat="1" x14ac:dyDescent="0.25">
      <c r="B18" s="150"/>
      <c r="C18" s="150"/>
      <c r="D18" s="151"/>
      <c r="F18" s="150"/>
      <c r="G18" s="150"/>
      <c r="H18" s="150"/>
      <c r="I18" s="150"/>
      <c r="J18" s="151"/>
      <c r="L18" s="150"/>
      <c r="M18" s="150"/>
      <c r="N18" s="150"/>
      <c r="O18" s="150"/>
      <c r="P18" s="151"/>
      <c r="R18" s="150"/>
      <c r="S18" s="153"/>
      <c r="T18" s="154"/>
      <c r="U18" s="155"/>
      <c r="V18" s="155"/>
    </row>
    <row r="19" spans="2:22" s="152" customFormat="1" ht="14.4" customHeight="1" thickBot="1" x14ac:dyDescent="0.3">
      <c r="B19" s="150"/>
      <c r="C19" s="150"/>
      <c r="D19" s="151"/>
      <c r="F19" s="150"/>
      <c r="G19" s="150"/>
      <c r="H19" s="150"/>
      <c r="I19" s="150"/>
      <c r="J19" s="151"/>
      <c r="L19" s="150"/>
      <c r="M19" s="150"/>
      <c r="N19" s="150"/>
      <c r="O19" s="150"/>
      <c r="P19" s="151"/>
      <c r="R19" s="150"/>
      <c r="S19" s="153"/>
      <c r="T19" s="154"/>
      <c r="U19" s="155"/>
      <c r="V19" s="155"/>
    </row>
    <row r="20" spans="2:22" s="152" customFormat="1" x14ac:dyDescent="0.25">
      <c r="B20" s="233" t="s">
        <v>96</v>
      </c>
      <c r="C20" s="234"/>
      <c r="D20" s="235"/>
      <c r="E20" s="309" t="str">
        <f>VLOOKUP(D25,'גיליון עזר'!$B$2:$C$8,2)</f>
        <v>קיים קשר כמעט מושלם בין המשתנה התלוי (השנים) למשתנה הבלתי תלוי (הביקוש), מומלץ מאוד להשתמש בשיטת הרגרסיה.</v>
      </c>
      <c r="F20" s="310"/>
      <c r="G20" s="150"/>
      <c r="H20" s="150"/>
      <c r="I20" s="150"/>
      <c r="J20" s="151"/>
      <c r="L20" s="150"/>
      <c r="M20" s="150"/>
      <c r="N20" s="150"/>
      <c r="O20" s="150"/>
      <c r="P20" s="151"/>
      <c r="R20" s="150"/>
      <c r="S20" s="153"/>
      <c r="T20" s="154"/>
      <c r="U20" s="155"/>
      <c r="V20" s="155"/>
    </row>
    <row r="21" spans="2:22" s="152" customFormat="1" ht="14.4" thickBot="1" x14ac:dyDescent="0.3">
      <c r="B21" s="262"/>
      <c r="C21" s="263"/>
      <c r="D21" s="305"/>
      <c r="E21" s="311"/>
      <c r="F21" s="312"/>
      <c r="G21" s="150"/>
      <c r="H21" s="150"/>
      <c r="I21" s="150"/>
      <c r="J21" s="151"/>
      <c r="L21" s="150"/>
      <c r="M21" s="150"/>
      <c r="N21" s="150"/>
      <c r="O21" s="150"/>
      <c r="P21" s="151"/>
      <c r="R21" s="150"/>
      <c r="S21" s="153"/>
      <c r="T21" s="154"/>
      <c r="U21" s="155"/>
      <c r="V21" s="155"/>
    </row>
    <row r="22" spans="2:22" s="152" customFormat="1" x14ac:dyDescent="0.25">
      <c r="B22" s="346" t="s">
        <v>100</v>
      </c>
      <c r="C22" s="348" t="s">
        <v>101</v>
      </c>
      <c r="D22" s="350" t="s">
        <v>102</v>
      </c>
      <c r="E22" s="311"/>
      <c r="F22" s="312"/>
      <c r="G22" s="150"/>
      <c r="H22" s="150"/>
      <c r="I22" s="150"/>
      <c r="J22" s="151"/>
      <c r="L22" s="150"/>
      <c r="M22" s="150"/>
      <c r="N22" s="150"/>
      <c r="O22" s="150"/>
      <c r="P22" s="151"/>
      <c r="R22" s="150"/>
      <c r="S22" s="153"/>
      <c r="T22" s="154"/>
      <c r="U22" s="155"/>
      <c r="V22" s="155"/>
    </row>
    <row r="23" spans="2:22" s="152" customFormat="1" ht="14.4" thickBot="1" x14ac:dyDescent="0.3">
      <c r="B23" s="347"/>
      <c r="C23" s="349"/>
      <c r="D23" s="351"/>
      <c r="E23" s="311"/>
      <c r="F23" s="312"/>
      <c r="G23" s="150"/>
      <c r="H23" s="150"/>
      <c r="I23" s="150"/>
      <c r="J23" s="151"/>
      <c r="L23" s="150"/>
      <c r="M23" s="150"/>
      <c r="N23" s="150"/>
      <c r="O23" s="150"/>
      <c r="P23" s="151"/>
      <c r="R23" s="150"/>
      <c r="S23" s="153"/>
      <c r="T23" s="154"/>
      <c r="U23" s="155"/>
      <c r="V23" s="155"/>
    </row>
    <row r="24" spans="2:22" s="152" customFormat="1" x14ac:dyDescent="0.25">
      <c r="B24" s="43" t="s">
        <v>97</v>
      </c>
      <c r="C24" s="44" t="s">
        <v>98</v>
      </c>
      <c r="D24" s="45" t="s">
        <v>99</v>
      </c>
      <c r="E24" s="311"/>
      <c r="F24" s="312"/>
      <c r="G24" s="150"/>
      <c r="H24" s="150"/>
      <c r="I24" s="150"/>
      <c r="J24" s="151"/>
      <c r="L24" s="150"/>
      <c r="M24" s="150"/>
      <c r="N24" s="150"/>
      <c r="O24" s="150"/>
      <c r="P24" s="151"/>
      <c r="R24" s="150"/>
      <c r="S24" s="153"/>
      <c r="T24" s="154"/>
      <c r="U24" s="155"/>
      <c r="V24" s="155"/>
    </row>
    <row r="25" spans="2:22" s="152" customFormat="1" ht="14.4" thickBot="1" x14ac:dyDescent="0.3">
      <c r="B25" s="70" cm="1">
        <f t="array" ref="B25:C25">LINEST(C28:C31)</f>
        <v>1758.6999999999998</v>
      </c>
      <c r="C25" s="71">
        <v>8768.5</v>
      </c>
      <c r="D25" s="69">
        <f>CORREL(B28:B31,C28:C31)</f>
        <v>0.99804899007360792</v>
      </c>
      <c r="E25" s="311"/>
      <c r="F25" s="312"/>
      <c r="G25" s="150"/>
      <c r="H25" s="150"/>
      <c r="I25" s="150"/>
      <c r="J25" s="151"/>
      <c r="L25" s="150"/>
      <c r="M25" s="150"/>
      <c r="N25" s="150"/>
      <c r="O25" s="150"/>
      <c r="P25" s="151"/>
      <c r="R25" s="150"/>
      <c r="S25" s="153"/>
      <c r="T25" s="154"/>
      <c r="U25" s="155"/>
      <c r="V25" s="155"/>
    </row>
    <row r="26" spans="2:22" s="152" customFormat="1" x14ac:dyDescent="0.25">
      <c r="B26" s="306" t="s">
        <v>20</v>
      </c>
      <c r="C26" s="307" t="s">
        <v>91</v>
      </c>
      <c r="D26" s="308" t="s">
        <v>92</v>
      </c>
      <c r="E26" s="311"/>
      <c r="F26" s="312"/>
      <c r="G26" s="150"/>
      <c r="H26" s="150"/>
      <c r="I26" s="150"/>
      <c r="J26" s="151"/>
      <c r="L26" s="150"/>
      <c r="M26" s="150"/>
      <c r="N26" s="150"/>
      <c r="O26" s="150"/>
      <c r="P26" s="151"/>
      <c r="R26" s="150"/>
      <c r="S26" s="153"/>
      <c r="T26" s="154"/>
      <c r="U26" s="155"/>
      <c r="V26" s="155"/>
    </row>
    <row r="27" spans="2:22" s="152" customFormat="1" x14ac:dyDescent="0.25">
      <c r="B27" s="306"/>
      <c r="C27" s="307"/>
      <c r="D27" s="308"/>
      <c r="E27" s="311"/>
      <c r="F27" s="312"/>
      <c r="G27" s="150"/>
      <c r="H27" s="150"/>
      <c r="I27" s="150"/>
      <c r="J27" s="151"/>
      <c r="L27" s="150"/>
      <c r="M27" s="150"/>
      <c r="N27" s="150"/>
      <c r="O27" s="150"/>
      <c r="P27" s="151"/>
      <c r="R27" s="150"/>
      <c r="S27" s="153"/>
      <c r="T27" s="154"/>
      <c r="U27" s="155"/>
      <c r="V27" s="155"/>
    </row>
    <row r="28" spans="2:22" s="152" customFormat="1" x14ac:dyDescent="0.25">
      <c r="B28" s="38">
        <f>$C$5</f>
        <v>2016</v>
      </c>
      <c r="C28" s="67">
        <f>_xlfn.XLOOKUP(B28,$C$5:$F$5,$C$6:$F$6)</f>
        <v>10478</v>
      </c>
      <c r="D28" s="62">
        <f>$C$25+$B$25*MATCH(B28,$B$28:$B$32,0)</f>
        <v>10527.2</v>
      </c>
      <c r="E28" s="311"/>
      <c r="F28" s="312"/>
      <c r="G28" s="150"/>
      <c r="H28" s="150"/>
      <c r="I28" s="150"/>
      <c r="J28" s="151"/>
      <c r="L28" s="150"/>
      <c r="M28" s="150"/>
      <c r="N28" s="150"/>
      <c r="O28" s="150"/>
      <c r="P28" s="151"/>
      <c r="R28" s="150"/>
      <c r="S28" s="153"/>
      <c r="T28" s="154"/>
      <c r="U28" s="155"/>
      <c r="V28" s="155"/>
    </row>
    <row r="29" spans="2:22" s="152" customFormat="1" x14ac:dyDescent="0.25">
      <c r="B29" s="38">
        <f>$D$5</f>
        <v>2017</v>
      </c>
      <c r="C29" s="67">
        <f>_xlfn.XLOOKUP(B29,$C$5:$F$5,$C$6:$F$6)</f>
        <v>12445</v>
      </c>
      <c r="D29" s="62">
        <f>$C$25+$B$25*MATCH(B29,$B$28:$B$32,0)</f>
        <v>12285.9</v>
      </c>
      <c r="E29" s="311"/>
      <c r="F29" s="312"/>
      <c r="G29" s="150"/>
      <c r="H29" s="150"/>
      <c r="I29" s="150"/>
      <c r="J29" s="151"/>
      <c r="L29" s="150"/>
      <c r="M29" s="150"/>
      <c r="N29" s="150"/>
      <c r="O29" s="150"/>
      <c r="P29" s="151"/>
      <c r="R29" s="150"/>
      <c r="S29" s="153"/>
      <c r="T29" s="154"/>
      <c r="U29" s="155"/>
      <c r="V29" s="155"/>
    </row>
    <row r="30" spans="2:22" s="152" customFormat="1" x14ac:dyDescent="0.25">
      <c r="B30" s="38">
        <f>$E$5</f>
        <v>2018</v>
      </c>
      <c r="C30" s="67">
        <f>_xlfn.XLOOKUP(B30,$C$5:$F$5,$C$6:$F$6)</f>
        <v>13874</v>
      </c>
      <c r="D30" s="62">
        <f>$C$25+$B$25*MATCH(B30,$B$28:$B$32,0)</f>
        <v>14044.599999999999</v>
      </c>
      <c r="E30" s="311"/>
      <c r="F30" s="312"/>
      <c r="G30" s="150"/>
      <c r="H30" s="150"/>
      <c r="I30" s="150"/>
      <c r="J30" s="151"/>
      <c r="L30" s="150"/>
      <c r="M30" s="150"/>
      <c r="N30" s="150"/>
      <c r="O30" s="150"/>
      <c r="P30" s="151"/>
      <c r="R30" s="150"/>
      <c r="S30" s="153"/>
      <c r="T30" s="154"/>
      <c r="U30" s="155"/>
      <c r="V30" s="155"/>
    </row>
    <row r="31" spans="2:22" s="152" customFormat="1" ht="14.4" thickBot="1" x14ac:dyDescent="0.3">
      <c r="B31" s="39">
        <f>$F$5</f>
        <v>2019</v>
      </c>
      <c r="C31" s="68">
        <f>_xlfn.XLOOKUP(B31,$C$5:$F$5,$C$6:$F$6)</f>
        <v>15864</v>
      </c>
      <c r="D31" s="115">
        <f>$C$25+$B$25*MATCH(B31,$B$28:$B$32,0)</f>
        <v>15803.3</v>
      </c>
      <c r="E31" s="311"/>
      <c r="F31" s="312"/>
      <c r="G31" s="150"/>
      <c r="H31" s="150"/>
      <c r="I31" s="150"/>
      <c r="J31" s="151"/>
      <c r="L31" s="150"/>
      <c r="M31" s="150"/>
      <c r="N31" s="150"/>
      <c r="O31" s="150"/>
      <c r="P31" s="151"/>
      <c r="R31" s="150"/>
      <c r="S31" s="153"/>
      <c r="T31" s="154"/>
      <c r="U31" s="155"/>
      <c r="V31" s="155"/>
    </row>
    <row r="32" spans="2:22" s="152" customFormat="1" ht="14.4" thickBot="1" x14ac:dyDescent="0.3">
      <c r="B32" s="148">
        <v>2021</v>
      </c>
      <c r="C32" s="149"/>
      <c r="D32" s="116">
        <f>$C$25+$B$25*MATCH(B32,$B$28:$B$32,0)</f>
        <v>17562</v>
      </c>
      <c r="E32" s="313"/>
      <c r="F32" s="314"/>
      <c r="G32" s="150"/>
      <c r="H32" s="150"/>
      <c r="I32" s="150"/>
      <c r="J32" s="151"/>
      <c r="L32" s="150"/>
      <c r="M32" s="150"/>
      <c r="N32" s="150"/>
      <c r="O32" s="150"/>
      <c r="P32" s="151"/>
      <c r="R32" s="150"/>
      <c r="S32" s="153"/>
      <c r="T32" s="154"/>
      <c r="U32" s="155"/>
      <c r="V32" s="155"/>
    </row>
    <row r="33" spans="2:22" s="152" customFormat="1" x14ac:dyDescent="0.25">
      <c r="B33" s="150"/>
      <c r="C33" s="150"/>
      <c r="D33" s="151"/>
      <c r="F33" s="150"/>
      <c r="G33" s="150"/>
      <c r="H33" s="150"/>
      <c r="I33" s="150"/>
      <c r="J33" s="151"/>
      <c r="L33" s="150"/>
      <c r="M33" s="150"/>
      <c r="N33" s="150"/>
      <c r="O33" s="150"/>
      <c r="P33" s="151"/>
      <c r="R33" s="150"/>
      <c r="S33" s="153"/>
      <c r="T33" s="154"/>
      <c r="U33" s="155"/>
      <c r="V33" s="155"/>
    </row>
    <row r="34" spans="2:22" ht="14.4" thickBot="1" x14ac:dyDescent="0.3"/>
    <row r="35" spans="2:22" ht="13.8" customHeight="1" x14ac:dyDescent="0.25">
      <c r="B35" s="229" t="s">
        <v>103</v>
      </c>
      <c r="C35" s="230"/>
      <c r="D35" s="230"/>
      <c r="E35" s="230"/>
      <c r="F35" s="230"/>
      <c r="G35" s="230"/>
      <c r="H35" s="230"/>
      <c r="I35" s="230"/>
      <c r="J35" s="230"/>
      <c r="K35" s="230">
        <v>0.1</v>
      </c>
      <c r="L35" s="336" t="s">
        <v>104</v>
      </c>
      <c r="M35" s="338" t="s">
        <v>105</v>
      </c>
      <c r="N35" s="336" t="s">
        <v>106</v>
      </c>
      <c r="O35" s="340"/>
      <c r="P35" s="49"/>
      <c r="Q35" s="49"/>
      <c r="R35" s="49"/>
      <c r="S35" s="49"/>
      <c r="T35" s="50"/>
    </row>
    <row r="36" spans="2:22" ht="15" customHeight="1" thickBot="1" x14ac:dyDescent="0.3">
      <c r="B36" s="231"/>
      <c r="C36" s="232"/>
      <c r="D36" s="232"/>
      <c r="E36" s="232"/>
      <c r="F36" s="232"/>
      <c r="G36" s="232"/>
      <c r="H36" s="232"/>
      <c r="I36" s="232"/>
      <c r="J36" s="232"/>
      <c r="K36" s="232"/>
      <c r="L36" s="337"/>
      <c r="M36" s="339"/>
      <c r="N36" s="337"/>
      <c r="O36" s="341"/>
      <c r="P36" s="51"/>
      <c r="Q36" s="51"/>
      <c r="R36" s="51"/>
      <c r="S36" s="51"/>
      <c r="T36" s="52"/>
    </row>
    <row r="37" spans="2:22" ht="14.4" customHeight="1" x14ac:dyDescent="0.25">
      <c r="B37" s="233" t="s">
        <v>107</v>
      </c>
      <c r="C37" s="234"/>
      <c r="D37" s="40" t="s">
        <v>104</v>
      </c>
      <c r="F37" s="233" t="s">
        <v>107</v>
      </c>
      <c r="G37" s="234"/>
      <c r="H37" s="40" t="s">
        <v>104</v>
      </c>
      <c r="J37" s="233" t="s">
        <v>107</v>
      </c>
      <c r="K37" s="234"/>
      <c r="L37" s="40" t="s">
        <v>104</v>
      </c>
      <c r="N37" s="233" t="s">
        <v>107</v>
      </c>
      <c r="O37" s="234"/>
      <c r="P37" s="40" t="s">
        <v>104</v>
      </c>
      <c r="R37" s="233" t="s">
        <v>107</v>
      </c>
      <c r="S37" s="234"/>
      <c r="T37" s="40" t="s">
        <v>104</v>
      </c>
    </row>
    <row r="38" spans="2:22" ht="15.6" x14ac:dyDescent="0.25">
      <c r="B38" s="262"/>
      <c r="C38" s="263"/>
      <c r="D38" s="46">
        <f>K35</f>
        <v>0.1</v>
      </c>
      <c r="F38" s="262"/>
      <c r="G38" s="263"/>
      <c r="H38" s="46">
        <f>D$38+$K$35</f>
        <v>0.2</v>
      </c>
      <c r="J38" s="262"/>
      <c r="K38" s="263"/>
      <c r="L38" s="46">
        <f>H$38+$K$35</f>
        <v>0.30000000000000004</v>
      </c>
      <c r="N38" s="262"/>
      <c r="O38" s="263"/>
      <c r="P38" s="46">
        <f>L$38+$K$35</f>
        <v>0.4</v>
      </c>
      <c r="R38" s="262"/>
      <c r="S38" s="263"/>
      <c r="T38" s="46">
        <f>P$38+$K$35</f>
        <v>0.5</v>
      </c>
    </row>
    <row r="39" spans="2:22" x14ac:dyDescent="0.25">
      <c r="B39" s="264" t="s">
        <v>20</v>
      </c>
      <c r="C39" s="266" t="s">
        <v>91</v>
      </c>
      <c r="D39" s="260" t="s">
        <v>92</v>
      </c>
      <c r="F39" s="264" t="s">
        <v>20</v>
      </c>
      <c r="G39" s="266" t="s">
        <v>91</v>
      </c>
      <c r="H39" s="260" t="s">
        <v>92</v>
      </c>
      <c r="J39" s="264" t="s">
        <v>20</v>
      </c>
      <c r="K39" s="266" t="s">
        <v>91</v>
      </c>
      <c r="L39" s="260" t="s">
        <v>92</v>
      </c>
      <c r="N39" s="264" t="s">
        <v>20</v>
      </c>
      <c r="O39" s="266" t="s">
        <v>91</v>
      </c>
      <c r="P39" s="260" t="s">
        <v>92</v>
      </c>
      <c r="R39" s="264" t="s">
        <v>20</v>
      </c>
      <c r="S39" s="266" t="s">
        <v>91</v>
      </c>
      <c r="T39" s="260" t="s">
        <v>92</v>
      </c>
    </row>
    <row r="40" spans="2:22" x14ac:dyDescent="0.25">
      <c r="B40" s="265"/>
      <c r="C40" s="267"/>
      <c r="D40" s="261"/>
      <c r="F40" s="265"/>
      <c r="G40" s="267"/>
      <c r="H40" s="261"/>
      <c r="J40" s="265"/>
      <c r="K40" s="267"/>
      <c r="L40" s="261"/>
      <c r="N40" s="265"/>
      <c r="O40" s="267"/>
      <c r="P40" s="261"/>
      <c r="R40" s="265"/>
      <c r="S40" s="267"/>
      <c r="T40" s="261"/>
    </row>
    <row r="41" spans="2:22" x14ac:dyDescent="0.25">
      <c r="B41" s="38">
        <f>$C$5</f>
        <v>2016</v>
      </c>
      <c r="C41" s="67">
        <f>_xlfn.XLOOKUP(B41,$C$5:$F$5,$C$6:$F$6)</f>
        <v>10478</v>
      </c>
      <c r="D41" s="62"/>
      <c r="F41" s="38">
        <f>$C$5</f>
        <v>2016</v>
      </c>
      <c r="G41" s="67">
        <f>_xlfn.XLOOKUP(F41,$C$5:$F$5,$C$6:$F$6)</f>
        <v>10478</v>
      </c>
      <c r="H41" s="62"/>
      <c r="J41" s="38">
        <f>$C$5</f>
        <v>2016</v>
      </c>
      <c r="K41" s="67">
        <f>_xlfn.XLOOKUP(J41,$C$5:$F$5,$C$6:$F$6)</f>
        <v>10478</v>
      </c>
      <c r="L41" s="62"/>
      <c r="N41" s="38">
        <f>$C$5</f>
        <v>2016</v>
      </c>
      <c r="O41" s="67">
        <f>_xlfn.XLOOKUP(N41,$C$5:$F$5,$C$6:$F$6)</f>
        <v>10478</v>
      </c>
      <c r="P41" s="62"/>
      <c r="R41" s="38">
        <f>$C$5</f>
        <v>2016</v>
      </c>
      <c r="S41" s="67">
        <f>_xlfn.XLOOKUP(R41,$C$5:$F$5,$C$6:$F$6)</f>
        <v>10478</v>
      </c>
      <c r="T41" s="62"/>
    </row>
    <row r="42" spans="2:22" x14ac:dyDescent="0.25">
      <c r="B42" s="38">
        <f>$D$5</f>
        <v>2017</v>
      </c>
      <c r="C42" s="67">
        <f>_xlfn.XLOOKUP(B42,$C$5:$F$5,$C$6:$F$6)</f>
        <v>12445</v>
      </c>
      <c r="D42" s="62">
        <f>D$38*C41+(1-D$38)*C41</f>
        <v>10478</v>
      </c>
      <c r="F42" s="38">
        <f>$D$5</f>
        <v>2017</v>
      </c>
      <c r="G42" s="67">
        <f>_xlfn.XLOOKUP(F42,$C$5:$F$5,$C$6:$F$6)</f>
        <v>12445</v>
      </c>
      <c r="H42" s="62">
        <f>H$38*G41+(1-H$38)*G41</f>
        <v>10478</v>
      </c>
      <c r="J42" s="38">
        <f>$D$5</f>
        <v>2017</v>
      </c>
      <c r="K42" s="67">
        <f>_xlfn.XLOOKUP(J42,$C$5:$F$5,$C$6:$F$6)</f>
        <v>12445</v>
      </c>
      <c r="L42" s="62">
        <f>L$38*K41+(1-L$38)*K41</f>
        <v>10478</v>
      </c>
      <c r="N42" s="38">
        <f>$D$5</f>
        <v>2017</v>
      </c>
      <c r="O42" s="67">
        <f>_xlfn.XLOOKUP(N42,$C$5:$F$5,$C$6:$F$6)</f>
        <v>12445</v>
      </c>
      <c r="P42" s="62">
        <f>P$38*O41+(1-P$38)*O41</f>
        <v>10478</v>
      </c>
      <c r="R42" s="38">
        <f>$D$5</f>
        <v>2017</v>
      </c>
      <c r="S42" s="67">
        <f>_xlfn.XLOOKUP(R42,$C$5:$F$5,$C$6:$F$6)</f>
        <v>12445</v>
      </c>
      <c r="T42" s="62">
        <f>T$38*S41+(1-T$38)*S41</f>
        <v>10478</v>
      </c>
    </row>
    <row r="43" spans="2:22" x14ac:dyDescent="0.25">
      <c r="B43" s="38">
        <f>$E$5</f>
        <v>2018</v>
      </c>
      <c r="C43" s="67">
        <f>_xlfn.XLOOKUP(B43,$C$5:$F$5,$C$6:$F$6)</f>
        <v>13874</v>
      </c>
      <c r="D43" s="62">
        <f>D$38*C42+(1-D$38)*D42</f>
        <v>10674.7</v>
      </c>
      <c r="F43" s="38">
        <f>$E$5</f>
        <v>2018</v>
      </c>
      <c r="G43" s="67">
        <f>_xlfn.XLOOKUP(F43,$C$5:$F$5,$C$6:$F$6)</f>
        <v>13874</v>
      </c>
      <c r="H43" s="62">
        <f>H$38*G42+(1-H$38)*H42</f>
        <v>10871.4</v>
      </c>
      <c r="J43" s="38">
        <f>$E$5</f>
        <v>2018</v>
      </c>
      <c r="K43" s="67">
        <f>_xlfn.XLOOKUP(J43,$C$5:$F$5,$C$6:$F$6)</f>
        <v>13874</v>
      </c>
      <c r="L43" s="62">
        <f>L$38*K42+(1-L$38)*L42</f>
        <v>11068.1</v>
      </c>
      <c r="N43" s="38">
        <f>$E$5</f>
        <v>2018</v>
      </c>
      <c r="O43" s="67">
        <f>_xlfn.XLOOKUP(N43,$C$5:$F$5,$C$6:$F$6)</f>
        <v>13874</v>
      </c>
      <c r="P43" s="62">
        <f>P$38*O42+(1-P$38)*P42</f>
        <v>11264.8</v>
      </c>
      <c r="R43" s="38">
        <f>$E$5</f>
        <v>2018</v>
      </c>
      <c r="S43" s="67">
        <f>_xlfn.XLOOKUP(R43,$C$5:$F$5,$C$6:$F$6)</f>
        <v>13874</v>
      </c>
      <c r="T43" s="62">
        <f>T$38*S42+(1-T$38)*T42</f>
        <v>11461.5</v>
      </c>
    </row>
    <row r="44" spans="2:22" ht="14.4" thickBot="1" x14ac:dyDescent="0.3">
      <c r="B44" s="39">
        <f>$F$5</f>
        <v>2019</v>
      </c>
      <c r="C44" s="68">
        <f>_xlfn.XLOOKUP(B44,$C$5:$F$5,$C$6:$F$6)</f>
        <v>15864</v>
      </c>
      <c r="D44" s="64">
        <f>D$38*C43+(1-D$38)*D43</f>
        <v>10994.630000000001</v>
      </c>
      <c r="F44" s="39">
        <f>$F$5</f>
        <v>2019</v>
      </c>
      <c r="G44" s="68">
        <f>_xlfn.XLOOKUP(F44,$C$5:$F$5,$C$6:$F$6)</f>
        <v>15864</v>
      </c>
      <c r="H44" s="64">
        <f>H$38*G43+(1-H$38)*H43</f>
        <v>11471.920000000002</v>
      </c>
      <c r="J44" s="39">
        <f>$F$5</f>
        <v>2019</v>
      </c>
      <c r="K44" s="68">
        <f>_xlfn.XLOOKUP(J44,$C$5:$F$5,$C$6:$F$6)</f>
        <v>15864</v>
      </c>
      <c r="L44" s="64">
        <f>L$38*K43+(1-L$38)*L43</f>
        <v>11909.87</v>
      </c>
      <c r="N44" s="39">
        <f>$F$5</f>
        <v>2019</v>
      </c>
      <c r="O44" s="68">
        <f>_xlfn.XLOOKUP(N44,$C$5:$F$5,$C$6:$F$6)</f>
        <v>15864</v>
      </c>
      <c r="P44" s="64">
        <f>P$38*O43+(1-P$38)*P43</f>
        <v>12308.48</v>
      </c>
      <c r="R44" s="39">
        <f>$F$5</f>
        <v>2019</v>
      </c>
      <c r="S44" s="68">
        <f>_xlfn.XLOOKUP(R44,$C$5:$F$5,$C$6:$F$6)</f>
        <v>15864</v>
      </c>
      <c r="T44" s="64">
        <f>T$38*S43+(1-T$38)*T43</f>
        <v>12667.75</v>
      </c>
    </row>
    <row r="45" spans="2:22" ht="14.4" thickBot="1" x14ac:dyDescent="0.3">
      <c r="B45" s="239">
        <v>2021</v>
      </c>
      <c r="C45" s="240"/>
      <c r="D45" s="114">
        <f>D$38*C44+(1-D$38)*D44</f>
        <v>11481.567000000001</v>
      </c>
      <c r="F45" s="239">
        <v>2021</v>
      </c>
      <c r="G45" s="240"/>
      <c r="H45" s="114">
        <f>H$38*G44+(1-H$38)*H44</f>
        <v>12350.336000000003</v>
      </c>
      <c r="J45" s="239">
        <v>2021</v>
      </c>
      <c r="K45" s="240"/>
      <c r="L45" s="114">
        <f>L$38*K44+(1-L$38)*L44</f>
        <v>13096.109</v>
      </c>
      <c r="N45" s="239">
        <v>2021</v>
      </c>
      <c r="O45" s="240"/>
      <c r="P45" s="114">
        <f>P$38*O44+(1-P$38)*P44</f>
        <v>13730.688</v>
      </c>
      <c r="R45" s="239">
        <v>2021</v>
      </c>
      <c r="S45" s="240"/>
      <c r="T45" s="114">
        <f>T$38*S44+(1-T$38)*T44</f>
        <v>14265.875</v>
      </c>
    </row>
    <row r="46" spans="2:22" ht="14.4" thickBot="1" x14ac:dyDescent="0.3"/>
    <row r="47" spans="2:22" ht="17.399999999999999" x14ac:dyDescent="0.25">
      <c r="B47" s="233" t="s">
        <v>107</v>
      </c>
      <c r="C47" s="234"/>
      <c r="D47" s="40" t="s">
        <v>104</v>
      </c>
      <c r="F47" s="233" t="s">
        <v>107</v>
      </c>
      <c r="G47" s="234"/>
      <c r="H47" s="40" t="s">
        <v>104</v>
      </c>
      <c r="J47" s="233" t="s">
        <v>107</v>
      </c>
      <c r="K47" s="234"/>
      <c r="L47" s="40" t="s">
        <v>104</v>
      </c>
      <c r="N47" s="233" t="s">
        <v>107</v>
      </c>
      <c r="O47" s="234"/>
      <c r="P47" s="40" t="s">
        <v>104</v>
      </c>
      <c r="R47" s="233" t="s">
        <v>107</v>
      </c>
      <c r="S47" s="234"/>
      <c r="T47" s="40" t="s">
        <v>104</v>
      </c>
    </row>
    <row r="48" spans="2:22" ht="15.6" x14ac:dyDescent="0.25">
      <c r="B48" s="262"/>
      <c r="C48" s="263"/>
      <c r="D48" s="46">
        <f>T$38+$K$35</f>
        <v>0.6</v>
      </c>
      <c r="F48" s="262"/>
      <c r="G48" s="263"/>
      <c r="H48" s="46">
        <f>D$48+$K$35</f>
        <v>0.7</v>
      </c>
      <c r="J48" s="262"/>
      <c r="K48" s="263"/>
      <c r="L48" s="46">
        <f>H$48+$K$35</f>
        <v>0.79999999999999993</v>
      </c>
      <c r="N48" s="262"/>
      <c r="O48" s="263"/>
      <c r="P48" s="46">
        <f>L$48+$K$35</f>
        <v>0.89999999999999991</v>
      </c>
      <c r="R48" s="262"/>
      <c r="S48" s="263"/>
      <c r="T48" s="46">
        <f>P$48+$K$35</f>
        <v>0.99999999999999989</v>
      </c>
    </row>
    <row r="49" spans="2:23" ht="14.4" customHeight="1" x14ac:dyDescent="0.25">
      <c r="B49" s="264" t="s">
        <v>20</v>
      </c>
      <c r="C49" s="266" t="s">
        <v>91</v>
      </c>
      <c r="D49" s="260" t="s">
        <v>92</v>
      </c>
      <c r="F49" s="264" t="s">
        <v>20</v>
      </c>
      <c r="G49" s="266" t="s">
        <v>91</v>
      </c>
      <c r="H49" s="260" t="s">
        <v>92</v>
      </c>
      <c r="J49" s="264" t="s">
        <v>20</v>
      </c>
      <c r="K49" s="266" t="s">
        <v>91</v>
      </c>
      <c r="L49" s="260" t="s">
        <v>92</v>
      </c>
      <c r="N49" s="264" t="s">
        <v>20</v>
      </c>
      <c r="O49" s="266" t="s">
        <v>91</v>
      </c>
      <c r="P49" s="260" t="s">
        <v>92</v>
      </c>
      <c r="R49" s="264" t="s">
        <v>20</v>
      </c>
      <c r="S49" s="266" t="s">
        <v>91</v>
      </c>
      <c r="T49" s="260" t="s">
        <v>92</v>
      </c>
    </row>
    <row r="50" spans="2:23" x14ac:dyDescent="0.25">
      <c r="B50" s="265"/>
      <c r="C50" s="267"/>
      <c r="D50" s="261"/>
      <c r="F50" s="265"/>
      <c r="G50" s="267"/>
      <c r="H50" s="261"/>
      <c r="J50" s="265"/>
      <c r="K50" s="267"/>
      <c r="L50" s="261"/>
      <c r="N50" s="265"/>
      <c r="O50" s="267"/>
      <c r="P50" s="261"/>
      <c r="R50" s="265"/>
      <c r="S50" s="267"/>
      <c r="T50" s="261"/>
    </row>
    <row r="51" spans="2:23" x14ac:dyDescent="0.25">
      <c r="B51" s="38">
        <f>$C$5</f>
        <v>2016</v>
      </c>
      <c r="C51" s="67">
        <f>_xlfn.XLOOKUP(B51,$C$5:$F$5,$C$6:$F$6)</f>
        <v>10478</v>
      </c>
      <c r="D51" s="62"/>
      <c r="F51" s="38">
        <f>$C$5</f>
        <v>2016</v>
      </c>
      <c r="G51" s="67">
        <f>_xlfn.XLOOKUP(F51,$C$5:$F$5,$C$6:$F$6)</f>
        <v>10478</v>
      </c>
      <c r="H51" s="62"/>
      <c r="J51" s="38">
        <f>$C$5</f>
        <v>2016</v>
      </c>
      <c r="K51" s="67">
        <f>_xlfn.XLOOKUP(J51,$C$5:$F$5,$C$6:$F$6)</f>
        <v>10478</v>
      </c>
      <c r="L51" s="62"/>
      <c r="N51" s="38">
        <f>$C$5</f>
        <v>2016</v>
      </c>
      <c r="O51" s="67">
        <f>_xlfn.XLOOKUP(N51,$C$5:$F$5,$C$6:$F$6)</f>
        <v>10478</v>
      </c>
      <c r="P51" s="62"/>
      <c r="R51" s="38">
        <f>$C$5</f>
        <v>2016</v>
      </c>
      <c r="S51" s="67">
        <f>_xlfn.XLOOKUP(R51,$C$5:$F$5,$C$6:$F$6)</f>
        <v>10478</v>
      </c>
      <c r="T51" s="62"/>
    </row>
    <row r="52" spans="2:23" x14ac:dyDescent="0.25">
      <c r="B52" s="38">
        <f>$D$5</f>
        <v>2017</v>
      </c>
      <c r="C52" s="67">
        <f>_xlfn.XLOOKUP(B52,$C$5:$F$5,$C$6:$F$6)</f>
        <v>12445</v>
      </c>
      <c r="D52" s="62">
        <f>D$48*C51+(1-D$48)*C51</f>
        <v>10478</v>
      </c>
      <c r="F52" s="38">
        <f>$D$5</f>
        <v>2017</v>
      </c>
      <c r="G52" s="67">
        <f>_xlfn.XLOOKUP(F52,$C$5:$F$5,$C$6:$F$6)</f>
        <v>12445</v>
      </c>
      <c r="H52" s="62">
        <f>H$48*G51+(1-H$48)*G51</f>
        <v>10478</v>
      </c>
      <c r="J52" s="38">
        <f>$D$5</f>
        <v>2017</v>
      </c>
      <c r="K52" s="67">
        <f>_xlfn.XLOOKUP(J52,$C$5:$F$5,$C$6:$F$6)</f>
        <v>12445</v>
      </c>
      <c r="L52" s="62">
        <f>L$48*K51+(1-L$48)*K51</f>
        <v>10478</v>
      </c>
      <c r="N52" s="38">
        <f>$D$5</f>
        <v>2017</v>
      </c>
      <c r="O52" s="67">
        <f>_xlfn.XLOOKUP(N52,$C$5:$F$5,$C$6:$F$6)</f>
        <v>12445</v>
      </c>
      <c r="P52" s="62">
        <f>P$48*O51+(1-P$48)*O51</f>
        <v>10478</v>
      </c>
      <c r="R52" s="38">
        <f>$D$5</f>
        <v>2017</v>
      </c>
      <c r="S52" s="67">
        <f>_xlfn.XLOOKUP(R52,$C$5:$F$5,$C$6:$F$6)</f>
        <v>12445</v>
      </c>
      <c r="T52" s="62">
        <f>T$48*S51+(1-T$48)*S51</f>
        <v>10478</v>
      </c>
    </row>
    <row r="53" spans="2:23" x14ac:dyDescent="0.25">
      <c r="B53" s="38">
        <f>$E$5</f>
        <v>2018</v>
      </c>
      <c r="C53" s="67">
        <f>_xlfn.XLOOKUP(B53,$C$5:$F$5,$C$6:$F$6)</f>
        <v>13874</v>
      </c>
      <c r="D53" s="62">
        <f>D$48*C52+(1-D$48)*D52</f>
        <v>11658.2</v>
      </c>
      <c r="F53" s="38">
        <f>$E$5</f>
        <v>2018</v>
      </c>
      <c r="G53" s="67">
        <f>_xlfn.XLOOKUP(F53,$C$5:$F$5,$C$6:$F$6)</f>
        <v>13874</v>
      </c>
      <c r="H53" s="62">
        <f>H$48*G52+(1-H$48)*H52</f>
        <v>11854.900000000001</v>
      </c>
      <c r="J53" s="38">
        <f>$E$5</f>
        <v>2018</v>
      </c>
      <c r="K53" s="67">
        <f>_xlfn.XLOOKUP(J53,$C$5:$F$5,$C$6:$F$6)</f>
        <v>13874</v>
      </c>
      <c r="L53" s="62">
        <f>L$48*K52+(1-L$48)*L52</f>
        <v>12051.6</v>
      </c>
      <c r="N53" s="38">
        <f>$E$5</f>
        <v>2018</v>
      </c>
      <c r="O53" s="67">
        <f>_xlfn.XLOOKUP(N53,$C$5:$F$5,$C$6:$F$6)</f>
        <v>13874</v>
      </c>
      <c r="P53" s="62">
        <f>P$48*O52+(1-P$48)*P52</f>
        <v>12248.3</v>
      </c>
      <c r="R53" s="38">
        <f>$E$5</f>
        <v>2018</v>
      </c>
      <c r="S53" s="67">
        <f>_xlfn.XLOOKUP(R53,$C$5:$F$5,$C$6:$F$6)</f>
        <v>13874</v>
      </c>
      <c r="T53" s="62">
        <f>T$48*S52+(1-T$48)*T52</f>
        <v>12445</v>
      </c>
    </row>
    <row r="54" spans="2:23" ht="14.4" thickBot="1" x14ac:dyDescent="0.3">
      <c r="B54" s="39">
        <f>$F$5</f>
        <v>2019</v>
      </c>
      <c r="C54" s="68">
        <f>_xlfn.XLOOKUP(B54,$C$5:$F$5,$C$6:$F$6)</f>
        <v>15864</v>
      </c>
      <c r="D54" s="64">
        <f>D$48*C53+(1-D$48)*D53</f>
        <v>12987.68</v>
      </c>
      <c r="F54" s="39">
        <f>$F$5</f>
        <v>2019</v>
      </c>
      <c r="G54" s="68">
        <f>_xlfn.XLOOKUP(F54,$C$5:$F$5,$C$6:$F$6)</f>
        <v>15864</v>
      </c>
      <c r="H54" s="64">
        <f>H$48*G53+(1-H$48)*H53</f>
        <v>13268.27</v>
      </c>
      <c r="J54" s="39">
        <f>$F$5</f>
        <v>2019</v>
      </c>
      <c r="K54" s="68">
        <f>_xlfn.XLOOKUP(J54,$C$5:$F$5,$C$6:$F$6)</f>
        <v>15864</v>
      </c>
      <c r="L54" s="64">
        <f>L$48*K53+(1-L$48)*L53</f>
        <v>13509.52</v>
      </c>
      <c r="N54" s="39">
        <f>$F$5</f>
        <v>2019</v>
      </c>
      <c r="O54" s="68">
        <f>_xlfn.XLOOKUP(N54,$C$5:$F$5,$C$6:$F$6)</f>
        <v>15864</v>
      </c>
      <c r="P54" s="64">
        <f>P$48*O53+(1-P$48)*P53</f>
        <v>13711.43</v>
      </c>
      <c r="R54" s="39">
        <f>$F$5</f>
        <v>2019</v>
      </c>
      <c r="S54" s="68">
        <f>_xlfn.XLOOKUP(R54,$C$5:$F$5,$C$6:$F$6)</f>
        <v>15864</v>
      </c>
      <c r="T54" s="64">
        <f>T$48*S53+(1-T$48)*T53</f>
        <v>13874</v>
      </c>
    </row>
    <row r="55" spans="2:23" ht="14.4" thickBot="1" x14ac:dyDescent="0.3">
      <c r="B55" s="239">
        <v>2021</v>
      </c>
      <c r="C55" s="240"/>
      <c r="D55" s="114">
        <f>D$48*C54+(1-D$48)*D54</f>
        <v>14713.472</v>
      </c>
      <c r="F55" s="239">
        <v>2021</v>
      </c>
      <c r="G55" s="240"/>
      <c r="H55" s="114">
        <f>H$48*G54+(1-H$48)*H54</f>
        <v>15085.280999999999</v>
      </c>
      <c r="J55" s="239">
        <v>2021</v>
      </c>
      <c r="K55" s="240"/>
      <c r="L55" s="114">
        <f>L$48*K54+(1-L$48)*L54</f>
        <v>15393.103999999999</v>
      </c>
      <c r="N55" s="239">
        <v>2021</v>
      </c>
      <c r="O55" s="240"/>
      <c r="P55" s="114">
        <f>P$48*O54+(1-P$48)*P54</f>
        <v>15648.743</v>
      </c>
      <c r="R55" s="239">
        <v>2021</v>
      </c>
      <c r="S55" s="240"/>
      <c r="T55" s="114">
        <f>T$48*S54+(1-T$48)*T54</f>
        <v>15864</v>
      </c>
    </row>
    <row r="57" spans="2:23" ht="14.4" thickBot="1" x14ac:dyDescent="0.3"/>
    <row r="58" spans="2:23" ht="14.4" customHeight="1" x14ac:dyDescent="0.25">
      <c r="B58" s="290" t="s">
        <v>107</v>
      </c>
      <c r="C58" s="291"/>
      <c r="D58" s="284" t="str">
        <f>"α = "&amp;D38</f>
        <v>α = 0.1</v>
      </c>
      <c r="E58" s="276"/>
      <c r="F58" s="275" t="str">
        <f>"α = "&amp;H38</f>
        <v>α = 0.2</v>
      </c>
      <c r="G58" s="276"/>
      <c r="H58" s="275" t="str">
        <f>"α = "&amp;L38</f>
        <v>α = 0.3</v>
      </c>
      <c r="I58" s="276"/>
      <c r="J58" s="275" t="str">
        <f>"α = "&amp;P38</f>
        <v>α = 0.4</v>
      </c>
      <c r="K58" s="276"/>
      <c r="L58" s="275" t="str">
        <f>"α = "&amp;T38</f>
        <v>α = 0.5</v>
      </c>
      <c r="M58" s="276"/>
      <c r="N58" s="275" t="str">
        <f>"α = "&amp;D48</f>
        <v>α = 0.6</v>
      </c>
      <c r="O58" s="276"/>
      <c r="P58" s="275" t="str">
        <f>"α = "&amp;H48</f>
        <v>α = 0.7</v>
      </c>
      <c r="Q58" s="276"/>
      <c r="R58" s="275" t="str">
        <f>"α = "&amp;L48</f>
        <v>α = 0.8</v>
      </c>
      <c r="S58" s="276"/>
      <c r="T58" s="275" t="str">
        <f>"α = "&amp;P48</f>
        <v>α = 0.9</v>
      </c>
      <c r="U58" s="276"/>
      <c r="V58" s="275" t="str">
        <f>"α = "&amp;T48</f>
        <v>α = 1</v>
      </c>
      <c r="W58" s="276"/>
    </row>
    <row r="59" spans="2:23" ht="14.4" customHeight="1" thickBot="1" x14ac:dyDescent="0.3">
      <c r="B59" s="292"/>
      <c r="C59" s="293"/>
      <c r="D59" s="285"/>
      <c r="E59" s="278"/>
      <c r="F59" s="277"/>
      <c r="G59" s="278"/>
      <c r="H59" s="277"/>
      <c r="I59" s="278"/>
      <c r="J59" s="277"/>
      <c r="K59" s="278"/>
      <c r="L59" s="277"/>
      <c r="M59" s="278"/>
      <c r="N59" s="277"/>
      <c r="O59" s="278"/>
      <c r="P59" s="277"/>
      <c r="Q59" s="278"/>
      <c r="R59" s="277"/>
      <c r="S59" s="278"/>
      <c r="T59" s="277"/>
      <c r="U59" s="278"/>
      <c r="V59" s="277"/>
      <c r="W59" s="278"/>
    </row>
    <row r="60" spans="2:23" ht="14.4" thickTop="1" x14ac:dyDescent="0.25">
      <c r="B60" s="80" t="s">
        <v>20</v>
      </c>
      <c r="C60" s="79" t="s">
        <v>91</v>
      </c>
      <c r="D60" s="53" t="s">
        <v>92</v>
      </c>
      <c r="E60" s="54" t="s">
        <v>108</v>
      </c>
      <c r="F60" s="53" t="s">
        <v>92</v>
      </c>
      <c r="G60" s="54" t="s">
        <v>108</v>
      </c>
      <c r="H60" s="53" t="s">
        <v>92</v>
      </c>
      <c r="I60" s="54" t="s">
        <v>108</v>
      </c>
      <c r="J60" s="53" t="s">
        <v>92</v>
      </c>
      <c r="K60" s="54" t="s">
        <v>108</v>
      </c>
      <c r="L60" s="53" t="s">
        <v>92</v>
      </c>
      <c r="M60" s="59" t="s">
        <v>108</v>
      </c>
      <c r="N60" s="53" t="s">
        <v>92</v>
      </c>
      <c r="O60" s="54" t="s">
        <v>108</v>
      </c>
      <c r="P60" s="53" t="s">
        <v>92</v>
      </c>
      <c r="Q60" s="54" t="s">
        <v>108</v>
      </c>
      <c r="R60" s="53" t="s">
        <v>92</v>
      </c>
      <c r="S60" s="54" t="s">
        <v>108</v>
      </c>
      <c r="T60" s="53" t="s">
        <v>92</v>
      </c>
      <c r="U60" s="54" t="s">
        <v>108</v>
      </c>
      <c r="V60" s="53" t="s">
        <v>92</v>
      </c>
      <c r="W60" s="81" t="s">
        <v>108</v>
      </c>
    </row>
    <row r="61" spans="2:23" x14ac:dyDescent="0.25">
      <c r="B61" s="78">
        <f>$C$5</f>
        <v>2016</v>
      </c>
      <c r="C61" s="82">
        <f>_xlfn.XLOOKUP(B61,$C$5:$F$5,$C$6:$F$6)</f>
        <v>10478</v>
      </c>
      <c r="D61" s="73" t="str">
        <f>IF(VLOOKUP($B61,$B$41:$D$44,3) = 0, "", VLOOKUP($B61,$B$41:$D$44,3))</f>
        <v/>
      </c>
      <c r="E61" s="74" t="str">
        <f>IFERROR(ABS(D61-$C61),"")</f>
        <v/>
      </c>
      <c r="F61" s="73" t="str">
        <f>IF(VLOOKUP($B61,$F$41:$H$44,3) = 0, "", VLOOKUP($B61,$F$41:$H$44,3))</f>
        <v/>
      </c>
      <c r="G61" s="74" t="str">
        <f>IFERROR(ABS(F61-$C61),"")</f>
        <v/>
      </c>
      <c r="H61" s="73" t="str">
        <f>IF(VLOOKUP($B61,$J$41:$L$44,3) = 0, "", VLOOKUP($B61,$J$41:$L$44,3))</f>
        <v/>
      </c>
      <c r="I61" s="74" t="str">
        <f>IFERROR(ABS(H61-$C61),"")</f>
        <v/>
      </c>
      <c r="J61" s="73" t="str">
        <f>IF(VLOOKUP($B61,$N$41:$P$44,3) = 0, "", VLOOKUP($B61,$N$41:$P$44,3))</f>
        <v/>
      </c>
      <c r="K61" s="74" t="str">
        <f>IFERROR(ABS(J61-$C61),"")</f>
        <v/>
      </c>
      <c r="L61" s="73" t="str">
        <f>IF(VLOOKUP($B61,$R$41:$T$44,3) = 0, "", VLOOKUP($B61,$R$41:$T$44,3))</f>
        <v/>
      </c>
      <c r="M61" s="74" t="str">
        <f>IFERROR(ABS(L61-$C61),"")</f>
        <v/>
      </c>
      <c r="N61" s="73" t="str">
        <f>IF(VLOOKUP($B61,$B$51:$D$54,3) = 0, "", VLOOKUP($B61,$B$51:$D$54,3))</f>
        <v/>
      </c>
      <c r="O61" s="74" t="str">
        <f>IFERROR(ABS(N61-$C61),"")</f>
        <v/>
      </c>
      <c r="P61" s="73" t="str">
        <f>IF(VLOOKUP($B61,$F$51:$H$54,3) = 0, "", VLOOKUP($B61,$F$51:$H$54,3))</f>
        <v/>
      </c>
      <c r="Q61" s="74" t="str">
        <f>IFERROR(ABS(P61-$C61),"")</f>
        <v/>
      </c>
      <c r="R61" s="73" t="str">
        <f>IF(VLOOKUP($B61,$J$51:$L$54,3) = 0, "", VLOOKUP($B61,$J$51:$L$54,3))</f>
        <v/>
      </c>
      <c r="S61" s="74" t="str">
        <f>IFERROR(ABS(R61-$C61),"")</f>
        <v/>
      </c>
      <c r="T61" s="73" t="str">
        <f>IF(VLOOKUP($B61,$N$51:$P$54,3) = 0, "", VLOOKUP($B61,$N$51:$P$54,3))</f>
        <v/>
      </c>
      <c r="U61" s="74" t="str">
        <f>IFERROR(ABS(T61-$C61),"")</f>
        <v/>
      </c>
      <c r="V61" s="73" t="str">
        <f>IF(VLOOKUP($B61,$R$51:$T$54,3) = 0, "", VLOOKUP($B61,$R$51:$T$54,3))</f>
        <v/>
      </c>
      <c r="W61" s="74" t="str">
        <f>IFERROR(ABS(V61-$C61),"")</f>
        <v/>
      </c>
    </row>
    <row r="62" spans="2:23" x14ac:dyDescent="0.25">
      <c r="B62" s="78">
        <f>$D$5</f>
        <v>2017</v>
      </c>
      <c r="C62" s="82">
        <f t="shared" ref="C62:C64" si="7">_xlfn.XLOOKUP(B62,$C$5:$F$5,$C$6:$F$6)</f>
        <v>12445</v>
      </c>
      <c r="D62" s="73">
        <f>IF(VLOOKUP($B62,$B$41:$D$44,3) = 0, "", VLOOKUP($B62,$B$41:$D$44,3))</f>
        <v>10478</v>
      </c>
      <c r="E62" s="74">
        <f>IFERROR(ABS(D62-$C62),"")</f>
        <v>1967</v>
      </c>
      <c r="F62" s="73">
        <f>IF(VLOOKUP($B62,$F$41:$H$44,3) = 0, "", VLOOKUP($B62,$F$41:$H$44,3))</f>
        <v>10478</v>
      </c>
      <c r="G62" s="74">
        <f>IFERROR(ABS(F62-$C62),"")</f>
        <v>1967</v>
      </c>
      <c r="H62" s="73">
        <f>IF(VLOOKUP($B62,$J$41:$L$44,3) = 0, "", VLOOKUP($B62,$J$41:$L$44,3))</f>
        <v>10478</v>
      </c>
      <c r="I62" s="74">
        <f>IFERROR(ABS(H62-$C62),"")</f>
        <v>1967</v>
      </c>
      <c r="J62" s="73">
        <f>IF(VLOOKUP($B62,$N$41:$P$44,3) = 0, "", VLOOKUP($B62,$N$41:$P$44,3))</f>
        <v>10478</v>
      </c>
      <c r="K62" s="74">
        <f>IFERROR(ABS(J62-$C62),"")</f>
        <v>1967</v>
      </c>
      <c r="L62" s="73">
        <f>IF(VLOOKUP($B62,$R$41:$T$44,3) = 0, "", VLOOKUP($B62,$R$41:$T$44,3))</f>
        <v>10478</v>
      </c>
      <c r="M62" s="74">
        <f>IFERROR(ABS(L62-$C62),"")</f>
        <v>1967</v>
      </c>
      <c r="N62" s="73">
        <f>IF(VLOOKUP($B62,$B$51:$D$54,3) = 0, "", VLOOKUP($B62,$B$51:$D$54,3))</f>
        <v>10478</v>
      </c>
      <c r="O62" s="74">
        <f>IFERROR(ABS(N62-$C62),"")</f>
        <v>1967</v>
      </c>
      <c r="P62" s="73">
        <f>IF(VLOOKUP($B62,$F$51:$H$54,3) = 0, "", VLOOKUP($B62,$F$51:$H$54,3))</f>
        <v>10478</v>
      </c>
      <c r="Q62" s="74">
        <f>IFERROR(ABS(P62-$C62),"")</f>
        <v>1967</v>
      </c>
      <c r="R62" s="73">
        <f>IF(VLOOKUP($B62,$J$51:$L$54,3) = 0, "", VLOOKUP($B62,$J$51:$L$54,3))</f>
        <v>10478</v>
      </c>
      <c r="S62" s="74">
        <f>IFERROR(ABS(R62-$C62),"")</f>
        <v>1967</v>
      </c>
      <c r="T62" s="73">
        <f>IF(VLOOKUP($B62,$N$51:$P$54,3) = 0, "", VLOOKUP($B62,$N$51:$P$54,3))</f>
        <v>10478</v>
      </c>
      <c r="U62" s="74">
        <f>IFERROR(ABS(T62-$C62),"")</f>
        <v>1967</v>
      </c>
      <c r="V62" s="73">
        <f>IF(VLOOKUP($B62,$R$51:$T$54,3) = 0, "", VLOOKUP($B62,$R$51:$T$54,3))</f>
        <v>10478</v>
      </c>
      <c r="W62" s="74">
        <f>IFERROR(ABS(V62-$C62),"")</f>
        <v>1967</v>
      </c>
    </row>
    <row r="63" spans="2:23" x14ac:dyDescent="0.25">
      <c r="B63" s="78">
        <f>$E$5</f>
        <v>2018</v>
      </c>
      <c r="C63" s="82">
        <f t="shared" si="7"/>
        <v>13874</v>
      </c>
      <c r="D63" s="73">
        <f>IF(VLOOKUP($B63,$B$41:$D$44,3) = 0, "", VLOOKUP($B63,$B$41:$D$44,3))</f>
        <v>10674.7</v>
      </c>
      <c r="E63" s="74">
        <f>IFERROR(ABS(D63-$C63),"")</f>
        <v>3199.2999999999993</v>
      </c>
      <c r="F63" s="73">
        <f>IF(VLOOKUP($B63,$F$41:$H$44,3) = 0, "", VLOOKUP($B63,$F$41:$H$44,3))</f>
        <v>10871.4</v>
      </c>
      <c r="G63" s="74">
        <f>IFERROR(ABS(F63-$C63),"")</f>
        <v>3002.6000000000004</v>
      </c>
      <c r="H63" s="73">
        <f>IF(VLOOKUP($B63,$J$41:$L$44,3) = 0, "", VLOOKUP($B63,$J$41:$L$44,3))</f>
        <v>11068.1</v>
      </c>
      <c r="I63" s="74">
        <f>IFERROR(ABS(H63-$C63),"")</f>
        <v>2805.8999999999996</v>
      </c>
      <c r="J63" s="73">
        <f>IF(VLOOKUP($B63,$N$41:$P$44,3) = 0, "", VLOOKUP($B63,$N$41:$P$44,3))</f>
        <v>11264.8</v>
      </c>
      <c r="K63" s="74">
        <f>IFERROR(ABS(J63-$C63),"")</f>
        <v>2609.2000000000007</v>
      </c>
      <c r="L63" s="73">
        <f>IF(VLOOKUP($B63,$R$41:$T$44,3) = 0, "", VLOOKUP($B63,$R$41:$T$44,3))</f>
        <v>11461.5</v>
      </c>
      <c r="M63" s="74">
        <f>IFERROR(ABS(L63-$C63),"")</f>
        <v>2412.5</v>
      </c>
      <c r="N63" s="73">
        <f>IF(VLOOKUP($B63,$B$51:$D$54,3) = 0, "", VLOOKUP($B63,$B$51:$D$54,3))</f>
        <v>11658.2</v>
      </c>
      <c r="O63" s="74">
        <f>IFERROR(ABS(N63-$C63),"")</f>
        <v>2215.7999999999993</v>
      </c>
      <c r="P63" s="73">
        <f>IF(VLOOKUP($B63,$F$51:$H$54,3) = 0, "", VLOOKUP($B63,$F$51:$H$54,3))</f>
        <v>11854.900000000001</v>
      </c>
      <c r="Q63" s="74">
        <f>IFERROR(ABS(P63-$C63),"")</f>
        <v>2019.0999999999985</v>
      </c>
      <c r="R63" s="73">
        <f>IF(VLOOKUP($B63,$J$51:$L$54,3) = 0, "", VLOOKUP($B63,$J$51:$L$54,3))</f>
        <v>12051.6</v>
      </c>
      <c r="S63" s="74">
        <f>IFERROR(ABS(R63-$C63),"")</f>
        <v>1822.3999999999996</v>
      </c>
      <c r="T63" s="73">
        <f>IF(VLOOKUP($B63,$N$51:$P$54,3) = 0, "", VLOOKUP($B63,$N$51:$P$54,3))</f>
        <v>12248.3</v>
      </c>
      <c r="U63" s="74">
        <f>IFERROR(ABS(T63-$C63),"")</f>
        <v>1625.7000000000007</v>
      </c>
      <c r="V63" s="73">
        <f>IF(VLOOKUP($B63,$R$51:$T$54,3) = 0, "", VLOOKUP($B63,$R$51:$T$54,3))</f>
        <v>12445</v>
      </c>
      <c r="W63" s="74">
        <f>IFERROR(ABS(V63-$C63),"")</f>
        <v>1429</v>
      </c>
    </row>
    <row r="64" spans="2:23" ht="14.4" thickBot="1" x14ac:dyDescent="0.3">
      <c r="B64" s="84">
        <f>$F$5</f>
        <v>2019</v>
      </c>
      <c r="C64" s="85">
        <f t="shared" si="7"/>
        <v>15864</v>
      </c>
      <c r="D64" s="86">
        <f>IF(VLOOKUP($B64,$B$41:$D$44,3) = 0, "", VLOOKUP($B64,$B$41:$D$44,3))</f>
        <v>10994.630000000001</v>
      </c>
      <c r="E64" s="87">
        <f>IFERROR(ABS(D64-$C64),"")</f>
        <v>4869.369999999999</v>
      </c>
      <c r="F64" s="86">
        <f>IF(VLOOKUP($B64,$F$41:$H$44,3) = 0, "", VLOOKUP($B64,$F$41:$H$44,3))</f>
        <v>11471.920000000002</v>
      </c>
      <c r="G64" s="87">
        <f>IFERROR(ABS(F64-$C64),"")</f>
        <v>4392.0799999999981</v>
      </c>
      <c r="H64" s="86">
        <f>IF(VLOOKUP($B64,$J$41:$L$44,3) = 0, "", VLOOKUP($B64,$J$41:$L$44,3))</f>
        <v>11909.87</v>
      </c>
      <c r="I64" s="87">
        <f>IFERROR(ABS(H64-$C64),"")</f>
        <v>3954.1299999999992</v>
      </c>
      <c r="J64" s="86">
        <f>IF(VLOOKUP($B64,$N$41:$P$44,3) = 0, "", VLOOKUP($B64,$N$41:$P$44,3))</f>
        <v>12308.48</v>
      </c>
      <c r="K64" s="87">
        <f>IFERROR(ABS(J64-$C64),"")</f>
        <v>3555.5200000000004</v>
      </c>
      <c r="L64" s="86">
        <f>IF(VLOOKUP($B64,$R$41:$T$44,3) = 0, "", VLOOKUP($B64,$R$41:$T$44,3))</f>
        <v>12667.75</v>
      </c>
      <c r="M64" s="87">
        <f>IFERROR(ABS(L64-$C64),"")</f>
        <v>3196.25</v>
      </c>
      <c r="N64" s="86">
        <f>IF(VLOOKUP($B64,$B$51:$D$54,3) = 0, "", VLOOKUP($B64,$B$51:$D$54,3))</f>
        <v>12987.68</v>
      </c>
      <c r="O64" s="87">
        <f>IFERROR(ABS(N64-$C64),"")</f>
        <v>2876.3199999999997</v>
      </c>
      <c r="P64" s="86">
        <f>IF(VLOOKUP($B64,$F$51:$H$54,3) = 0, "", VLOOKUP($B64,$F$51:$H$54,3))</f>
        <v>13268.27</v>
      </c>
      <c r="Q64" s="87">
        <f>IFERROR(ABS(P64-$C64),"")</f>
        <v>2595.7299999999996</v>
      </c>
      <c r="R64" s="86">
        <f>IF(VLOOKUP($B64,$J$51:$L$54,3) = 0, "", VLOOKUP($B64,$J$51:$L$54,3))</f>
        <v>13509.52</v>
      </c>
      <c r="S64" s="87">
        <f>IFERROR(ABS(R64-$C64),"")</f>
        <v>2354.4799999999996</v>
      </c>
      <c r="T64" s="86">
        <f>IF(VLOOKUP($B64,$N$51:$P$54,3) = 0, "", VLOOKUP($B64,$N$51:$P$54,3))</f>
        <v>13711.43</v>
      </c>
      <c r="U64" s="87">
        <f>IFERROR(ABS(T64-$C64),"")</f>
        <v>2152.5699999999997</v>
      </c>
      <c r="V64" s="86">
        <f>IF(VLOOKUP($B64,$R$51:$T$54,3) = 0, "", VLOOKUP($B64,$R$51:$T$54,3))</f>
        <v>13874</v>
      </c>
      <c r="W64" s="87">
        <f>IFERROR(ABS(V64-$C64),"")</f>
        <v>1990</v>
      </c>
    </row>
    <row r="65" spans="2:23" ht="14.4" thickTop="1" x14ac:dyDescent="0.25">
      <c r="B65" s="273" t="s">
        <v>86</v>
      </c>
      <c r="C65" s="294"/>
      <c r="D65" s="269">
        <f>SUM(E61:E64)/COUNT(E61:E64)</f>
        <v>3345.2233333333329</v>
      </c>
      <c r="E65" s="270"/>
      <c r="F65" s="279">
        <f t="shared" ref="F65" si="8">SUM(G61:G64)/COUNT(G61:G64)</f>
        <v>3120.5599999999995</v>
      </c>
      <c r="G65" s="280"/>
      <c r="H65" s="279">
        <f t="shared" ref="H65" si="9">SUM(I61:I64)/COUNT(I61:I64)</f>
        <v>2909.0099999999998</v>
      </c>
      <c r="I65" s="280"/>
      <c r="J65" s="279">
        <f t="shared" ref="J65" si="10">SUM(K61:K64)/COUNT(K61:K64)</f>
        <v>2710.5733333333337</v>
      </c>
      <c r="K65" s="280"/>
      <c r="L65" s="279">
        <f t="shared" ref="L65" si="11">SUM(M61:M64)/COUNT(M61:M64)</f>
        <v>2525.25</v>
      </c>
      <c r="M65" s="280"/>
      <c r="N65" s="279">
        <f t="shared" ref="N65" si="12">SUM(O61:O64)/COUNT(O61:O64)</f>
        <v>2353.0399999999995</v>
      </c>
      <c r="O65" s="280"/>
      <c r="P65" s="279">
        <f t="shared" ref="P65" si="13">SUM(Q61:Q64)/COUNT(Q61:Q64)</f>
        <v>2193.9433333333327</v>
      </c>
      <c r="Q65" s="280"/>
      <c r="R65" s="279">
        <f t="shared" ref="R65" si="14">SUM(S61:S64)/COUNT(S61:S64)</f>
        <v>2047.9599999999998</v>
      </c>
      <c r="S65" s="280"/>
      <c r="T65" s="279">
        <f t="shared" ref="T65" si="15">SUM(U61:U64)/COUNT(U61:U64)</f>
        <v>1915.0900000000001</v>
      </c>
      <c r="U65" s="280"/>
      <c r="V65" s="279">
        <f t="shared" ref="V65" si="16">SUM(W61:W64)/COUNT(W61:W64)</f>
        <v>1795.3333333333333</v>
      </c>
      <c r="W65" s="280"/>
    </row>
    <row r="66" spans="2:23" x14ac:dyDescent="0.25">
      <c r="B66" s="256" t="s">
        <v>147</v>
      </c>
      <c r="C66" s="268"/>
      <c r="D66" s="271"/>
      <c r="E66" s="272"/>
      <c r="F66" s="252"/>
      <c r="G66" s="253"/>
      <c r="H66" s="252"/>
      <c r="I66" s="253"/>
      <c r="J66" s="252"/>
      <c r="K66" s="253"/>
      <c r="L66" s="252"/>
      <c r="M66" s="253"/>
      <c r="N66" s="252"/>
      <c r="O66" s="253"/>
      <c r="P66" s="252"/>
      <c r="Q66" s="253"/>
      <c r="R66" s="252"/>
      <c r="S66" s="253"/>
      <c r="T66" s="252"/>
      <c r="U66" s="253"/>
      <c r="V66" s="252"/>
      <c r="W66" s="253"/>
    </row>
    <row r="67" spans="2:23" x14ac:dyDescent="0.25">
      <c r="B67" s="342" t="s">
        <v>87</v>
      </c>
      <c r="C67" s="343"/>
      <c r="D67" s="299">
        <f>SUMSQ(E61:E64)/COUNT(E61:E64)</f>
        <v>12605124.562299997</v>
      </c>
      <c r="E67" s="300"/>
      <c r="F67" s="252">
        <f t="shared" ref="F67" si="17">SUMSQ(G61:G64)/COUNT(G61:G64)</f>
        <v>10725020.828799995</v>
      </c>
      <c r="G67" s="253"/>
      <c r="H67" s="252">
        <f t="shared" ref="H67" si="18">SUMSQ(I61:I64)/COUNT(I61:I64)</f>
        <v>9125769.2889666632</v>
      </c>
      <c r="I67" s="253"/>
      <c r="J67" s="252">
        <f t="shared" ref="J67" si="19">SUMSQ(K61:K64)/COUNT(K61:K64)</f>
        <v>7772912.0368000017</v>
      </c>
      <c r="K67" s="253"/>
      <c r="L67" s="252">
        <f t="shared" ref="L67" si="20">SUMSQ(M61:M64)/COUNT(M61:M64)</f>
        <v>6635086.4375</v>
      </c>
      <c r="M67" s="253"/>
      <c r="N67" s="252">
        <f t="shared" ref="N67" si="21">SUMSQ(O61:O64)/COUNT(O61:O64)</f>
        <v>5684025.1274666646</v>
      </c>
      <c r="O67" s="253"/>
      <c r="P67" s="252">
        <f t="shared" ref="P67" si="22">SUMSQ(Q61:Q64)/COUNT(Q61:Q64)</f>
        <v>4894556.0142999971</v>
      </c>
      <c r="Q67" s="253"/>
      <c r="R67" s="252">
        <f t="shared" ref="R67" si="23">SUMSQ(S61:S64)/COUNT(S61:S64)</f>
        <v>4244602.2767999992</v>
      </c>
      <c r="S67" s="253"/>
      <c r="T67" s="252">
        <f t="shared" ref="T67" si="24">SUMSQ(U61:U64)/COUNT(U61:U64)</f>
        <v>3715182.3649666668</v>
      </c>
      <c r="U67" s="253"/>
      <c r="V67" s="303">
        <f t="shared" ref="V67" si="25">SUMSQ(W61:W64)/COUNT(W61:W64)</f>
        <v>3290410</v>
      </c>
      <c r="W67" s="253"/>
    </row>
    <row r="68" spans="2:23" ht="14.4" thickBot="1" x14ac:dyDescent="0.3">
      <c r="B68" s="344" t="s">
        <v>148</v>
      </c>
      <c r="C68" s="345"/>
      <c r="D68" s="301"/>
      <c r="E68" s="302"/>
      <c r="F68" s="254"/>
      <c r="G68" s="255"/>
      <c r="H68" s="254"/>
      <c r="I68" s="255"/>
      <c r="J68" s="254"/>
      <c r="K68" s="255"/>
      <c r="L68" s="254"/>
      <c r="M68" s="255"/>
      <c r="N68" s="254"/>
      <c r="O68" s="255"/>
      <c r="P68" s="254"/>
      <c r="Q68" s="255"/>
      <c r="R68" s="254"/>
      <c r="S68" s="255"/>
      <c r="T68" s="254"/>
      <c r="U68" s="255"/>
      <c r="V68" s="304"/>
      <c r="W68" s="259"/>
    </row>
    <row r="69" spans="2:23" ht="14.4" thickTop="1" x14ac:dyDescent="0.25">
      <c r="D69" s="281" t="str">
        <f>IF(D65=MIN($D$65:$W$66),"ממוצע הסטיות הנמוך ביותר","")</f>
        <v/>
      </c>
      <c r="E69" s="281"/>
      <c r="F69" s="281" t="str">
        <f t="shared" ref="F69" si="26">IF(F65=MIN($D$65:$W$66),"ממוצע הסטיות הנמוך ביותר","")</f>
        <v/>
      </c>
      <c r="G69" s="281"/>
      <c r="H69" s="281" t="str">
        <f t="shared" ref="H69" si="27">IF(H65=MIN($D$65:$W$66),"ממוצע הסטיות הנמוך ביותר","")</f>
        <v/>
      </c>
      <c r="I69" s="281"/>
      <c r="J69" s="281" t="str">
        <f t="shared" ref="J69" si="28">IF(J65=MIN($D$65:$W$66),"ממוצע הסטיות הנמוך ביותר","")</f>
        <v/>
      </c>
      <c r="K69" s="281"/>
      <c r="L69" s="281" t="str">
        <f t="shared" ref="L69" si="29">IF(L65=MIN($D$65:$W$66),"ממוצע הסטיות הנמוך ביותר","")</f>
        <v/>
      </c>
      <c r="M69" s="281"/>
      <c r="N69" s="281" t="str">
        <f t="shared" ref="N69" si="30">IF(N65=MIN($D$65:$W$66),"ממוצע הסטיות הנמוך ביותר","")</f>
        <v/>
      </c>
      <c r="O69" s="281"/>
      <c r="P69" s="281" t="str">
        <f t="shared" ref="P69" si="31">IF(P65=MIN($D$65:$W$66),"ממוצע הסטיות הנמוך ביותר","")</f>
        <v/>
      </c>
      <c r="Q69" s="281"/>
      <c r="R69" s="281" t="str">
        <f t="shared" ref="R69" si="32">IF(R65=MIN($D$65:$W$66),"ממוצע הסטיות הנמוך ביותר","")</f>
        <v/>
      </c>
      <c r="S69" s="281"/>
      <c r="T69" s="281" t="str">
        <f t="shared" ref="T69" si="33">IF(T65=MIN($D$65:$W$66),"ממוצע הסטיות הנמוך ביותר","")</f>
        <v/>
      </c>
      <c r="U69" s="281"/>
      <c r="V69" s="298" t="str">
        <f t="shared" ref="V69" si="34">IF(V65=MIN($D$65:$W$66),"ממוצע הסטיות הנמוך ביותר","")</f>
        <v>ממוצע הסטיות הנמוך ביותר</v>
      </c>
      <c r="W69" s="298"/>
    </row>
    <row r="70" spans="2:23" ht="14.4" customHeight="1" thickBot="1" x14ac:dyDescent="0.3"/>
    <row r="71" spans="2:23" ht="14.4" customHeight="1" thickTop="1" thickBot="1" x14ac:dyDescent="0.3">
      <c r="B71" s="290" t="s">
        <v>206</v>
      </c>
      <c r="C71" s="295"/>
      <c r="D71" s="288" t="str">
        <f>B9</f>
        <v>ממוצע פשוט</v>
      </c>
      <c r="E71" s="289"/>
      <c r="F71" s="288" t="str">
        <f>F9</f>
        <v>ממוצע משוקלל דו-שנתי</v>
      </c>
      <c r="G71" s="289"/>
      <c r="H71" s="288" t="str">
        <f>L9</f>
        <v>ממוצע משוקלל דו-שנתי</v>
      </c>
      <c r="I71" s="289"/>
      <c r="J71" s="334" t="str">
        <f>B20</f>
        <v>רגרסיה לניארית</v>
      </c>
      <c r="K71" s="289"/>
      <c r="L71" s="334" t="str">
        <f>B58</f>
        <v>החלקה מעריכית</v>
      </c>
      <c r="M71" s="289"/>
    </row>
    <row r="72" spans="2:23" ht="14.4" thickBot="1" x14ac:dyDescent="0.3">
      <c r="B72" s="296"/>
      <c r="C72" s="297"/>
      <c r="D72" s="286"/>
      <c r="E72" s="287"/>
      <c r="F72" s="286" t="s">
        <v>109</v>
      </c>
      <c r="G72" s="287"/>
      <c r="H72" s="286" t="s">
        <v>110</v>
      </c>
      <c r="I72" s="287"/>
      <c r="J72" s="333"/>
      <c r="K72" s="287"/>
      <c r="L72" s="333" t="str">
        <f>_xlfn.XLOOKUP(MIN(D65:W65),D65:W65,D58:W58)</f>
        <v>α = 1</v>
      </c>
      <c r="M72" s="287"/>
      <c r="O72" s="241" t="str">
        <f>IF(_xlfn.XLOOKUP(B20,D71:M71,D78:M78) = MIN(D78:M78),IF(D25 &gt;'גיליון עזר'!B3,_xlfn.CONCAT("לסיכום, השיטה המומלצת ביותר לחיזוי הינה שיטת ה",_xlfn.XLOOKUP(MIN(D78:M79),D78:M78,D71:M71)),"לסיכום, אמנם שיטת הרגרסיה הלינארית הינה השיטה בעלת הסטיות הנמוכות ביותר, אך מקדם המתאם שלה נמוך מדי. לכן, נשתמש בשיטות חיזוי סובייקטיביות"),_xlfn.CONCAT("לסיכום, השיטה המומלצת ביותר לחיזוי הינה שיטת ה",_xlfn.XLOOKUP(MIN(D78:M78),D78:M78,D71:M71)))</f>
        <v>לסיכום, השיטה המומלצת ביותר לחיזוי הינה שיטת הרגרסיה לניארית</v>
      </c>
      <c r="P72" s="242"/>
      <c r="Q72" s="242"/>
      <c r="R72" s="243"/>
    </row>
    <row r="73" spans="2:23" ht="14.4" customHeight="1" thickTop="1" x14ac:dyDescent="0.25">
      <c r="B73" s="55" t="s">
        <v>20</v>
      </c>
      <c r="C73" s="56" t="s">
        <v>91</v>
      </c>
      <c r="D73" s="53" t="s">
        <v>92</v>
      </c>
      <c r="E73" s="54" t="s">
        <v>108</v>
      </c>
      <c r="F73" s="53" t="s">
        <v>92</v>
      </c>
      <c r="G73" s="54" t="s">
        <v>108</v>
      </c>
      <c r="H73" s="53" t="s">
        <v>92</v>
      </c>
      <c r="I73" s="54" t="s">
        <v>108</v>
      </c>
      <c r="J73" s="53" t="s">
        <v>92</v>
      </c>
      <c r="K73" s="54" t="s">
        <v>108</v>
      </c>
      <c r="L73" s="53" t="s">
        <v>92</v>
      </c>
      <c r="M73" s="59" t="s">
        <v>108</v>
      </c>
      <c r="O73" s="244"/>
      <c r="P73" s="245"/>
      <c r="Q73" s="245"/>
      <c r="R73" s="246"/>
    </row>
    <row r="74" spans="2:23" x14ac:dyDescent="0.25">
      <c r="B74" s="57">
        <f>$C$5</f>
        <v>2016</v>
      </c>
      <c r="C74" s="82">
        <f>_xlfn.XLOOKUP(B74,$C$5:$F$5,$C$6:$F$6)</f>
        <v>10478</v>
      </c>
      <c r="D74" s="73" t="str">
        <f>IF(_xlfn.XLOOKUP($B74,$B$13:$B$16,$D$13:$D$16) = 0,"",_xlfn.XLOOKUP($B74,$B$13:$B$16,$D$13:$D$16))</f>
        <v/>
      </c>
      <c r="E74" s="74" t="str">
        <f>IFERROR(ABS(D74-$C74),"")</f>
        <v/>
      </c>
      <c r="F74" s="73" t="str">
        <f>IF(_xlfn.XLOOKUP($B74,$F$13:$F$16,$J$13:$J$16) = 0,"",_xlfn.XLOOKUP($B74,$F$13:$F$16,$J$13:$J$16))</f>
        <v/>
      </c>
      <c r="G74" s="74" t="str">
        <f>IFERROR(ABS(F74-$C74),"")</f>
        <v/>
      </c>
      <c r="H74" s="73" t="str">
        <f>IF(_xlfn.XLOOKUP($B74,$L$13:$L$16,$P$13:$P$16) = 0,"",_xlfn.XLOOKUP($B74,$L$13:$L$16,$P$13:$P$16))</f>
        <v/>
      </c>
      <c r="I74" s="74" t="str">
        <f>IFERROR(ABS(H74-$C74),"")</f>
        <v/>
      </c>
      <c r="J74" s="73">
        <f>IF(_xlfn.XLOOKUP($B74,$B$28:$B$31,$D$28:$D$31) = 0,"",_xlfn.XLOOKUP($B74,$B$28:$B$31,$D$28:$D$31))</f>
        <v>10527.2</v>
      </c>
      <c r="K74" s="74">
        <f>IFERROR(ABS(J74-$C74),"")</f>
        <v>49.200000000000728</v>
      </c>
      <c r="L74" s="73" t="str">
        <f>_xlfn.XLOOKUP($L$78,$D$65:$W$65,$D61:$W61)</f>
        <v/>
      </c>
      <c r="M74" s="74" t="str">
        <f>IFERROR(ABS(L74-$C74),"")</f>
        <v/>
      </c>
      <c r="O74" s="244"/>
      <c r="P74" s="245"/>
      <c r="Q74" s="245"/>
      <c r="R74" s="246"/>
    </row>
    <row r="75" spans="2:23" ht="13.8" customHeight="1" x14ac:dyDescent="0.25">
      <c r="B75" s="57">
        <f>$D$5</f>
        <v>2017</v>
      </c>
      <c r="C75" s="82">
        <f t="shared" ref="C75:C77" si="35">_xlfn.XLOOKUP(B75,$C$5:$F$5,$C$6:$F$6)</f>
        <v>12445</v>
      </c>
      <c r="D75" s="73">
        <f>IF(_xlfn.XLOOKUP($B75,$B$13:$B$16,$D$13:$D$16) = 0,"",_xlfn.XLOOKUP($B75,$B$13:$B$16,$D$13:$D$16))</f>
        <v>10478</v>
      </c>
      <c r="E75" s="74">
        <f>IFERROR(ABS(D75-$C75),"")</f>
        <v>1967</v>
      </c>
      <c r="F75" s="73" t="str">
        <f>IF(_xlfn.XLOOKUP($B75,$F$13:$F$16,$J$13:$J$16) = 0,"",_xlfn.XLOOKUP($B75,$F$13:$F$16,$J$13:$J$16))</f>
        <v/>
      </c>
      <c r="G75" s="74" t="str">
        <f>IFERROR(ABS(F75-$C75),"")</f>
        <v/>
      </c>
      <c r="H75" s="73" t="str">
        <f>IF(_xlfn.XLOOKUP($B75,$L$13:$L$16,$P$13:$P$16) = 0,"",_xlfn.XLOOKUP($B75,$L$13:$L$16,$P$13:$P$16))</f>
        <v/>
      </c>
      <c r="I75" s="74" t="str">
        <f>IFERROR(ABS(H75-$C75),"")</f>
        <v/>
      </c>
      <c r="J75" s="73">
        <f>IF(_xlfn.XLOOKUP($B75,$B$28:$B$31,$D$28:$D$31) = 0,"",_xlfn.XLOOKUP($B75,$B$28:$B$31,$D$28:$D$31))</f>
        <v>12285.9</v>
      </c>
      <c r="K75" s="74">
        <f>IFERROR(ABS(J75-$C75),"")</f>
        <v>159.10000000000036</v>
      </c>
      <c r="L75" s="73">
        <f t="shared" ref="L75:L77" si="36">_xlfn.XLOOKUP($L$78,$D$65:$W$65,$D62:$W62)</f>
        <v>10478</v>
      </c>
      <c r="M75" s="74">
        <f>IFERROR(ABS(L75-$C75),"")</f>
        <v>1967</v>
      </c>
      <c r="O75" s="244"/>
      <c r="P75" s="245"/>
      <c r="Q75" s="245"/>
      <c r="R75" s="246"/>
    </row>
    <row r="76" spans="2:23" x14ac:dyDescent="0.25">
      <c r="B76" s="57">
        <f>$E$5</f>
        <v>2018</v>
      </c>
      <c r="C76" s="82">
        <f t="shared" si="35"/>
        <v>13874</v>
      </c>
      <c r="D76" s="73">
        <f>IF(_xlfn.XLOOKUP($B76,$B$13:$B$16,$D$13:$D$16) = 0,"",_xlfn.XLOOKUP($B76,$B$13:$B$16,$D$13:$D$16))</f>
        <v>11461.5</v>
      </c>
      <c r="E76" s="74">
        <f>IFERROR(ABS(D76-$C76),"")</f>
        <v>2412.5</v>
      </c>
      <c r="F76" s="73">
        <f>IF(_xlfn.XLOOKUP($B76,$F$13:$F$16,$J$13:$J$16) = 0,"",_xlfn.XLOOKUP($B76,$F$13:$F$16,$J$13:$J$16))</f>
        <v>11527.066666666666</v>
      </c>
      <c r="G76" s="74">
        <f>IFERROR(ABS(F76-$C76),"")</f>
        <v>2346.9333333333343</v>
      </c>
      <c r="H76" s="73">
        <f>IF(_xlfn.XLOOKUP($B76,$L$13:$L$16,$P$13:$P$16) = 0,"",_xlfn.XLOOKUP($B76,$L$13:$L$16,$P$13:$P$16))</f>
        <v>11658.199999999999</v>
      </c>
      <c r="I76" s="74">
        <f>IFERROR(ABS(H76-$C76),"")</f>
        <v>2215.8000000000011</v>
      </c>
      <c r="J76" s="73">
        <f>IF(_xlfn.XLOOKUP($B76,$B$28:$B$31,$D$28:$D$31) = 0,"",_xlfn.XLOOKUP($B76,$B$28:$B$31,$D$28:$D$31))</f>
        <v>14044.599999999999</v>
      </c>
      <c r="K76" s="74">
        <f>IFERROR(ABS(J76-$C76),"")</f>
        <v>170.59999999999854</v>
      </c>
      <c r="L76" s="73">
        <f t="shared" si="36"/>
        <v>12445</v>
      </c>
      <c r="M76" s="74">
        <f>IFERROR(ABS(L76-$C76),"")</f>
        <v>1429</v>
      </c>
      <c r="O76" s="244"/>
      <c r="P76" s="245"/>
      <c r="Q76" s="245"/>
      <c r="R76" s="246"/>
    </row>
    <row r="77" spans="2:23" ht="14.4" thickBot="1" x14ac:dyDescent="0.3">
      <c r="B77" s="58">
        <f>$F$5</f>
        <v>2019</v>
      </c>
      <c r="C77" s="83">
        <f t="shared" si="35"/>
        <v>15864</v>
      </c>
      <c r="D77" s="75">
        <f>IF(_xlfn.XLOOKUP($B77,$B$13:$B$16,$D$13:$D$16) = 0,"",_xlfn.XLOOKUP($B77,$B$13:$B$16,$D$13:$D$16))</f>
        <v>12265.666666666666</v>
      </c>
      <c r="E77" s="76">
        <f>IFERROR(ABS(D77-$C77),"")</f>
        <v>3598.3333333333339</v>
      </c>
      <c r="F77" s="75">
        <f>IF(_xlfn.XLOOKUP($B77,$F$13:$F$16,$J$13:$J$16) = 0,"",_xlfn.XLOOKUP($B77,$F$13:$F$16,$J$13:$J$16))</f>
        <v>13201.529411764704</v>
      </c>
      <c r="G77" s="76">
        <f>IFERROR(ABS(F77-$C77),"")</f>
        <v>2662.4705882352955</v>
      </c>
      <c r="H77" s="75">
        <f>IF(_xlfn.XLOOKUP($B77,$L$13:$L$16,$P$13:$P$16) = 0,"",_xlfn.XLOOKUP($B77,$L$13:$L$16,$P$13:$P$16))</f>
        <v>13261.571428571428</v>
      </c>
      <c r="I77" s="76">
        <f>IFERROR(ABS(H77-$C77),"")</f>
        <v>2602.4285714285725</v>
      </c>
      <c r="J77" s="75">
        <f>IF(_xlfn.XLOOKUP($B77,$B$28:$B$31,$D$28:$D$31) = 0,"",_xlfn.XLOOKUP($B77,$B$28:$B$31,$D$28:$D$31))</f>
        <v>15803.3</v>
      </c>
      <c r="K77" s="76">
        <f>IFERROR(ABS(J77-$C77),"")</f>
        <v>60.700000000000728</v>
      </c>
      <c r="L77" s="73">
        <f t="shared" si="36"/>
        <v>13874</v>
      </c>
      <c r="M77" s="76">
        <f>IFERROR(ABS(L77-$C77),"")</f>
        <v>1990</v>
      </c>
      <c r="O77" s="244"/>
      <c r="P77" s="245"/>
      <c r="Q77" s="245"/>
      <c r="R77" s="246"/>
    </row>
    <row r="78" spans="2:23" ht="14.4" thickTop="1" x14ac:dyDescent="0.25">
      <c r="B78" s="273" t="str">
        <f>B65</f>
        <v>MAD</v>
      </c>
      <c r="C78" s="274"/>
      <c r="D78" s="282">
        <f>SUM(E74:E77)/COUNT(E74:E77)</f>
        <v>2659.2777777777778</v>
      </c>
      <c r="E78" s="270"/>
      <c r="F78" s="250">
        <f>SUM(G74:G77)/COUNT(G74:G77)</f>
        <v>2504.7019607843149</v>
      </c>
      <c r="G78" s="251"/>
      <c r="H78" s="250">
        <f>SUM(I74:I77)/COUNT(I74:I77)</f>
        <v>2409.1142857142868</v>
      </c>
      <c r="I78" s="251"/>
      <c r="J78" s="250">
        <f>SUM(K74:K77)/COUNT(K74:K77)</f>
        <v>109.90000000000009</v>
      </c>
      <c r="K78" s="251"/>
      <c r="L78" s="279">
        <f>MIN(D65:W66)</f>
        <v>1795.3333333333333</v>
      </c>
      <c r="M78" s="280"/>
      <c r="O78" s="244"/>
      <c r="P78" s="245"/>
      <c r="Q78" s="245"/>
      <c r="R78" s="246"/>
    </row>
    <row r="79" spans="2:23" x14ac:dyDescent="0.25">
      <c r="B79" s="256" t="str">
        <f>B66</f>
        <v>ממוצע סטיות</v>
      </c>
      <c r="C79" s="257"/>
      <c r="D79" s="283"/>
      <c r="E79" s="272"/>
      <c r="F79" s="252"/>
      <c r="G79" s="253"/>
      <c r="H79" s="252"/>
      <c r="I79" s="253"/>
      <c r="J79" s="252"/>
      <c r="K79" s="253"/>
      <c r="L79" s="252"/>
      <c r="M79" s="253"/>
      <c r="O79" s="244"/>
      <c r="P79" s="245"/>
      <c r="Q79" s="245"/>
      <c r="R79" s="246"/>
    </row>
    <row r="80" spans="2:23" ht="14.4" thickBot="1" x14ac:dyDescent="0.3">
      <c r="B80" s="342" t="str">
        <f>B67</f>
        <v>MSE</v>
      </c>
      <c r="C80" s="343"/>
      <c r="D80" s="299">
        <f>SUMSQ(E74:E77)/COUNT(E74:E77)</f>
        <v>7545749.3425925942</v>
      </c>
      <c r="E80" s="300"/>
      <c r="F80" s="252">
        <f>SUMSQ(G74:G77)/COUNT(G74:G77)</f>
        <v>6298422.8521645581</v>
      </c>
      <c r="G80" s="253"/>
      <c r="H80" s="252">
        <f>SUMSQ(I74:I77)/COUNT(I74:I77)</f>
        <v>5841202.0546938833</v>
      </c>
      <c r="I80" s="253"/>
      <c r="J80" s="252">
        <f>SUMSQ(K74:K77)/COUNT(K74:K77)</f>
        <v>15130.574999999944</v>
      </c>
      <c r="K80" s="253"/>
      <c r="L80" s="252">
        <f>MIN(D67:W68)</f>
        <v>3290410</v>
      </c>
      <c r="M80" s="253"/>
      <c r="O80" s="247"/>
      <c r="P80" s="248"/>
      <c r="Q80" s="248"/>
      <c r="R80" s="249"/>
    </row>
    <row r="81" spans="2:15" ht="14.4" thickBot="1" x14ac:dyDescent="0.3">
      <c r="B81" s="344" t="str">
        <f>B68</f>
        <v>ממוצע סטיות ריבועיות</v>
      </c>
      <c r="C81" s="345"/>
      <c r="D81" s="301"/>
      <c r="E81" s="302"/>
      <c r="F81" s="258"/>
      <c r="G81" s="259"/>
      <c r="H81" s="258"/>
      <c r="I81" s="259"/>
      <c r="J81" s="258"/>
      <c r="K81" s="259"/>
      <c r="L81" s="258"/>
      <c r="M81" s="259"/>
    </row>
    <row r="82" spans="2:15" ht="14.4" thickTop="1" x14ac:dyDescent="0.25">
      <c r="C82" s="60"/>
      <c r="D82" s="281" t="str">
        <f>IF(D78=MIN($D$78:$M$79),"ממוצע הסטיות הנמוך ביותר","")</f>
        <v/>
      </c>
      <c r="E82" s="281"/>
      <c r="F82" s="281" t="str">
        <f t="shared" ref="F82" si="37">IF(F78=MIN($D$78:$M$79),"ממוצע הסטיות הנמוך ביותר","")</f>
        <v/>
      </c>
      <c r="G82" s="281"/>
      <c r="H82" s="281" t="str">
        <f t="shared" ref="H82" si="38">IF(H78=MIN($D$78:$M$79),"ממוצע הסטיות הנמוך ביותר","")</f>
        <v/>
      </c>
      <c r="I82" s="281"/>
      <c r="J82" s="298" t="str">
        <f t="shared" ref="J82" si="39">IF(J78=MIN($D$78:$M$79),"ממוצע הסטיות הנמוך ביותר","")</f>
        <v>ממוצע הסטיות הנמוך ביותר</v>
      </c>
      <c r="K82" s="298"/>
      <c r="L82" s="281" t="str">
        <f t="shared" ref="L82" si="40">IF(L78=MIN($D$78:$M$79),"ממוצע הסטיות הנמוך ביותר","")</f>
        <v/>
      </c>
      <c r="M82" s="281"/>
    </row>
    <row r="84" spans="2:15" ht="14.4" thickBot="1" x14ac:dyDescent="0.3"/>
    <row r="85" spans="2:15" ht="13.8" customHeight="1" x14ac:dyDescent="0.25">
      <c r="B85" s="360" t="str">
        <f>_xlfn.CONCAT("תחזית עונתית על פי שיטת ה",_xlfn.XLOOKUP(MIN(D78:M78),D78:M78,D71:M71),"- התחזית בעלת הסטיות הנמוכות ביותר")</f>
        <v>תחזית עונתית על פי שיטת הרגרסיה לניארית- התחזית בעלת הסטיות הנמוכות ביותר</v>
      </c>
      <c r="C85" s="361"/>
      <c r="D85" s="361"/>
      <c r="E85" s="361"/>
      <c r="F85" s="361"/>
      <c r="G85" s="361"/>
      <c r="H85" s="361"/>
      <c r="I85" s="361"/>
      <c r="J85" s="361"/>
      <c r="K85" s="362"/>
      <c r="M85" s="233" t="s">
        <v>232</v>
      </c>
      <c r="N85" s="234"/>
      <c r="O85" s="235"/>
    </row>
    <row r="86" spans="2:15" ht="14.4" customHeight="1" thickBot="1" x14ac:dyDescent="0.3">
      <c r="B86" s="363"/>
      <c r="C86" s="364"/>
      <c r="D86" s="364"/>
      <c r="E86" s="364"/>
      <c r="F86" s="364"/>
      <c r="G86" s="364"/>
      <c r="H86" s="364"/>
      <c r="I86" s="364"/>
      <c r="J86" s="364"/>
      <c r="K86" s="365"/>
      <c r="M86" s="236"/>
      <c r="N86" s="237"/>
      <c r="O86" s="238"/>
    </row>
    <row r="87" spans="2:15" ht="14.4" customHeight="1" x14ac:dyDescent="0.25">
      <c r="B87" s="136" t="s">
        <v>231</v>
      </c>
      <c r="C87" s="137">
        <v>2016</v>
      </c>
      <c r="D87" s="137">
        <v>2017</v>
      </c>
      <c r="E87" s="137">
        <v>2018</v>
      </c>
      <c r="F87" s="137">
        <v>2019</v>
      </c>
      <c r="G87" s="137" t="s">
        <v>210</v>
      </c>
      <c r="H87" s="137" t="s">
        <v>211</v>
      </c>
      <c r="I87" s="137" t="s">
        <v>212</v>
      </c>
      <c r="J87" s="137" t="s">
        <v>213</v>
      </c>
      <c r="K87" s="138" t="s">
        <v>214</v>
      </c>
      <c r="M87" s="136" t="s">
        <v>217</v>
      </c>
      <c r="N87" s="137" t="s">
        <v>92</v>
      </c>
      <c r="O87" s="138" t="s">
        <v>218</v>
      </c>
    </row>
    <row r="88" spans="2:15" x14ac:dyDescent="0.25">
      <c r="B88" s="133" t="s">
        <v>207</v>
      </c>
      <c r="C88" s="159">
        <v>1834</v>
      </c>
      <c r="D88" s="159">
        <v>2218</v>
      </c>
      <c r="E88" s="159">
        <v>2585</v>
      </c>
      <c r="F88" s="159">
        <v>2970</v>
      </c>
      <c r="G88" s="167">
        <f>C88/$C$92</f>
        <v>0.70013361328497803</v>
      </c>
      <c r="H88" s="167">
        <f>D88/$D$92</f>
        <v>0.71289674568099637</v>
      </c>
      <c r="I88" s="167">
        <f>E88/$E$92</f>
        <v>0.74527893902263231</v>
      </c>
      <c r="J88" s="167">
        <f>F88/$F$92</f>
        <v>0.74886535552193645</v>
      </c>
      <c r="K88" s="168">
        <f>AVERAGE(G88:J88)</f>
        <v>0.72679366337763573</v>
      </c>
      <c r="L88" s="113"/>
      <c r="M88" s="135" t="str" cm="1">
        <f t="array" ref="M88:M91">B88:B91</f>
        <v>חורף</v>
      </c>
      <c r="N88" s="128">
        <f>K88*$K$92</f>
        <v>3190.9875790595097</v>
      </c>
      <c r="O88" s="158">
        <f>N88/SUM($N$88:$N$91)</f>
        <v>0.18169841584440893</v>
      </c>
    </row>
    <row r="89" spans="2:15" x14ac:dyDescent="0.25">
      <c r="B89" s="156" t="s">
        <v>263</v>
      </c>
      <c r="C89" s="160">
        <v>2881</v>
      </c>
      <c r="D89" s="160">
        <v>3435</v>
      </c>
      <c r="E89" s="160">
        <v>3615</v>
      </c>
      <c r="F89" s="160">
        <v>4082</v>
      </c>
      <c r="G89" s="167">
        <f t="shared" ref="G89:G90" si="41">C89/$C$92</f>
        <v>1.0998282114907425</v>
      </c>
      <c r="H89" s="167">
        <f t="shared" ref="H89:H91" si="42">D89/$D$92</f>
        <v>1.1040578545600643</v>
      </c>
      <c r="I89" s="167">
        <f t="shared" ref="I89:I91" si="43">E89/$E$92</f>
        <v>1.0422372783624045</v>
      </c>
      <c r="J89" s="167">
        <f t="shared" ref="J89:J91" si="44">F89/$F$92</f>
        <v>1.0292486132123047</v>
      </c>
      <c r="K89" s="168">
        <f t="shared" ref="K89:K91" si="45">AVERAGE(G89:J89)</f>
        <v>1.0688429894063791</v>
      </c>
      <c r="L89" s="113"/>
      <c r="M89" s="157" t="str">
        <v>אביב</v>
      </c>
      <c r="N89" s="128">
        <f t="shared" ref="N89:N91" si="46">K89*$K$92</f>
        <v>4692.7551449887078</v>
      </c>
      <c r="O89" s="158">
        <f t="shared" ref="O89:O91" si="47">N89/SUM($N$88:$N$91)</f>
        <v>0.26721074735159478</v>
      </c>
    </row>
    <row r="90" spans="2:15" x14ac:dyDescent="0.25">
      <c r="B90" s="156" t="s">
        <v>208</v>
      </c>
      <c r="C90" s="160">
        <v>3301</v>
      </c>
      <c r="D90" s="160">
        <v>3862</v>
      </c>
      <c r="E90" s="160">
        <v>4303</v>
      </c>
      <c r="F90" s="160">
        <v>4870</v>
      </c>
      <c r="G90" s="167">
        <f t="shared" si="41"/>
        <v>1.2601641534644017</v>
      </c>
      <c r="H90" s="167">
        <f t="shared" si="42"/>
        <v>1.2413017276014464</v>
      </c>
      <c r="I90" s="167">
        <f t="shared" si="43"/>
        <v>1.2405939166786795</v>
      </c>
      <c r="J90" s="167">
        <f t="shared" si="44"/>
        <v>1.2279374684820978</v>
      </c>
      <c r="K90" s="168">
        <f t="shared" si="45"/>
        <v>1.2424993165566565</v>
      </c>
      <c r="L90" s="113"/>
      <c r="M90" s="157" t="str">
        <v>קיץ</v>
      </c>
      <c r="N90" s="128">
        <f t="shared" si="46"/>
        <v>5455.1932493419999</v>
      </c>
      <c r="O90" s="158">
        <f t="shared" si="47"/>
        <v>0.31062482913916412</v>
      </c>
    </row>
    <row r="91" spans="2:15" ht="14.4" thickBot="1" x14ac:dyDescent="0.3">
      <c r="B91" s="134" t="s">
        <v>262</v>
      </c>
      <c r="C91" s="161">
        <v>2462</v>
      </c>
      <c r="D91" s="161">
        <v>2930</v>
      </c>
      <c r="E91" s="161">
        <v>3371</v>
      </c>
      <c r="F91" s="161">
        <v>3942</v>
      </c>
      <c r="G91" s="169">
        <f>C91/$C$92</f>
        <v>0.93987402175987789</v>
      </c>
      <c r="H91" s="169">
        <f t="shared" si="42"/>
        <v>0.94174367215749299</v>
      </c>
      <c r="I91" s="170">
        <f t="shared" si="43"/>
        <v>0.97188986593628368</v>
      </c>
      <c r="J91" s="170">
        <f t="shared" si="44"/>
        <v>0.99394856278366117</v>
      </c>
      <c r="K91" s="171">
        <f t="shared" si="45"/>
        <v>0.96186403065932891</v>
      </c>
      <c r="L91" s="113"/>
      <c r="M91" s="157" t="str">
        <v>סתיו</v>
      </c>
      <c r="N91" s="162">
        <f t="shared" si="46"/>
        <v>4223.0640266097835</v>
      </c>
      <c r="O91" s="163">
        <f t="shared" si="47"/>
        <v>0.24046600766483223</v>
      </c>
    </row>
    <row r="92" spans="2:15" ht="14.4" customHeight="1" thickBot="1" x14ac:dyDescent="0.3">
      <c r="B92" s="352" t="s">
        <v>209</v>
      </c>
      <c r="C92" s="354">
        <f>AVERAGE(C88:C91)</f>
        <v>2619.5</v>
      </c>
      <c r="D92" s="354">
        <f t="shared" ref="D92:F92" si="48">AVERAGE(D88:D91)</f>
        <v>3111.25</v>
      </c>
      <c r="E92" s="354">
        <f t="shared" si="48"/>
        <v>3468.5</v>
      </c>
      <c r="F92" s="356">
        <f t="shared" si="48"/>
        <v>3966</v>
      </c>
      <c r="I92" s="225" t="str">
        <f>IF(_xlfn.XLOOKUP(B20,D71:M71,D78:M78) = MIN(D78:M78),IF(D25 &gt;'גיליון עזר'!B3,_xlfn.CONCAT("תחזית השיטה שנבחרה (",_xlfn.XLOOKUP(MIN(D78:M78),D78:M78,D71:M71),"):"),"תחזית על בסיס שיטות סובייקטיביות:"),_xlfn.CONCAT("תחזית השיטה שנבחרה (",_xlfn.XLOOKUP(MIN(D78:M78),D78:M78,D71:M71),"):"))</f>
        <v>תחזית השיטה שנבחרה (רגרסיה לניארית):</v>
      </c>
      <c r="J92" s="226"/>
      <c r="K92" s="358">
        <f>(_xlfn.XLOOKUP(_xlfn.XLOOKUP(MIN(E78:N78),E78:N78,E77:N77),'גיליון עזר'!R5:R9,'גיליון עזר'!S5:S9))/COUNTA(B88:B91)</f>
        <v>4390.5</v>
      </c>
      <c r="L92" s="113"/>
      <c r="M92" s="164" t="s">
        <v>195</v>
      </c>
      <c r="N92" s="165">
        <f>SUM(N88:N91)</f>
        <v>17562</v>
      </c>
      <c r="O92" s="166">
        <f>SUM(O88:O91)</f>
        <v>1</v>
      </c>
    </row>
    <row r="93" spans="2:15" ht="14.4" thickBot="1" x14ac:dyDescent="0.3">
      <c r="B93" s="353"/>
      <c r="C93" s="355"/>
      <c r="D93" s="355"/>
      <c r="E93" s="355"/>
      <c r="F93" s="357"/>
      <c r="I93" s="227"/>
      <c r="J93" s="228"/>
      <c r="K93" s="359"/>
      <c r="L93" s="113"/>
    </row>
  </sheetData>
  <sheetProtection algorithmName="SHA-512" hashValue="qNfF7oETN6L+96Cr3WJW/lbDRvobrON20fnBdEuQk2vR62kxrztg0JNNHLgzzhoNYo+GO3XrmvLlEcYvpe0MHQ==" saltValue="D3d4tn9lZHMguci+knoweg==" spinCount="100000" sheet="1" objects="1" scenarios="1" selectLockedCells="1" selectUnlockedCells="1"/>
  <mergeCells count="176">
    <mergeCell ref="D80:E81"/>
    <mergeCell ref="F78:G79"/>
    <mergeCell ref="F80:G81"/>
    <mergeCell ref="H80:I81"/>
    <mergeCell ref="J80:K81"/>
    <mergeCell ref="H69:I69"/>
    <mergeCell ref="J69:K69"/>
    <mergeCell ref="B92:B93"/>
    <mergeCell ref="C92:C93"/>
    <mergeCell ref="D92:D93"/>
    <mergeCell ref="E92:E93"/>
    <mergeCell ref="F92:F93"/>
    <mergeCell ref="K92:K93"/>
    <mergeCell ref="B80:C80"/>
    <mergeCell ref="B81:C81"/>
    <mergeCell ref="D69:E69"/>
    <mergeCell ref="D82:E82"/>
    <mergeCell ref="F82:G82"/>
    <mergeCell ref="H82:I82"/>
    <mergeCell ref="J82:K82"/>
    <mergeCell ref="B85:K86"/>
    <mergeCell ref="D71:E72"/>
    <mergeCell ref="H72:I72"/>
    <mergeCell ref="H71:I71"/>
    <mergeCell ref="P11:P12"/>
    <mergeCell ref="L17:O17"/>
    <mergeCell ref="L9:P9"/>
    <mergeCell ref="N10:P10"/>
    <mergeCell ref="N35:N36"/>
    <mergeCell ref="O35:O36"/>
    <mergeCell ref="B37:C38"/>
    <mergeCell ref="B67:C67"/>
    <mergeCell ref="B68:C68"/>
    <mergeCell ref="H39:H40"/>
    <mergeCell ref="B22:B23"/>
    <mergeCell ref="C22:C23"/>
    <mergeCell ref="D22:D23"/>
    <mergeCell ref="D39:D40"/>
    <mergeCell ref="C39:C40"/>
    <mergeCell ref="B39:B40"/>
    <mergeCell ref="F37:G38"/>
    <mergeCell ref="F39:F40"/>
    <mergeCell ref="G39:G40"/>
    <mergeCell ref="D49:D50"/>
    <mergeCell ref="F49:F50"/>
    <mergeCell ref="I11:I12"/>
    <mergeCell ref="J11:J12"/>
    <mergeCell ref="B17:C17"/>
    <mergeCell ref="R37:S38"/>
    <mergeCell ref="R39:R40"/>
    <mergeCell ref="S39:S40"/>
    <mergeCell ref="J37:K38"/>
    <mergeCell ref="N37:O38"/>
    <mergeCell ref="L35:L36"/>
    <mergeCell ref="K35:K36"/>
    <mergeCell ref="M35:M36"/>
    <mergeCell ref="N39:N40"/>
    <mergeCell ref="O39:O40"/>
    <mergeCell ref="L82:M82"/>
    <mergeCell ref="L72:M72"/>
    <mergeCell ref="L71:M71"/>
    <mergeCell ref="L78:M79"/>
    <mergeCell ref="N11:N12"/>
    <mergeCell ref="O11:O12"/>
    <mergeCell ref="J78:K79"/>
    <mergeCell ref="L11:L12"/>
    <mergeCell ref="M11:M12"/>
    <mergeCell ref="J71:K72"/>
    <mergeCell ref="B20:D21"/>
    <mergeCell ref="B26:B27"/>
    <mergeCell ref="C26:C27"/>
    <mergeCell ref="D26:D27"/>
    <mergeCell ref="E20:F32"/>
    <mergeCell ref="F17:I17"/>
    <mergeCell ref="B3:G4"/>
    <mergeCell ref="B2:G2"/>
    <mergeCell ref="G6:G7"/>
    <mergeCell ref="B9:D10"/>
    <mergeCell ref="B11:B12"/>
    <mergeCell ref="C11:C12"/>
    <mergeCell ref="D11:D12"/>
    <mergeCell ref="F11:F12"/>
    <mergeCell ref="G11:G12"/>
    <mergeCell ref="B6:B7"/>
    <mergeCell ref="C6:C7"/>
    <mergeCell ref="D6:D7"/>
    <mergeCell ref="E6:E7"/>
    <mergeCell ref="F6:F7"/>
    <mergeCell ref="F9:J9"/>
    <mergeCell ref="H10:J10"/>
    <mergeCell ref="H11:H12"/>
    <mergeCell ref="T39:T40"/>
    <mergeCell ref="L49:L50"/>
    <mergeCell ref="N47:O48"/>
    <mergeCell ref="N49:N50"/>
    <mergeCell ref="O49:O50"/>
    <mergeCell ref="J39:J40"/>
    <mergeCell ref="K39:K40"/>
    <mergeCell ref="L39:L40"/>
    <mergeCell ref="P39:P40"/>
    <mergeCell ref="R45:S45"/>
    <mergeCell ref="J47:K48"/>
    <mergeCell ref="J49:J50"/>
    <mergeCell ref="K49:K50"/>
    <mergeCell ref="V69:W69"/>
    <mergeCell ref="J58:K59"/>
    <mergeCell ref="D67:E68"/>
    <mergeCell ref="F65:G66"/>
    <mergeCell ref="H65:I66"/>
    <mergeCell ref="V65:W66"/>
    <mergeCell ref="L65:M66"/>
    <mergeCell ref="V67:W68"/>
    <mergeCell ref="H58:I59"/>
    <mergeCell ref="L58:M59"/>
    <mergeCell ref="R58:S59"/>
    <mergeCell ref="V58:W59"/>
    <mergeCell ref="F69:G69"/>
    <mergeCell ref="B78:C78"/>
    <mergeCell ref="N58:O59"/>
    <mergeCell ref="P58:Q59"/>
    <mergeCell ref="T58:U59"/>
    <mergeCell ref="N65:O66"/>
    <mergeCell ref="P65:Q66"/>
    <mergeCell ref="R65:S66"/>
    <mergeCell ref="T65:U66"/>
    <mergeCell ref="N67:O68"/>
    <mergeCell ref="L69:M69"/>
    <mergeCell ref="N69:O69"/>
    <mergeCell ref="P69:Q69"/>
    <mergeCell ref="R69:S69"/>
    <mergeCell ref="T69:U69"/>
    <mergeCell ref="D78:E79"/>
    <mergeCell ref="D58:E59"/>
    <mergeCell ref="F72:G72"/>
    <mergeCell ref="F71:G71"/>
    <mergeCell ref="B58:C59"/>
    <mergeCell ref="B65:C65"/>
    <mergeCell ref="F58:G59"/>
    <mergeCell ref="J65:K66"/>
    <mergeCell ref="B71:C72"/>
    <mergeCell ref="R55:S55"/>
    <mergeCell ref="F47:G48"/>
    <mergeCell ref="B66:C66"/>
    <mergeCell ref="F67:G68"/>
    <mergeCell ref="H67:I68"/>
    <mergeCell ref="J67:K68"/>
    <mergeCell ref="L67:M68"/>
    <mergeCell ref="D65:E66"/>
    <mergeCell ref="T67:U68"/>
    <mergeCell ref="T49:T50"/>
    <mergeCell ref="G49:G50"/>
    <mergeCell ref="H49:H50"/>
    <mergeCell ref="I92:J93"/>
    <mergeCell ref="B35:J36"/>
    <mergeCell ref="M85:O86"/>
    <mergeCell ref="B45:C45"/>
    <mergeCell ref="F45:G45"/>
    <mergeCell ref="J45:K45"/>
    <mergeCell ref="N45:O45"/>
    <mergeCell ref="O72:R80"/>
    <mergeCell ref="H78:I79"/>
    <mergeCell ref="P67:Q68"/>
    <mergeCell ref="R67:S68"/>
    <mergeCell ref="B79:C79"/>
    <mergeCell ref="L80:M81"/>
    <mergeCell ref="P49:P50"/>
    <mergeCell ref="R47:S48"/>
    <mergeCell ref="R49:R50"/>
    <mergeCell ref="S49:S50"/>
    <mergeCell ref="B47:C48"/>
    <mergeCell ref="B49:B50"/>
    <mergeCell ref="C49:C50"/>
    <mergeCell ref="B55:C55"/>
    <mergeCell ref="F55:G55"/>
    <mergeCell ref="J55:K55"/>
    <mergeCell ref="N55:O55"/>
  </mergeCells>
  <conditionalFormatting sqref="D65 F65:W66">
    <cfRule type="top10" dxfId="7" priority="9" bottom="1" rank="1"/>
  </conditionalFormatting>
  <conditionalFormatting sqref="D67 F67:W68">
    <cfRule type="top10" dxfId="6" priority="8" bottom="1" rank="1"/>
  </conditionalFormatting>
  <conditionalFormatting sqref="D69 F69 H69 J69 L69 N69 P69 R69 T69 V69">
    <cfRule type="expression" dxfId="5" priority="5">
      <formula>D65=MIN($D$65:$W$65)</formula>
    </cfRule>
  </conditionalFormatting>
  <conditionalFormatting sqref="D82 F82 H82 J82 L82">
    <cfRule type="expression" dxfId="4" priority="3">
      <formula>D78=MIN($D$78:$M$79)</formula>
    </cfRule>
  </conditionalFormatting>
  <conditionalFormatting sqref="D78 F78:M79">
    <cfRule type="top10" dxfId="3" priority="2" bottom="1" rank="1"/>
  </conditionalFormatting>
  <conditionalFormatting sqref="D80 F80:M81">
    <cfRule type="top10" dxfId="2" priority="1" bottom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F017-C8DB-4C7B-B8C9-89836D79256D}">
  <sheetPr>
    <tabColor rgb="FF0070C0"/>
  </sheetPr>
  <dimension ref="B2:T56"/>
  <sheetViews>
    <sheetView rightToLeft="1" workbookViewId="0"/>
  </sheetViews>
  <sheetFormatPr defaultRowHeight="13.8" x14ac:dyDescent="0.25"/>
  <cols>
    <col min="1" max="1" width="2.796875" customWidth="1"/>
    <col min="14" max="14" width="9.8984375" bestFit="1" customWidth="1"/>
    <col min="19" max="20" width="10.3984375" bestFit="1" customWidth="1"/>
  </cols>
  <sheetData>
    <row r="2" spans="2:20" ht="16.2" thickBot="1" x14ac:dyDescent="0.3">
      <c r="B2" s="403" t="s">
        <v>149</v>
      </c>
      <c r="C2" s="403"/>
      <c r="R2" s="88" t="s">
        <v>150</v>
      </c>
    </row>
    <row r="3" spans="2:20" ht="16.2" customHeight="1" x14ac:dyDescent="0.25">
      <c r="B3" s="451" t="s">
        <v>151</v>
      </c>
      <c r="C3" s="453" t="s">
        <v>94</v>
      </c>
      <c r="D3" s="416" t="s">
        <v>152</v>
      </c>
      <c r="E3" s="419">
        <v>10</v>
      </c>
      <c r="F3" s="448">
        <v>9</v>
      </c>
      <c r="G3" s="448">
        <v>8</v>
      </c>
      <c r="H3" s="448">
        <v>7</v>
      </c>
      <c r="I3" s="448">
        <v>6</v>
      </c>
      <c r="J3" s="448">
        <v>5</v>
      </c>
      <c r="K3" s="448">
        <v>4</v>
      </c>
      <c r="L3" s="448">
        <v>3</v>
      </c>
      <c r="M3" s="448">
        <v>2</v>
      </c>
      <c r="N3" s="448">
        <v>1</v>
      </c>
      <c r="O3" s="448">
        <v>0</v>
      </c>
      <c r="P3" s="448" t="s">
        <v>153</v>
      </c>
      <c r="R3" s="457" t="s">
        <v>151</v>
      </c>
      <c r="S3" s="459" t="s">
        <v>154</v>
      </c>
      <c r="T3" s="448" t="s">
        <v>155</v>
      </c>
    </row>
    <row r="4" spans="2:20" ht="15" customHeight="1" thickBot="1" x14ac:dyDescent="0.3">
      <c r="B4" s="452"/>
      <c r="C4" s="454"/>
      <c r="D4" s="417"/>
      <c r="E4" s="421"/>
      <c r="F4" s="449"/>
      <c r="G4" s="449"/>
      <c r="H4" s="449"/>
      <c r="I4" s="449"/>
      <c r="J4" s="449"/>
      <c r="K4" s="449"/>
      <c r="L4" s="449"/>
      <c r="M4" s="449"/>
      <c r="N4" s="449"/>
      <c r="O4" s="449"/>
      <c r="P4" s="449"/>
      <c r="R4" s="458"/>
      <c r="S4" s="460"/>
      <c r="T4" s="449"/>
    </row>
    <row r="5" spans="2:20" ht="15" customHeight="1" x14ac:dyDescent="0.25">
      <c r="B5" s="443" t="s">
        <v>156</v>
      </c>
      <c r="C5" s="455">
        <v>0.25</v>
      </c>
      <c r="D5" s="456"/>
      <c r="E5" s="441">
        <f t="shared" ref="E5:M5" si="0">F5-1</f>
        <v>20</v>
      </c>
      <c r="F5" s="441">
        <f t="shared" si="0"/>
        <v>21</v>
      </c>
      <c r="G5" s="441">
        <f t="shared" si="0"/>
        <v>22</v>
      </c>
      <c r="H5" s="441">
        <f t="shared" si="0"/>
        <v>23</v>
      </c>
      <c r="I5" s="441">
        <f t="shared" si="0"/>
        <v>24</v>
      </c>
      <c r="J5" s="441">
        <f t="shared" si="0"/>
        <v>25</v>
      </c>
      <c r="K5" s="441">
        <f t="shared" si="0"/>
        <v>26</v>
      </c>
      <c r="L5" s="441">
        <f t="shared" si="0"/>
        <v>27</v>
      </c>
      <c r="M5" s="441">
        <f t="shared" si="0"/>
        <v>28</v>
      </c>
      <c r="N5" s="441">
        <f>O5-1</f>
        <v>29</v>
      </c>
      <c r="O5" s="441">
        <f>T5</f>
        <v>30</v>
      </c>
      <c r="P5" s="441" t="str">
        <f>"מעל "&amp;O5</f>
        <v>מעל 30</v>
      </c>
      <c r="R5" s="450" t="s">
        <v>156</v>
      </c>
      <c r="S5" s="441">
        <f>E5</f>
        <v>20</v>
      </c>
      <c r="T5" s="441">
        <v>30</v>
      </c>
    </row>
    <row r="6" spans="2:20" ht="31.95" customHeight="1" thickBot="1" x14ac:dyDescent="0.3">
      <c r="B6" s="444"/>
      <c r="C6" s="402"/>
      <c r="D6" s="401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P6" s="442"/>
      <c r="R6" s="444"/>
      <c r="S6" s="442"/>
      <c r="T6" s="442"/>
    </row>
    <row r="7" spans="2:20" ht="15" customHeight="1" x14ac:dyDescent="0.25">
      <c r="B7" s="443" t="s">
        <v>157</v>
      </c>
      <c r="C7" s="445">
        <v>0.15</v>
      </c>
      <c r="D7" s="400"/>
      <c r="E7" s="441">
        <f>S8</f>
        <v>1</v>
      </c>
      <c r="F7" s="441">
        <f t="shared" ref="F7:M7" si="1">G7-$O$7/$E$3</f>
        <v>3</v>
      </c>
      <c r="G7" s="441">
        <f t="shared" si="1"/>
        <v>6</v>
      </c>
      <c r="H7" s="441">
        <f t="shared" si="1"/>
        <v>9</v>
      </c>
      <c r="I7" s="441">
        <f t="shared" si="1"/>
        <v>12</v>
      </c>
      <c r="J7" s="441">
        <f t="shared" si="1"/>
        <v>15</v>
      </c>
      <c r="K7" s="441">
        <f t="shared" si="1"/>
        <v>18</v>
      </c>
      <c r="L7" s="441">
        <f t="shared" si="1"/>
        <v>21</v>
      </c>
      <c r="M7" s="441">
        <f t="shared" si="1"/>
        <v>24</v>
      </c>
      <c r="N7" s="441">
        <f>O7-$O$7/$E$3</f>
        <v>27</v>
      </c>
      <c r="O7" s="441">
        <f>T8</f>
        <v>30</v>
      </c>
      <c r="P7" s="441" t="str">
        <f>"מעל "&amp;T8</f>
        <v>מעל 30</v>
      </c>
      <c r="R7" s="443" t="s">
        <v>157</v>
      </c>
      <c r="S7" s="89" t="s">
        <v>159</v>
      </c>
      <c r="T7" s="89" t="s">
        <v>159</v>
      </c>
    </row>
    <row r="8" spans="2:20" ht="31.95" customHeight="1" thickBot="1" x14ac:dyDescent="0.3">
      <c r="B8" s="444"/>
      <c r="C8" s="402"/>
      <c r="D8" s="401"/>
      <c r="E8" s="442"/>
      <c r="F8" s="442"/>
      <c r="G8" s="442"/>
      <c r="H8" s="442"/>
      <c r="I8" s="442"/>
      <c r="J8" s="442"/>
      <c r="K8" s="442"/>
      <c r="L8" s="442"/>
      <c r="M8" s="442"/>
      <c r="N8" s="442"/>
      <c r="O8" s="442"/>
      <c r="P8" s="442"/>
      <c r="R8" s="444"/>
      <c r="S8" s="173">
        <v>1</v>
      </c>
      <c r="T8" s="173">
        <v>30</v>
      </c>
    </row>
    <row r="9" spans="2:20" ht="15" customHeight="1" x14ac:dyDescent="0.25">
      <c r="B9" s="443" t="s">
        <v>160</v>
      </c>
      <c r="C9" s="445">
        <v>0.55000000000000004</v>
      </c>
      <c r="D9" s="400"/>
      <c r="E9" s="441">
        <f>S9</f>
        <v>10</v>
      </c>
      <c r="F9" s="441">
        <f>E9-$E$9/$E$3</f>
        <v>9</v>
      </c>
      <c r="G9" s="441">
        <f t="shared" ref="G9:O9" si="2">F9-$E$9/$E$3</f>
        <v>8</v>
      </c>
      <c r="H9" s="441">
        <f t="shared" si="2"/>
        <v>7</v>
      </c>
      <c r="I9" s="441">
        <f t="shared" si="2"/>
        <v>6</v>
      </c>
      <c r="J9" s="441">
        <f t="shared" si="2"/>
        <v>5</v>
      </c>
      <c r="K9" s="441">
        <f t="shared" si="2"/>
        <v>4</v>
      </c>
      <c r="L9" s="441">
        <f t="shared" si="2"/>
        <v>3</v>
      </c>
      <c r="M9" s="441">
        <f t="shared" si="2"/>
        <v>2</v>
      </c>
      <c r="N9" s="441">
        <f t="shared" si="2"/>
        <v>1</v>
      </c>
      <c r="O9" s="441">
        <f t="shared" si="2"/>
        <v>0</v>
      </c>
      <c r="P9" s="441" t="s">
        <v>161</v>
      </c>
      <c r="R9" s="443" t="s">
        <v>162</v>
      </c>
      <c r="S9" s="441">
        <v>10</v>
      </c>
      <c r="T9" s="441">
        <v>0</v>
      </c>
    </row>
    <row r="10" spans="2:20" ht="31.95" customHeight="1" thickBot="1" x14ac:dyDescent="0.3">
      <c r="B10" s="444"/>
      <c r="C10" s="402"/>
      <c r="D10" s="401"/>
      <c r="E10" s="442"/>
      <c r="F10" s="442"/>
      <c r="G10" s="442"/>
      <c r="H10" s="442"/>
      <c r="I10" s="442"/>
      <c r="J10" s="442"/>
      <c r="K10" s="442"/>
      <c r="L10" s="442"/>
      <c r="M10" s="442"/>
      <c r="N10" s="442"/>
      <c r="O10" s="442"/>
      <c r="P10" s="442"/>
      <c r="R10" s="444"/>
      <c r="S10" s="442"/>
      <c r="T10" s="442"/>
    </row>
    <row r="11" spans="2:20" ht="15.6" customHeight="1" x14ac:dyDescent="0.25">
      <c r="B11" s="443" t="s">
        <v>163</v>
      </c>
      <c r="C11" s="445">
        <v>0.05</v>
      </c>
      <c r="D11" s="400"/>
      <c r="E11" s="172" t="s">
        <v>164</v>
      </c>
      <c r="F11" s="172" t="s">
        <v>164</v>
      </c>
      <c r="G11" s="172" t="s">
        <v>164</v>
      </c>
      <c r="H11" s="172" t="s">
        <v>164</v>
      </c>
      <c r="I11" s="172" t="s">
        <v>164</v>
      </c>
      <c r="J11" s="172" t="s">
        <v>164</v>
      </c>
      <c r="K11" s="172" t="s">
        <v>164</v>
      </c>
      <c r="L11" s="172" t="s">
        <v>164</v>
      </c>
      <c r="M11" s="172" t="s">
        <v>164</v>
      </c>
      <c r="N11" s="172" t="s">
        <v>164</v>
      </c>
      <c r="O11" s="172" t="s">
        <v>164</v>
      </c>
      <c r="P11" s="172"/>
      <c r="R11" s="380" t="s">
        <v>163</v>
      </c>
      <c r="S11" s="89" t="s">
        <v>165</v>
      </c>
      <c r="T11" s="172" t="s">
        <v>166</v>
      </c>
    </row>
    <row r="12" spans="2:20" ht="31.95" customHeight="1" thickBot="1" x14ac:dyDescent="0.3">
      <c r="B12" s="444"/>
      <c r="C12" s="402"/>
      <c r="D12" s="401"/>
      <c r="E12" s="173">
        <f>S12</f>
        <v>60</v>
      </c>
      <c r="F12" s="173"/>
      <c r="G12" s="173"/>
      <c r="H12" s="173"/>
      <c r="I12" s="173"/>
      <c r="J12" s="173">
        <f>E12-15</f>
        <v>45</v>
      </c>
      <c r="K12" s="173"/>
      <c r="L12" s="173"/>
      <c r="M12" s="173"/>
      <c r="N12" s="173"/>
      <c r="O12" s="173">
        <f>J12-15</f>
        <v>30</v>
      </c>
      <c r="P12" s="90" t="str">
        <f>T12</f>
        <v>מיידי</v>
      </c>
      <c r="R12" s="382"/>
      <c r="S12" s="173">
        <v>60</v>
      </c>
      <c r="T12" s="173" t="s">
        <v>167</v>
      </c>
    </row>
    <row r="13" spans="2:20" ht="14.4" customHeight="1" x14ac:dyDescent="0.25">
      <c r="B13" s="446" t="s">
        <v>168</v>
      </c>
      <c r="C13" s="446"/>
      <c r="D13" s="446"/>
      <c r="E13" s="446"/>
      <c r="F13" s="446"/>
      <c r="G13" s="446"/>
      <c r="H13" s="446"/>
      <c r="I13" s="446"/>
      <c r="J13" s="446"/>
      <c r="K13" s="446"/>
    </row>
    <row r="14" spans="2:20" x14ac:dyDescent="0.25">
      <c r="B14" s="447"/>
      <c r="C14" s="447"/>
      <c r="D14" s="447"/>
      <c r="E14" s="447"/>
      <c r="F14" s="447"/>
      <c r="G14" s="447"/>
      <c r="H14" s="447"/>
      <c r="I14" s="447"/>
      <c r="J14" s="447"/>
      <c r="K14" s="447"/>
    </row>
    <row r="15" spans="2:20" ht="14.4" thickBot="1" x14ac:dyDescent="0.3"/>
    <row r="16" spans="2:20" ht="15.6" x14ac:dyDescent="0.25">
      <c r="B16" s="432" t="s">
        <v>169</v>
      </c>
      <c r="C16" s="433"/>
      <c r="D16" s="91"/>
      <c r="E16" s="91"/>
      <c r="F16" s="91"/>
      <c r="G16" s="91"/>
      <c r="H16" s="91"/>
      <c r="I16" s="91"/>
      <c r="J16" s="91"/>
      <c r="K16" s="92"/>
    </row>
    <row r="17" spans="2:11" ht="15.6" x14ac:dyDescent="0.25">
      <c r="B17" s="434" t="s">
        <v>170</v>
      </c>
      <c r="C17" s="435"/>
      <c r="D17" s="435"/>
      <c r="E17" s="435"/>
      <c r="F17" s="435"/>
      <c r="G17" s="435"/>
      <c r="H17" s="435"/>
      <c r="I17" s="435"/>
      <c r="J17" s="435"/>
      <c r="K17" s="436"/>
    </row>
    <row r="18" spans="2:11" ht="15.6" x14ac:dyDescent="0.25">
      <c r="B18" s="434" t="s">
        <v>171</v>
      </c>
      <c r="C18" s="435"/>
      <c r="D18" s="435"/>
      <c r="E18" s="435"/>
      <c r="F18" s="435"/>
      <c r="G18" s="435"/>
      <c r="H18" s="435"/>
      <c r="I18" s="435"/>
      <c r="J18" s="435"/>
      <c r="K18" s="436"/>
    </row>
    <row r="19" spans="2:11" ht="15.6" x14ac:dyDescent="0.25">
      <c r="B19" s="434" t="s">
        <v>172</v>
      </c>
      <c r="C19" s="435"/>
      <c r="D19" s="435"/>
      <c r="E19" s="435"/>
      <c r="F19" s="435"/>
      <c r="G19" s="435"/>
      <c r="H19" s="435"/>
      <c r="I19" s="435"/>
      <c r="J19" s="435"/>
      <c r="K19" s="436"/>
    </row>
    <row r="20" spans="2:11" ht="16.2" thickBot="1" x14ac:dyDescent="0.3">
      <c r="B20" s="437" t="s">
        <v>173</v>
      </c>
      <c r="C20" s="438"/>
      <c r="D20" s="438"/>
      <c r="E20" s="438"/>
      <c r="F20" s="438"/>
      <c r="G20" s="438"/>
      <c r="H20" s="438"/>
      <c r="I20" s="438"/>
      <c r="J20" s="438"/>
      <c r="K20" s="439"/>
    </row>
    <row r="23" spans="2:11" ht="14.4" thickBot="1" x14ac:dyDescent="0.3"/>
    <row r="24" spans="2:11" ht="15.6" x14ac:dyDescent="0.25">
      <c r="B24" s="432" t="s">
        <v>174</v>
      </c>
      <c r="C24" s="433"/>
      <c r="D24" s="433"/>
      <c r="E24" s="440"/>
    </row>
    <row r="25" spans="2:11" ht="17.399999999999999" x14ac:dyDescent="0.3">
      <c r="B25" s="422" t="s">
        <v>175</v>
      </c>
      <c r="C25" s="423"/>
      <c r="D25" s="424" t="s">
        <v>229</v>
      </c>
      <c r="E25" s="425"/>
    </row>
    <row r="26" spans="2:11" ht="17.399999999999999" x14ac:dyDescent="0.3">
      <c r="B26" s="422" t="s">
        <v>176</v>
      </c>
      <c r="C26" s="423"/>
      <c r="D26" s="426" t="s">
        <v>177</v>
      </c>
      <c r="E26" s="427"/>
    </row>
    <row r="27" spans="2:11" ht="18" thickBot="1" x14ac:dyDescent="0.35">
      <c r="B27" s="428" t="s">
        <v>178</v>
      </c>
      <c r="C27" s="429"/>
      <c r="D27" s="430" t="s">
        <v>230</v>
      </c>
      <c r="E27" s="431"/>
    </row>
    <row r="29" spans="2:11" ht="16.2" thickBot="1" x14ac:dyDescent="0.3">
      <c r="B29" s="403" t="s">
        <v>179</v>
      </c>
      <c r="C29" s="403"/>
    </row>
    <row r="30" spans="2:11" ht="16.2" customHeight="1" x14ac:dyDescent="0.25">
      <c r="B30" s="414" t="s">
        <v>151</v>
      </c>
      <c r="C30" s="416" t="s">
        <v>180</v>
      </c>
      <c r="D30" s="418" t="s">
        <v>181</v>
      </c>
      <c r="E30" s="419"/>
      <c r="F30" s="418" t="s">
        <v>182</v>
      </c>
      <c r="G30" s="419"/>
      <c r="H30" s="418" t="s">
        <v>183</v>
      </c>
      <c r="I30" s="419"/>
    </row>
    <row r="31" spans="2:11" ht="15.6" customHeight="1" thickBot="1" x14ac:dyDescent="0.3">
      <c r="B31" s="415"/>
      <c r="C31" s="417"/>
      <c r="D31" s="420" t="str">
        <f>D25</f>
        <v>סומיץ</v>
      </c>
      <c r="E31" s="421"/>
      <c r="F31" s="420" t="str">
        <f>D26</f>
        <v>סחוט</v>
      </c>
      <c r="G31" s="421"/>
      <c r="H31" s="420" t="str">
        <f>D27</f>
        <v>א.א מטעמים</v>
      </c>
      <c r="I31" s="421"/>
    </row>
    <row r="32" spans="2:11" ht="15.6" customHeight="1" x14ac:dyDescent="0.25">
      <c r="B32" s="380" t="s">
        <v>156</v>
      </c>
      <c r="C32" s="408"/>
      <c r="D32" s="410">
        <f>'גיליון מצורף- מחיר קפואים'!G26</f>
        <v>27.99281518300949</v>
      </c>
      <c r="E32" s="400"/>
      <c r="F32" s="410">
        <f>'גיליון מצורף- מחיר קפואים'!I26</f>
        <v>22.491233619521019</v>
      </c>
      <c r="G32" s="411"/>
      <c r="H32" s="410">
        <f>'גיליון מצורף- מחיר קפואים'!K26</f>
        <v>23.075101671938544</v>
      </c>
      <c r="I32" s="411"/>
    </row>
    <row r="33" spans="2:10" ht="15.6" customHeight="1" thickBot="1" x14ac:dyDescent="0.3">
      <c r="B33" s="382"/>
      <c r="C33" s="385"/>
      <c r="D33" s="402"/>
      <c r="E33" s="401"/>
      <c r="F33" s="412"/>
      <c r="G33" s="413"/>
      <c r="H33" s="412"/>
      <c r="I33" s="413"/>
    </row>
    <row r="34" spans="2:10" ht="15.6" customHeight="1" x14ac:dyDescent="0.25">
      <c r="B34" s="380" t="s">
        <v>157</v>
      </c>
      <c r="C34" s="408"/>
      <c r="D34" s="409">
        <v>2</v>
      </c>
      <c r="E34" s="400"/>
      <c r="F34" s="409">
        <v>2</v>
      </c>
      <c r="G34" s="400"/>
      <c r="H34" s="409">
        <v>7</v>
      </c>
      <c r="I34" s="400"/>
    </row>
    <row r="35" spans="2:10" ht="15.6" customHeight="1" thickBot="1" x14ac:dyDescent="0.3">
      <c r="B35" s="382"/>
      <c r="C35" s="385"/>
      <c r="D35" s="402"/>
      <c r="E35" s="401"/>
      <c r="F35" s="402"/>
      <c r="G35" s="401"/>
      <c r="H35" s="402"/>
      <c r="I35" s="401"/>
    </row>
    <row r="36" spans="2:10" ht="15.6" customHeight="1" x14ac:dyDescent="0.25">
      <c r="B36" s="380" t="s">
        <v>162</v>
      </c>
      <c r="C36" s="408"/>
      <c r="D36" s="409">
        <f>'גיליון מצורף- איכות קפואים'!L6</f>
        <v>10</v>
      </c>
      <c r="E36" s="400"/>
      <c r="F36" s="409">
        <f>'גיליון מצורף- איכות קפואים'!L13</f>
        <v>6</v>
      </c>
      <c r="G36" s="400"/>
      <c r="H36" s="409">
        <f>'גיליון מצורף- איכות קפואים'!L20</f>
        <v>5</v>
      </c>
      <c r="I36" s="400"/>
    </row>
    <row r="37" spans="2:10" ht="15.6" customHeight="1" thickBot="1" x14ac:dyDescent="0.3">
      <c r="B37" s="382"/>
      <c r="C37" s="385"/>
      <c r="D37" s="402"/>
      <c r="E37" s="401"/>
      <c r="F37" s="402"/>
      <c r="G37" s="401"/>
      <c r="H37" s="402"/>
      <c r="I37" s="401"/>
    </row>
    <row r="38" spans="2:10" ht="15.6" customHeight="1" x14ac:dyDescent="0.25">
      <c r="B38" s="380" t="s">
        <v>184</v>
      </c>
      <c r="C38" s="408"/>
      <c r="D38" s="409" t="s">
        <v>165</v>
      </c>
      <c r="E38" s="400"/>
      <c r="F38" s="409" t="s">
        <v>165</v>
      </c>
      <c r="G38" s="400"/>
      <c r="H38" s="409" t="s">
        <v>165</v>
      </c>
      <c r="I38" s="400"/>
    </row>
    <row r="39" spans="2:10" ht="15" customHeight="1" thickBot="1" x14ac:dyDescent="0.3">
      <c r="B39" s="382"/>
      <c r="C39" s="385"/>
      <c r="D39" s="402">
        <v>30</v>
      </c>
      <c r="E39" s="401"/>
      <c r="F39" s="402">
        <v>60</v>
      </c>
      <c r="G39" s="401"/>
      <c r="H39" s="402">
        <v>30</v>
      </c>
      <c r="I39" s="401"/>
    </row>
    <row r="42" spans="2:10" ht="16.2" thickBot="1" x14ac:dyDescent="0.3">
      <c r="B42" s="403" t="s">
        <v>185</v>
      </c>
      <c r="C42" s="403"/>
    </row>
    <row r="43" spans="2:10" ht="34.950000000000003" customHeight="1" thickBot="1" x14ac:dyDescent="0.35">
      <c r="B43" s="404" t="s">
        <v>186</v>
      </c>
      <c r="C43" s="405"/>
      <c r="D43" s="93" t="s">
        <v>180</v>
      </c>
      <c r="E43" s="406" t="str">
        <f>CONCATENATE(D30," ",CHAR(10),D31)</f>
        <v>ספק א': 
סומיץ</v>
      </c>
      <c r="F43" s="407"/>
      <c r="G43" s="406" t="str">
        <f>CONCATENATE(F30," ",CHAR(10),F31)</f>
        <v>ספק ב': 
סחוט</v>
      </c>
      <c r="H43" s="407"/>
      <c r="I43" s="406" t="str">
        <f>CONCATENATE(H30," ",CHAR(10),H31)</f>
        <v>ספק ג': 
א.א מטעמים</v>
      </c>
      <c r="J43" s="407"/>
    </row>
    <row r="44" spans="2:10" ht="27.6" customHeight="1" thickBot="1" x14ac:dyDescent="0.3">
      <c r="B44" s="388" t="s">
        <v>151</v>
      </c>
      <c r="C44" s="389"/>
      <c r="D44" s="94" t="s">
        <v>94</v>
      </c>
      <c r="E44" s="95" t="s">
        <v>187</v>
      </c>
      <c r="F44" s="96" t="s">
        <v>188</v>
      </c>
      <c r="G44" s="95" t="s">
        <v>187</v>
      </c>
      <c r="H44" s="96" t="s">
        <v>188</v>
      </c>
      <c r="I44" s="95" t="s">
        <v>187</v>
      </c>
      <c r="J44" s="96" t="s">
        <v>188</v>
      </c>
    </row>
    <row r="45" spans="2:10" ht="16.2" customHeight="1" x14ac:dyDescent="0.25">
      <c r="B45" s="380" t="s">
        <v>156</v>
      </c>
      <c r="C45" s="381"/>
      <c r="D45" s="384">
        <f>C5</f>
        <v>0.25</v>
      </c>
      <c r="E45" s="398">
        <f>_xlfn.XLOOKUP(D32,E5:O5,E3:O3,,1)</f>
        <v>2</v>
      </c>
      <c r="F45" s="400">
        <f>E45*D45</f>
        <v>0.5</v>
      </c>
      <c r="G45" s="398">
        <f>_xlfn.XLOOKUP(F32,E5:O5,E3:O3,,1)</f>
        <v>7</v>
      </c>
      <c r="H45" s="400">
        <f>G45*D45</f>
        <v>1.75</v>
      </c>
      <c r="I45" s="398">
        <f>_xlfn.XLOOKUP(H32,E5:O5,E3:O3,,1)</f>
        <v>6</v>
      </c>
      <c r="J45" s="400">
        <f>I45*D45</f>
        <v>1.5</v>
      </c>
    </row>
    <row r="46" spans="2:10" ht="15" customHeight="1" thickBot="1" x14ac:dyDescent="0.3">
      <c r="B46" s="382"/>
      <c r="C46" s="383"/>
      <c r="D46" s="385"/>
      <c r="E46" s="399"/>
      <c r="F46" s="401"/>
      <c r="G46" s="399"/>
      <c r="H46" s="401"/>
      <c r="I46" s="399"/>
      <c r="J46" s="401"/>
    </row>
    <row r="47" spans="2:10" ht="31.2" customHeight="1" thickBot="1" x14ac:dyDescent="0.3">
      <c r="B47" s="388" t="s">
        <v>157</v>
      </c>
      <c r="C47" s="389"/>
      <c r="D47" s="97">
        <f>C7</f>
        <v>0.15</v>
      </c>
      <c r="E47" s="98">
        <f>_xlfn.XLOOKUP(D34,E7:O7,E3:O3,,1)</f>
        <v>9</v>
      </c>
      <c r="F47" s="99">
        <f>E47*D47</f>
        <v>1.3499999999999999</v>
      </c>
      <c r="G47" s="98">
        <f>_xlfn.XLOOKUP(F34,E7:O7,E3:O3,,1)</f>
        <v>9</v>
      </c>
      <c r="H47" s="99">
        <f>G47*D47</f>
        <v>1.3499999999999999</v>
      </c>
      <c r="I47" s="98">
        <f>_xlfn.XLOOKUP(H34,E7:O7,E3:O3,,1)</f>
        <v>7</v>
      </c>
      <c r="J47" s="99">
        <f>I47*D47</f>
        <v>1.05</v>
      </c>
    </row>
    <row r="48" spans="2:10" ht="16.2" customHeight="1" x14ac:dyDescent="0.25">
      <c r="B48" s="390" t="s">
        <v>162</v>
      </c>
      <c r="C48" s="391"/>
      <c r="D48" s="384">
        <f>C9</f>
        <v>0.55000000000000004</v>
      </c>
      <c r="E48" s="376">
        <f>_xlfn.XLOOKUP(D36,E9:O9,E3:O3)</f>
        <v>10</v>
      </c>
      <c r="F48" s="386">
        <f>E48*D48</f>
        <v>5.5</v>
      </c>
      <c r="G48" s="376">
        <f>_xlfn.XLOOKUP(F36,E9:O9,E3:O3)</f>
        <v>6</v>
      </c>
      <c r="H48" s="378">
        <f>G48*D48</f>
        <v>3.3000000000000003</v>
      </c>
      <c r="I48" s="376">
        <f>_xlfn.XLOOKUP(H36,E9:O9,E3:O3)</f>
        <v>5</v>
      </c>
      <c r="J48" s="378">
        <f>I48*D48</f>
        <v>2.75</v>
      </c>
    </row>
    <row r="49" spans="2:13" ht="15" customHeight="1" thickBot="1" x14ac:dyDescent="0.3">
      <c r="B49" s="382"/>
      <c r="C49" s="383"/>
      <c r="D49" s="385"/>
      <c r="E49" s="377"/>
      <c r="F49" s="387"/>
      <c r="G49" s="377"/>
      <c r="H49" s="379"/>
      <c r="I49" s="377"/>
      <c r="J49" s="379"/>
    </row>
    <row r="50" spans="2:13" ht="14.4" customHeight="1" x14ac:dyDescent="0.25">
      <c r="B50" s="380" t="s">
        <v>184</v>
      </c>
      <c r="C50" s="381"/>
      <c r="D50" s="384">
        <f>C11</f>
        <v>0.05</v>
      </c>
      <c r="E50" s="376">
        <f>_xlfn.XLOOKUP(D39,E12:O12,E3:O3,,1)</f>
        <v>0</v>
      </c>
      <c r="F50" s="386">
        <f>E50*D50</f>
        <v>0</v>
      </c>
      <c r="G50" s="376">
        <f>_xlfn.XLOOKUP(F39,E12:O12,E3:O3,,1)</f>
        <v>10</v>
      </c>
      <c r="H50" s="378">
        <f>G50*D50</f>
        <v>0.5</v>
      </c>
      <c r="I50" s="376">
        <f>_xlfn.XLOOKUP(H39,E12:O12,E3:O3,,1)</f>
        <v>0</v>
      </c>
      <c r="J50" s="378">
        <f>I50*D50</f>
        <v>0</v>
      </c>
    </row>
    <row r="51" spans="2:13" ht="15" customHeight="1" thickBot="1" x14ac:dyDescent="0.3">
      <c r="B51" s="382"/>
      <c r="C51" s="383"/>
      <c r="D51" s="385"/>
      <c r="E51" s="377"/>
      <c r="F51" s="387"/>
      <c r="G51" s="377"/>
      <c r="H51" s="379"/>
      <c r="I51" s="377"/>
      <c r="J51" s="379"/>
    </row>
    <row r="52" spans="2:13" ht="15" customHeight="1" x14ac:dyDescent="0.25">
      <c r="B52" s="392" t="s">
        <v>189</v>
      </c>
      <c r="C52" s="393"/>
      <c r="D52" s="394"/>
      <c r="E52" s="366">
        <f>SUM(F45:F51)</f>
        <v>7.35</v>
      </c>
      <c r="F52" s="367"/>
      <c r="G52" s="366">
        <f t="shared" ref="G52" si="3">SUM(H45:H51)</f>
        <v>6.9</v>
      </c>
      <c r="H52" s="367"/>
      <c r="I52" s="366">
        <f t="shared" ref="I52" si="4">SUM(J45:J51)</f>
        <v>5.3</v>
      </c>
      <c r="J52" s="367"/>
    </row>
    <row r="53" spans="2:13" ht="15" customHeight="1" thickBot="1" x14ac:dyDescent="0.3">
      <c r="B53" s="395"/>
      <c r="C53" s="396"/>
      <c r="D53" s="397"/>
      <c r="E53" s="368"/>
      <c r="F53" s="369"/>
      <c r="G53" s="368"/>
      <c r="H53" s="369"/>
      <c r="I53" s="368"/>
      <c r="J53" s="369"/>
      <c r="K53" s="100"/>
      <c r="L53" s="100"/>
      <c r="M53" s="100"/>
    </row>
    <row r="54" spans="2:13" ht="14.4" thickBot="1" x14ac:dyDescent="0.3">
      <c r="B54" s="100"/>
      <c r="C54" s="100"/>
      <c r="D54" s="100"/>
      <c r="E54" s="100"/>
      <c r="F54" s="100"/>
    </row>
    <row r="55" spans="2:13" x14ac:dyDescent="0.25">
      <c r="B55" s="370" t="str">
        <f>"מסקנה: הספק הנבחר על פי טבלת מדרוג זו הינו "&amp;_xlfn.XLOOKUP(MAX(E52:J53),E52:J52,E43:J43)&amp;", כיוון שציונו הסופי המשוקלל הינו הגבוה ביותר."</f>
        <v>מסקנה: הספק הנבחר על פי טבלת מדרוג זו הינו ספק א': 
סומיץ, כיוון שציונו הסופי המשוקלל הינו הגבוה ביותר.</v>
      </c>
      <c r="C55" s="371"/>
      <c r="D55" s="371"/>
      <c r="E55" s="371"/>
      <c r="F55" s="371"/>
      <c r="G55" s="371"/>
      <c r="H55" s="371"/>
      <c r="I55" s="371"/>
      <c r="J55" s="372"/>
    </row>
    <row r="56" spans="2:13" ht="14.4" thickBot="1" x14ac:dyDescent="0.3">
      <c r="B56" s="373"/>
      <c r="C56" s="374"/>
      <c r="D56" s="374"/>
      <c r="E56" s="374"/>
      <c r="F56" s="374"/>
      <c r="G56" s="374"/>
      <c r="H56" s="374"/>
      <c r="I56" s="374"/>
      <c r="J56" s="375"/>
    </row>
  </sheetData>
  <sheetProtection algorithmName="SHA-512" hashValue="U/YSxU9SrGxvnn6d716Jg4xL4cxTMU2DZ4tuEVbWHxbTqpR1x0DphbnLkUgVshFD2uJT2oi4CysatOOow3GUxA==" saltValue="oGLxnkzVy2oMqNdtieq/HQ==" spinCount="100000" sheet="1" objects="1" scenarios="1" selectLockedCells="1" selectUnlockedCells="1"/>
  <mergeCells count="148">
    <mergeCell ref="B2:C2"/>
    <mergeCell ref="B3:B4"/>
    <mergeCell ref="C3:C4"/>
    <mergeCell ref="D3:D4"/>
    <mergeCell ref="E3:E4"/>
    <mergeCell ref="F3:F4"/>
    <mergeCell ref="T3:T4"/>
    <mergeCell ref="B5:B6"/>
    <mergeCell ref="C5:D6"/>
    <mergeCell ref="E5:E6"/>
    <mergeCell ref="F5:F6"/>
    <mergeCell ref="G5:G6"/>
    <mergeCell ref="H5:H6"/>
    <mergeCell ref="I5:I6"/>
    <mergeCell ref="J5:J6"/>
    <mergeCell ref="K5:K6"/>
    <mergeCell ref="M3:M4"/>
    <mergeCell ref="N3:N4"/>
    <mergeCell ref="O3:O4"/>
    <mergeCell ref="P3:P4"/>
    <mergeCell ref="R3:R4"/>
    <mergeCell ref="S3:S4"/>
    <mergeCell ref="G3:G4"/>
    <mergeCell ref="H3:H4"/>
    <mergeCell ref="I3:I4"/>
    <mergeCell ref="J3:J4"/>
    <mergeCell ref="K3:K4"/>
    <mergeCell ref="L3:L4"/>
    <mergeCell ref="S5:S6"/>
    <mergeCell ref="T5:T6"/>
    <mergeCell ref="B7:B8"/>
    <mergeCell ref="C7:D8"/>
    <mergeCell ref="E7:E8"/>
    <mergeCell ref="F7:F8"/>
    <mergeCell ref="G7:G8"/>
    <mergeCell ref="H7:H8"/>
    <mergeCell ref="I7:I8"/>
    <mergeCell ref="J7:J8"/>
    <mergeCell ref="L5:L6"/>
    <mergeCell ref="M5:M6"/>
    <mergeCell ref="N5:N6"/>
    <mergeCell ref="O5:O6"/>
    <mergeCell ref="P5:P6"/>
    <mergeCell ref="R5:R6"/>
    <mergeCell ref="R7:R8"/>
    <mergeCell ref="K7:K8"/>
    <mergeCell ref="L7:L8"/>
    <mergeCell ref="M7:M8"/>
    <mergeCell ref="N7:N8"/>
    <mergeCell ref="O7:O8"/>
    <mergeCell ref="P7:P8"/>
    <mergeCell ref="S9:S10"/>
    <mergeCell ref="T9:T10"/>
    <mergeCell ref="B11:B12"/>
    <mergeCell ref="C11:D12"/>
    <mergeCell ref="R11:R12"/>
    <mergeCell ref="B13:K14"/>
    <mergeCell ref="L9:L10"/>
    <mergeCell ref="M9:M10"/>
    <mergeCell ref="N9:N10"/>
    <mergeCell ref="O9:O10"/>
    <mergeCell ref="P9:P10"/>
    <mergeCell ref="R9:R10"/>
    <mergeCell ref="B9:B10"/>
    <mergeCell ref="C9:D10"/>
    <mergeCell ref="E9:E10"/>
    <mergeCell ref="F9:F10"/>
    <mergeCell ref="G9:G10"/>
    <mergeCell ref="H9:H10"/>
    <mergeCell ref="I9:I10"/>
    <mergeCell ref="J9:J10"/>
    <mergeCell ref="K9:K10"/>
    <mergeCell ref="B25:C25"/>
    <mergeCell ref="D25:E25"/>
    <mergeCell ref="B26:C26"/>
    <mergeCell ref="D26:E26"/>
    <mergeCell ref="B27:C27"/>
    <mergeCell ref="D27:E27"/>
    <mergeCell ref="B16:C16"/>
    <mergeCell ref="B17:K17"/>
    <mergeCell ref="B18:K18"/>
    <mergeCell ref="B19:K19"/>
    <mergeCell ref="B20:K20"/>
    <mergeCell ref="B24:E24"/>
    <mergeCell ref="B32:C33"/>
    <mergeCell ref="D32:E33"/>
    <mergeCell ref="F32:G33"/>
    <mergeCell ref="H32:I33"/>
    <mergeCell ref="B34:C35"/>
    <mergeCell ref="D34:E35"/>
    <mergeCell ref="F34:G35"/>
    <mergeCell ref="H34:I35"/>
    <mergeCell ref="B29:C29"/>
    <mergeCell ref="B30:B31"/>
    <mergeCell ref="C30:C31"/>
    <mergeCell ref="D30:E30"/>
    <mergeCell ref="F30:G30"/>
    <mergeCell ref="H30:I30"/>
    <mergeCell ref="D31:E31"/>
    <mergeCell ref="F31:G31"/>
    <mergeCell ref="H31:I31"/>
    <mergeCell ref="B36:C37"/>
    <mergeCell ref="D36:E37"/>
    <mergeCell ref="F36:G37"/>
    <mergeCell ref="H36:I37"/>
    <mergeCell ref="B38:C39"/>
    <mergeCell ref="D38:E38"/>
    <mergeCell ref="F38:G38"/>
    <mergeCell ref="H38:I38"/>
    <mergeCell ref="D39:E39"/>
    <mergeCell ref="F39:G39"/>
    <mergeCell ref="B44:C44"/>
    <mergeCell ref="B45:C46"/>
    <mergeCell ref="D45:D46"/>
    <mergeCell ref="E45:E46"/>
    <mergeCell ref="F45:F46"/>
    <mergeCell ref="G45:G46"/>
    <mergeCell ref="H39:I39"/>
    <mergeCell ref="B42:C42"/>
    <mergeCell ref="B43:C43"/>
    <mergeCell ref="E43:F43"/>
    <mergeCell ref="G43:H43"/>
    <mergeCell ref="I43:J43"/>
    <mergeCell ref="H45:H46"/>
    <mergeCell ref="I45:I46"/>
    <mergeCell ref="J45:J46"/>
    <mergeCell ref="B47:C47"/>
    <mergeCell ref="B48:C49"/>
    <mergeCell ref="D48:D49"/>
    <mergeCell ref="E48:E49"/>
    <mergeCell ref="F48:F49"/>
    <mergeCell ref="G48:G49"/>
    <mergeCell ref="H48:H49"/>
    <mergeCell ref="B52:D53"/>
    <mergeCell ref="E52:F53"/>
    <mergeCell ref="G52:H53"/>
    <mergeCell ref="I52:J53"/>
    <mergeCell ref="B55:J56"/>
    <mergeCell ref="I48:I49"/>
    <mergeCell ref="J48:J49"/>
    <mergeCell ref="B50:C51"/>
    <mergeCell ref="D50:D51"/>
    <mergeCell ref="E50:E51"/>
    <mergeCell ref="F50:F51"/>
    <mergeCell ref="G50:G51"/>
    <mergeCell ref="H50:H51"/>
    <mergeCell ref="I50:I51"/>
    <mergeCell ref="J50:J51"/>
  </mergeCells>
  <conditionalFormatting sqref="E52:J53">
    <cfRule type="top10" dxfId="1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2972-A370-443F-8602-C6D0F5805F38}">
  <sheetPr>
    <tabColor theme="4" tint="0.39997558519241921"/>
  </sheetPr>
  <dimension ref="B1:X29"/>
  <sheetViews>
    <sheetView rightToLeft="1" workbookViewId="0"/>
  </sheetViews>
  <sheetFormatPr defaultRowHeight="13.8" x14ac:dyDescent="0.25"/>
  <cols>
    <col min="1" max="1" width="2.69921875" customWidth="1"/>
    <col min="2" max="2" width="8.796875" customWidth="1"/>
    <col min="8" max="10" width="8.796875" customWidth="1"/>
    <col min="16" max="18" width="8.796875" customWidth="1"/>
    <col min="24" max="24" width="8.796875" customWidth="1"/>
  </cols>
  <sheetData>
    <row r="1" spans="2:24" ht="14.4" thickBot="1" x14ac:dyDescent="0.3"/>
    <row r="2" spans="2:24" ht="15.6" customHeight="1" x14ac:dyDescent="0.25">
      <c r="B2" s="491" t="s">
        <v>190</v>
      </c>
      <c r="C2" s="492"/>
      <c r="D2" s="492"/>
      <c r="E2" s="492"/>
      <c r="F2" s="492"/>
      <c r="G2" s="492"/>
      <c r="H2" s="492"/>
      <c r="I2" s="492"/>
      <c r="J2" s="492"/>
      <c r="K2" s="492"/>
      <c r="L2" s="493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</row>
    <row r="3" spans="2:24" ht="14.4" customHeight="1" x14ac:dyDescent="0.25">
      <c r="B3" s="494"/>
      <c r="C3" s="495"/>
      <c r="D3" s="495"/>
      <c r="E3" s="495"/>
      <c r="F3" s="495"/>
      <c r="G3" s="495"/>
      <c r="H3" s="495"/>
      <c r="I3" s="495"/>
      <c r="J3" s="495"/>
      <c r="K3" s="495"/>
      <c r="L3" s="496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2:24" ht="15" customHeight="1" x14ac:dyDescent="0.25">
      <c r="B4" s="494"/>
      <c r="C4" s="495"/>
      <c r="D4" s="495"/>
      <c r="E4" s="495"/>
      <c r="F4" s="495"/>
      <c r="G4" s="495"/>
      <c r="H4" s="495"/>
      <c r="I4" s="495"/>
      <c r="J4" s="495"/>
      <c r="K4" s="495"/>
      <c r="L4" s="496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</row>
    <row r="5" spans="2:24" ht="14.4" customHeight="1" thickBot="1" x14ac:dyDescent="0.3">
      <c r="B5" s="497"/>
      <c r="C5" s="498"/>
      <c r="D5" s="498"/>
      <c r="E5" s="498"/>
      <c r="F5" s="498"/>
      <c r="G5" s="498"/>
      <c r="H5" s="498"/>
      <c r="I5" s="498"/>
      <c r="J5" s="498"/>
      <c r="K5" s="498"/>
      <c r="L5" s="499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</row>
    <row r="6" spans="2:24" ht="15" customHeight="1" x14ac:dyDescent="0.25">
      <c r="B6" s="500" t="s">
        <v>19</v>
      </c>
      <c r="C6" s="418" t="s">
        <v>191</v>
      </c>
      <c r="D6" s="419"/>
      <c r="E6" s="418" t="s">
        <v>192</v>
      </c>
      <c r="F6" s="419"/>
      <c r="G6" s="505" t="str">
        <f>'מדרוג ספקים קפואים'!E43</f>
        <v>ספק א': 
סומיץ</v>
      </c>
      <c r="H6" s="506"/>
      <c r="I6" s="505" t="str">
        <f>'מדרוג ספקים קפואים'!G43</f>
        <v>ספק ב': 
סחוט</v>
      </c>
      <c r="J6" s="506"/>
      <c r="K6" s="505" t="str">
        <f>'מדרוג ספקים קפואים'!I43</f>
        <v>ספק ג': 
א.א מטעמים</v>
      </c>
      <c r="L6" s="506"/>
    </row>
    <row r="7" spans="2:24" ht="14.4" customHeight="1" thickBot="1" x14ac:dyDescent="0.3">
      <c r="B7" s="501"/>
      <c r="C7" s="503"/>
      <c r="D7" s="504"/>
      <c r="E7" s="503"/>
      <c r="F7" s="504"/>
      <c r="G7" s="507"/>
      <c r="H7" s="508"/>
      <c r="I7" s="507"/>
      <c r="J7" s="508"/>
      <c r="K7" s="507"/>
      <c r="L7" s="508"/>
    </row>
    <row r="8" spans="2:24" ht="15" customHeight="1" x14ac:dyDescent="0.25">
      <c r="B8" s="501"/>
      <c r="C8" s="503"/>
      <c r="D8" s="504"/>
      <c r="E8" s="503"/>
      <c r="F8" s="504"/>
      <c r="G8" s="509" t="s">
        <v>193</v>
      </c>
      <c r="H8" s="510"/>
      <c r="I8" s="509" t="s">
        <v>193</v>
      </c>
      <c r="J8" s="510"/>
      <c r="K8" s="509" t="s">
        <v>193</v>
      </c>
      <c r="L8" s="510"/>
    </row>
    <row r="9" spans="2:24" ht="14.4" customHeight="1" thickBot="1" x14ac:dyDescent="0.3">
      <c r="B9" s="502"/>
      <c r="C9" s="420"/>
      <c r="D9" s="421"/>
      <c r="E9" s="420"/>
      <c r="F9" s="421"/>
      <c r="G9" s="511"/>
      <c r="H9" s="512"/>
      <c r="I9" s="511"/>
      <c r="J9" s="512"/>
      <c r="K9" s="511"/>
      <c r="L9" s="512"/>
    </row>
    <row r="10" spans="2:24" ht="15" customHeight="1" x14ac:dyDescent="0.25">
      <c r="B10" s="443" t="s">
        <v>28</v>
      </c>
      <c r="C10" s="481">
        <v>695</v>
      </c>
      <c r="D10" s="482"/>
      <c r="E10" s="485">
        <f>C10/$C$24</f>
        <v>0.1570266606416629</v>
      </c>
      <c r="F10" s="486"/>
      <c r="G10" s="409">
        <f>49/2.5</f>
        <v>19.600000000000001</v>
      </c>
      <c r="H10" s="400"/>
      <c r="I10" s="409">
        <v>22</v>
      </c>
      <c r="J10" s="400"/>
      <c r="K10" s="409">
        <v>15.2</v>
      </c>
      <c r="L10" s="400"/>
    </row>
    <row r="11" spans="2:24" ht="14.4" customHeight="1" thickBot="1" x14ac:dyDescent="0.3">
      <c r="B11" s="444"/>
      <c r="C11" s="483"/>
      <c r="D11" s="484"/>
      <c r="E11" s="487"/>
      <c r="F11" s="488"/>
      <c r="G11" s="402"/>
      <c r="H11" s="401"/>
      <c r="I11" s="402"/>
      <c r="J11" s="401"/>
      <c r="K11" s="402"/>
      <c r="L11" s="401"/>
    </row>
    <row r="12" spans="2:24" ht="15" customHeight="1" x14ac:dyDescent="0.25">
      <c r="B12" s="443" t="s">
        <v>27</v>
      </c>
      <c r="C12" s="481">
        <v>846</v>
      </c>
      <c r="D12" s="482"/>
      <c r="E12" s="485">
        <f t="shared" ref="E12" si="0">C12/$C$24</f>
        <v>0.1911432444645278</v>
      </c>
      <c r="F12" s="486"/>
      <c r="G12" s="409">
        <f>38/2.5</f>
        <v>15.2</v>
      </c>
      <c r="H12" s="400"/>
      <c r="I12" s="409">
        <v>16.45</v>
      </c>
      <c r="J12" s="400"/>
      <c r="K12" s="409">
        <v>13.5</v>
      </c>
      <c r="L12" s="400"/>
    </row>
    <row r="13" spans="2:24" ht="14.4" customHeight="1" thickBot="1" x14ac:dyDescent="0.3">
      <c r="B13" s="444"/>
      <c r="C13" s="483"/>
      <c r="D13" s="484"/>
      <c r="E13" s="487"/>
      <c r="F13" s="488"/>
      <c r="G13" s="402"/>
      <c r="H13" s="401"/>
      <c r="I13" s="402"/>
      <c r="J13" s="401"/>
      <c r="K13" s="402"/>
      <c r="L13" s="401"/>
    </row>
    <row r="14" spans="2:24" ht="15" customHeight="1" x14ac:dyDescent="0.25">
      <c r="B14" s="443" t="s">
        <v>32</v>
      </c>
      <c r="C14" s="481">
        <v>1012</v>
      </c>
      <c r="D14" s="482"/>
      <c r="E14" s="485">
        <f t="shared" ref="E14" si="1">C14/$C$24</f>
        <v>0.22864889290555807</v>
      </c>
      <c r="F14" s="486"/>
      <c r="G14" s="409">
        <f>30/2.5</f>
        <v>12</v>
      </c>
      <c r="H14" s="400"/>
      <c r="I14" s="409">
        <v>15</v>
      </c>
      <c r="J14" s="400"/>
      <c r="K14" s="409">
        <v>7.2</v>
      </c>
      <c r="L14" s="400"/>
    </row>
    <row r="15" spans="2:24" ht="14.4" customHeight="1" thickBot="1" x14ac:dyDescent="0.3">
      <c r="B15" s="444"/>
      <c r="C15" s="483"/>
      <c r="D15" s="484"/>
      <c r="E15" s="487"/>
      <c r="F15" s="488"/>
      <c r="G15" s="402"/>
      <c r="H15" s="401"/>
      <c r="I15" s="402"/>
      <c r="J15" s="401"/>
      <c r="K15" s="402"/>
      <c r="L15" s="401"/>
    </row>
    <row r="16" spans="2:24" ht="15" customHeight="1" x14ac:dyDescent="0.25">
      <c r="B16" s="489" t="s">
        <v>44</v>
      </c>
      <c r="C16" s="481">
        <v>500</v>
      </c>
      <c r="D16" s="482"/>
      <c r="E16" s="485">
        <f t="shared" ref="E16" si="2">C16/$C$24</f>
        <v>0.11296882060551287</v>
      </c>
      <c r="F16" s="486"/>
      <c r="G16" s="409">
        <f>1.2*100</f>
        <v>120</v>
      </c>
      <c r="H16" s="400"/>
      <c r="I16" s="409">
        <v>82</v>
      </c>
      <c r="J16" s="400"/>
      <c r="K16" s="409">
        <v>115</v>
      </c>
      <c r="L16" s="400"/>
    </row>
    <row r="17" spans="2:12" ht="14.4" customHeight="1" thickBot="1" x14ac:dyDescent="0.3">
      <c r="B17" s="490"/>
      <c r="C17" s="483"/>
      <c r="D17" s="484"/>
      <c r="E17" s="487"/>
      <c r="F17" s="488"/>
      <c r="G17" s="402"/>
      <c r="H17" s="401"/>
      <c r="I17" s="402"/>
      <c r="J17" s="401"/>
      <c r="K17" s="402"/>
      <c r="L17" s="401"/>
    </row>
    <row r="18" spans="2:12" ht="15" customHeight="1" x14ac:dyDescent="0.25">
      <c r="B18" s="443" t="s">
        <v>39</v>
      </c>
      <c r="C18" s="481">
        <v>478</v>
      </c>
      <c r="D18" s="482"/>
      <c r="E18" s="485">
        <f t="shared" ref="E18" si="3">C18/$C$24</f>
        <v>0.10799819249887031</v>
      </c>
      <c r="F18" s="486"/>
      <c r="G18" s="409">
        <f>47.5/2.5</f>
        <v>19</v>
      </c>
      <c r="H18" s="400"/>
      <c r="I18" s="409">
        <v>14</v>
      </c>
      <c r="J18" s="400"/>
      <c r="K18" s="409">
        <v>13</v>
      </c>
      <c r="L18" s="400"/>
    </row>
    <row r="19" spans="2:12" ht="15" customHeight="1" thickBot="1" x14ac:dyDescent="0.3">
      <c r="B19" s="444"/>
      <c r="C19" s="483"/>
      <c r="D19" s="484"/>
      <c r="E19" s="487"/>
      <c r="F19" s="488"/>
      <c r="G19" s="402"/>
      <c r="H19" s="401"/>
      <c r="I19" s="402"/>
      <c r="J19" s="401"/>
      <c r="K19" s="402"/>
      <c r="L19" s="401"/>
    </row>
    <row r="20" spans="2:12" ht="14.4" customHeight="1" x14ac:dyDescent="0.25">
      <c r="B20" s="443" t="s">
        <v>45</v>
      </c>
      <c r="C20" s="481">
        <v>745</v>
      </c>
      <c r="D20" s="482"/>
      <c r="E20" s="485">
        <f t="shared" ref="E20" si="4">C20/$C$24</f>
        <v>0.1683235427022142</v>
      </c>
      <c r="F20" s="486"/>
      <c r="G20" s="409">
        <f>43/2.5</f>
        <v>17.2</v>
      </c>
      <c r="H20" s="400"/>
      <c r="I20" s="409">
        <v>6.5</v>
      </c>
      <c r="J20" s="400"/>
      <c r="K20" s="409">
        <v>8.5</v>
      </c>
      <c r="L20" s="400"/>
    </row>
    <row r="21" spans="2:12" ht="15" customHeight="1" thickBot="1" x14ac:dyDescent="0.3">
      <c r="B21" s="444"/>
      <c r="C21" s="483"/>
      <c r="D21" s="484"/>
      <c r="E21" s="487"/>
      <c r="F21" s="488"/>
      <c r="G21" s="402"/>
      <c r="H21" s="401"/>
      <c r="I21" s="402"/>
      <c r="J21" s="401"/>
      <c r="K21" s="402"/>
      <c r="L21" s="401"/>
    </row>
    <row r="22" spans="2:12" ht="14.4" customHeight="1" x14ac:dyDescent="0.25">
      <c r="B22" s="443" t="s">
        <v>194</v>
      </c>
      <c r="C22" s="481">
        <v>150</v>
      </c>
      <c r="D22" s="482"/>
      <c r="E22" s="485">
        <f t="shared" ref="E22" si="5">C22/$C$24</f>
        <v>3.3890646181653862E-2</v>
      </c>
      <c r="F22" s="486"/>
      <c r="G22" s="409">
        <f>45/2</f>
        <v>22.5</v>
      </c>
      <c r="H22" s="400"/>
      <c r="I22" s="409">
        <v>17.5</v>
      </c>
      <c r="J22" s="400"/>
      <c r="K22" s="409">
        <v>18.75</v>
      </c>
      <c r="L22" s="400"/>
    </row>
    <row r="23" spans="2:12" ht="15" customHeight="1" thickBot="1" x14ac:dyDescent="0.3">
      <c r="B23" s="444"/>
      <c r="C23" s="483"/>
      <c r="D23" s="484"/>
      <c r="E23" s="487"/>
      <c r="F23" s="488"/>
      <c r="G23" s="402"/>
      <c r="H23" s="401"/>
      <c r="I23" s="402"/>
      <c r="J23" s="401"/>
      <c r="K23" s="402"/>
      <c r="L23" s="401"/>
    </row>
    <row r="24" spans="2:12" x14ac:dyDescent="0.25">
      <c r="B24" s="467" t="s">
        <v>195</v>
      </c>
      <c r="C24" s="469">
        <f>SUM(C$10:D$23)</f>
        <v>4426</v>
      </c>
      <c r="D24" s="470"/>
      <c r="E24" s="473">
        <f>SUM(E$10:F$23)</f>
        <v>0.99999999999999989</v>
      </c>
      <c r="F24" s="474"/>
      <c r="G24" s="477">
        <f>SUM(G$10:H$23)</f>
        <v>225.5</v>
      </c>
      <c r="H24" s="478"/>
      <c r="I24" s="477">
        <f>SUM(I$10:J$23)</f>
        <v>173.45</v>
      </c>
      <c r="J24" s="478"/>
      <c r="K24" s="477">
        <f>SUM(K$10:L$23)</f>
        <v>191.15</v>
      </c>
      <c r="L24" s="478"/>
    </row>
    <row r="25" spans="2:12" ht="14.4" thickBot="1" x14ac:dyDescent="0.3">
      <c r="B25" s="468"/>
      <c r="C25" s="471"/>
      <c r="D25" s="472"/>
      <c r="E25" s="475"/>
      <c r="F25" s="476"/>
      <c r="G25" s="479"/>
      <c r="H25" s="480"/>
      <c r="I25" s="479"/>
      <c r="J25" s="480"/>
      <c r="K25" s="479"/>
      <c r="L25" s="480"/>
    </row>
    <row r="26" spans="2:12" ht="13.8" customHeight="1" x14ac:dyDescent="0.25">
      <c r="B26" s="103"/>
      <c r="C26" s="104"/>
      <c r="D26" s="104"/>
      <c r="E26" s="104"/>
      <c r="F26" s="105"/>
      <c r="G26" s="461">
        <f>SUMPRODUCT($E$10:$F$23,G10:H23)/$E$24</f>
        <v>27.99281518300949</v>
      </c>
      <c r="H26" s="462"/>
      <c r="I26" s="461">
        <f t="shared" ref="I26" si="6">SUMPRODUCT($E$10:$F$23,I10:J23)/$E$24</f>
        <v>22.491233619521019</v>
      </c>
      <c r="J26" s="462"/>
      <c r="K26" s="461">
        <f t="shared" ref="K26" si="7">SUMPRODUCT($E$10:$F$23,K10:L23)/$E$24</f>
        <v>23.075101671938544</v>
      </c>
      <c r="L26" s="462"/>
    </row>
    <row r="27" spans="2:12" ht="13.8" customHeight="1" x14ac:dyDescent="0.25">
      <c r="B27" s="106"/>
      <c r="C27" s="107"/>
      <c r="D27" s="107"/>
      <c r="E27" s="107"/>
      <c r="F27" s="108"/>
      <c r="G27" s="463"/>
      <c r="H27" s="464"/>
      <c r="I27" s="463"/>
      <c r="J27" s="464"/>
      <c r="K27" s="463"/>
      <c r="L27" s="464"/>
    </row>
    <row r="28" spans="2:12" ht="13.8" customHeight="1" x14ac:dyDescent="0.25">
      <c r="B28" s="106"/>
      <c r="C28" s="107"/>
      <c r="D28" s="107"/>
      <c r="E28" s="107"/>
      <c r="F28" s="108"/>
      <c r="G28" s="463"/>
      <c r="H28" s="464"/>
      <c r="I28" s="463"/>
      <c r="J28" s="464"/>
      <c r="K28" s="463"/>
      <c r="L28" s="464"/>
    </row>
    <row r="29" spans="2:12" ht="14.4" customHeight="1" thickBot="1" x14ac:dyDescent="0.3">
      <c r="B29" s="109"/>
      <c r="C29" s="110"/>
      <c r="D29" s="110"/>
      <c r="E29" s="110"/>
      <c r="F29" s="111"/>
      <c r="G29" s="465"/>
      <c r="H29" s="466"/>
      <c r="I29" s="465"/>
      <c r="J29" s="466"/>
      <c r="K29" s="465"/>
      <c r="L29" s="466"/>
    </row>
  </sheetData>
  <sheetProtection algorithmName="SHA-512" hashValue="kqExxUFg0zFW/gyW8neKkAJD+IqhK1EndfArb6H400q8o6VWIGCWUn+IxsXEEjAZaeCBRZLxn6Y7fm5Dd1pd/A==" saltValue="NfrVrW6+/0+qBdLKgIrmQg==" spinCount="100000" sheet="1" objects="1" scenarios="1" selectLockedCells="1" selectUnlockedCells="1"/>
  <mergeCells count="61">
    <mergeCell ref="K10:L11"/>
    <mergeCell ref="B2:L5"/>
    <mergeCell ref="B6:B9"/>
    <mergeCell ref="C6:D9"/>
    <mergeCell ref="E6:F9"/>
    <mergeCell ref="G6:H7"/>
    <mergeCell ref="I6:J7"/>
    <mergeCell ref="K6:L7"/>
    <mergeCell ref="G8:H9"/>
    <mergeCell ref="I8:J9"/>
    <mergeCell ref="K8:L9"/>
    <mergeCell ref="B10:B11"/>
    <mergeCell ref="C10:D11"/>
    <mergeCell ref="E10:F11"/>
    <mergeCell ref="G10:H11"/>
    <mergeCell ref="I10:J11"/>
    <mergeCell ref="K14:L15"/>
    <mergeCell ref="B12:B13"/>
    <mergeCell ref="C12:D13"/>
    <mergeCell ref="E12:F13"/>
    <mergeCell ref="G12:H13"/>
    <mergeCell ref="I12:J13"/>
    <mergeCell ref="K12:L13"/>
    <mergeCell ref="B14:B15"/>
    <mergeCell ref="C14:D15"/>
    <mergeCell ref="E14:F15"/>
    <mergeCell ref="G14:H15"/>
    <mergeCell ref="I14:J15"/>
    <mergeCell ref="K18:L19"/>
    <mergeCell ref="B16:B17"/>
    <mergeCell ref="C16:D17"/>
    <mergeCell ref="E16:F17"/>
    <mergeCell ref="G16:H17"/>
    <mergeCell ref="I16:J17"/>
    <mergeCell ref="K16:L17"/>
    <mergeCell ref="B18:B19"/>
    <mergeCell ref="C18:D19"/>
    <mergeCell ref="E18:F19"/>
    <mergeCell ref="G18:H19"/>
    <mergeCell ref="I18:J19"/>
    <mergeCell ref="K22:L23"/>
    <mergeCell ref="B20:B21"/>
    <mergeCell ref="C20:D21"/>
    <mergeCell ref="E20:F21"/>
    <mergeCell ref="G20:H21"/>
    <mergeCell ref="I20:J21"/>
    <mergeCell ref="K20:L21"/>
    <mergeCell ref="B22:B23"/>
    <mergeCell ref="C22:D23"/>
    <mergeCell ref="E22:F23"/>
    <mergeCell ref="G22:H23"/>
    <mergeCell ref="I22:J23"/>
    <mergeCell ref="G26:H29"/>
    <mergeCell ref="I26:J29"/>
    <mergeCell ref="K26:L29"/>
    <mergeCell ref="B24:B25"/>
    <mergeCell ref="C24:D25"/>
    <mergeCell ref="E24:F25"/>
    <mergeCell ref="G24:H25"/>
    <mergeCell ref="I24:J25"/>
    <mergeCell ref="K24:L2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314C-D037-4CB5-A9E3-0A54143C8632}">
  <sheetPr>
    <tabColor theme="4" tint="0.79998168889431442"/>
  </sheetPr>
  <dimension ref="B1:X48"/>
  <sheetViews>
    <sheetView rightToLeft="1" workbookViewId="0"/>
  </sheetViews>
  <sheetFormatPr defaultRowHeight="13.8" x14ac:dyDescent="0.25"/>
  <cols>
    <col min="1" max="1" width="1.796875" customWidth="1"/>
    <col min="2" max="2" width="11.5" bestFit="1" customWidth="1"/>
    <col min="12" max="12" width="9.8984375" bestFit="1" customWidth="1"/>
  </cols>
  <sheetData>
    <row r="1" spans="2:24" ht="14.4" thickBot="1" x14ac:dyDescent="0.3"/>
    <row r="2" spans="2:24" ht="14.4" customHeight="1" x14ac:dyDescent="0.25">
      <c r="B2" s="491" t="s">
        <v>219</v>
      </c>
      <c r="C2" s="492"/>
      <c r="D2" s="492"/>
      <c r="E2" s="492"/>
      <c r="F2" s="492"/>
      <c r="G2" s="492"/>
      <c r="H2" s="492"/>
      <c r="I2" s="492"/>
      <c r="J2" s="492"/>
      <c r="K2" s="492"/>
      <c r="L2" s="493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</row>
    <row r="3" spans="2:24" ht="14.4" customHeight="1" x14ac:dyDescent="0.25">
      <c r="B3" s="494"/>
      <c r="C3" s="495"/>
      <c r="D3" s="495"/>
      <c r="E3" s="495"/>
      <c r="F3" s="495"/>
      <c r="G3" s="495"/>
      <c r="H3" s="495"/>
      <c r="I3" s="495"/>
      <c r="J3" s="495"/>
      <c r="K3" s="495"/>
      <c r="L3" s="496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2:24" ht="14.4" customHeight="1" thickBot="1" x14ac:dyDescent="0.3">
      <c r="B4" s="497"/>
      <c r="C4" s="498"/>
      <c r="D4" s="498"/>
      <c r="E4" s="498"/>
      <c r="F4" s="498"/>
      <c r="G4" s="498"/>
      <c r="H4" s="498"/>
      <c r="I4" s="498"/>
      <c r="J4" s="498"/>
      <c r="K4" s="498"/>
      <c r="L4" s="499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</row>
    <row r="5" spans="2:24" ht="14.4" thickBot="1" x14ac:dyDescent="0.3"/>
    <row r="6" spans="2:24" ht="14.4" customHeight="1" x14ac:dyDescent="0.25">
      <c r="B6" s="529" t="str">
        <f>'מדרוג ספקים קפואים'!E43</f>
        <v>ספק א': 
סומיץ</v>
      </c>
      <c r="C6" s="530"/>
      <c r="D6" s="530"/>
      <c r="E6" s="530"/>
      <c r="F6" s="530"/>
      <c r="G6" s="530"/>
      <c r="H6" s="530"/>
      <c r="I6" s="533" t="s">
        <v>196</v>
      </c>
      <c r="J6" s="533"/>
      <c r="K6" s="533" t="s">
        <v>197</v>
      </c>
      <c r="L6" s="535">
        <f>COUNTIF(C10:L11,"+")</f>
        <v>10</v>
      </c>
    </row>
    <row r="7" spans="2:24" ht="15" customHeight="1" thickBot="1" x14ac:dyDescent="0.3">
      <c r="B7" s="531"/>
      <c r="C7" s="532"/>
      <c r="D7" s="532"/>
      <c r="E7" s="532"/>
      <c r="F7" s="532"/>
      <c r="G7" s="532"/>
      <c r="H7" s="532"/>
      <c r="I7" s="534"/>
      <c r="J7" s="534"/>
      <c r="K7" s="534"/>
      <c r="L7" s="536"/>
    </row>
    <row r="8" spans="2:24" x14ac:dyDescent="0.25">
      <c r="B8" s="500" t="s">
        <v>198</v>
      </c>
      <c r="C8" s="419">
        <v>10</v>
      </c>
      <c r="D8" s="448">
        <v>9</v>
      </c>
      <c r="E8" s="448">
        <v>8</v>
      </c>
      <c r="F8" s="448">
        <v>7</v>
      </c>
      <c r="G8" s="448">
        <v>6</v>
      </c>
      <c r="H8" s="448">
        <v>5</v>
      </c>
      <c r="I8" s="448">
        <v>4</v>
      </c>
      <c r="J8" s="448">
        <v>3</v>
      </c>
      <c r="K8" s="448">
        <v>2</v>
      </c>
      <c r="L8" s="448">
        <v>1</v>
      </c>
    </row>
    <row r="9" spans="2:24" ht="14.4" thickBot="1" x14ac:dyDescent="0.3">
      <c r="B9" s="502"/>
      <c r="C9" s="421"/>
      <c r="D9" s="449"/>
      <c r="E9" s="449"/>
      <c r="F9" s="449"/>
      <c r="G9" s="449"/>
      <c r="H9" s="449"/>
      <c r="I9" s="449"/>
      <c r="J9" s="449"/>
      <c r="K9" s="449"/>
      <c r="L9" s="449"/>
    </row>
    <row r="10" spans="2:24" ht="14.4" customHeight="1" x14ac:dyDescent="0.25">
      <c r="B10" s="443" t="s">
        <v>152</v>
      </c>
      <c r="C10" s="441" t="str">
        <f t="shared" ref="C10:L10" si="0">_xlfn.XLOOKUP(C8,$C$31:$V$31,$C$36:$V$36)</f>
        <v>+</v>
      </c>
      <c r="D10" s="441" t="str">
        <f t="shared" si="0"/>
        <v>+</v>
      </c>
      <c r="E10" s="441" t="str">
        <f t="shared" si="0"/>
        <v>+</v>
      </c>
      <c r="F10" s="441" t="str">
        <f t="shared" si="0"/>
        <v>+</v>
      </c>
      <c r="G10" s="441" t="str">
        <f t="shared" si="0"/>
        <v>+</v>
      </c>
      <c r="H10" s="441" t="str">
        <f t="shared" si="0"/>
        <v>+</v>
      </c>
      <c r="I10" s="441" t="str">
        <f t="shared" si="0"/>
        <v>+</v>
      </c>
      <c r="J10" s="441" t="str">
        <f t="shared" si="0"/>
        <v>+</v>
      </c>
      <c r="K10" s="441" t="str">
        <f t="shared" si="0"/>
        <v>+</v>
      </c>
      <c r="L10" s="441" t="str">
        <f t="shared" si="0"/>
        <v>+</v>
      </c>
    </row>
    <row r="11" spans="2:24" ht="15" customHeight="1" thickBot="1" x14ac:dyDescent="0.3">
      <c r="B11" s="444"/>
      <c r="C11" s="442"/>
      <c r="D11" s="442"/>
      <c r="E11" s="442"/>
      <c r="F11" s="442"/>
      <c r="G11" s="442"/>
      <c r="H11" s="442"/>
      <c r="I11" s="442"/>
      <c r="J11" s="442"/>
      <c r="K11" s="442"/>
      <c r="L11" s="442"/>
    </row>
    <row r="12" spans="2:24" ht="14.4" thickBot="1" x14ac:dyDescent="0.3"/>
    <row r="13" spans="2:24" ht="14.4" customHeight="1" x14ac:dyDescent="0.25">
      <c r="B13" s="529" t="str">
        <f>'מדרוג ספקים קפואים'!G43</f>
        <v>ספק ב': 
סחוט</v>
      </c>
      <c r="C13" s="530"/>
      <c r="D13" s="530"/>
      <c r="E13" s="530"/>
      <c r="F13" s="530"/>
      <c r="G13" s="530"/>
      <c r="H13" s="530"/>
      <c r="I13" s="533" t="s">
        <v>196</v>
      </c>
      <c r="J13" s="533"/>
      <c r="K13" s="533" t="s">
        <v>197</v>
      </c>
      <c r="L13" s="535">
        <f>COUNTIF(C17:L18,"+")</f>
        <v>6</v>
      </c>
    </row>
    <row r="14" spans="2:24" ht="15" customHeight="1" thickBot="1" x14ac:dyDescent="0.3">
      <c r="B14" s="531"/>
      <c r="C14" s="532"/>
      <c r="D14" s="532"/>
      <c r="E14" s="532"/>
      <c r="F14" s="532"/>
      <c r="G14" s="532"/>
      <c r="H14" s="532"/>
      <c r="I14" s="534"/>
      <c r="J14" s="534"/>
      <c r="K14" s="534"/>
      <c r="L14" s="536"/>
    </row>
    <row r="15" spans="2:24" x14ac:dyDescent="0.25">
      <c r="B15" s="500" t="s">
        <v>198</v>
      </c>
      <c r="C15" s="419">
        <v>10</v>
      </c>
      <c r="D15" s="448">
        <v>9</v>
      </c>
      <c r="E15" s="448">
        <v>8</v>
      </c>
      <c r="F15" s="448">
        <v>7</v>
      </c>
      <c r="G15" s="448">
        <v>6</v>
      </c>
      <c r="H15" s="448">
        <v>5</v>
      </c>
      <c r="I15" s="448">
        <v>4</v>
      </c>
      <c r="J15" s="448">
        <v>3</v>
      </c>
      <c r="K15" s="448">
        <v>2</v>
      </c>
      <c r="L15" s="448">
        <v>1</v>
      </c>
    </row>
    <row r="16" spans="2:24" ht="14.4" thickBot="1" x14ac:dyDescent="0.3">
      <c r="B16" s="502"/>
      <c r="C16" s="421"/>
      <c r="D16" s="449"/>
      <c r="E16" s="449"/>
      <c r="F16" s="449"/>
      <c r="G16" s="449"/>
      <c r="H16" s="449"/>
      <c r="I16" s="449"/>
      <c r="J16" s="449"/>
      <c r="K16" s="449"/>
      <c r="L16" s="449"/>
    </row>
    <row r="17" spans="2:22" ht="14.4" customHeight="1" x14ac:dyDescent="0.25">
      <c r="B17" s="443" t="s">
        <v>152</v>
      </c>
      <c r="C17" s="441" t="str">
        <f>_xlfn.XLOOKUP(C15,$C$31:$V$31,$C$40:$V$40)</f>
        <v>+</v>
      </c>
      <c r="D17" s="441" t="str">
        <f>_xlfn.XLOOKUP(D15,$C$31:$V$31,$C$40:$V$40)</f>
        <v>+</v>
      </c>
      <c r="E17" s="441" t="str">
        <f>_xlfn.XLOOKUP(E15,$C$31:$V$31,$C$40:$V$40)</f>
        <v>-</v>
      </c>
      <c r="F17" s="441" t="s">
        <v>161</v>
      </c>
      <c r="G17" s="441" t="str">
        <f t="shared" ref="G17:L17" si="1">_xlfn.XLOOKUP(G15,$C$31:$V$31,$C$40:$V$40)</f>
        <v>+</v>
      </c>
      <c r="H17" s="441" t="str">
        <f t="shared" si="1"/>
        <v>+</v>
      </c>
      <c r="I17" s="441" t="str">
        <f t="shared" si="1"/>
        <v>-</v>
      </c>
      <c r="J17" s="441" t="str">
        <f t="shared" si="1"/>
        <v>+</v>
      </c>
      <c r="K17" s="441" t="str">
        <f t="shared" si="1"/>
        <v>-</v>
      </c>
      <c r="L17" s="441" t="str">
        <f t="shared" si="1"/>
        <v>+</v>
      </c>
    </row>
    <row r="18" spans="2:22" ht="15" customHeight="1" thickBot="1" x14ac:dyDescent="0.3">
      <c r="B18" s="444"/>
      <c r="C18" s="442"/>
      <c r="D18" s="442"/>
      <c r="E18" s="442"/>
      <c r="F18" s="442"/>
      <c r="G18" s="442"/>
      <c r="H18" s="442"/>
      <c r="I18" s="442"/>
      <c r="J18" s="442"/>
      <c r="K18" s="442"/>
      <c r="L18" s="442"/>
    </row>
    <row r="19" spans="2:22" ht="14.4" thickBot="1" x14ac:dyDescent="0.3"/>
    <row r="20" spans="2:22" ht="14.4" customHeight="1" x14ac:dyDescent="0.25">
      <c r="B20" s="529" t="str">
        <f>'מדרוג ספקים קפואים'!I43</f>
        <v>ספק ג': 
א.א מטעמים</v>
      </c>
      <c r="C20" s="530"/>
      <c r="D20" s="530"/>
      <c r="E20" s="530"/>
      <c r="F20" s="530"/>
      <c r="G20" s="530"/>
      <c r="H20" s="530"/>
      <c r="I20" s="533" t="s">
        <v>196</v>
      </c>
      <c r="J20" s="533"/>
      <c r="K20" s="533" t="s">
        <v>197</v>
      </c>
      <c r="L20" s="535">
        <f>COUNTIF(C24:L25,"+")</f>
        <v>5</v>
      </c>
    </row>
    <row r="21" spans="2:22" ht="15" customHeight="1" thickBot="1" x14ac:dyDescent="0.3">
      <c r="B21" s="531"/>
      <c r="C21" s="532"/>
      <c r="D21" s="532"/>
      <c r="E21" s="532"/>
      <c r="F21" s="532"/>
      <c r="G21" s="532"/>
      <c r="H21" s="532"/>
      <c r="I21" s="534"/>
      <c r="J21" s="534"/>
      <c r="K21" s="534"/>
      <c r="L21" s="536"/>
    </row>
    <row r="22" spans="2:22" x14ac:dyDescent="0.25">
      <c r="B22" s="500" t="s">
        <v>198</v>
      </c>
      <c r="C22" s="419">
        <v>10</v>
      </c>
      <c r="D22" s="448">
        <v>9</v>
      </c>
      <c r="E22" s="448">
        <v>8</v>
      </c>
      <c r="F22" s="448">
        <v>7</v>
      </c>
      <c r="G22" s="448">
        <v>6</v>
      </c>
      <c r="H22" s="448">
        <v>5</v>
      </c>
      <c r="I22" s="448">
        <v>4</v>
      </c>
      <c r="J22" s="448">
        <v>3</v>
      </c>
      <c r="K22" s="448">
        <v>2</v>
      </c>
      <c r="L22" s="448">
        <v>1</v>
      </c>
    </row>
    <row r="23" spans="2:22" ht="14.4" thickBot="1" x14ac:dyDescent="0.3">
      <c r="B23" s="502"/>
      <c r="C23" s="421"/>
      <c r="D23" s="449"/>
      <c r="E23" s="449"/>
      <c r="F23" s="449"/>
      <c r="G23" s="449"/>
      <c r="H23" s="449"/>
      <c r="I23" s="449"/>
      <c r="J23" s="449"/>
      <c r="K23" s="449"/>
      <c r="L23" s="449"/>
    </row>
    <row r="24" spans="2:22" ht="14.4" customHeight="1" x14ac:dyDescent="0.25">
      <c r="B24" s="443" t="s">
        <v>152</v>
      </c>
      <c r="C24" s="441" t="str">
        <f t="shared" ref="C24:K24" si="2">_xlfn.XLOOKUP(C22,$C$31:$V$31,$C$44:$V$44)</f>
        <v>+</v>
      </c>
      <c r="D24" s="441" t="str">
        <f t="shared" si="2"/>
        <v>+</v>
      </c>
      <c r="E24" s="441" t="str">
        <f t="shared" si="2"/>
        <v>+</v>
      </c>
      <c r="F24" s="441" t="str">
        <f t="shared" si="2"/>
        <v>-</v>
      </c>
      <c r="G24" s="441" t="str">
        <f t="shared" si="2"/>
        <v>-</v>
      </c>
      <c r="H24" s="441" t="str">
        <f t="shared" si="2"/>
        <v>+</v>
      </c>
      <c r="I24" s="441" t="str">
        <f t="shared" si="2"/>
        <v>+</v>
      </c>
      <c r="J24" s="441" t="str">
        <f t="shared" si="2"/>
        <v>-</v>
      </c>
      <c r="K24" s="441" t="str">
        <f t="shared" si="2"/>
        <v>-</v>
      </c>
      <c r="L24" s="441" t="s">
        <v>161</v>
      </c>
    </row>
    <row r="25" spans="2:22" ht="15" customHeight="1" thickBot="1" x14ac:dyDescent="0.3">
      <c r="B25" s="444"/>
      <c r="C25" s="442"/>
      <c r="D25" s="442"/>
      <c r="E25" s="442"/>
      <c r="F25" s="442"/>
      <c r="G25" s="442"/>
      <c r="H25" s="442"/>
      <c r="I25" s="442"/>
      <c r="J25" s="442"/>
      <c r="K25" s="442"/>
      <c r="L25" s="442"/>
    </row>
    <row r="27" spans="2:22" ht="14.4" thickBot="1" x14ac:dyDescent="0.3"/>
    <row r="28" spans="2:22" ht="21" customHeight="1" x14ac:dyDescent="0.25">
      <c r="B28" s="520" t="s">
        <v>199</v>
      </c>
      <c r="C28" s="521"/>
      <c r="D28" s="521"/>
      <c r="E28" s="521"/>
      <c r="F28" s="521"/>
      <c r="G28" s="521"/>
      <c r="H28" s="521"/>
      <c r="I28" s="521"/>
      <c r="J28" s="521"/>
      <c r="K28" s="521"/>
      <c r="L28" s="521"/>
      <c r="M28" s="521"/>
      <c r="N28" s="521"/>
      <c r="O28" s="521"/>
      <c r="P28" s="521"/>
      <c r="Q28" s="521"/>
      <c r="R28" s="521"/>
      <c r="S28" s="521"/>
      <c r="T28" s="521"/>
      <c r="U28" s="521"/>
      <c r="V28" s="522"/>
    </row>
    <row r="29" spans="2:22" ht="14.4" customHeight="1" x14ac:dyDescent="0.25">
      <c r="B29" s="523"/>
      <c r="C29" s="524"/>
      <c r="D29" s="524"/>
      <c r="E29" s="524"/>
      <c r="F29" s="524"/>
      <c r="G29" s="524"/>
      <c r="H29" s="524"/>
      <c r="I29" s="524"/>
      <c r="J29" s="524"/>
      <c r="K29" s="524"/>
      <c r="L29" s="524"/>
      <c r="M29" s="524"/>
      <c r="N29" s="524"/>
      <c r="O29" s="524"/>
      <c r="P29" s="524"/>
      <c r="Q29" s="524"/>
      <c r="R29" s="524"/>
      <c r="S29" s="524"/>
      <c r="T29" s="524"/>
      <c r="U29" s="524"/>
      <c r="V29" s="525"/>
    </row>
    <row r="30" spans="2:22" ht="15" customHeight="1" thickBot="1" x14ac:dyDescent="0.3">
      <c r="B30" s="526"/>
      <c r="C30" s="527"/>
      <c r="D30" s="527"/>
      <c r="E30" s="527"/>
      <c r="F30" s="527"/>
      <c r="G30" s="527"/>
      <c r="H30" s="527"/>
      <c r="I30" s="527"/>
      <c r="J30" s="527"/>
      <c r="K30" s="527"/>
      <c r="L30" s="527"/>
      <c r="M30" s="527"/>
      <c r="N30" s="527"/>
      <c r="O30" s="527"/>
      <c r="P30" s="527"/>
      <c r="Q30" s="527"/>
      <c r="R30" s="527"/>
      <c r="S30" s="527"/>
      <c r="T30" s="527"/>
      <c r="U30" s="527"/>
      <c r="V30" s="528"/>
    </row>
    <row r="31" spans="2:22" ht="14.4" customHeight="1" x14ac:dyDescent="0.25">
      <c r="B31" s="500" t="s">
        <v>198</v>
      </c>
      <c r="C31" s="418">
        <v>10</v>
      </c>
      <c r="D31" s="419"/>
      <c r="E31" s="418">
        <v>9</v>
      </c>
      <c r="F31" s="419"/>
      <c r="G31" s="418">
        <v>8</v>
      </c>
      <c r="H31" s="419"/>
      <c r="I31" s="418">
        <v>7</v>
      </c>
      <c r="J31" s="419"/>
      <c r="K31" s="418">
        <v>6</v>
      </c>
      <c r="L31" s="419"/>
      <c r="M31" s="418">
        <v>5</v>
      </c>
      <c r="N31" s="419"/>
      <c r="O31" s="418">
        <v>4</v>
      </c>
      <c r="P31" s="419"/>
      <c r="Q31" s="418">
        <v>3</v>
      </c>
      <c r="R31" s="419"/>
      <c r="S31" s="418">
        <v>2</v>
      </c>
      <c r="T31" s="419"/>
      <c r="U31" s="418">
        <v>1</v>
      </c>
      <c r="V31" s="419"/>
    </row>
    <row r="32" spans="2:22" ht="15" customHeight="1" thickBot="1" x14ac:dyDescent="0.3">
      <c r="B32" s="502"/>
      <c r="C32" s="420"/>
      <c r="D32" s="421"/>
      <c r="E32" s="420"/>
      <c r="F32" s="421"/>
      <c r="G32" s="420"/>
      <c r="H32" s="421"/>
      <c r="I32" s="420"/>
      <c r="J32" s="421"/>
      <c r="K32" s="420"/>
      <c r="L32" s="421"/>
      <c r="M32" s="420"/>
      <c r="N32" s="421"/>
      <c r="O32" s="420"/>
      <c r="P32" s="421"/>
      <c r="Q32" s="420"/>
      <c r="R32" s="421"/>
      <c r="S32" s="420"/>
      <c r="T32" s="421"/>
      <c r="U32" s="420"/>
      <c r="V32" s="421"/>
    </row>
    <row r="33" spans="2:22" ht="15" customHeight="1" x14ac:dyDescent="0.25">
      <c r="B33" s="518" t="str">
        <f>_xlfn.CONCAT("חוות דעת",CHAR(10),B6)</f>
        <v>חוות דעת
ספק א': 
סומיץ</v>
      </c>
      <c r="C33" s="409" t="s">
        <v>233</v>
      </c>
      <c r="D33" s="400"/>
      <c r="E33" s="409" t="s">
        <v>234</v>
      </c>
      <c r="F33" s="400"/>
      <c r="G33" s="409" t="s">
        <v>235</v>
      </c>
      <c r="H33" s="400"/>
      <c r="I33" s="409" t="s">
        <v>259</v>
      </c>
      <c r="J33" s="400"/>
      <c r="K33" s="409" t="s">
        <v>236</v>
      </c>
      <c r="L33" s="400"/>
      <c r="M33" s="409" t="s">
        <v>237</v>
      </c>
      <c r="N33" s="400"/>
      <c r="O33" s="409" t="s">
        <v>238</v>
      </c>
      <c r="P33" s="400"/>
      <c r="Q33" s="409" t="s">
        <v>239</v>
      </c>
      <c r="R33" s="400"/>
      <c r="S33" s="409" t="s">
        <v>240</v>
      </c>
      <c r="T33" s="400"/>
      <c r="U33" s="409" t="s">
        <v>241</v>
      </c>
      <c r="V33" s="400"/>
    </row>
    <row r="34" spans="2:22" ht="15.6" customHeight="1" x14ac:dyDescent="0.25">
      <c r="B34" s="519"/>
      <c r="C34" s="515"/>
      <c r="D34" s="456"/>
      <c r="E34" s="515"/>
      <c r="F34" s="456"/>
      <c r="G34" s="515"/>
      <c r="H34" s="456"/>
      <c r="I34" s="515"/>
      <c r="J34" s="456"/>
      <c r="K34" s="515"/>
      <c r="L34" s="456"/>
      <c r="M34" s="515"/>
      <c r="N34" s="456"/>
      <c r="O34" s="515"/>
      <c r="P34" s="456"/>
      <c r="Q34" s="515"/>
      <c r="R34" s="456"/>
      <c r="S34" s="515"/>
      <c r="T34" s="456"/>
      <c r="U34" s="515"/>
      <c r="V34" s="456"/>
    </row>
    <row r="35" spans="2:22" ht="14.4" customHeight="1" x14ac:dyDescent="0.25">
      <c r="B35" s="519"/>
      <c r="C35" s="516"/>
      <c r="D35" s="517"/>
      <c r="E35" s="516"/>
      <c r="F35" s="517"/>
      <c r="G35" s="516"/>
      <c r="H35" s="517"/>
      <c r="I35" s="516"/>
      <c r="J35" s="517"/>
      <c r="K35" s="516"/>
      <c r="L35" s="517"/>
      <c r="M35" s="516"/>
      <c r="N35" s="517"/>
      <c r="O35" s="516"/>
      <c r="P35" s="517"/>
      <c r="Q35" s="516"/>
      <c r="R35" s="517"/>
      <c r="S35" s="516"/>
      <c r="T35" s="517"/>
      <c r="U35" s="516"/>
      <c r="V35" s="517"/>
    </row>
    <row r="36" spans="2:22" ht="15" customHeight="1" thickBot="1" x14ac:dyDescent="0.3">
      <c r="B36" s="112">
        <v>44298</v>
      </c>
      <c r="C36" s="402" t="s">
        <v>200</v>
      </c>
      <c r="D36" s="401"/>
      <c r="E36" s="402" t="s">
        <v>200</v>
      </c>
      <c r="F36" s="401"/>
      <c r="G36" s="402" t="s">
        <v>200</v>
      </c>
      <c r="H36" s="401"/>
      <c r="I36" s="402" t="s">
        <v>200</v>
      </c>
      <c r="J36" s="401"/>
      <c r="K36" s="402" t="s">
        <v>200</v>
      </c>
      <c r="L36" s="401"/>
      <c r="M36" s="513" t="s">
        <v>200</v>
      </c>
      <c r="N36" s="514"/>
      <c r="O36" s="513" t="s">
        <v>200</v>
      </c>
      <c r="P36" s="514"/>
      <c r="Q36" s="402" t="s">
        <v>200</v>
      </c>
      <c r="R36" s="401"/>
      <c r="S36" s="402" t="s">
        <v>200</v>
      </c>
      <c r="T36" s="401"/>
      <c r="U36" s="402" t="s">
        <v>200</v>
      </c>
      <c r="V36" s="401"/>
    </row>
    <row r="37" spans="2:22" ht="14.4" customHeight="1" x14ac:dyDescent="0.25">
      <c r="B37" s="518" t="str">
        <f>_xlfn.CONCAT("חוות דעת",CHAR(10),B13)</f>
        <v>חוות דעת
ספק ב': 
סחוט</v>
      </c>
      <c r="C37" s="409" t="s">
        <v>243</v>
      </c>
      <c r="D37" s="400"/>
      <c r="E37" s="409" t="s">
        <v>260</v>
      </c>
      <c r="F37" s="400"/>
      <c r="G37" s="409" t="s">
        <v>242</v>
      </c>
      <c r="H37" s="400"/>
      <c r="I37" s="409" t="s">
        <v>252</v>
      </c>
      <c r="J37" s="400"/>
      <c r="K37" s="409" t="s">
        <v>253</v>
      </c>
      <c r="L37" s="400"/>
      <c r="M37" s="409" t="s">
        <v>256</v>
      </c>
      <c r="N37" s="400"/>
      <c r="O37" s="409" t="s">
        <v>243</v>
      </c>
      <c r="P37" s="400"/>
      <c r="Q37" s="409" t="s">
        <v>254</v>
      </c>
      <c r="R37" s="400"/>
      <c r="S37" s="409" t="s">
        <v>244</v>
      </c>
      <c r="T37" s="400"/>
      <c r="U37" s="409" t="s">
        <v>255</v>
      </c>
      <c r="V37" s="400"/>
    </row>
    <row r="38" spans="2:22" ht="14.4" customHeight="1" x14ac:dyDescent="0.25">
      <c r="B38" s="519"/>
      <c r="C38" s="515"/>
      <c r="D38" s="456"/>
      <c r="E38" s="515"/>
      <c r="F38" s="456"/>
      <c r="G38" s="515"/>
      <c r="H38" s="456"/>
      <c r="I38" s="515"/>
      <c r="J38" s="456"/>
      <c r="K38" s="515"/>
      <c r="L38" s="456"/>
      <c r="M38" s="515"/>
      <c r="N38" s="456"/>
      <c r="O38" s="515"/>
      <c r="P38" s="456"/>
      <c r="Q38" s="515"/>
      <c r="R38" s="456"/>
      <c r="S38" s="515"/>
      <c r="T38" s="456"/>
      <c r="U38" s="515"/>
      <c r="V38" s="456"/>
    </row>
    <row r="39" spans="2:22" ht="15" customHeight="1" x14ac:dyDescent="0.25">
      <c r="B39" s="519"/>
      <c r="C39" s="516"/>
      <c r="D39" s="517"/>
      <c r="E39" s="516"/>
      <c r="F39" s="517"/>
      <c r="G39" s="516"/>
      <c r="H39" s="517"/>
      <c r="I39" s="516"/>
      <c r="J39" s="517"/>
      <c r="K39" s="516"/>
      <c r="L39" s="517"/>
      <c r="M39" s="516"/>
      <c r="N39" s="517"/>
      <c r="O39" s="516"/>
      <c r="P39" s="517"/>
      <c r="Q39" s="516"/>
      <c r="R39" s="517"/>
      <c r="S39" s="516"/>
      <c r="T39" s="517"/>
      <c r="U39" s="516"/>
      <c r="V39" s="517"/>
    </row>
    <row r="40" spans="2:22" ht="15.6" customHeight="1" thickBot="1" x14ac:dyDescent="0.3">
      <c r="B40" s="112">
        <v>44305</v>
      </c>
      <c r="C40" s="402" t="s">
        <v>200</v>
      </c>
      <c r="D40" s="401"/>
      <c r="E40" s="402" t="s">
        <v>200</v>
      </c>
      <c r="F40" s="401"/>
      <c r="G40" s="402" t="s">
        <v>161</v>
      </c>
      <c r="H40" s="401"/>
      <c r="I40" s="402" t="s">
        <v>200</v>
      </c>
      <c r="J40" s="401"/>
      <c r="K40" s="402" t="s">
        <v>200</v>
      </c>
      <c r="L40" s="401"/>
      <c r="M40" s="513" t="s">
        <v>200</v>
      </c>
      <c r="N40" s="514"/>
      <c r="O40" s="513" t="s">
        <v>161</v>
      </c>
      <c r="P40" s="514"/>
      <c r="Q40" s="402" t="s">
        <v>200</v>
      </c>
      <c r="R40" s="401"/>
      <c r="S40" s="402" t="s">
        <v>161</v>
      </c>
      <c r="T40" s="401"/>
      <c r="U40" s="402" t="s">
        <v>200</v>
      </c>
      <c r="V40" s="401"/>
    </row>
    <row r="41" spans="2:22" ht="15" customHeight="1" x14ac:dyDescent="0.25">
      <c r="B41" s="518" t="str">
        <f>_xlfn.CONCAT("חוות דעת",CHAR(10),B20)</f>
        <v>חוות דעת
ספק ג': 
א.א מטעמים</v>
      </c>
      <c r="C41" s="409" t="s">
        <v>245</v>
      </c>
      <c r="D41" s="400"/>
      <c r="E41" s="409" t="s">
        <v>261</v>
      </c>
      <c r="F41" s="400"/>
      <c r="G41" s="409" t="s">
        <v>246</v>
      </c>
      <c r="H41" s="400"/>
      <c r="I41" s="409" t="s">
        <v>257</v>
      </c>
      <c r="J41" s="400"/>
      <c r="K41" s="409" t="s">
        <v>247</v>
      </c>
      <c r="L41" s="400"/>
      <c r="M41" s="409" t="s">
        <v>248</v>
      </c>
      <c r="N41" s="400"/>
      <c r="O41" s="409" t="s">
        <v>249</v>
      </c>
      <c r="P41" s="400"/>
      <c r="Q41" s="409" t="s">
        <v>250</v>
      </c>
      <c r="R41" s="400"/>
      <c r="S41" s="409" t="s">
        <v>251</v>
      </c>
      <c r="T41" s="400"/>
      <c r="U41" s="409" t="s">
        <v>258</v>
      </c>
      <c r="V41" s="400"/>
    </row>
    <row r="42" spans="2:22" ht="15" customHeight="1" x14ac:dyDescent="0.25">
      <c r="B42" s="519"/>
      <c r="C42" s="515"/>
      <c r="D42" s="456"/>
      <c r="E42" s="515"/>
      <c r="F42" s="456"/>
      <c r="G42" s="515"/>
      <c r="H42" s="456"/>
      <c r="I42" s="515"/>
      <c r="J42" s="456"/>
      <c r="K42" s="515"/>
      <c r="L42" s="456"/>
      <c r="M42" s="515"/>
      <c r="N42" s="456"/>
      <c r="O42" s="515"/>
      <c r="P42" s="456"/>
      <c r="Q42" s="515"/>
      <c r="R42" s="456"/>
      <c r="S42" s="515"/>
      <c r="T42" s="456"/>
      <c r="U42" s="515"/>
      <c r="V42" s="456"/>
    </row>
    <row r="43" spans="2:22" ht="14.4" customHeight="1" x14ac:dyDescent="0.25">
      <c r="B43" s="519"/>
      <c r="C43" s="516"/>
      <c r="D43" s="517"/>
      <c r="E43" s="516"/>
      <c r="F43" s="517"/>
      <c r="G43" s="516"/>
      <c r="H43" s="517"/>
      <c r="I43" s="516"/>
      <c r="J43" s="517"/>
      <c r="K43" s="516"/>
      <c r="L43" s="517"/>
      <c r="M43" s="516"/>
      <c r="N43" s="517"/>
      <c r="O43" s="516"/>
      <c r="P43" s="517"/>
      <c r="Q43" s="516"/>
      <c r="R43" s="517"/>
      <c r="S43" s="516"/>
      <c r="T43" s="517"/>
      <c r="U43" s="516"/>
      <c r="V43" s="517"/>
    </row>
    <row r="44" spans="2:22" ht="15" customHeight="1" thickBot="1" x14ac:dyDescent="0.3">
      <c r="B44" s="112">
        <v>44312</v>
      </c>
      <c r="C44" s="402" t="s">
        <v>200</v>
      </c>
      <c r="D44" s="401"/>
      <c r="E44" s="402" t="s">
        <v>200</v>
      </c>
      <c r="F44" s="401"/>
      <c r="G44" s="402" t="s">
        <v>200</v>
      </c>
      <c r="H44" s="401"/>
      <c r="I44" s="402" t="s">
        <v>161</v>
      </c>
      <c r="J44" s="401"/>
      <c r="K44" s="402" t="s">
        <v>161</v>
      </c>
      <c r="L44" s="401"/>
      <c r="M44" s="513" t="s">
        <v>200</v>
      </c>
      <c r="N44" s="514"/>
      <c r="O44" s="513" t="s">
        <v>200</v>
      </c>
      <c r="P44" s="514"/>
      <c r="Q44" s="402" t="s">
        <v>161</v>
      </c>
      <c r="R44" s="401"/>
      <c r="S44" s="402" t="s">
        <v>161</v>
      </c>
      <c r="T44" s="401"/>
      <c r="U44" s="402" t="s">
        <v>200</v>
      </c>
      <c r="V44" s="401"/>
    </row>
    <row r="45" spans="2:22" ht="14.4" customHeight="1" x14ac:dyDescent="0.25"/>
    <row r="46" spans="2:22" ht="15" customHeight="1" x14ac:dyDescent="0.25"/>
    <row r="47" spans="2:22" ht="15" customHeight="1" x14ac:dyDescent="0.25"/>
    <row r="48" spans="2:22" ht="15" customHeight="1" x14ac:dyDescent="0.25"/>
  </sheetData>
  <sheetProtection algorithmName="SHA-512" hashValue="f7PS2ZxjS4PlZCTtCCxooQQATsnWR0gpOB4gn3QahVS0023vASAH+ylDCxPH4zcVq03bxVHHSa1h8Wcywvzz4w==" saltValue="JH/ny9X+GSlLGD0OU85VCQ==" spinCount="100000" sheet="1" objects="1" scenarios="1" selectLockedCells="1" selectUnlockedCells="1"/>
  <mergeCells count="154">
    <mergeCell ref="G8:G9"/>
    <mergeCell ref="H8:H9"/>
    <mergeCell ref="I8:I9"/>
    <mergeCell ref="J8:J9"/>
    <mergeCell ref="K8:K9"/>
    <mergeCell ref="L8:L9"/>
    <mergeCell ref="B2:L4"/>
    <mergeCell ref="B6:H7"/>
    <mergeCell ref="I6:J7"/>
    <mergeCell ref="K6:K7"/>
    <mergeCell ref="L6:L7"/>
    <mergeCell ref="B8:B9"/>
    <mergeCell ref="C8:C9"/>
    <mergeCell ref="D8:D9"/>
    <mergeCell ref="E8:E9"/>
    <mergeCell ref="F8:F9"/>
    <mergeCell ref="H10:H11"/>
    <mergeCell ref="I10:I11"/>
    <mergeCell ref="J10:J11"/>
    <mergeCell ref="K10:K11"/>
    <mergeCell ref="L10:L11"/>
    <mergeCell ref="B13:H14"/>
    <mergeCell ref="I13:J14"/>
    <mergeCell ref="K13:K14"/>
    <mergeCell ref="L13:L14"/>
    <mergeCell ref="B10:B11"/>
    <mergeCell ref="C10:C11"/>
    <mergeCell ref="D10:D11"/>
    <mergeCell ref="E10:E11"/>
    <mergeCell ref="F10:F11"/>
    <mergeCell ref="G10:G11"/>
    <mergeCell ref="H15:H16"/>
    <mergeCell ref="I15:I16"/>
    <mergeCell ref="J15:J16"/>
    <mergeCell ref="K15:K16"/>
    <mergeCell ref="L15:L16"/>
    <mergeCell ref="G15:G16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L17:L18"/>
    <mergeCell ref="L20:L21"/>
    <mergeCell ref="B22:B23"/>
    <mergeCell ref="C22:C23"/>
    <mergeCell ref="D22:D23"/>
    <mergeCell ref="E22:E23"/>
    <mergeCell ref="F22:F23"/>
    <mergeCell ref="G22:G23"/>
    <mergeCell ref="K22:K23"/>
    <mergeCell ref="L22:L23"/>
    <mergeCell ref="C24:C25"/>
    <mergeCell ref="H22:H23"/>
    <mergeCell ref="I22:I23"/>
    <mergeCell ref="J22:J23"/>
    <mergeCell ref="G17:G18"/>
    <mergeCell ref="H17:H18"/>
    <mergeCell ref="I17:I18"/>
    <mergeCell ref="J17:J18"/>
    <mergeCell ref="K17:K18"/>
    <mergeCell ref="B20:H21"/>
    <mergeCell ref="I20:J21"/>
    <mergeCell ref="K20:K21"/>
    <mergeCell ref="S33:T35"/>
    <mergeCell ref="U33:V35"/>
    <mergeCell ref="D24:D25"/>
    <mergeCell ref="E24:E25"/>
    <mergeCell ref="F24:F25"/>
    <mergeCell ref="G24:G25"/>
    <mergeCell ref="H24:H25"/>
    <mergeCell ref="I24:I25"/>
    <mergeCell ref="J24:J25"/>
    <mergeCell ref="K24:K25"/>
    <mergeCell ref="B28:V30"/>
    <mergeCell ref="B31:B32"/>
    <mergeCell ref="C31:D32"/>
    <mergeCell ref="E31:F32"/>
    <mergeCell ref="G31:H32"/>
    <mergeCell ref="I31:J32"/>
    <mergeCell ref="K31:L32"/>
    <mergeCell ref="M31:N32"/>
    <mergeCell ref="O31:P32"/>
    <mergeCell ref="Q31:R32"/>
    <mergeCell ref="S31:T32"/>
    <mergeCell ref="U31:V32"/>
    <mergeCell ref="L24:L25"/>
    <mergeCell ref="B24:B25"/>
    <mergeCell ref="B33:B35"/>
    <mergeCell ref="C33:D35"/>
    <mergeCell ref="E33:F35"/>
    <mergeCell ref="G33:H35"/>
    <mergeCell ref="I33:J35"/>
    <mergeCell ref="K33:L35"/>
    <mergeCell ref="M33:N35"/>
    <mergeCell ref="O33:P35"/>
    <mergeCell ref="Q33:R35"/>
    <mergeCell ref="C36:D36"/>
    <mergeCell ref="E36:F36"/>
    <mergeCell ref="G36:H36"/>
    <mergeCell ref="I36:J36"/>
    <mergeCell ref="K36:L36"/>
    <mergeCell ref="M36:N36"/>
    <mergeCell ref="U37:V39"/>
    <mergeCell ref="C40:D40"/>
    <mergeCell ref="E40:F40"/>
    <mergeCell ref="G40:H40"/>
    <mergeCell ref="I40:J40"/>
    <mergeCell ref="K40:L40"/>
    <mergeCell ref="O36:P36"/>
    <mergeCell ref="Q36:R36"/>
    <mergeCell ref="S36:T36"/>
    <mergeCell ref="U36:V36"/>
    <mergeCell ref="C37:D39"/>
    <mergeCell ref="E37:F39"/>
    <mergeCell ref="G37:H39"/>
    <mergeCell ref="I37:J39"/>
    <mergeCell ref="K37:L39"/>
    <mergeCell ref="B41:B43"/>
    <mergeCell ref="C41:D43"/>
    <mergeCell ref="E41:F43"/>
    <mergeCell ref="G41:H43"/>
    <mergeCell ref="I41:J43"/>
    <mergeCell ref="M37:N39"/>
    <mergeCell ref="O37:P39"/>
    <mergeCell ref="Q37:R39"/>
    <mergeCell ref="S37:T39"/>
    <mergeCell ref="B37:B39"/>
    <mergeCell ref="K41:L43"/>
    <mergeCell ref="M41:N43"/>
    <mergeCell ref="O41:P43"/>
    <mergeCell ref="Q41:R43"/>
    <mergeCell ref="S41:T43"/>
    <mergeCell ref="C44:D44"/>
    <mergeCell ref="E44:F44"/>
    <mergeCell ref="G44:H44"/>
    <mergeCell ref="I44:J44"/>
    <mergeCell ref="K44:L44"/>
    <mergeCell ref="M44:N44"/>
    <mergeCell ref="U41:V43"/>
    <mergeCell ref="M40:N40"/>
    <mergeCell ref="O40:P40"/>
    <mergeCell ref="Q40:R40"/>
    <mergeCell ref="S40:T40"/>
    <mergeCell ref="U40:V40"/>
    <mergeCell ref="O44:P44"/>
    <mergeCell ref="Q44:R44"/>
    <mergeCell ref="S44:T44"/>
    <mergeCell ref="U44:V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5E08-8DDF-41E3-AB73-E265A699F998}">
  <sheetPr>
    <tabColor theme="0"/>
  </sheetPr>
  <dimension ref="B2:T56"/>
  <sheetViews>
    <sheetView rightToLeft="1" workbookViewId="0"/>
  </sheetViews>
  <sheetFormatPr defaultRowHeight="13.8" x14ac:dyDescent="0.25"/>
  <cols>
    <col min="1" max="1" width="2.796875" customWidth="1"/>
    <col min="14" max="14" width="9.8984375" bestFit="1" customWidth="1"/>
    <col min="19" max="20" width="10.3984375" bestFit="1" customWidth="1"/>
  </cols>
  <sheetData>
    <row r="2" spans="2:20" ht="16.2" thickBot="1" x14ac:dyDescent="0.3">
      <c r="B2" s="403" t="s">
        <v>149</v>
      </c>
      <c r="C2" s="403"/>
      <c r="R2" s="88" t="s">
        <v>150</v>
      </c>
    </row>
    <row r="3" spans="2:20" ht="16.2" customHeight="1" x14ac:dyDescent="0.25">
      <c r="B3" s="451" t="s">
        <v>151</v>
      </c>
      <c r="C3" s="453" t="s">
        <v>94</v>
      </c>
      <c r="D3" s="416" t="s">
        <v>152</v>
      </c>
      <c r="E3" s="419">
        <v>10</v>
      </c>
      <c r="F3" s="448">
        <v>9</v>
      </c>
      <c r="G3" s="448">
        <v>8</v>
      </c>
      <c r="H3" s="448">
        <v>7</v>
      </c>
      <c r="I3" s="448">
        <v>6</v>
      </c>
      <c r="J3" s="448">
        <v>5</v>
      </c>
      <c r="K3" s="448">
        <v>4</v>
      </c>
      <c r="L3" s="448">
        <v>3</v>
      </c>
      <c r="M3" s="448">
        <v>2</v>
      </c>
      <c r="N3" s="448">
        <v>1</v>
      </c>
      <c r="O3" s="448">
        <v>0</v>
      </c>
      <c r="P3" s="448" t="s">
        <v>153</v>
      </c>
      <c r="R3" s="457" t="s">
        <v>151</v>
      </c>
      <c r="S3" s="459" t="s">
        <v>154</v>
      </c>
      <c r="T3" s="448" t="s">
        <v>155</v>
      </c>
    </row>
    <row r="4" spans="2:20" ht="15" customHeight="1" thickBot="1" x14ac:dyDescent="0.3">
      <c r="B4" s="452"/>
      <c r="C4" s="454"/>
      <c r="D4" s="417"/>
      <c r="E4" s="421"/>
      <c r="F4" s="449"/>
      <c r="G4" s="449"/>
      <c r="H4" s="449"/>
      <c r="I4" s="449"/>
      <c r="J4" s="449"/>
      <c r="K4" s="449"/>
      <c r="L4" s="449"/>
      <c r="M4" s="449"/>
      <c r="N4" s="449"/>
      <c r="O4" s="449"/>
      <c r="P4" s="449"/>
      <c r="R4" s="458"/>
      <c r="S4" s="460"/>
      <c r="T4" s="449"/>
    </row>
    <row r="5" spans="2:20" ht="15" customHeight="1" x14ac:dyDescent="0.25">
      <c r="B5" s="443" t="s">
        <v>156</v>
      </c>
      <c r="C5" s="455">
        <v>0.25</v>
      </c>
      <c r="D5" s="456"/>
      <c r="E5" s="441">
        <f t="shared" ref="E5:M5" si="0">F5-0.5</f>
        <v>5</v>
      </c>
      <c r="F5" s="441">
        <f t="shared" si="0"/>
        <v>5.5</v>
      </c>
      <c r="G5" s="441">
        <f t="shared" si="0"/>
        <v>6</v>
      </c>
      <c r="H5" s="441">
        <f t="shared" si="0"/>
        <v>6.5</v>
      </c>
      <c r="I5" s="441">
        <f t="shared" si="0"/>
        <v>7</v>
      </c>
      <c r="J5" s="441">
        <f t="shared" si="0"/>
        <v>7.5</v>
      </c>
      <c r="K5" s="441">
        <f t="shared" si="0"/>
        <v>8</v>
      </c>
      <c r="L5" s="441">
        <f t="shared" si="0"/>
        <v>8.5</v>
      </c>
      <c r="M5" s="441">
        <f t="shared" si="0"/>
        <v>9</v>
      </c>
      <c r="N5" s="441">
        <f>O5-0.5</f>
        <v>9.5</v>
      </c>
      <c r="O5" s="441">
        <f>T5</f>
        <v>10</v>
      </c>
      <c r="P5" s="441" t="str">
        <f>"מעל "&amp;O5</f>
        <v>מעל 10</v>
      </c>
      <c r="R5" s="450" t="s">
        <v>156</v>
      </c>
      <c r="S5" s="441">
        <f>E5</f>
        <v>5</v>
      </c>
      <c r="T5" s="441">
        <v>10</v>
      </c>
    </row>
    <row r="6" spans="2:20" ht="31.95" customHeight="1" thickBot="1" x14ac:dyDescent="0.3">
      <c r="B6" s="444"/>
      <c r="C6" s="402"/>
      <c r="D6" s="401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P6" s="442"/>
      <c r="R6" s="444"/>
      <c r="S6" s="442"/>
      <c r="T6" s="442"/>
    </row>
    <row r="7" spans="2:20" ht="15" customHeight="1" x14ac:dyDescent="0.25">
      <c r="B7" s="443" t="s">
        <v>157</v>
      </c>
      <c r="C7" s="445">
        <v>0.15</v>
      </c>
      <c r="D7" s="400"/>
      <c r="E7" s="441">
        <f>S8</f>
        <v>1</v>
      </c>
      <c r="F7" s="441">
        <f t="shared" ref="F7:M7" si="1">G7-$O$7/$E$3</f>
        <v>3</v>
      </c>
      <c r="G7" s="441">
        <f t="shared" si="1"/>
        <v>6</v>
      </c>
      <c r="H7" s="441">
        <f t="shared" si="1"/>
        <v>9</v>
      </c>
      <c r="I7" s="441">
        <f t="shared" si="1"/>
        <v>12</v>
      </c>
      <c r="J7" s="441">
        <f t="shared" si="1"/>
        <v>15</v>
      </c>
      <c r="K7" s="441">
        <f t="shared" si="1"/>
        <v>18</v>
      </c>
      <c r="L7" s="441">
        <f t="shared" si="1"/>
        <v>21</v>
      </c>
      <c r="M7" s="441">
        <f t="shared" si="1"/>
        <v>24</v>
      </c>
      <c r="N7" s="441">
        <f>O7-$O$7/$E$3</f>
        <v>27</v>
      </c>
      <c r="O7" s="441">
        <f>T8</f>
        <v>30</v>
      </c>
      <c r="P7" s="441" t="str">
        <f>"מעל "&amp;T8</f>
        <v>מעל 30</v>
      </c>
      <c r="R7" s="443" t="s">
        <v>157</v>
      </c>
      <c r="S7" s="89" t="s">
        <v>158</v>
      </c>
      <c r="T7" s="89" t="s">
        <v>159</v>
      </c>
    </row>
    <row r="8" spans="2:20" ht="31.95" customHeight="1" thickBot="1" x14ac:dyDescent="0.3">
      <c r="B8" s="444"/>
      <c r="C8" s="402"/>
      <c r="D8" s="401"/>
      <c r="E8" s="442"/>
      <c r="F8" s="442"/>
      <c r="G8" s="442"/>
      <c r="H8" s="442"/>
      <c r="I8" s="442"/>
      <c r="J8" s="442"/>
      <c r="K8" s="442"/>
      <c r="L8" s="442"/>
      <c r="M8" s="442"/>
      <c r="N8" s="442"/>
      <c r="O8" s="442"/>
      <c r="P8" s="442"/>
      <c r="R8" s="444"/>
      <c r="S8" s="173">
        <v>1</v>
      </c>
      <c r="T8" s="173">
        <v>30</v>
      </c>
    </row>
    <row r="9" spans="2:20" ht="15" customHeight="1" x14ac:dyDescent="0.25">
      <c r="B9" s="443" t="s">
        <v>160</v>
      </c>
      <c r="C9" s="445">
        <v>0.55000000000000004</v>
      </c>
      <c r="D9" s="400"/>
      <c r="E9" s="441">
        <f>S9</f>
        <v>10</v>
      </c>
      <c r="F9" s="441">
        <f>E9-$E$9/$E$3</f>
        <v>9</v>
      </c>
      <c r="G9" s="441">
        <f t="shared" ref="G9:O9" si="2">F9-$E$9/$E$3</f>
        <v>8</v>
      </c>
      <c r="H9" s="441">
        <f t="shared" si="2"/>
        <v>7</v>
      </c>
      <c r="I9" s="441">
        <f t="shared" si="2"/>
        <v>6</v>
      </c>
      <c r="J9" s="441">
        <f t="shared" si="2"/>
        <v>5</v>
      </c>
      <c r="K9" s="441">
        <f t="shared" si="2"/>
        <v>4</v>
      </c>
      <c r="L9" s="441">
        <f t="shared" si="2"/>
        <v>3</v>
      </c>
      <c r="M9" s="441">
        <f t="shared" si="2"/>
        <v>2</v>
      </c>
      <c r="N9" s="441">
        <f t="shared" si="2"/>
        <v>1</v>
      </c>
      <c r="O9" s="441">
        <f t="shared" si="2"/>
        <v>0</v>
      </c>
      <c r="P9" s="441" t="s">
        <v>161</v>
      </c>
      <c r="R9" s="443" t="s">
        <v>162</v>
      </c>
      <c r="S9" s="441">
        <v>10</v>
      </c>
      <c r="T9" s="441">
        <v>0</v>
      </c>
    </row>
    <row r="10" spans="2:20" ht="31.95" customHeight="1" thickBot="1" x14ac:dyDescent="0.3">
      <c r="B10" s="444"/>
      <c r="C10" s="402"/>
      <c r="D10" s="401"/>
      <c r="E10" s="442"/>
      <c r="F10" s="442"/>
      <c r="G10" s="442"/>
      <c r="H10" s="442"/>
      <c r="I10" s="442"/>
      <c r="J10" s="442"/>
      <c r="K10" s="442"/>
      <c r="L10" s="442"/>
      <c r="M10" s="442"/>
      <c r="N10" s="442"/>
      <c r="O10" s="442"/>
      <c r="P10" s="442"/>
      <c r="R10" s="444"/>
      <c r="S10" s="442"/>
      <c r="T10" s="442"/>
    </row>
    <row r="11" spans="2:20" ht="15.6" customHeight="1" x14ac:dyDescent="0.25">
      <c r="B11" s="443" t="s">
        <v>163</v>
      </c>
      <c r="C11" s="445">
        <v>0.05</v>
      </c>
      <c r="D11" s="400"/>
      <c r="E11" s="172" t="s">
        <v>164</v>
      </c>
      <c r="F11" s="172" t="s">
        <v>164</v>
      </c>
      <c r="G11" s="172" t="s">
        <v>164</v>
      </c>
      <c r="H11" s="172" t="s">
        <v>164</v>
      </c>
      <c r="I11" s="172" t="s">
        <v>164</v>
      </c>
      <c r="J11" s="172" t="s">
        <v>164</v>
      </c>
      <c r="K11" s="172" t="s">
        <v>164</v>
      </c>
      <c r="L11" s="172" t="s">
        <v>164</v>
      </c>
      <c r="M11" s="172" t="s">
        <v>164</v>
      </c>
      <c r="N11" s="172" t="s">
        <v>164</v>
      </c>
      <c r="O11" s="172" t="s">
        <v>164</v>
      </c>
      <c r="P11" s="172"/>
      <c r="R11" s="380" t="s">
        <v>163</v>
      </c>
      <c r="S11" s="89" t="s">
        <v>165</v>
      </c>
      <c r="T11" s="172" t="s">
        <v>166</v>
      </c>
    </row>
    <row r="12" spans="2:20" ht="31.95" customHeight="1" thickBot="1" x14ac:dyDescent="0.3">
      <c r="B12" s="444"/>
      <c r="C12" s="402"/>
      <c r="D12" s="401"/>
      <c r="E12" s="173">
        <f>S12</f>
        <v>60</v>
      </c>
      <c r="F12" s="173"/>
      <c r="G12" s="173"/>
      <c r="H12" s="173"/>
      <c r="I12" s="173"/>
      <c r="J12" s="173">
        <f>E12-15</f>
        <v>45</v>
      </c>
      <c r="K12" s="173"/>
      <c r="L12" s="173"/>
      <c r="M12" s="173"/>
      <c r="N12" s="173"/>
      <c r="O12" s="173">
        <f>J12-15</f>
        <v>30</v>
      </c>
      <c r="P12" s="90" t="str">
        <f>T12</f>
        <v>מיידי</v>
      </c>
      <c r="R12" s="382"/>
      <c r="S12" s="173">
        <v>60</v>
      </c>
      <c r="T12" s="173" t="s">
        <v>167</v>
      </c>
    </row>
    <row r="13" spans="2:20" ht="14.4" customHeight="1" x14ac:dyDescent="0.25">
      <c r="B13" s="537" t="s">
        <v>205</v>
      </c>
      <c r="C13" s="537"/>
      <c r="D13" s="537"/>
      <c r="E13" s="537"/>
      <c r="F13" s="537"/>
      <c r="G13" s="537"/>
      <c r="H13" s="537"/>
      <c r="I13" s="537"/>
      <c r="J13" s="537"/>
      <c r="K13" s="537"/>
    </row>
    <row r="14" spans="2:20" x14ac:dyDescent="0.25">
      <c r="B14" s="538"/>
      <c r="C14" s="538"/>
      <c r="D14" s="538"/>
      <c r="E14" s="538"/>
      <c r="F14" s="538"/>
      <c r="G14" s="538"/>
      <c r="H14" s="538"/>
      <c r="I14" s="538"/>
      <c r="J14" s="538"/>
      <c r="K14" s="538"/>
    </row>
    <row r="15" spans="2:20" ht="14.4" thickBot="1" x14ac:dyDescent="0.3"/>
    <row r="16" spans="2:20" ht="15.6" x14ac:dyDescent="0.25">
      <c r="B16" s="432" t="s">
        <v>169</v>
      </c>
      <c r="C16" s="433"/>
      <c r="D16" s="91"/>
      <c r="E16" s="91"/>
      <c r="F16" s="91"/>
      <c r="G16" s="91"/>
      <c r="H16" s="91"/>
      <c r="I16" s="91"/>
      <c r="J16" s="91"/>
      <c r="K16" s="92"/>
    </row>
    <row r="17" spans="2:11" ht="15.6" x14ac:dyDescent="0.25">
      <c r="B17" s="434" t="s">
        <v>201</v>
      </c>
      <c r="C17" s="435"/>
      <c r="D17" s="435"/>
      <c r="E17" s="435"/>
      <c r="F17" s="435"/>
      <c r="G17" s="435"/>
      <c r="H17" s="435"/>
      <c r="I17" s="435"/>
      <c r="J17" s="435"/>
      <c r="K17" s="436"/>
    </row>
    <row r="18" spans="2:11" ht="15.6" x14ac:dyDescent="0.25">
      <c r="B18" s="434" t="s">
        <v>171</v>
      </c>
      <c r="C18" s="435"/>
      <c r="D18" s="435"/>
      <c r="E18" s="435"/>
      <c r="F18" s="435"/>
      <c r="G18" s="435"/>
      <c r="H18" s="435"/>
      <c r="I18" s="435"/>
      <c r="J18" s="435"/>
      <c r="K18" s="436"/>
    </row>
    <row r="19" spans="2:11" ht="15.6" x14ac:dyDescent="0.25">
      <c r="B19" s="434" t="s">
        <v>172</v>
      </c>
      <c r="C19" s="435"/>
      <c r="D19" s="435"/>
      <c r="E19" s="435"/>
      <c r="F19" s="435"/>
      <c r="G19" s="435"/>
      <c r="H19" s="435"/>
      <c r="I19" s="435"/>
      <c r="J19" s="435"/>
      <c r="K19" s="436"/>
    </row>
    <row r="20" spans="2:11" ht="16.2" thickBot="1" x14ac:dyDescent="0.3">
      <c r="B20" s="437" t="s">
        <v>173</v>
      </c>
      <c r="C20" s="438"/>
      <c r="D20" s="438"/>
      <c r="E20" s="438"/>
      <c r="F20" s="438"/>
      <c r="G20" s="438"/>
      <c r="H20" s="438"/>
      <c r="I20" s="438"/>
      <c r="J20" s="438"/>
      <c r="K20" s="439"/>
    </row>
    <row r="23" spans="2:11" ht="14.4" thickBot="1" x14ac:dyDescent="0.3"/>
    <row r="24" spans="2:11" ht="15.6" x14ac:dyDescent="0.25">
      <c r="B24" s="432" t="s">
        <v>174</v>
      </c>
      <c r="C24" s="433"/>
      <c r="D24" s="433"/>
      <c r="E24" s="440"/>
    </row>
    <row r="25" spans="2:11" ht="17.399999999999999" x14ac:dyDescent="0.3">
      <c r="B25" s="422" t="s">
        <v>175</v>
      </c>
      <c r="C25" s="423"/>
      <c r="D25" s="424" t="s">
        <v>202</v>
      </c>
      <c r="E25" s="425"/>
    </row>
    <row r="26" spans="2:11" ht="17.399999999999999" x14ac:dyDescent="0.3">
      <c r="B26" s="422" t="s">
        <v>176</v>
      </c>
      <c r="C26" s="423"/>
      <c r="D26" s="426" t="s">
        <v>203</v>
      </c>
      <c r="E26" s="427"/>
    </row>
    <row r="27" spans="2:11" ht="18" thickBot="1" x14ac:dyDescent="0.35">
      <c r="B27" s="428" t="s">
        <v>178</v>
      </c>
      <c r="C27" s="429"/>
      <c r="D27" s="430" t="s">
        <v>204</v>
      </c>
      <c r="E27" s="431"/>
    </row>
    <row r="29" spans="2:11" ht="16.2" thickBot="1" x14ac:dyDescent="0.3">
      <c r="B29" s="403" t="s">
        <v>179</v>
      </c>
      <c r="C29" s="403"/>
    </row>
    <row r="30" spans="2:11" ht="16.2" customHeight="1" x14ac:dyDescent="0.25">
      <c r="B30" s="414" t="s">
        <v>151</v>
      </c>
      <c r="C30" s="416" t="s">
        <v>180</v>
      </c>
      <c r="D30" s="418" t="s">
        <v>181</v>
      </c>
      <c r="E30" s="419"/>
      <c r="F30" s="418" t="s">
        <v>182</v>
      </c>
      <c r="G30" s="419"/>
      <c r="H30" s="418" t="s">
        <v>183</v>
      </c>
      <c r="I30" s="419"/>
    </row>
    <row r="31" spans="2:11" ht="15.6" customHeight="1" thickBot="1" x14ac:dyDescent="0.3">
      <c r="B31" s="415"/>
      <c r="C31" s="417"/>
      <c r="D31" s="420" t="str">
        <f>D25</f>
        <v>מחלבות גד</v>
      </c>
      <c r="E31" s="421"/>
      <c r="F31" s="420" t="str">
        <f>D26</f>
        <v>כפר תבור</v>
      </c>
      <c r="G31" s="421"/>
      <c r="H31" s="420" t="str">
        <f>D27</f>
        <v>שטראוס</v>
      </c>
      <c r="I31" s="421"/>
    </row>
    <row r="32" spans="2:11" ht="15.6" customHeight="1" x14ac:dyDescent="0.25">
      <c r="B32" s="380" t="s">
        <v>156</v>
      </c>
      <c r="C32" s="408"/>
      <c r="D32" s="410">
        <v>8.6</v>
      </c>
      <c r="E32" s="400"/>
      <c r="F32" s="409">
        <v>9.25</v>
      </c>
      <c r="G32" s="400"/>
      <c r="H32" s="409">
        <v>6.45</v>
      </c>
      <c r="I32" s="400"/>
    </row>
    <row r="33" spans="2:10" ht="15.6" customHeight="1" thickBot="1" x14ac:dyDescent="0.3">
      <c r="B33" s="382"/>
      <c r="C33" s="385"/>
      <c r="D33" s="402"/>
      <c r="E33" s="401"/>
      <c r="F33" s="402"/>
      <c r="G33" s="401"/>
      <c r="H33" s="402"/>
      <c r="I33" s="401"/>
    </row>
    <row r="34" spans="2:10" ht="15.6" customHeight="1" x14ac:dyDescent="0.25">
      <c r="B34" s="380" t="s">
        <v>157</v>
      </c>
      <c r="C34" s="408"/>
      <c r="D34" s="409">
        <v>2</v>
      </c>
      <c r="E34" s="400"/>
      <c r="F34" s="409">
        <v>3</v>
      </c>
      <c r="G34" s="400"/>
      <c r="H34" s="409">
        <v>2</v>
      </c>
      <c r="I34" s="400"/>
    </row>
    <row r="35" spans="2:10" ht="15.6" customHeight="1" thickBot="1" x14ac:dyDescent="0.3">
      <c r="B35" s="382"/>
      <c r="C35" s="385"/>
      <c r="D35" s="402"/>
      <c r="E35" s="401"/>
      <c r="F35" s="402"/>
      <c r="G35" s="401"/>
      <c r="H35" s="402"/>
      <c r="I35" s="401"/>
    </row>
    <row r="36" spans="2:10" ht="15.6" customHeight="1" x14ac:dyDescent="0.25">
      <c r="B36" s="380" t="s">
        <v>162</v>
      </c>
      <c r="C36" s="408"/>
      <c r="D36" s="409">
        <v>10</v>
      </c>
      <c r="E36" s="400"/>
      <c r="F36" s="409">
        <v>8</v>
      </c>
      <c r="G36" s="400"/>
      <c r="H36" s="409">
        <v>7</v>
      </c>
      <c r="I36" s="400"/>
    </row>
    <row r="37" spans="2:10" ht="15.6" customHeight="1" thickBot="1" x14ac:dyDescent="0.3">
      <c r="B37" s="382"/>
      <c r="C37" s="385"/>
      <c r="D37" s="402"/>
      <c r="E37" s="401"/>
      <c r="F37" s="402"/>
      <c r="G37" s="401"/>
      <c r="H37" s="402"/>
      <c r="I37" s="401"/>
    </row>
    <row r="38" spans="2:10" ht="15.6" customHeight="1" x14ac:dyDescent="0.25">
      <c r="B38" s="380" t="s">
        <v>184</v>
      </c>
      <c r="C38" s="408"/>
      <c r="D38" s="409" t="s">
        <v>165</v>
      </c>
      <c r="E38" s="400"/>
      <c r="F38" s="409" t="s">
        <v>165</v>
      </c>
      <c r="G38" s="400"/>
      <c r="H38" s="409" t="s">
        <v>165</v>
      </c>
      <c r="I38" s="400"/>
    </row>
    <row r="39" spans="2:10" ht="15" customHeight="1" thickBot="1" x14ac:dyDescent="0.3">
      <c r="B39" s="382"/>
      <c r="C39" s="385"/>
      <c r="D39" s="402">
        <v>30</v>
      </c>
      <c r="E39" s="401"/>
      <c r="F39" s="402">
        <v>60</v>
      </c>
      <c r="G39" s="401"/>
      <c r="H39" s="402">
        <v>30</v>
      </c>
      <c r="I39" s="401"/>
    </row>
    <row r="42" spans="2:10" ht="16.2" thickBot="1" x14ac:dyDescent="0.3">
      <c r="B42" s="403" t="s">
        <v>185</v>
      </c>
      <c r="C42" s="403"/>
    </row>
    <row r="43" spans="2:10" ht="34.950000000000003" customHeight="1" thickBot="1" x14ac:dyDescent="0.35">
      <c r="B43" s="404" t="s">
        <v>186</v>
      </c>
      <c r="C43" s="405"/>
      <c r="D43" s="93" t="s">
        <v>180</v>
      </c>
      <c r="E43" s="406" t="str">
        <f>CONCATENATE(D30," ",CHAR(10),D31)</f>
        <v>ספק א': 
מחלבות גד</v>
      </c>
      <c r="F43" s="407"/>
      <c r="G43" s="406" t="str">
        <f>CONCATENATE(F30," ",CHAR(10),F31)</f>
        <v>ספק ב': 
כפר תבור</v>
      </c>
      <c r="H43" s="407"/>
      <c r="I43" s="406" t="str">
        <f>CONCATENATE(H30," ",CHAR(10),H31)</f>
        <v>ספק ג': 
שטראוס</v>
      </c>
      <c r="J43" s="407"/>
    </row>
    <row r="44" spans="2:10" ht="27.6" customHeight="1" thickBot="1" x14ac:dyDescent="0.3">
      <c r="B44" s="388" t="s">
        <v>151</v>
      </c>
      <c r="C44" s="389"/>
      <c r="D44" s="94" t="s">
        <v>94</v>
      </c>
      <c r="E44" s="95" t="s">
        <v>187</v>
      </c>
      <c r="F44" s="96" t="s">
        <v>188</v>
      </c>
      <c r="G44" s="95" t="s">
        <v>187</v>
      </c>
      <c r="H44" s="96" t="s">
        <v>188</v>
      </c>
      <c r="I44" s="95" t="s">
        <v>187</v>
      </c>
      <c r="J44" s="96" t="s">
        <v>188</v>
      </c>
    </row>
    <row r="45" spans="2:10" ht="16.2" customHeight="1" x14ac:dyDescent="0.25">
      <c r="B45" s="380" t="s">
        <v>156</v>
      </c>
      <c r="C45" s="381"/>
      <c r="D45" s="384">
        <f>C5</f>
        <v>0.25</v>
      </c>
      <c r="E45" s="398">
        <f>_xlfn.XLOOKUP(D32,E5:O5,E3:O3,,1)</f>
        <v>2</v>
      </c>
      <c r="F45" s="400">
        <f>E45*D45</f>
        <v>0.5</v>
      </c>
      <c r="G45" s="398">
        <f>_xlfn.XLOOKUP(F32,E5:O5,E3:O3,,1)</f>
        <v>1</v>
      </c>
      <c r="H45" s="400">
        <f>G45*D45</f>
        <v>0.25</v>
      </c>
      <c r="I45" s="398">
        <f>_xlfn.XLOOKUP(H32,E5:O5,E3:O3,,1)</f>
        <v>7</v>
      </c>
      <c r="J45" s="400">
        <f>I45*D45</f>
        <v>1.75</v>
      </c>
    </row>
    <row r="46" spans="2:10" ht="15" customHeight="1" thickBot="1" x14ac:dyDescent="0.3">
      <c r="B46" s="382"/>
      <c r="C46" s="383"/>
      <c r="D46" s="385"/>
      <c r="E46" s="399"/>
      <c r="F46" s="401"/>
      <c r="G46" s="399"/>
      <c r="H46" s="401"/>
      <c r="I46" s="399"/>
      <c r="J46" s="401"/>
    </row>
    <row r="47" spans="2:10" ht="31.2" customHeight="1" thickBot="1" x14ac:dyDescent="0.3">
      <c r="B47" s="388" t="s">
        <v>157</v>
      </c>
      <c r="C47" s="389"/>
      <c r="D47" s="97">
        <f>C7</f>
        <v>0.15</v>
      </c>
      <c r="E47" s="98">
        <f>_xlfn.XLOOKUP(D34,E7:O7,E3:O3,,1)</f>
        <v>9</v>
      </c>
      <c r="F47" s="99">
        <f>E47*D47</f>
        <v>1.3499999999999999</v>
      </c>
      <c r="G47" s="98">
        <f>_xlfn.XLOOKUP(F34,E7:O7,E3:O3,,1)</f>
        <v>9</v>
      </c>
      <c r="H47" s="99">
        <f>G47*D47</f>
        <v>1.3499999999999999</v>
      </c>
      <c r="I47" s="98">
        <f>_xlfn.XLOOKUP(H34,E7:O7,E3:O3,,1)</f>
        <v>9</v>
      </c>
      <c r="J47" s="99">
        <f>I47*D47</f>
        <v>1.3499999999999999</v>
      </c>
    </row>
    <row r="48" spans="2:10" ht="16.2" customHeight="1" x14ac:dyDescent="0.25">
      <c r="B48" s="390" t="s">
        <v>162</v>
      </c>
      <c r="C48" s="391"/>
      <c r="D48" s="384">
        <f>C9</f>
        <v>0.55000000000000004</v>
      </c>
      <c r="E48" s="376">
        <f>_xlfn.XLOOKUP(D36,E9:O9,E3:O3)</f>
        <v>10</v>
      </c>
      <c r="F48" s="386">
        <f>E48*D48</f>
        <v>5.5</v>
      </c>
      <c r="G48" s="376">
        <f>_xlfn.XLOOKUP(F36,E9:O9,E3:O3)</f>
        <v>8</v>
      </c>
      <c r="H48" s="378">
        <f>G48*D48</f>
        <v>4.4000000000000004</v>
      </c>
      <c r="I48" s="376">
        <f>_xlfn.XLOOKUP(H36,E9:O9,E3:O3)</f>
        <v>7</v>
      </c>
      <c r="J48" s="378">
        <f>I48*D48</f>
        <v>3.8500000000000005</v>
      </c>
    </row>
    <row r="49" spans="2:13" ht="15" customHeight="1" thickBot="1" x14ac:dyDescent="0.3">
      <c r="B49" s="382"/>
      <c r="C49" s="383"/>
      <c r="D49" s="385"/>
      <c r="E49" s="377"/>
      <c r="F49" s="387"/>
      <c r="G49" s="377"/>
      <c r="H49" s="379"/>
      <c r="I49" s="377"/>
      <c r="J49" s="379"/>
    </row>
    <row r="50" spans="2:13" ht="14.4" customHeight="1" x14ac:dyDescent="0.25">
      <c r="B50" s="380" t="s">
        <v>184</v>
      </c>
      <c r="C50" s="381"/>
      <c r="D50" s="384">
        <f>C11</f>
        <v>0.05</v>
      </c>
      <c r="E50" s="376">
        <f>_xlfn.XLOOKUP(D39,E12:O12,E3:O3,,1)</f>
        <v>0</v>
      </c>
      <c r="F50" s="386">
        <f>E50*D50</f>
        <v>0</v>
      </c>
      <c r="G50" s="376">
        <f>_xlfn.XLOOKUP(F39,E12:O12,E3:O3,,1)</f>
        <v>10</v>
      </c>
      <c r="H50" s="378">
        <f>G50*D50</f>
        <v>0.5</v>
      </c>
      <c r="I50" s="376">
        <f>_xlfn.XLOOKUP(H39,E12:O12,E3:O3,,1)</f>
        <v>0</v>
      </c>
      <c r="J50" s="378">
        <f>I50*D50</f>
        <v>0</v>
      </c>
    </row>
    <row r="51" spans="2:13" ht="15" customHeight="1" thickBot="1" x14ac:dyDescent="0.3">
      <c r="B51" s="382"/>
      <c r="C51" s="383"/>
      <c r="D51" s="385"/>
      <c r="E51" s="377"/>
      <c r="F51" s="387"/>
      <c r="G51" s="377"/>
      <c r="H51" s="379"/>
      <c r="I51" s="377"/>
      <c r="J51" s="379"/>
    </row>
    <row r="52" spans="2:13" ht="15" customHeight="1" x14ac:dyDescent="0.25">
      <c r="B52" s="392" t="s">
        <v>189</v>
      </c>
      <c r="C52" s="393"/>
      <c r="D52" s="394"/>
      <c r="E52" s="366">
        <f>SUM(F45:F51)</f>
        <v>7.35</v>
      </c>
      <c r="F52" s="367"/>
      <c r="G52" s="366">
        <f t="shared" ref="G52" si="3">SUM(H45:H51)</f>
        <v>6.5</v>
      </c>
      <c r="H52" s="367"/>
      <c r="I52" s="366">
        <f t="shared" ref="I52" si="4">SUM(J45:J51)</f>
        <v>6.95</v>
      </c>
      <c r="J52" s="367"/>
    </row>
    <row r="53" spans="2:13" ht="15" customHeight="1" thickBot="1" x14ac:dyDescent="0.3">
      <c r="B53" s="395"/>
      <c r="C53" s="396"/>
      <c r="D53" s="397"/>
      <c r="E53" s="368"/>
      <c r="F53" s="369"/>
      <c r="G53" s="368"/>
      <c r="H53" s="369"/>
      <c r="I53" s="368"/>
      <c r="J53" s="369"/>
      <c r="K53" s="100"/>
      <c r="L53" s="100"/>
      <c r="M53" s="100"/>
    </row>
    <row r="54" spans="2:13" ht="14.4" thickBot="1" x14ac:dyDescent="0.3">
      <c r="B54" s="100"/>
      <c r="C54" s="100"/>
      <c r="D54" s="100"/>
      <c r="E54" s="100"/>
      <c r="F54" s="100"/>
    </row>
    <row r="55" spans="2:13" x14ac:dyDescent="0.25">
      <c r="B55" s="370" t="str">
        <f>"מסקנה: הספק הנבחר על פי טבלת מדרוג זו הינו "&amp;_xlfn.XLOOKUP(MAX(E52:J53),E52:J52,E43:J43)&amp;", כיוון שציונו הסופי המשוקלל הינו הגבוה ביותר."</f>
        <v>מסקנה: הספק הנבחר על פי טבלת מדרוג זו הינו ספק א': 
מחלבות גד, כיוון שציונו הסופי המשוקלל הינו הגבוה ביותר.</v>
      </c>
      <c r="C55" s="371"/>
      <c r="D55" s="371"/>
      <c r="E55" s="371"/>
      <c r="F55" s="371"/>
      <c r="G55" s="371"/>
      <c r="H55" s="371"/>
      <c r="I55" s="371"/>
      <c r="J55" s="372"/>
    </row>
    <row r="56" spans="2:13" ht="14.4" thickBot="1" x14ac:dyDescent="0.3">
      <c r="B56" s="373"/>
      <c r="C56" s="374"/>
      <c r="D56" s="374"/>
      <c r="E56" s="374"/>
      <c r="F56" s="374"/>
      <c r="G56" s="374"/>
      <c r="H56" s="374"/>
      <c r="I56" s="374"/>
      <c r="J56" s="375"/>
    </row>
  </sheetData>
  <sheetProtection algorithmName="SHA-512" hashValue="GfOCD29uUxV5PMPE4tcla9C7FY2d0ML5exFpiPN+fQwjM9O2K8qLVgsAHhSaq1J69y/mvCKUyyhwcxkcqJQjUQ==" saltValue="14vdH5GBRPSP3IOyzURpow==" spinCount="100000" sheet="1" objects="1" scenarios="1" selectLockedCells="1" selectUnlockedCells="1"/>
  <mergeCells count="148">
    <mergeCell ref="B2:C2"/>
    <mergeCell ref="B3:B4"/>
    <mergeCell ref="C3:C4"/>
    <mergeCell ref="D3:D4"/>
    <mergeCell ref="E3:E4"/>
    <mergeCell ref="F3:F4"/>
    <mergeCell ref="T3:T4"/>
    <mergeCell ref="B5:B6"/>
    <mergeCell ref="C5:D6"/>
    <mergeCell ref="E5:E6"/>
    <mergeCell ref="F5:F6"/>
    <mergeCell ref="G5:G6"/>
    <mergeCell ref="H5:H6"/>
    <mergeCell ref="I5:I6"/>
    <mergeCell ref="J5:J6"/>
    <mergeCell ref="K5:K6"/>
    <mergeCell ref="M3:M4"/>
    <mergeCell ref="N3:N4"/>
    <mergeCell ref="O3:O4"/>
    <mergeCell ref="P3:P4"/>
    <mergeCell ref="R3:R4"/>
    <mergeCell ref="S3:S4"/>
    <mergeCell ref="G3:G4"/>
    <mergeCell ref="H3:H4"/>
    <mergeCell ref="I3:I4"/>
    <mergeCell ref="J3:J4"/>
    <mergeCell ref="K3:K4"/>
    <mergeCell ref="L3:L4"/>
    <mergeCell ref="S5:S6"/>
    <mergeCell ref="T5:T6"/>
    <mergeCell ref="B7:B8"/>
    <mergeCell ref="C7:D8"/>
    <mergeCell ref="E7:E8"/>
    <mergeCell ref="F7:F8"/>
    <mergeCell ref="G7:G8"/>
    <mergeCell ref="H7:H8"/>
    <mergeCell ref="I7:I8"/>
    <mergeCell ref="J7:J8"/>
    <mergeCell ref="L5:L6"/>
    <mergeCell ref="M5:M6"/>
    <mergeCell ref="N5:N6"/>
    <mergeCell ref="O5:O6"/>
    <mergeCell ref="P5:P6"/>
    <mergeCell ref="R5:R6"/>
    <mergeCell ref="R7:R8"/>
    <mergeCell ref="K7:K8"/>
    <mergeCell ref="L7:L8"/>
    <mergeCell ref="M7:M8"/>
    <mergeCell ref="N7:N8"/>
    <mergeCell ref="O7:O8"/>
    <mergeCell ref="P7:P8"/>
    <mergeCell ref="S9:S10"/>
    <mergeCell ref="T9:T10"/>
    <mergeCell ref="B11:B12"/>
    <mergeCell ref="C11:D12"/>
    <mergeCell ref="R11:R12"/>
    <mergeCell ref="B13:K14"/>
    <mergeCell ref="L9:L10"/>
    <mergeCell ref="M9:M10"/>
    <mergeCell ref="N9:N10"/>
    <mergeCell ref="O9:O10"/>
    <mergeCell ref="P9:P10"/>
    <mergeCell ref="R9:R10"/>
    <mergeCell ref="B9:B10"/>
    <mergeCell ref="C9:D10"/>
    <mergeCell ref="E9:E10"/>
    <mergeCell ref="F9:F10"/>
    <mergeCell ref="G9:G10"/>
    <mergeCell ref="H9:H10"/>
    <mergeCell ref="I9:I10"/>
    <mergeCell ref="J9:J10"/>
    <mergeCell ref="K9:K10"/>
    <mergeCell ref="B25:C25"/>
    <mergeCell ref="D25:E25"/>
    <mergeCell ref="B26:C26"/>
    <mergeCell ref="D26:E26"/>
    <mergeCell ref="B27:C27"/>
    <mergeCell ref="D27:E27"/>
    <mergeCell ref="B16:C16"/>
    <mergeCell ref="B17:K17"/>
    <mergeCell ref="B18:K18"/>
    <mergeCell ref="B19:K19"/>
    <mergeCell ref="B20:K20"/>
    <mergeCell ref="B24:E24"/>
    <mergeCell ref="B32:C33"/>
    <mergeCell ref="D32:E33"/>
    <mergeCell ref="F32:G33"/>
    <mergeCell ref="H32:I33"/>
    <mergeCell ref="B34:C35"/>
    <mergeCell ref="D34:E35"/>
    <mergeCell ref="F34:G35"/>
    <mergeCell ref="H34:I35"/>
    <mergeCell ref="B29:C29"/>
    <mergeCell ref="B30:B31"/>
    <mergeCell ref="C30:C31"/>
    <mergeCell ref="D30:E30"/>
    <mergeCell ref="F30:G30"/>
    <mergeCell ref="H30:I30"/>
    <mergeCell ref="D31:E31"/>
    <mergeCell ref="F31:G31"/>
    <mergeCell ref="H31:I31"/>
    <mergeCell ref="B36:C37"/>
    <mergeCell ref="D36:E37"/>
    <mergeCell ref="F36:G37"/>
    <mergeCell ref="H36:I37"/>
    <mergeCell ref="B38:C39"/>
    <mergeCell ref="D38:E38"/>
    <mergeCell ref="F38:G38"/>
    <mergeCell ref="H38:I38"/>
    <mergeCell ref="D39:E39"/>
    <mergeCell ref="F39:G39"/>
    <mergeCell ref="B44:C44"/>
    <mergeCell ref="B45:C46"/>
    <mergeCell ref="D45:D46"/>
    <mergeCell ref="E45:E46"/>
    <mergeCell ref="F45:F46"/>
    <mergeCell ref="G45:G46"/>
    <mergeCell ref="H39:I39"/>
    <mergeCell ref="B42:C42"/>
    <mergeCell ref="B43:C43"/>
    <mergeCell ref="E43:F43"/>
    <mergeCell ref="G43:H43"/>
    <mergeCell ref="I43:J43"/>
    <mergeCell ref="H45:H46"/>
    <mergeCell ref="I45:I46"/>
    <mergeCell ref="J45:J46"/>
    <mergeCell ref="B47:C47"/>
    <mergeCell ref="B48:C49"/>
    <mergeCell ref="D48:D49"/>
    <mergeCell ref="E48:E49"/>
    <mergeCell ref="F48:F49"/>
    <mergeCell ref="G48:G49"/>
    <mergeCell ref="H48:H49"/>
    <mergeCell ref="B52:D53"/>
    <mergeCell ref="E52:F53"/>
    <mergeCell ref="G52:H53"/>
    <mergeCell ref="I52:J53"/>
    <mergeCell ref="B55:J56"/>
    <mergeCell ref="I48:I49"/>
    <mergeCell ref="J48:J49"/>
    <mergeCell ref="B50:C51"/>
    <mergeCell ref="D50:D51"/>
    <mergeCell ref="E50:E51"/>
    <mergeCell ref="F50:F51"/>
    <mergeCell ref="G50:G51"/>
    <mergeCell ref="H50:H51"/>
    <mergeCell ref="I50:I51"/>
    <mergeCell ref="J50:J51"/>
  </mergeCells>
  <conditionalFormatting sqref="E52:J53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F782-2987-4818-988C-D39435A20875}">
  <dimension ref="A1:S22"/>
  <sheetViews>
    <sheetView rightToLeft="1" topLeftCell="C1" workbookViewId="0">
      <selection activeCell="Q12" activeCellId="2" sqref="A1:O8 Q4:S9 Q12:S22"/>
    </sheetView>
  </sheetViews>
  <sheetFormatPr defaultRowHeight="13.8" x14ac:dyDescent="0.25"/>
  <cols>
    <col min="16" max="16" width="2.69921875" customWidth="1"/>
    <col min="17" max="17" width="31.8984375" bestFit="1" customWidth="1"/>
    <col min="18" max="20" width="8.8984375" bestFit="1" customWidth="1"/>
    <col min="21" max="21" width="9.8984375" bestFit="1" customWidth="1"/>
    <col min="22" max="22" width="4.5" bestFit="1" customWidth="1"/>
    <col min="23" max="23" width="8.19921875" bestFit="1" customWidth="1"/>
  </cols>
  <sheetData>
    <row r="1" spans="1:19" x14ac:dyDescent="0.25">
      <c r="A1" s="539" t="s">
        <v>111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</row>
    <row r="2" spans="1:19" x14ac:dyDescent="0.25">
      <c r="A2" s="117" t="s">
        <v>119</v>
      </c>
      <c r="B2" s="117">
        <v>0</v>
      </c>
      <c r="C2" s="122" t="s">
        <v>112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/>
      <c r="P2" s="125"/>
    </row>
    <row r="3" spans="1:19" x14ac:dyDescent="0.25">
      <c r="A3" s="117" t="s">
        <v>114</v>
      </c>
      <c r="B3" s="117">
        <v>0.4</v>
      </c>
      <c r="C3" s="119" t="s">
        <v>113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1"/>
      <c r="P3" s="125"/>
    </row>
    <row r="4" spans="1:19" x14ac:dyDescent="0.25">
      <c r="A4" s="117"/>
      <c r="B4" s="117">
        <v>0.6</v>
      </c>
      <c r="C4" s="119" t="s">
        <v>115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1"/>
      <c r="P4" s="125"/>
      <c r="Q4" s="126" t="s">
        <v>215</v>
      </c>
      <c r="R4" s="131">
        <f>R12</f>
        <v>2019</v>
      </c>
      <c r="S4" s="131">
        <f>S12</f>
        <v>2021</v>
      </c>
    </row>
    <row r="5" spans="1:19" x14ac:dyDescent="0.25">
      <c r="A5" s="117" t="s">
        <v>114</v>
      </c>
      <c r="B5" s="117">
        <v>0.7</v>
      </c>
      <c r="C5" s="119" t="s">
        <v>116</v>
      </c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1"/>
      <c r="P5" s="125"/>
      <c r="Q5" s="130" t="str">
        <f>תחזיות!B9</f>
        <v>ממוצע פשוט</v>
      </c>
      <c r="R5" s="132">
        <f>תחזיות!D16</f>
        <v>12265.666666666666</v>
      </c>
      <c r="S5" s="132">
        <f>תחזיות!D17</f>
        <v>13165.25</v>
      </c>
    </row>
    <row r="6" spans="1:19" x14ac:dyDescent="0.25">
      <c r="A6" s="117" t="s">
        <v>114</v>
      </c>
      <c r="B6" s="117">
        <v>0.8</v>
      </c>
      <c r="C6" s="119" t="s">
        <v>120</v>
      </c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1"/>
      <c r="P6" s="125"/>
      <c r="Q6" s="130" t="str">
        <f>_xlfn.CONCAT(תחזיות!F9," ",תחזיות!G10," ",תחזיות!H10)</f>
        <v>ממוצע משוקלל דו-שנתי 0.1 הפחתה שנתית</v>
      </c>
      <c r="R6" s="132">
        <f>תחזיות!J16</f>
        <v>13201.529411764704</v>
      </c>
      <c r="S6" s="132">
        <f>תחזיות!J17</f>
        <v>14921.368421052632</v>
      </c>
    </row>
    <row r="7" spans="1:19" x14ac:dyDescent="0.25">
      <c r="A7" s="117" t="s">
        <v>114</v>
      </c>
      <c r="B7" s="118">
        <v>0.9</v>
      </c>
      <c r="C7" s="119" t="s">
        <v>117</v>
      </c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1"/>
      <c r="P7" s="125"/>
      <c r="Q7" s="130" t="str">
        <f>_xlfn.CONCAT(תחזיות!L9," ",תחזיות!M10," ",תחזיות!N10)</f>
        <v>ממוצע משוקלל דו-שנתי 0.2 הפחתה שנתית</v>
      </c>
      <c r="R7" s="132">
        <f>תחזיות!P16</f>
        <v>13261.571428571428</v>
      </c>
      <c r="S7" s="132">
        <f>תחזיות!P17</f>
        <v>14979.555555555555</v>
      </c>
    </row>
    <row r="8" spans="1:19" x14ac:dyDescent="0.25">
      <c r="A8" s="117" t="s">
        <v>119</v>
      </c>
      <c r="B8" s="117">
        <v>1</v>
      </c>
      <c r="C8" s="119" t="s">
        <v>118</v>
      </c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1"/>
      <c r="P8" s="125"/>
      <c r="Q8" s="130" t="str">
        <f>תחזיות!B20</f>
        <v>רגרסיה לניארית</v>
      </c>
      <c r="R8" s="132">
        <f>תחזיות!D31</f>
        <v>15803.3</v>
      </c>
      <c r="S8" s="132">
        <f>תחזיות!D32</f>
        <v>17562</v>
      </c>
    </row>
    <row r="9" spans="1:19" x14ac:dyDescent="0.25">
      <c r="Q9" s="130" t="str">
        <f>_xlfn.CONCAT(תחזיות!L71," ",תחזיות!L72)</f>
        <v>החלקה מעריכית α = 1</v>
      </c>
      <c r="R9" s="132">
        <f>_xlfn.XLOOKUP(S9,S13:S22,R13:R22,"Not Found")</f>
        <v>13874</v>
      </c>
      <c r="S9" s="132">
        <f>VLOOKUP(_xlfn.XLOOKUP(MIN(תחזיות!D65:W65),תחזיות!D65:W65,תחזיות!D64:W64),R13:S22,2,0)</f>
        <v>15864</v>
      </c>
    </row>
    <row r="12" spans="1:19" x14ac:dyDescent="0.25">
      <c r="Q12" s="129" t="s">
        <v>216</v>
      </c>
      <c r="R12" s="127">
        <f>תחזיות!F5</f>
        <v>2019</v>
      </c>
      <c r="S12" s="127">
        <f>תחזיות!F5+2</f>
        <v>2021</v>
      </c>
    </row>
    <row r="13" spans="1:19" x14ac:dyDescent="0.25">
      <c r="Q13" s="117" t="str">
        <f>תחזיות!D58</f>
        <v>α = 0.1</v>
      </c>
      <c r="R13" s="128">
        <f>תחזיות!D44</f>
        <v>10994.630000000001</v>
      </c>
      <c r="S13" s="128">
        <f>תחזיות!D45</f>
        <v>11481.567000000001</v>
      </c>
    </row>
    <row r="14" spans="1:19" x14ac:dyDescent="0.25">
      <c r="Q14" s="117" t="str">
        <f>תחזיות!F58</f>
        <v>α = 0.2</v>
      </c>
      <c r="R14" s="128">
        <f>תחזיות!H44</f>
        <v>11471.920000000002</v>
      </c>
      <c r="S14" s="128">
        <f>תחזיות!H45</f>
        <v>12350.336000000003</v>
      </c>
    </row>
    <row r="15" spans="1:19" x14ac:dyDescent="0.25">
      <c r="Q15" s="117" t="str">
        <f>תחזיות!H58</f>
        <v>α = 0.3</v>
      </c>
      <c r="R15" s="128">
        <f>תחזיות!L44</f>
        <v>11909.87</v>
      </c>
      <c r="S15" s="128">
        <f>תחזיות!L45</f>
        <v>13096.109</v>
      </c>
    </row>
    <row r="16" spans="1:19" x14ac:dyDescent="0.25">
      <c r="Q16" s="117" t="str">
        <f>תחזיות!J58</f>
        <v>α = 0.4</v>
      </c>
      <c r="R16" s="128">
        <f>תחזיות!P44</f>
        <v>12308.48</v>
      </c>
      <c r="S16" s="128">
        <f>תחזיות!P45</f>
        <v>13730.688</v>
      </c>
    </row>
    <row r="17" spans="17:19" x14ac:dyDescent="0.25">
      <c r="Q17" s="117" t="str">
        <f>תחזיות!L58</f>
        <v>α = 0.5</v>
      </c>
      <c r="R17" s="128">
        <f>תחזיות!T44</f>
        <v>12667.75</v>
      </c>
      <c r="S17" s="128">
        <f>תחזיות!T45</f>
        <v>14265.875</v>
      </c>
    </row>
    <row r="18" spans="17:19" x14ac:dyDescent="0.25">
      <c r="Q18" s="117" t="str">
        <f>תחזיות!N58</f>
        <v>α = 0.6</v>
      </c>
      <c r="R18" s="128">
        <f>תחזיות!D54</f>
        <v>12987.68</v>
      </c>
      <c r="S18" s="128">
        <f>תחזיות!D55</f>
        <v>14713.472</v>
      </c>
    </row>
    <row r="19" spans="17:19" x14ac:dyDescent="0.25">
      <c r="Q19" s="117" t="str">
        <f>תחזיות!P58</f>
        <v>α = 0.7</v>
      </c>
      <c r="R19" s="128">
        <f>תחזיות!H54</f>
        <v>13268.27</v>
      </c>
      <c r="S19" s="128">
        <f>תחזיות!H55</f>
        <v>15085.280999999999</v>
      </c>
    </row>
    <row r="20" spans="17:19" x14ac:dyDescent="0.25">
      <c r="Q20" s="117" t="str">
        <f>תחזיות!R58</f>
        <v>α = 0.8</v>
      </c>
      <c r="R20" s="128">
        <f>תחזיות!L54</f>
        <v>13509.52</v>
      </c>
      <c r="S20" s="128">
        <f>תחזיות!L55</f>
        <v>15393.103999999999</v>
      </c>
    </row>
    <row r="21" spans="17:19" x14ac:dyDescent="0.25">
      <c r="Q21" s="117" t="str">
        <f>תחזיות!T58</f>
        <v>α = 0.9</v>
      </c>
      <c r="R21" s="128">
        <f>תחזיות!P54</f>
        <v>13711.43</v>
      </c>
      <c r="S21" s="128">
        <f>תחזיות!P55</f>
        <v>15648.743</v>
      </c>
    </row>
    <row r="22" spans="17:19" x14ac:dyDescent="0.25">
      <c r="Q22" s="117" t="str">
        <f>תחזיות!V58</f>
        <v>α = 1</v>
      </c>
      <c r="R22" s="128">
        <f>תחזיות!T54</f>
        <v>13874</v>
      </c>
      <c r="S22" s="128">
        <f>תחזיות!T55</f>
        <v>15864</v>
      </c>
    </row>
  </sheetData>
  <sheetProtection algorithmName="SHA-512" hashValue="17gfu+Cox/4wX6lygvp3Ae9xmeiAy36fZ+fAQQVreqbllQ5XPXr8KGd6CG2Fr2Mq+TcBQ5/+e5Y0JfW8xN7Adw==" saltValue="mXyyDnO84RdDSvOC90lVuw==" spinCount="100000" sheet="1" objects="1" scenarios="1" selectLockedCells="1" selectUnlockedCells="1"/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טיוטת פארטו מוצרים</vt:lpstr>
      <vt:lpstr>פארטו כלל המוצרים</vt:lpstr>
      <vt:lpstr>פארטו שייקים</vt:lpstr>
      <vt:lpstr>מוצרים ומשפחות</vt:lpstr>
      <vt:lpstr>מוצרים מובילים</vt:lpstr>
      <vt:lpstr>תחזיות</vt:lpstr>
      <vt:lpstr>מדרוג ספקים קפואים</vt:lpstr>
      <vt:lpstr>גיליון מצורף- מחיר קפואים</vt:lpstr>
      <vt:lpstr>גיליון מצורף- איכות קפואים</vt:lpstr>
      <vt:lpstr>מדרוג ספקים יוגורט</vt:lpstr>
      <vt:lpstr>גיליון עזר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RICHTER</dc:creator>
  <cp:lastModifiedBy>YARON RICHTER</cp:lastModifiedBy>
  <cp:lastPrinted>2021-04-29T13:31:51Z</cp:lastPrinted>
  <dcterms:created xsi:type="dcterms:W3CDTF">2015-06-05T18:19:34Z</dcterms:created>
  <dcterms:modified xsi:type="dcterms:W3CDTF">2022-05-23T08:29:28Z</dcterms:modified>
</cp:coreProperties>
</file>