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phabet Project\"/>
    </mc:Choice>
  </mc:AlternateContent>
  <xr:revisionPtr revIDLastSave="0" documentId="13_ncr:1_{8C226F10-45E6-4BF5-9A87-2D9FB138EF47}" xr6:coauthVersionLast="47" xr6:coauthVersionMax="47" xr10:uidLastSave="{00000000-0000-0000-0000-000000000000}"/>
  <bookViews>
    <workbookView xWindow="-108" yWindow="-108" windowWidth="23256" windowHeight="12456" tabRatio="845" activeTab="6" xr2:uid="{ECF1FB7B-C510-4277-A6FC-A4F9A01BB0E3}"/>
  </bookViews>
  <sheets>
    <sheet name="Operating Model - IS, BS, CF" sheetId="1" r:id="rId1"/>
    <sheet name="Working Cap Schedule" sheetId="3" r:id="rId2"/>
    <sheet name="Equity Schedule" sheetId="5" r:id="rId3"/>
    <sheet name="D&amp;A" sheetId="2" r:id="rId4"/>
    <sheet name="Debt and Interest Schedule " sheetId="4" r:id="rId5"/>
    <sheet name="DCF" sheetId="6" r:id="rId6"/>
    <sheet name="Assumptions" sheetId="8" r:id="rId7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6" i="6" l="1"/>
  <c r="R35" i="6"/>
  <c r="R34" i="6"/>
  <c r="Q35" i="6"/>
  <c r="Q34" i="6"/>
  <c r="T34" i="6" l="1"/>
  <c r="T35" i="6"/>
  <c r="E29" i="6" l="1"/>
  <c r="E28" i="6"/>
  <c r="E25" i="6"/>
  <c r="D29" i="6"/>
  <c r="D25" i="6"/>
  <c r="D28" i="6"/>
  <c r="P8" i="6"/>
  <c r="P19" i="6"/>
  <c r="P15" i="6" s="1"/>
  <c r="P14" i="6"/>
  <c r="U9" i="4"/>
  <c r="S9" i="4"/>
  <c r="S6" i="4"/>
  <c r="S7" i="4"/>
  <c r="S8" i="4"/>
  <c r="S5" i="4"/>
  <c r="R9" i="4"/>
  <c r="P6" i="6"/>
  <c r="P9" i="6" s="1"/>
  <c r="H9" i="6"/>
  <c r="I9" i="6"/>
  <c r="J9" i="6"/>
  <c r="K9" i="6"/>
  <c r="G9" i="6"/>
  <c r="H8" i="6"/>
  <c r="I8" i="6"/>
  <c r="J8" i="6"/>
  <c r="K8" i="6"/>
  <c r="G8" i="6"/>
  <c r="G7" i="6"/>
  <c r="H6" i="6"/>
  <c r="I6" i="6"/>
  <c r="J6" i="6"/>
  <c r="K6" i="6"/>
  <c r="G6" i="6"/>
  <c r="G12" i="6" l="1"/>
  <c r="P12" i="6"/>
  <c r="P11" i="6"/>
  <c r="P3" i="6" s="1"/>
  <c r="E4" i="6" l="1"/>
  <c r="F4" i="6" s="1"/>
  <c r="G4" i="6" s="1"/>
  <c r="G28" i="4"/>
  <c r="E4" i="8"/>
  <c r="F4" i="8" s="1"/>
  <c r="G4" i="8" s="1"/>
  <c r="H4" i="8" s="1"/>
  <c r="I4" i="8" s="1"/>
  <c r="J4" i="8" s="1"/>
  <c r="K4" i="8" s="1"/>
  <c r="H4" i="6" l="1"/>
  <c r="I4" i="6" s="1"/>
  <c r="J4" i="6" s="1"/>
  <c r="K4" i="6" s="1"/>
  <c r="G20" i="4"/>
  <c r="F21" i="4"/>
  <c r="F25" i="4"/>
  <c r="G23" i="4" s="1"/>
  <c r="G14" i="4"/>
  <c r="H14" i="4"/>
  <c r="I14" i="4"/>
  <c r="J14" i="4"/>
  <c r="K14" i="4"/>
  <c r="H13" i="4"/>
  <c r="I13" i="4"/>
  <c r="J13" i="4"/>
  <c r="K13" i="4"/>
  <c r="G13" i="4"/>
  <c r="E12" i="4"/>
  <c r="F12" i="4"/>
  <c r="D12" i="4"/>
  <c r="E11" i="4"/>
  <c r="F11" i="4"/>
  <c r="D11" i="4"/>
  <c r="E111" i="1"/>
  <c r="F111" i="1"/>
  <c r="D111" i="1"/>
  <c r="H103" i="1"/>
  <c r="H17" i="4" s="1"/>
  <c r="I103" i="1"/>
  <c r="I17" i="4" s="1"/>
  <c r="J103" i="1"/>
  <c r="J17" i="4" s="1"/>
  <c r="K103" i="1"/>
  <c r="K17" i="4" s="1"/>
  <c r="G103" i="1"/>
  <c r="G17" i="4" s="1"/>
  <c r="H102" i="1"/>
  <c r="H16" i="4" s="1"/>
  <c r="I102" i="1"/>
  <c r="I16" i="4" s="1"/>
  <c r="J102" i="1"/>
  <c r="J16" i="4" s="1"/>
  <c r="K102" i="1"/>
  <c r="K16" i="4" s="1"/>
  <c r="G102" i="1"/>
  <c r="G16" i="4" s="1"/>
  <c r="H100" i="1"/>
  <c r="I100" i="1"/>
  <c r="J100" i="1"/>
  <c r="K100" i="1"/>
  <c r="G100" i="1"/>
  <c r="H99" i="1"/>
  <c r="I99" i="1"/>
  <c r="J99" i="1"/>
  <c r="K99" i="1"/>
  <c r="G99" i="1"/>
  <c r="F9" i="4"/>
  <c r="G60" i="1" s="1"/>
  <c r="E4" i="4"/>
  <c r="F4" i="4" s="1"/>
  <c r="G4" i="4" s="1"/>
  <c r="H4" i="4" s="1"/>
  <c r="I4" i="4" s="1"/>
  <c r="J4" i="4" s="1"/>
  <c r="K4" i="4" s="1"/>
  <c r="G65" i="1"/>
  <c r="H65" i="1" s="1"/>
  <c r="I65" i="1" s="1"/>
  <c r="J65" i="1" s="1"/>
  <c r="K65" i="1" s="1"/>
  <c r="G64" i="1"/>
  <c r="H64" i="1" s="1"/>
  <c r="I64" i="1" s="1"/>
  <c r="J64" i="1" s="1"/>
  <c r="K64" i="1" s="1"/>
  <c r="G63" i="1"/>
  <c r="H63" i="1" s="1"/>
  <c r="I63" i="1" s="1"/>
  <c r="J63" i="1" s="1"/>
  <c r="K63" i="1" s="1"/>
  <c r="G62" i="1"/>
  <c r="H62" i="1" s="1"/>
  <c r="I62" i="1" s="1"/>
  <c r="J62" i="1" s="1"/>
  <c r="K62" i="1" s="1"/>
  <c r="G61" i="1"/>
  <c r="H61" i="1" s="1"/>
  <c r="I61" i="1" s="1"/>
  <c r="J61" i="1" s="1"/>
  <c r="K61" i="1" s="1"/>
  <c r="G55" i="1"/>
  <c r="H55" i="1" s="1"/>
  <c r="I55" i="1" s="1"/>
  <c r="J55" i="1" s="1"/>
  <c r="K55" i="1" s="1"/>
  <c r="G54" i="1"/>
  <c r="H54" i="1" s="1"/>
  <c r="I54" i="1" s="1"/>
  <c r="J54" i="1" s="1"/>
  <c r="K54" i="1" s="1"/>
  <c r="G53" i="1"/>
  <c r="H53" i="1" s="1"/>
  <c r="I53" i="1" s="1"/>
  <c r="J53" i="1" s="1"/>
  <c r="K53" i="1" s="1"/>
  <c r="G52" i="1"/>
  <c r="H52" i="1" s="1"/>
  <c r="I52" i="1" s="1"/>
  <c r="J52" i="1" s="1"/>
  <c r="K52" i="1" s="1"/>
  <c r="G43" i="1"/>
  <c r="H43" i="1" s="1"/>
  <c r="I43" i="1" s="1"/>
  <c r="J43" i="1" s="1"/>
  <c r="K43" i="1" s="1"/>
  <c r="G42" i="1"/>
  <c r="H42" i="1" s="1"/>
  <c r="I42" i="1" s="1"/>
  <c r="J42" i="1" s="1"/>
  <c r="K42" i="1" s="1"/>
  <c r="G40" i="1"/>
  <c r="H40" i="1" s="1"/>
  <c r="I40" i="1" s="1"/>
  <c r="J40" i="1" s="1"/>
  <c r="K40" i="1" s="1"/>
  <c r="G39" i="1"/>
  <c r="H39" i="1" s="1"/>
  <c r="I39" i="1" s="1"/>
  <c r="J39" i="1" s="1"/>
  <c r="K39" i="1" s="1"/>
  <c r="G38" i="1"/>
  <c r="H38" i="1" s="1"/>
  <c r="I38" i="1" s="1"/>
  <c r="J38" i="1" s="1"/>
  <c r="K38" i="1" s="1"/>
  <c r="G33" i="1"/>
  <c r="H33" i="1" s="1"/>
  <c r="I33" i="1" s="1"/>
  <c r="J33" i="1" s="1"/>
  <c r="K33" i="1" s="1"/>
  <c r="G31" i="1"/>
  <c r="H31" i="1" s="1"/>
  <c r="I31" i="1" s="1"/>
  <c r="J31" i="1" s="1"/>
  <c r="K31" i="1" s="1"/>
  <c r="E6" i="3"/>
  <c r="F6" i="3"/>
  <c r="D6" i="3"/>
  <c r="E5" i="3"/>
  <c r="F5" i="3"/>
  <c r="D5" i="3"/>
  <c r="E15" i="3"/>
  <c r="F15" i="3"/>
  <c r="D15" i="3"/>
  <c r="E10" i="3"/>
  <c r="F10" i="3"/>
  <c r="E11" i="3"/>
  <c r="F11" i="3"/>
  <c r="D10" i="3"/>
  <c r="D11" i="3"/>
  <c r="E4" i="3"/>
  <c r="F4" i="3" s="1"/>
  <c r="G4" i="3" s="1"/>
  <c r="H4" i="3" s="1"/>
  <c r="I4" i="3" s="1"/>
  <c r="J4" i="3" s="1"/>
  <c r="K4" i="3" s="1"/>
  <c r="H25" i="2"/>
  <c r="I25" i="2"/>
  <c r="J25" i="2"/>
  <c r="K25" i="2"/>
  <c r="G25" i="2"/>
  <c r="E26" i="2"/>
  <c r="F26" i="2"/>
  <c r="G23" i="2" s="1"/>
  <c r="G26" i="2" s="1"/>
  <c r="D26" i="2"/>
  <c r="G6" i="4" l="1"/>
  <c r="G9" i="4" s="1"/>
  <c r="H60" i="1" s="1"/>
  <c r="H66" i="1" s="1"/>
  <c r="G66" i="1"/>
  <c r="F22" i="3"/>
  <c r="F28" i="3" s="1"/>
  <c r="H23" i="2"/>
  <c r="H26" i="2" s="1"/>
  <c r="G41" i="1"/>
  <c r="E22" i="3"/>
  <c r="E28" i="3" s="1"/>
  <c r="G28" i="3" s="1"/>
  <c r="F24" i="3"/>
  <c r="F30" i="3" s="1"/>
  <c r="E24" i="3"/>
  <c r="E30" i="3" s="1"/>
  <c r="F23" i="3"/>
  <c r="F29" i="3" s="1"/>
  <c r="E23" i="3"/>
  <c r="E29" i="3" s="1"/>
  <c r="E12" i="3"/>
  <c r="D16" i="3"/>
  <c r="D12" i="3"/>
  <c r="E16" i="3"/>
  <c r="F16" i="3"/>
  <c r="F12" i="3"/>
  <c r="H6" i="4" l="1"/>
  <c r="H9" i="4" s="1"/>
  <c r="I60" i="1" s="1"/>
  <c r="I66" i="1" s="1"/>
  <c r="D18" i="3"/>
  <c r="E18" i="3"/>
  <c r="F18" i="3"/>
  <c r="I23" i="2"/>
  <c r="I26" i="2" s="1"/>
  <c r="H41" i="1"/>
  <c r="G29" i="3"/>
  <c r="G23" i="3" s="1"/>
  <c r="G30" i="3"/>
  <c r="H30" i="3" s="1"/>
  <c r="H28" i="3"/>
  <c r="I28" i="3" s="1"/>
  <c r="G22" i="3"/>
  <c r="I6" i="4" l="1"/>
  <c r="I9" i="4" s="1"/>
  <c r="J6" i="4" s="1"/>
  <c r="J9" i="4" s="1"/>
  <c r="H29" i="3"/>
  <c r="J23" i="2"/>
  <c r="J26" i="2" s="1"/>
  <c r="I41" i="1"/>
  <c r="H22" i="3"/>
  <c r="G24" i="3"/>
  <c r="H24" i="3"/>
  <c r="I30" i="3"/>
  <c r="J30" i="3" s="1"/>
  <c r="J28" i="3"/>
  <c r="I22" i="3"/>
  <c r="H23" i="3"/>
  <c r="I29" i="3"/>
  <c r="J60" i="1" l="1"/>
  <c r="J66" i="1" s="1"/>
  <c r="K6" i="4"/>
  <c r="K9" i="4" s="1"/>
  <c r="K60" i="1"/>
  <c r="K66" i="1" s="1"/>
  <c r="K23" i="2"/>
  <c r="K26" i="2" s="1"/>
  <c r="K41" i="1" s="1"/>
  <c r="J41" i="1"/>
  <c r="I24" i="3"/>
  <c r="J29" i="3"/>
  <c r="I23" i="3"/>
  <c r="K30" i="3"/>
  <c r="K24" i="3" s="1"/>
  <c r="J24" i="3"/>
  <c r="K28" i="3"/>
  <c r="K22" i="3" s="1"/>
  <c r="J22" i="3"/>
  <c r="K29" i="3" l="1"/>
  <c r="K23" i="3" s="1"/>
  <c r="J23" i="3"/>
  <c r="E14" i="2" l="1"/>
  <c r="F14" i="2"/>
  <c r="G11" i="2" s="1"/>
  <c r="D14" i="2"/>
  <c r="F18" i="1"/>
  <c r="F17" i="2" s="1"/>
  <c r="F18" i="2" s="1"/>
  <c r="E7" i="2"/>
  <c r="F7" i="2"/>
  <c r="D7" i="2"/>
  <c r="E6" i="2"/>
  <c r="F6" i="2"/>
  <c r="D6" i="2"/>
  <c r="E4" i="2"/>
  <c r="F4" i="2" s="1"/>
  <c r="G4" i="2" s="1"/>
  <c r="H4" i="2" s="1"/>
  <c r="I4" i="2" s="1"/>
  <c r="J4" i="2" s="1"/>
  <c r="K4" i="2" s="1"/>
  <c r="E14" i="5"/>
  <c r="F14" i="5"/>
  <c r="G11" i="5" s="1"/>
  <c r="D14" i="5"/>
  <c r="E4" i="5"/>
  <c r="F4" i="5" s="1"/>
  <c r="G4" i="5" s="1"/>
  <c r="H4" i="5" s="1"/>
  <c r="I4" i="5" s="1"/>
  <c r="J4" i="5" s="1"/>
  <c r="K4" i="5" s="1"/>
  <c r="F56" i="1"/>
  <c r="D53" i="1"/>
  <c r="D56" i="1" s="1"/>
  <c r="D33" i="1"/>
  <c r="D34" i="1" s="1"/>
  <c r="E18" i="1"/>
  <c r="E85" i="1" s="1"/>
  <c r="D18" i="1"/>
  <c r="D85" i="1" s="1"/>
  <c r="E16" i="1"/>
  <c r="F16" i="1"/>
  <c r="D16" i="1"/>
  <c r="E14" i="1"/>
  <c r="F14" i="1"/>
  <c r="D14" i="1"/>
  <c r="E9" i="1"/>
  <c r="E19" i="1" s="1"/>
  <c r="F9" i="1"/>
  <c r="F19" i="1" s="1"/>
  <c r="D9" i="1"/>
  <c r="D19" i="1" s="1"/>
  <c r="E12" i="1"/>
  <c r="F12" i="1"/>
  <c r="D12" i="1"/>
  <c r="E8" i="1"/>
  <c r="F8" i="1"/>
  <c r="D8" i="1"/>
  <c r="F6" i="1"/>
  <c r="E6" i="1"/>
  <c r="F105" i="1"/>
  <c r="E105" i="1"/>
  <c r="D105" i="1"/>
  <c r="E97" i="1"/>
  <c r="F97" i="1"/>
  <c r="D97" i="1"/>
  <c r="E74" i="1"/>
  <c r="E76" i="1" s="1"/>
  <c r="F74" i="1"/>
  <c r="F76" i="1" s="1"/>
  <c r="D74" i="1"/>
  <c r="D76" i="1" s="1"/>
  <c r="E66" i="1"/>
  <c r="F66" i="1"/>
  <c r="D66" i="1"/>
  <c r="E56" i="1"/>
  <c r="E48" i="1"/>
  <c r="F48" i="1" s="1"/>
  <c r="G48" i="1" s="1"/>
  <c r="H48" i="1" s="1"/>
  <c r="I48" i="1" s="1"/>
  <c r="J48" i="1" s="1"/>
  <c r="K48" i="1" s="1"/>
  <c r="F44" i="1"/>
  <c r="E44" i="1"/>
  <c r="D44" i="1"/>
  <c r="E34" i="1"/>
  <c r="F34" i="1"/>
  <c r="E27" i="1"/>
  <c r="F27" i="1" s="1"/>
  <c r="G27" i="1" s="1"/>
  <c r="H27" i="1" s="1"/>
  <c r="I27" i="1" s="1"/>
  <c r="J27" i="1" s="1"/>
  <c r="K27" i="1" s="1"/>
  <c r="E4" i="1"/>
  <c r="F4" i="1" s="1"/>
  <c r="G4" i="1" s="1"/>
  <c r="H4" i="1" s="1"/>
  <c r="I4" i="1" s="1"/>
  <c r="J4" i="1" s="1"/>
  <c r="K4" i="1" s="1"/>
  <c r="D78" i="1" l="1"/>
  <c r="F78" i="1"/>
  <c r="D8" i="2"/>
  <c r="F85" i="1"/>
  <c r="F19" i="2"/>
  <c r="E78" i="1"/>
  <c r="D17" i="2"/>
  <c r="D18" i="2" s="1"/>
  <c r="D19" i="2" s="1"/>
  <c r="E17" i="2"/>
  <c r="E18" i="2" s="1"/>
  <c r="E19" i="2" s="1"/>
  <c r="D9" i="5"/>
  <c r="F9" i="5"/>
  <c r="G6" i="5" s="1"/>
  <c r="G9" i="5" s="1"/>
  <c r="E9" i="5"/>
  <c r="E8" i="2"/>
  <c r="F8" i="2"/>
  <c r="D10" i="1"/>
  <c r="F10" i="1"/>
  <c r="E10" i="1"/>
  <c r="E17" i="1"/>
  <c r="G14" i="1"/>
  <c r="H14" i="1" s="1"/>
  <c r="I14" i="1" s="1"/>
  <c r="J14" i="1" s="1"/>
  <c r="K14" i="1" s="1"/>
  <c r="D21" i="1"/>
  <c r="D23" i="1" s="1"/>
  <c r="D84" i="1" s="1"/>
  <c r="D93" i="1" s="1"/>
  <c r="D107" i="1" s="1"/>
  <c r="D17" i="1"/>
  <c r="F17" i="1"/>
  <c r="F21" i="1"/>
  <c r="F23" i="1" s="1"/>
  <c r="F84" i="1" s="1"/>
  <c r="E21" i="1"/>
  <c r="E23" i="1" s="1"/>
  <c r="E84" i="1" s="1"/>
  <c r="E93" i="1" s="1"/>
  <c r="E107" i="1" s="1"/>
  <c r="G16" i="1"/>
  <c r="H16" i="1" s="1"/>
  <c r="I16" i="1" s="1"/>
  <c r="J16" i="1" s="1"/>
  <c r="K16" i="1" s="1"/>
  <c r="G6" i="1"/>
  <c r="G5" i="1" s="1"/>
  <c r="G8" i="1"/>
  <c r="H8" i="1" s="1"/>
  <c r="I8" i="1" s="1"/>
  <c r="J8" i="1" s="1"/>
  <c r="K8" i="1" s="1"/>
  <c r="G12" i="1"/>
  <c r="H12" i="1" s="1"/>
  <c r="I12" i="1" s="1"/>
  <c r="J12" i="1" s="1"/>
  <c r="K12" i="1" s="1"/>
  <c r="D46" i="1"/>
  <c r="F46" i="1"/>
  <c r="E46" i="1"/>
  <c r="G8" i="2" l="1"/>
  <c r="H8" i="2" s="1"/>
  <c r="G19" i="2"/>
  <c r="H19" i="2" s="1"/>
  <c r="I19" i="2" s="1"/>
  <c r="J19" i="2" s="1"/>
  <c r="K19" i="2" s="1"/>
  <c r="F93" i="1"/>
  <c r="F107" i="1" s="1"/>
  <c r="G5" i="3"/>
  <c r="G10" i="3" s="1"/>
  <c r="G6" i="2"/>
  <c r="G74" i="1"/>
  <c r="H6" i="5"/>
  <c r="H9" i="5" s="1"/>
  <c r="G7" i="2"/>
  <c r="I8" i="2"/>
  <c r="H6" i="1"/>
  <c r="I6" i="1" s="1"/>
  <c r="J6" i="1" s="1"/>
  <c r="K6" i="1" s="1"/>
  <c r="G13" i="1"/>
  <c r="G15" i="1"/>
  <c r="G11" i="1"/>
  <c r="G7" i="1"/>
  <c r="F80" i="1"/>
  <c r="E80" i="1"/>
  <c r="D80" i="1"/>
  <c r="D113" i="1"/>
  <c r="G12" i="2" l="1"/>
  <c r="G18" i="2" s="1" a="1"/>
  <c r="G18" i="2" s="1"/>
  <c r="G17" i="2" s="1"/>
  <c r="G18" i="1" s="1"/>
  <c r="G85" i="1" s="1"/>
  <c r="G95" i="1"/>
  <c r="G9" i="1"/>
  <c r="G10" i="1" s="1"/>
  <c r="G6" i="3"/>
  <c r="I6" i="5"/>
  <c r="I9" i="5" s="1"/>
  <c r="H74" i="1"/>
  <c r="G30" i="1"/>
  <c r="J8" i="2"/>
  <c r="H5" i="1"/>
  <c r="E113" i="1"/>
  <c r="G97" i="1" l="1"/>
  <c r="G12" i="4"/>
  <c r="J6" i="5"/>
  <c r="J9" i="5" s="1"/>
  <c r="I74" i="1"/>
  <c r="G11" i="3"/>
  <c r="G15" i="3"/>
  <c r="H5" i="3"/>
  <c r="H10" i="3" s="1"/>
  <c r="H6" i="2"/>
  <c r="H7" i="2" s="1"/>
  <c r="G19" i="1"/>
  <c r="G17" i="1" s="1"/>
  <c r="K8" i="2"/>
  <c r="H7" i="1"/>
  <c r="I5" i="1"/>
  <c r="H11" i="1"/>
  <c r="H15" i="1"/>
  <c r="H13" i="1"/>
  <c r="G109" i="1"/>
  <c r="F113" i="1"/>
  <c r="H9" i="1" l="1"/>
  <c r="H10" i="1" s="1"/>
  <c r="H6" i="3"/>
  <c r="G32" i="1"/>
  <c r="G12" i="3"/>
  <c r="K6" i="5"/>
  <c r="K9" i="5" s="1"/>
  <c r="K74" i="1" s="1"/>
  <c r="J74" i="1"/>
  <c r="H12" i="2"/>
  <c r="H95" i="1"/>
  <c r="H30" i="1"/>
  <c r="G50" i="1"/>
  <c r="G16" i="3"/>
  <c r="I5" i="3"/>
  <c r="I10" i="3" s="1"/>
  <c r="I6" i="2"/>
  <c r="I7" i="2" s="1"/>
  <c r="I13" i="1"/>
  <c r="I15" i="1"/>
  <c r="J5" i="1"/>
  <c r="I11" i="1"/>
  <c r="I7" i="1"/>
  <c r="H97" i="1" l="1"/>
  <c r="H12" i="4"/>
  <c r="H19" i="1"/>
  <c r="I9" i="1"/>
  <c r="I10" i="1" s="1"/>
  <c r="I6" i="3"/>
  <c r="H11" i="3"/>
  <c r="H15" i="3"/>
  <c r="J5" i="3"/>
  <c r="J10" i="3" s="1"/>
  <c r="J6" i="2"/>
  <c r="J7" i="2" s="1"/>
  <c r="G18" i="3"/>
  <c r="G19" i="3" s="1"/>
  <c r="G86" i="1" s="1"/>
  <c r="I12" i="2"/>
  <c r="I95" i="1"/>
  <c r="I30" i="1"/>
  <c r="I19" i="1"/>
  <c r="J13" i="1"/>
  <c r="J15" i="1"/>
  <c r="J11" i="1"/>
  <c r="J7" i="1"/>
  <c r="K5" i="1"/>
  <c r="I97" i="1" l="1"/>
  <c r="I12" i="4"/>
  <c r="K5" i="3"/>
  <c r="K10" i="3" s="1"/>
  <c r="K6" i="2"/>
  <c r="K7" i="2" s="1"/>
  <c r="J30" i="1"/>
  <c r="J9" i="1"/>
  <c r="J10" i="1" s="1"/>
  <c r="J6" i="3"/>
  <c r="H50" i="1"/>
  <c r="H16" i="3"/>
  <c r="I11" i="3"/>
  <c r="I15" i="3"/>
  <c r="J12" i="2"/>
  <c r="J95" i="1"/>
  <c r="H32" i="1"/>
  <c r="H12" i="3"/>
  <c r="K13" i="1"/>
  <c r="K15" i="1"/>
  <c r="K11" i="1"/>
  <c r="K7" i="1"/>
  <c r="J97" i="1" l="1"/>
  <c r="J12" i="4"/>
  <c r="J15" i="3"/>
  <c r="J11" i="3"/>
  <c r="I50" i="1"/>
  <c r="I16" i="3"/>
  <c r="K30" i="1"/>
  <c r="I32" i="1"/>
  <c r="I12" i="3"/>
  <c r="I18" i="3" s="1"/>
  <c r="K9" i="1"/>
  <c r="K10" i="1" s="1"/>
  <c r="K6" i="3"/>
  <c r="K12" i="2"/>
  <c r="K95" i="1"/>
  <c r="J19" i="1"/>
  <c r="H18" i="3"/>
  <c r="H19" i="3" s="1"/>
  <c r="H86" i="1" s="1"/>
  <c r="K97" i="1" l="1"/>
  <c r="K12" i="4"/>
  <c r="I19" i="3"/>
  <c r="I86" i="1" s="1"/>
  <c r="K15" i="3"/>
  <c r="K11" i="3"/>
  <c r="K19" i="1"/>
  <c r="J32" i="1"/>
  <c r="J12" i="3"/>
  <c r="J50" i="1"/>
  <c r="J16" i="3"/>
  <c r="K32" i="1" l="1"/>
  <c r="K12" i="3"/>
  <c r="J18" i="3"/>
  <c r="J19" i="3" s="1"/>
  <c r="J86" i="1" s="1"/>
  <c r="K50" i="1"/>
  <c r="K16" i="3"/>
  <c r="K18" i="3" l="1"/>
  <c r="K19" i="3" s="1"/>
  <c r="K86" i="1" s="1"/>
  <c r="G13" i="2" l="1"/>
  <c r="G14" i="2" s="1"/>
  <c r="H11" i="2" l="1"/>
  <c r="G37" i="1"/>
  <c r="G44" i="1" s="1"/>
  <c r="I11" i="2"/>
  <c r="J11" i="2"/>
  <c r="K11" i="2"/>
  <c r="H13" i="2"/>
  <c r="I13" i="2"/>
  <c r="J13" i="2"/>
  <c r="K13" i="2"/>
  <c r="H14" i="2"/>
  <c r="I14" i="2"/>
  <c r="J14" i="2"/>
  <c r="K14" i="2"/>
  <c r="H17" i="2"/>
  <c r="I17" i="2"/>
  <c r="J17" i="2"/>
  <c r="K17" i="2"/>
  <c r="H18" i="2"/>
  <c r="I18" i="2"/>
  <c r="J18" i="2"/>
  <c r="K18" i="2"/>
  <c r="H7" i="6"/>
  <c r="I7" i="6"/>
  <c r="J7" i="6"/>
  <c r="K7" i="6"/>
  <c r="H12" i="6"/>
  <c r="I12" i="6"/>
  <c r="J12" i="6"/>
  <c r="K12" i="6"/>
  <c r="D15" i="6"/>
  <c r="E17" i="6"/>
  <c r="D21" i="6"/>
  <c r="E21" i="6"/>
  <c r="D22" i="6"/>
  <c r="E22" i="6"/>
  <c r="D24" i="6"/>
  <c r="E24" i="6"/>
  <c r="D30" i="6"/>
  <c r="E30" i="6"/>
  <c r="D32" i="6"/>
  <c r="E32" i="6"/>
  <c r="I34" i="6"/>
  <c r="I44" i="6"/>
  <c r="G11" i="4"/>
  <c r="H11" i="4"/>
  <c r="I11" i="4"/>
  <c r="J11" i="4"/>
  <c r="K11" i="4"/>
  <c r="G15" i="4"/>
  <c r="H15" i="4"/>
  <c r="I15" i="4"/>
  <c r="J15" i="4"/>
  <c r="K15" i="4"/>
  <c r="G18" i="4"/>
  <c r="H18" i="4"/>
  <c r="I18" i="4"/>
  <c r="J18" i="4"/>
  <c r="K18" i="4"/>
  <c r="H20" i="4"/>
  <c r="I20" i="4"/>
  <c r="J20" i="4"/>
  <c r="K20" i="4"/>
  <c r="G21" i="4"/>
  <c r="H21" i="4"/>
  <c r="I21" i="4"/>
  <c r="J21" i="4"/>
  <c r="K21" i="4"/>
  <c r="H23" i="4"/>
  <c r="I23" i="4"/>
  <c r="J23" i="4"/>
  <c r="K23" i="4"/>
  <c r="G24" i="4"/>
  <c r="H24" i="4"/>
  <c r="I24" i="4"/>
  <c r="J24" i="4"/>
  <c r="K24" i="4"/>
  <c r="G25" i="4"/>
  <c r="H25" i="4"/>
  <c r="I25" i="4"/>
  <c r="J25" i="4"/>
  <c r="K25" i="4"/>
  <c r="H28" i="4"/>
  <c r="I28" i="4"/>
  <c r="J28" i="4"/>
  <c r="K28" i="4"/>
  <c r="G30" i="4"/>
  <c r="H30" i="4"/>
  <c r="I30" i="4"/>
  <c r="J30" i="4"/>
  <c r="K30" i="4"/>
  <c r="G33" i="4"/>
  <c r="H33" i="4"/>
  <c r="I33" i="4"/>
  <c r="J33" i="4"/>
  <c r="K33" i="4"/>
  <c r="H11" i="5"/>
  <c r="I11" i="5"/>
  <c r="J11" i="5"/>
  <c r="K11" i="5"/>
  <c r="G12" i="5"/>
  <c r="H12" i="5"/>
  <c r="I12" i="5"/>
  <c r="J12" i="5"/>
  <c r="K12" i="5"/>
  <c r="G13" i="5"/>
  <c r="H13" i="5"/>
  <c r="I13" i="5"/>
  <c r="J13" i="5"/>
  <c r="K13" i="5"/>
  <c r="G14" i="5"/>
  <c r="H14" i="5"/>
  <c r="I14" i="5"/>
  <c r="J14" i="5"/>
  <c r="K14" i="5"/>
  <c r="H17" i="1"/>
  <c r="I17" i="1"/>
  <c r="J17" i="1"/>
  <c r="K17" i="1"/>
  <c r="H18" i="1"/>
  <c r="I18" i="1"/>
  <c r="J18" i="1"/>
  <c r="K18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9" i="1"/>
  <c r="H29" i="1"/>
  <c r="I29" i="1"/>
  <c r="J29" i="1"/>
  <c r="K29" i="1"/>
  <c r="G34" i="1"/>
  <c r="H34" i="1"/>
  <c r="I34" i="1"/>
  <c r="J34" i="1"/>
  <c r="K34" i="1"/>
  <c r="H37" i="1"/>
  <c r="I37" i="1"/>
  <c r="J37" i="1"/>
  <c r="K37" i="1"/>
  <c r="H44" i="1"/>
  <c r="I44" i="1"/>
  <c r="J44" i="1"/>
  <c r="K44" i="1"/>
  <c r="G46" i="1"/>
  <c r="H46" i="1"/>
  <c r="I46" i="1"/>
  <c r="J46" i="1"/>
  <c r="K46" i="1"/>
  <c r="G51" i="1"/>
  <c r="H51" i="1"/>
  <c r="I51" i="1"/>
  <c r="J51" i="1"/>
  <c r="K51" i="1"/>
  <c r="G56" i="1"/>
  <c r="H56" i="1"/>
  <c r="I56" i="1"/>
  <c r="J56" i="1"/>
  <c r="K56" i="1"/>
  <c r="G75" i="1"/>
  <c r="H75" i="1"/>
  <c r="I75" i="1"/>
  <c r="J75" i="1"/>
  <c r="K75" i="1"/>
  <c r="G76" i="1"/>
  <c r="H76" i="1"/>
  <c r="I76" i="1"/>
  <c r="J76" i="1"/>
  <c r="K76" i="1"/>
  <c r="G78" i="1"/>
  <c r="H78" i="1"/>
  <c r="I78" i="1"/>
  <c r="J78" i="1"/>
  <c r="K78" i="1"/>
  <c r="G80" i="1"/>
  <c r="H80" i="1"/>
  <c r="I80" i="1"/>
  <c r="J80" i="1"/>
  <c r="K80" i="1"/>
  <c r="G84" i="1"/>
  <c r="H84" i="1"/>
  <c r="I84" i="1"/>
  <c r="J84" i="1"/>
  <c r="K84" i="1"/>
  <c r="H85" i="1"/>
  <c r="I85" i="1"/>
  <c r="J85" i="1"/>
  <c r="K85" i="1"/>
  <c r="G93" i="1"/>
  <c r="H93" i="1"/>
  <c r="I93" i="1"/>
  <c r="J93" i="1"/>
  <c r="K93" i="1"/>
  <c r="G101" i="1"/>
  <c r="H101" i="1"/>
  <c r="I101" i="1"/>
  <c r="J101" i="1"/>
  <c r="K101" i="1"/>
  <c r="G105" i="1"/>
  <c r="H105" i="1"/>
  <c r="I105" i="1"/>
  <c r="J105" i="1"/>
  <c r="K105" i="1"/>
  <c r="G107" i="1"/>
  <c r="H107" i="1"/>
  <c r="I107" i="1"/>
  <c r="J107" i="1"/>
  <c r="K107" i="1"/>
  <c r="H109" i="1"/>
  <c r="I109" i="1"/>
  <c r="J109" i="1"/>
  <c r="K109" i="1"/>
  <c r="G110" i="1"/>
  <c r="H110" i="1"/>
  <c r="I110" i="1"/>
  <c r="J110" i="1"/>
  <c r="K110" i="1"/>
  <c r="G111" i="1"/>
  <c r="H111" i="1"/>
  <c r="I111" i="1"/>
  <c r="J111" i="1"/>
  <c r="K111" i="1"/>
  <c r="G113" i="1"/>
  <c r="H113" i="1"/>
  <c r="I113" i="1"/>
  <c r="J113" i="1"/>
  <c r="K1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tc={3ADFA103-C474-4D72-956F-79D4BA243AE0}</author>
    <author>tc={05E79921-A1FC-45F2-9709-90B4FF701944}</author>
    <author>tc={D2927ADB-EBC6-4088-8268-344E2F3170B8}</author>
  </authors>
  <commentList>
    <comment ref="D18" authorId="0" shapeId="0" xr:uid="{3ADFA103-C474-4D72-956F-79D4BA243AE0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Depreciation and impairment of property and equipment + Amortization and impairment of intangible assets (From 10k)</t>
      </text>
    </comment>
    <comment ref="D33" authorId="1" shapeId="0" xr:uid="{05E79921-A1FC-45F2-9709-90B4FF7019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Other CA + Income tax receivable net
</t>
      </text>
    </comment>
    <comment ref="D53" authorId="2" shapeId="0" xr:uid="{D2927ADB-EBC6-4088-8268-344E2F3170B8}">
      <text>
        <t>[Threaded comment]
Your version of Excel allows you to read this threaded comment; however, any edits to it will get removed if the file is opened in a newer version of Excel. Learn more: https://go.microsoft.com/fwlink/?linkid=870924
Comment:
    Accrued expenses and other current liabilities + Income tax payable, Net From 10k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tc={C149BD3B-371C-4C30-ABA1-EFA667032371}</author>
    <author>tc={6321DBF0-A8E6-46B0-AF20-3FD59ACD2733}</author>
    <author>tc={D737C798-5316-405A-92C2-7ACC618378D5}</author>
    <author>tc={72ECCBED-810C-45DA-84F3-8963859B7510}</author>
  </authors>
  <commentList>
    <comment ref="D21" authorId="0" shapeId="0" xr:uid="{C149BD3B-371C-4C30-ABA1-EFA6670323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 10k 22, Cash Flow
</t>
      </text>
    </comment>
    <comment ref="E21" authorId="1" shapeId="0" xr:uid="{6321DBF0-A8E6-46B0-AF20-3FD59ACD2733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10k 22, Cash Flow</t>
      </text>
    </comment>
    <comment ref="F21" authorId="2" shapeId="0" xr:uid="{D737C798-5316-405A-92C2-7ACC618378D5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10k 22, Cash Flow</t>
      </text>
    </comment>
    <comment ref="G21" authorId="3" shapeId="0" xr:uid="{72ECCBED-810C-45DA-84F3-8963859B751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10k 22, Pg 73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Yash</author>
    <author>tc={EE662308-B6AC-42D2-B332-8D89F13ADE87}</author>
    <author>tc={5C51209B-5F8D-425B-91F7-35A8D636D9EA}</author>
    <author>tc={B881C89D-AEB5-49A0-9256-63FF62BD055D}</author>
    <author>tc={808381D1-1FF9-4519-BA09-CD658A8F0CAE}</author>
  </authors>
  <commentList>
    <comment ref="D14" authorId="0" shapeId="0" xr:uid="{46E008D5-7196-4968-82C6-73AA2EEB88A9}">
      <text>
        <r>
          <rPr>
            <b/>
            <sz val="9"/>
            <color indexed="81"/>
            <rFont val="Tahoma"/>
            <family val="2"/>
          </rPr>
          <t>Yash:</t>
        </r>
        <r>
          <rPr>
            <sz val="9"/>
            <color indexed="81"/>
            <rFont val="Tahoma"/>
            <family val="2"/>
          </rPr>
          <t xml:space="preserve">
Perpetuity Growth Model</t>
        </r>
      </text>
    </comment>
    <comment ref="E14" authorId="0" shapeId="0" xr:uid="{F465E690-00A0-4893-B4C5-1EF03AA1743B}">
      <text>
        <r>
          <rPr>
            <b/>
            <sz val="9"/>
            <color indexed="81"/>
            <rFont val="Tahoma"/>
            <family val="2"/>
          </rPr>
          <t>Yash:</t>
        </r>
        <r>
          <rPr>
            <sz val="9"/>
            <color indexed="81"/>
            <rFont val="Tahoma"/>
            <family val="2"/>
          </rPr>
          <t xml:space="preserve">
Exit Multiple Method</t>
        </r>
      </text>
    </comment>
    <comment ref="D16" authorId="1" shapeId="0" xr:uid="{EE662308-B6AC-42D2-B332-8D89F13ADE8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Assumption sustainable Growth Rate after the maturity.</t>
      </text>
    </comment>
    <comment ref="P17" authorId="2" shapeId="0" xr:uid="{5C51209B-5F8D-425B-91F7-35A8D636D9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 - Market Risk Premia (market-risk-premia.com) </t>
      </text>
    </comment>
    <comment ref="P18" authorId="3" shapeId="0" xr:uid="{B881C89D-AEB5-49A0-9256-63FF62BD05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 Yahoo Finance
</t>
      </text>
    </comment>
    <comment ref="P19" authorId="4" shapeId="0" xr:uid="{808381D1-1FF9-4519-BA09-CD658A8F0C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 - Market Risk Premia (market-risk-premia.com) </t>
      </text>
    </comment>
    <comment ref="Q36" authorId="0" shapeId="0" xr:uid="{D772FFAC-7068-45C9-9DFF-469C7E700512}">
      <text>
        <r>
          <rPr>
            <b/>
            <sz val="9"/>
            <color indexed="81"/>
            <rFont val="Tahoma"/>
            <family val="2"/>
          </rPr>
          <t>Yash:</t>
        </r>
        <r>
          <rPr>
            <sz val="9"/>
            <color indexed="81"/>
            <rFont val="Tahoma"/>
            <family val="2"/>
          </rPr>
          <t xml:space="preserve">
Yahoo Finance</t>
        </r>
      </text>
    </comment>
    <comment ref="R36" authorId="0" shapeId="0" xr:uid="{7C48D70F-8AFC-43AA-808F-62B7514B8153}">
      <text>
        <r>
          <rPr>
            <b/>
            <sz val="9"/>
            <color indexed="81"/>
            <rFont val="Tahoma"/>
            <family val="2"/>
          </rPr>
          <t>Yash:</t>
        </r>
        <r>
          <rPr>
            <sz val="9"/>
            <color indexed="81"/>
            <rFont val="Tahoma"/>
            <family val="2"/>
          </rPr>
          <t xml:space="preserve">
Yahoo Finance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tc={AF133732-C009-4835-8AF6-343122653969}</author>
    <author>tc={A16FCC76-01AE-4B4E-91F7-8EE8D965525E}</author>
  </authors>
  <commentList>
    <comment ref="G7" authorId="0" shapeId="0" xr:uid="{AF133732-C009-4835-8AF6-34312265396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10k 22, Pg 73</t>
      </text>
    </comment>
    <comment ref="G26" authorId="1" shapeId="0" xr:uid="{A16FCC76-01AE-4B4E-91F7-8EE8D965525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Based On Amazon AR 2021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<sst xmlns="http://schemas.openxmlformats.org/spreadsheetml/2006/main" count="289" uniqueCount="203">
  <si>
    <t>Income statement</t>
  </si>
  <si>
    <t>Revenue</t>
  </si>
  <si>
    <t>Cogs</t>
  </si>
  <si>
    <t>Gross Profit</t>
  </si>
  <si>
    <t>EBITDA</t>
  </si>
  <si>
    <t>D&amp;A</t>
  </si>
  <si>
    <t>Taxes</t>
  </si>
  <si>
    <t>PAT / Net Income / Net Profit</t>
  </si>
  <si>
    <t>Op Income (EBIT)</t>
  </si>
  <si>
    <t>Profit Before Tax (PBT)</t>
  </si>
  <si>
    <t>For the Year Ended (FYE)</t>
  </si>
  <si>
    <t>Balance Sheet</t>
  </si>
  <si>
    <t>x</t>
  </si>
  <si>
    <t>Assets</t>
  </si>
  <si>
    <t>Current Assets</t>
  </si>
  <si>
    <t>Cash and cash equivalents</t>
  </si>
  <si>
    <t>Account Receivable</t>
  </si>
  <si>
    <t>Inventory</t>
  </si>
  <si>
    <t>Other CA</t>
  </si>
  <si>
    <t>Total Current Assets</t>
  </si>
  <si>
    <t>Non-Current Assets</t>
  </si>
  <si>
    <t>Goodwill</t>
  </si>
  <si>
    <t>Other LT Assets</t>
  </si>
  <si>
    <t>Total Assets</t>
  </si>
  <si>
    <t>As of</t>
  </si>
  <si>
    <t>Total Liabilities</t>
  </si>
  <si>
    <t>Current Liabilities</t>
  </si>
  <si>
    <t>Account Payable</t>
  </si>
  <si>
    <t>Total Current Liabilities</t>
  </si>
  <si>
    <t>Non-Current Liabilities</t>
  </si>
  <si>
    <t>Long term Debt</t>
  </si>
  <si>
    <t>Other LT Liabilities</t>
  </si>
  <si>
    <t>Total Non-Current Assets</t>
  </si>
  <si>
    <t>Total Non-Current Liabilities</t>
  </si>
  <si>
    <t>Balance Check</t>
  </si>
  <si>
    <t>Equity</t>
  </si>
  <si>
    <t>Retained Earnings</t>
  </si>
  <si>
    <t>Minority Interest</t>
  </si>
  <si>
    <t>Other Equity</t>
  </si>
  <si>
    <t>Total Equity</t>
  </si>
  <si>
    <t>Total Liabilities &amp; Equity</t>
  </si>
  <si>
    <t>Cash Flow Statement</t>
  </si>
  <si>
    <t>Net Income</t>
  </si>
  <si>
    <t>Changes in Working Capital</t>
  </si>
  <si>
    <t>Changes in Account Receivable</t>
  </si>
  <si>
    <t>Changes in Account Payable</t>
  </si>
  <si>
    <t>Changes in Inventory</t>
  </si>
  <si>
    <t>Changes in Other Assets</t>
  </si>
  <si>
    <t>Changes in Other Liabilities</t>
  </si>
  <si>
    <t>Depreciation &amp; Amortization</t>
  </si>
  <si>
    <t>Other Operating Cash Flows</t>
  </si>
  <si>
    <t>Cash Flow from Operations (CFO)</t>
  </si>
  <si>
    <t>Capital Expenditure</t>
  </si>
  <si>
    <t>Others</t>
  </si>
  <si>
    <t>Cash Flow from Investing (CFI)</t>
  </si>
  <si>
    <t>Equity Issuance</t>
  </si>
  <si>
    <t>Equity Repurchase</t>
  </si>
  <si>
    <t>Debt Issuance</t>
  </si>
  <si>
    <t>Debt Repayment</t>
  </si>
  <si>
    <t>Dividend Paid</t>
  </si>
  <si>
    <t>Cash Flow from Financing (CFF)</t>
  </si>
  <si>
    <t>Changes in Cash anc Cash Equivalents</t>
  </si>
  <si>
    <t>Opening Cash Balance</t>
  </si>
  <si>
    <t>Ending Cash Balance</t>
  </si>
  <si>
    <t>For the year ended (FYE)</t>
  </si>
  <si>
    <t>Check Balance</t>
  </si>
  <si>
    <t>% of Growth</t>
  </si>
  <si>
    <t>% of Sales</t>
  </si>
  <si>
    <t>Research and Development</t>
  </si>
  <si>
    <t>% of sales</t>
  </si>
  <si>
    <t>Sales and Marketing</t>
  </si>
  <si>
    <t>General and Administrative</t>
  </si>
  <si>
    <t>Interest Income / Expense</t>
  </si>
  <si>
    <t>Tax Rate</t>
  </si>
  <si>
    <t>Margin%</t>
  </si>
  <si>
    <t>Maketable Securities</t>
  </si>
  <si>
    <t>Accured Compensation and Benefits</t>
  </si>
  <si>
    <t>Accured expenses and other current liabilities</t>
  </si>
  <si>
    <t>Accured Revenue Share</t>
  </si>
  <si>
    <t>Deffered Revenue</t>
  </si>
  <si>
    <t>Deffered revenue, Non Current</t>
  </si>
  <si>
    <t>Income Tax Payable, Non Current</t>
  </si>
  <si>
    <t>Deffered income taxes</t>
  </si>
  <si>
    <t>Operating Lease Liabilities</t>
  </si>
  <si>
    <t>Preferred Stock</t>
  </si>
  <si>
    <t>Accumulated other Comprehensive income(Loss)</t>
  </si>
  <si>
    <t>Property Plant and Equipment</t>
  </si>
  <si>
    <t xml:space="preserve">   operating Lease assets</t>
  </si>
  <si>
    <t xml:space="preserve">   Deferred income taxes</t>
  </si>
  <si>
    <t xml:space="preserve">   non marketable securities</t>
  </si>
  <si>
    <t xml:space="preserve">   Intangible assets, Net</t>
  </si>
  <si>
    <t>Total Equity Capital</t>
  </si>
  <si>
    <t>opening Shareholder Equity</t>
  </si>
  <si>
    <t>+</t>
  </si>
  <si>
    <t>Issuances</t>
  </si>
  <si>
    <t>-</t>
  </si>
  <si>
    <t>Repurchases</t>
  </si>
  <si>
    <t>Closing shareholder Equity</t>
  </si>
  <si>
    <t>Equity Schedule</t>
  </si>
  <si>
    <t>Opening Retained Earnings</t>
  </si>
  <si>
    <t>Dividend</t>
  </si>
  <si>
    <t>Closing Retained Earnings</t>
  </si>
  <si>
    <t>Dividend Ratio</t>
  </si>
  <si>
    <t>We have never declared or paid any cash dividend on our common or capital stock.</t>
  </si>
  <si>
    <t>From 10k 22, Pg 23</t>
  </si>
  <si>
    <t>D&amp;A Schedule</t>
  </si>
  <si>
    <t>Capex</t>
  </si>
  <si>
    <t>Amortization</t>
  </si>
  <si>
    <t>Depreciation</t>
  </si>
  <si>
    <t>opening Property Plant and Equipment</t>
  </si>
  <si>
    <t>Closing Property Plant and Equipment</t>
  </si>
  <si>
    <t>% of PP&amp;E</t>
  </si>
  <si>
    <t>Opening Intangible</t>
  </si>
  <si>
    <t>Additions</t>
  </si>
  <si>
    <t>Closing Intangible</t>
  </si>
  <si>
    <t>Woring Capital</t>
  </si>
  <si>
    <t>Account Receivable Ratio</t>
  </si>
  <si>
    <t>Inventory Turnover Ratio</t>
  </si>
  <si>
    <t>Payable Turnover Ratio</t>
  </si>
  <si>
    <t>COGS</t>
  </si>
  <si>
    <t>No. of Days</t>
  </si>
  <si>
    <t>Days Receiveable Outstanding</t>
  </si>
  <si>
    <t>Days Inventory Outstanding</t>
  </si>
  <si>
    <t>Days Payable Outstanding</t>
  </si>
  <si>
    <t>Debt Sch</t>
  </si>
  <si>
    <t>Working Cap</t>
  </si>
  <si>
    <t>Working Capital</t>
  </si>
  <si>
    <t>Debt and Interest Schedule</t>
  </si>
  <si>
    <t>Opening Non Current Debt</t>
  </si>
  <si>
    <t>Repayment</t>
  </si>
  <si>
    <t>Closing Non Current Debt</t>
  </si>
  <si>
    <t xml:space="preserve">   Current Debt</t>
  </si>
  <si>
    <t>Cash Flow From Operations</t>
  </si>
  <si>
    <t>Cappex</t>
  </si>
  <si>
    <t>Cash Flow from Mandatory Payments</t>
  </si>
  <si>
    <t>Opening Current Debt</t>
  </si>
  <si>
    <t>Issuances / (Repayment)</t>
  </si>
  <si>
    <t>Closing Current Debt</t>
  </si>
  <si>
    <t>Debt Schedule</t>
  </si>
  <si>
    <t>Equity Sch</t>
  </si>
  <si>
    <t>Assumptions</t>
  </si>
  <si>
    <t>Statutory Tax Rate</t>
  </si>
  <si>
    <t>Intangible - Opening Balance</t>
  </si>
  <si>
    <t>Equity Capital Opening</t>
  </si>
  <si>
    <t>Equity Capital Closing</t>
  </si>
  <si>
    <t>Dividend Payout Ratio (%)</t>
  </si>
  <si>
    <t>LT Debt - Opening</t>
  </si>
  <si>
    <t>LT Debt - Closing</t>
  </si>
  <si>
    <t>Issuance</t>
  </si>
  <si>
    <t>Interest Expense - RCF Debt</t>
  </si>
  <si>
    <t>Interest Rate - Income</t>
  </si>
  <si>
    <t>Interest Income</t>
  </si>
  <si>
    <t>Interest Rate</t>
  </si>
  <si>
    <t>Interest Exp</t>
  </si>
  <si>
    <t>Interest Income \ (Expense)</t>
  </si>
  <si>
    <t>DCF Model</t>
  </si>
  <si>
    <t>EBIT*(1-T)</t>
  </si>
  <si>
    <t>Free Cash Flow to Firm</t>
  </si>
  <si>
    <t>WACC</t>
  </si>
  <si>
    <t>Price</t>
  </si>
  <si>
    <t>Share Outstanding</t>
  </si>
  <si>
    <t>Weight of Equity</t>
  </si>
  <si>
    <t>Weight of Debt</t>
  </si>
  <si>
    <t>Cost of Debt</t>
  </si>
  <si>
    <t>Cost of Equity</t>
  </si>
  <si>
    <t>Market Value of Debt</t>
  </si>
  <si>
    <t>Market Value of Equity</t>
  </si>
  <si>
    <t>Principal</t>
  </si>
  <si>
    <t>2027 Notes</t>
  </si>
  <si>
    <t>2032 Notes</t>
  </si>
  <si>
    <t>2052 Notes</t>
  </si>
  <si>
    <t>2062 Notes</t>
  </si>
  <si>
    <t>Wtd Avg Int Rate</t>
  </si>
  <si>
    <t xml:space="preserve">Risk Free Rate </t>
  </si>
  <si>
    <t>Beta</t>
  </si>
  <si>
    <t>Market Risk Premium</t>
  </si>
  <si>
    <t>Growth Rate</t>
  </si>
  <si>
    <t>Present Value of Future Cash Flow</t>
  </si>
  <si>
    <t>Present Value of Terminal Value</t>
  </si>
  <si>
    <t>Enterprise Value</t>
  </si>
  <si>
    <t xml:space="preserve">Cash </t>
  </si>
  <si>
    <t>Debt</t>
  </si>
  <si>
    <t>Preferred</t>
  </si>
  <si>
    <t>Leases</t>
  </si>
  <si>
    <t>Equity Value</t>
  </si>
  <si>
    <t>PGM</t>
  </si>
  <si>
    <t>EMM</t>
  </si>
  <si>
    <t>Price(Intrinsic Value)</t>
  </si>
  <si>
    <t>PGM Terminal Value (2027)</t>
  </si>
  <si>
    <t>EMM Terminal Value (2027)</t>
  </si>
  <si>
    <t>Exit Multiple (EV/EBITDA)</t>
  </si>
  <si>
    <t>Exit Multiple</t>
  </si>
  <si>
    <t>52 Week H/L</t>
  </si>
  <si>
    <t>Min</t>
  </si>
  <si>
    <t>Max</t>
  </si>
  <si>
    <t>Difference</t>
  </si>
  <si>
    <t>Football Field Analysis</t>
  </si>
  <si>
    <t>Senstivity Analysis</t>
  </si>
  <si>
    <t>Interest Exp Calc From Meta 10K</t>
  </si>
  <si>
    <t>GOOG 10-Q Q3 2023 (abc.xyz)</t>
  </si>
  <si>
    <t>Alphabet 10Q</t>
  </si>
  <si>
    <t>Alphabet 10K</t>
  </si>
  <si>
    <t>GOOG 10-K Q4 2022-2023-02-14-11-13 (abc.xyz)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</si>
</sst>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FY&quot;\ 0&quot;E&quot;"/>
    <numFmt numFmtId="165" formatCode="&quot;FY&quot;\ 0&quot;A&quot;"/>
    <numFmt numFmtId="166" formatCode="0;\(0\)"/>
    <numFmt numFmtId="167" formatCode="0.0"/>
    <numFmt numFmtId="168" formatCode="0.0%"/>
    <numFmt numFmtId="169" formatCode="0&quot;x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1" fillId="2" borderId="0" xfId="0" applyFont="1" applyFill="1"/>
    <xf numFmtId="0" fontId="2" fillId="3" borderId="0" xfId="0" applyFont="1" applyFill="1"/>
    <xf numFmtId="0" fontId="0" fillId="0" borderId="0" xfId="0" quotePrefix="1"/>
    <xf numFmtId="0" fontId="2" fillId="0" borderId="0" xfId="0" applyFont="1" applyAlignment="1">
      <alignment horizontal="left" indent="1"/>
    </xf>
    <xf numFmtId="0" fontId="0" fillId="0" borderId="0" xfId="0" applyAlignment="1">
      <alignment wrapText="1"/>
    </xf>
    <xf numFmtId="0" fontId="5" fillId="0" borderId="0" xfId="0" applyFont="1"/>
    <xf numFmtId="0" fontId="5" fillId="4" borderId="0" xfId="0" applyFont="1" applyFill="1"/>
    <xf numFmtId="9" fontId="5" fillId="0" borderId="0" xfId="1" applyFont="1"/>
    <xf numFmtId="9" fontId="6" fillId="0" borderId="0" xfId="1" applyFont="1"/>
    <xf numFmtId="9" fontId="0" fillId="0" borderId="0" xfId="0" applyNumberFormat="1"/>
    <xf numFmtId="1" fontId="0" fillId="0" borderId="0" xfId="0" applyNumberFormat="1"/>
    <xf numFmtId="166" fontId="5" fillId="0" borderId="0" xfId="0" applyNumberFormat="1" applyFont="1"/>
    <xf numFmtId="166" fontId="0" fillId="0" borderId="0" xfId="0" applyNumberFormat="1"/>
    <xf numFmtId="166" fontId="5" fillId="0" borderId="0" xfId="1" applyNumberFormat="1" applyFont="1"/>
    <xf numFmtId="166" fontId="1" fillId="0" borderId="0" xfId="0" applyNumberFormat="1" applyFont="1"/>
    <xf numFmtId="1" fontId="1" fillId="0" borderId="0" xfId="0" applyNumberFormat="1" applyFont="1"/>
    <xf numFmtId="1" fontId="5" fillId="0" borderId="0" xfId="0" applyNumberFormat="1" applyFont="1"/>
    <xf numFmtId="9" fontId="1" fillId="0" borderId="0" xfId="0" applyNumberFormat="1" applyFont="1"/>
    <xf numFmtId="10" fontId="0" fillId="0" borderId="0" xfId="0" applyNumberFormat="1"/>
    <xf numFmtId="164" fontId="1" fillId="0" borderId="0" xfId="0" applyNumberFormat="1" applyFont="1"/>
    <xf numFmtId="165" fontId="1" fillId="5" borderId="0" xfId="0" applyNumberFormat="1" applyFont="1" applyFill="1"/>
    <xf numFmtId="0" fontId="1" fillId="0" borderId="1" xfId="0" applyFont="1" applyBorder="1"/>
    <xf numFmtId="10" fontId="5" fillId="0" borderId="0" xfId="0" applyNumberFormat="1" applyFont="1"/>
    <xf numFmtId="9" fontId="5" fillId="0" borderId="0" xfId="0" applyNumberFormat="1" applyFont="1"/>
    <xf numFmtId="1" fontId="1" fillId="0" borderId="1" xfId="0" applyNumberFormat="1" applyFont="1" applyBorder="1"/>
    <xf numFmtId="0" fontId="0" fillId="4" borderId="0" xfId="0" applyFill="1"/>
    <xf numFmtId="167" fontId="0" fillId="0" borderId="0" xfId="0" applyNumberFormat="1"/>
    <xf numFmtId="0" fontId="3" fillId="0" borderId="0" xfId="0" applyFont="1"/>
    <xf numFmtId="1" fontId="3" fillId="0" borderId="0" xfId="0" applyNumberFormat="1" applyFont="1"/>
    <xf numFmtId="1" fontId="1" fillId="0" borderId="2" xfId="0" applyNumberFormat="1" applyFont="1" applyBorder="1"/>
    <xf numFmtId="0" fontId="1" fillId="0" borderId="2" xfId="0" applyFont="1" applyBorder="1"/>
    <xf numFmtId="168" fontId="0" fillId="0" borderId="0" xfId="1" applyNumberFormat="1" applyFont="1"/>
    <xf numFmtId="168" fontId="5" fillId="0" borderId="0" xfId="1" applyNumberFormat="1" applyFont="1"/>
    <xf numFmtId="1" fontId="5" fillId="0" borderId="0" xfId="1" applyNumberFormat="1" applyFont="1"/>
    <xf numFmtId="9" fontId="1" fillId="0" borderId="0" xfId="1" applyFont="1"/>
    <xf numFmtId="2" fontId="0" fillId="0" borderId="0" xfId="0" applyNumberFormat="1"/>
    <xf numFmtId="168" fontId="0" fillId="0" borderId="0" xfId="0" applyNumberFormat="1"/>
    <xf numFmtId="2" fontId="1" fillId="0" borderId="0" xfId="0" applyNumberFormat="1" applyFont="1"/>
    <xf numFmtId="168" fontId="1" fillId="0" borderId="0" xfId="0" applyNumberFormat="1" applyFont="1"/>
    <xf numFmtId="169" fontId="5" fillId="0" borderId="0" xfId="0" applyNumberFormat="1" applyFont="1"/>
    <xf numFmtId="2" fontId="0" fillId="5" borderId="0" xfId="0" applyNumberFormat="1" applyFill="1" applyAlignment="1">
      <alignment horizontal="center"/>
    </xf>
    <xf numFmtId="168" fontId="5" fillId="0" borderId="0" xfId="0" applyNumberFormat="1" applyFont="1"/>
    <xf numFmtId="9" fontId="5" fillId="0" borderId="0" xfId="0" applyNumberFormat="1" applyFont="1" applyAlignment="1">
      <alignment horizontal="right"/>
    </xf>
    <xf numFmtId="168" fontId="5" fillId="0" borderId="0" xfId="1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left" indent="3"/>
    </xf>
    <xf numFmtId="168" fontId="5" fillId="0" borderId="0" xfId="1" applyNumberFormat="1" applyFont="1" applyAlignment="1">
      <alignment horizontal="left" indent="3"/>
    </xf>
    <xf numFmtId="10" fontId="5" fillId="0" borderId="0" xfId="0" applyNumberFormat="1" applyFont="1" applyAlignment="1">
      <alignment horizontal="left" indent="3"/>
    </xf>
    <xf numFmtId="0" fontId="3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 textRotation="90"/>
    </xf>
    <xf numFmtId="0" fontId="1" fillId="7" borderId="0" xfId="0" applyFont="1" applyFill="1" applyAlignment="1">
      <alignment horizontal="center"/>
    </xf>
    <xf numFmtId="0" fontId="9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37314085739284"/>
          <c:y val="0.15319444444444447"/>
          <c:w val="0.80307130358705159"/>
          <c:h val="0.6149843248760571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DCF!$P$34:$P$36</c:f>
              <c:strCache>
                <c:ptCount val="3"/>
                <c:pt idx="0">
                  <c:v>PGM</c:v>
                </c:pt>
                <c:pt idx="1">
                  <c:v>EMM</c:v>
                </c:pt>
                <c:pt idx="2">
                  <c:v>52 Week H/L</c:v>
                </c:pt>
              </c:strCache>
            </c:strRef>
          </c:cat>
          <c:val>
            <c:numRef>
              <c:f>DCF!$Q$34:$Q$36</c:f>
              <c:numCache>
                <c:formatCode>0</c:formatCode>
                <c:ptCount val="3"/>
                <c:pt idx="0">
                  <c:v>101.88703178507652</c:v>
                </c:pt>
                <c:pt idx="1">
                  <c:v>135.15001166631154</c:v>
                </c:pt>
                <c:pt idx="2" formatCode="General">
                  <c:v>83.45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EB-4D6C-A06B-04066AD8461A}"/>
            </c:ext>
          </c:extLst>
        </c:ser>
        <c:ser>
          <c:idx val="1"/>
          <c:order val="1"/>
          <c:tx>
            <c:strRef>
              <c:f>DCF!$T$33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DCF!$T$34:$T$36</c:f>
              <c:numCache>
                <c:formatCode>0</c:formatCode>
                <c:ptCount val="3"/>
                <c:pt idx="0">
                  <c:v>130.63671297459027</c:v>
                </c:pt>
                <c:pt idx="1">
                  <c:v>74.666754512172673</c:v>
                </c:pt>
                <c:pt idx="2">
                  <c:v>58.929999999999993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EB-4D6C-A06B-04066AD8461A}"/>
            </c:ext>
          </c:extLst>
        </c:ser>
        <c:ser>
          <c:idx val="2"/>
          <c:order val="2"/>
          <c:tx>
            <c:strRef>
              <c:f>DCF!$R$33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DCF!$R$34:$R$36</c:f>
              <c:numCache>
                <c:formatCode>0</c:formatCode>
                <c:ptCount val="3"/>
                <c:pt idx="0">
                  <c:v>232.52374475966678</c:v>
                </c:pt>
                <c:pt idx="1">
                  <c:v>209.81676617848422</c:v>
                </c:pt>
                <c:pt idx="2" formatCode="General">
                  <c:v>142.38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EB-4D6C-A06B-04066AD84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8821584"/>
        <c:axId val="1887367792"/>
      </c:barChart>
      <c:catAx>
        <c:axId val="1508821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367792"/>
        <c:crosses val="autoZero"/>
        <c:auto val="1"/>
        <c:lblAlgn val="ctr"/>
        <c:lblOffset val="100"/>
        <c:noMultiLvlLbl val="0"/>
      </c:catAx>
      <c:valAx>
        <c:axId val="188736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82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36</xdr:row>
      <xdr:rowOff>171450</xdr:rowOff>
    </xdr:from>
    <xdr:to>
      <xdr:col>21</xdr:col>
      <xdr:colOff>205740</xdr:colOff>
      <xdr:row>51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116B36-46F7-D442-7E19-9496CC828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run jithava" id="{3212AE12-C35A-4188-A949-2DC969DA3AB0}" userId="S::Varunjithava@jithava.onmicrosoft.com::45ffc389-ce98-4452-9b8f-618568a821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3-10-29T06:31:41.40" personId="{3212AE12-C35A-4188-A949-2DC969DA3AB0}" id="{3ADFA103-C474-4D72-956F-79D4BA243AE0}">
    <text>Depreciation and impairment of property and equipment + Amortization and impairment of intangible assets (From 10k)</text>
  </threadedComment>
  <threadedComment ref="D33" dT="2023-10-30T06:32:12.95" personId="{3212AE12-C35A-4188-A949-2DC969DA3AB0}" id="{05E79921-A1FC-45F2-9709-90B4FF701944}">
    <text xml:space="preserve">Other CA + Income tax receivable net
</text>
  </threadedComment>
  <threadedComment ref="D53" dT="2023-10-30T06:48:58.94" personId="{3212AE12-C35A-4188-A949-2DC969DA3AB0}" id="{D2927ADB-EBC6-4088-8268-344E2F3170B8}">
    <text>Accrued expenses and other current liabilities + Income tax payable, Net From 10k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1" dT="2023-10-30T09:24:34.37" personId="{3212AE12-C35A-4188-A949-2DC969DA3AB0}" id="{C149BD3B-371C-4C30-ABA1-EFA667032371}">
    <text xml:space="preserve">From 10k 22, Cash Flow
</text>
  </threadedComment>
  <threadedComment ref="E21" dT="2023-10-30T10:22:31.23" personId="{3212AE12-C35A-4188-A949-2DC969DA3AB0}" id="{6321DBF0-A8E6-46B0-AF20-3FD59ACD2733}">
    <text>From 10k 22, Cash Flow</text>
  </threadedComment>
  <threadedComment ref="F21" dT="2023-10-30T10:22:39.92" personId="{3212AE12-C35A-4188-A949-2DC969DA3AB0}" id="{D737C798-5316-405A-92C2-7ACC618378D5}">
    <text>From 10k 22, Cash Flow</text>
  </threadedComment>
  <threadedComment ref="G21" dT="2023-10-30T10:23:09.93" personId="{3212AE12-C35A-4188-A949-2DC969DA3AB0}" id="{72ECCBED-810C-45DA-84F3-8963859B7510}">
    <text>From 10k 22, Pg 73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6" dT="2023-11-01T10:13:21.30" personId="{3212AE12-C35A-4188-A949-2DC969DA3AB0}" id="{EE662308-B6AC-42D2-B332-8D89F13ADE87}">
    <text>Assumption sustainable Growth Rate after the maturity.</text>
  </threadedComment>
  <threadedComment ref="P17" dT="2023-11-01T09:56:13.83" personId="{3212AE12-C35A-4188-A949-2DC969DA3AB0}" id="{5C51209B-5F8D-425B-91F7-35A8D636D9EA}">
    <text xml:space="preserve">US - Market Risk Premia (market-risk-premia.com) </text>
    <extLst>
      <x:ext xmlns:xltc2="http://schemas.microsoft.com/office/spreadsheetml/2020/threadedcomments2" uri="{F7C98A9C-CBB3-438F-8F68-D28B6AF4A901}">
        <xltc2:checksum>4110689609</xltc2:checksum>
        <xltc2:hyperlink startIndex="0" length="48" url="http://www.market-risk-premia.com/us.html"/>
      </x:ext>
    </extLst>
  </threadedComment>
  <threadedComment ref="P18" dT="2023-11-01T09:57:03.21" personId="{3212AE12-C35A-4188-A949-2DC969DA3AB0}" id="{B881C89D-AEB5-49A0-9256-63FF62BD055D}">
    <text xml:space="preserve">From Yahoo Finance
</text>
  </threadedComment>
  <threadedComment ref="P19" dT="2023-11-01T09:56:00.69" personId="{3212AE12-C35A-4188-A949-2DC969DA3AB0}" id="{808381D1-1FF9-4519-BA09-CD658A8F0CAE}">
    <text xml:space="preserve">US - Market Risk Premia (market-risk-premia.com) </text>
    <extLst>
      <x:ext xmlns:xltc2="http://schemas.microsoft.com/office/spreadsheetml/2020/threadedcomments2" uri="{F7C98A9C-CBB3-438F-8F68-D28B6AF4A901}">
        <xltc2:checksum>4110689609</xltc2:checksum>
        <xltc2:hyperlink startIndex="0" length="48" url="http://www.market-risk-premia.com/us.html"/>
      </x:ext>
    </extLs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7" dT="2023-10-30T10:23:09.93" personId="{3212AE12-C35A-4188-A949-2DC969DA3AB0}" id="{AF133732-C009-4835-8AF6-343122653969}">
    <text>From 10k 22, Pg 73</text>
  </threadedComment>
  <threadedComment ref="G26" dT="2023-10-31T10:44:44.30" personId="{3212AE12-C35A-4188-A949-2DC969DA3AB0}" id="{A16FCC76-01AE-4B4E-91F7-8EE8D965525E}">
    <text>Assumed Based On Amazon AR 2021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hyperlink" Target="https://abc.xyz/assets/9a/bd/838c917c4b4ab21f94e84c3c2c65/goog-10-k-q4-2022.pdf" TargetMode="External"/><Relationship Id="rId1" Type="http://schemas.openxmlformats.org/officeDocument/2006/relationships/hyperlink" Target="https://abc.xyz/assets/c2/3e/0d6d568e4f56a1d14ca6b70c3443/goog-10-q-q3-2023.pdf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DAD1-7991-483E-9C78-B830B96DAC60}">
  <dimension ref="B2:L113"/>
  <sheetViews>
    <sheetView topLeftCell="A116" zoomScaleNormal="100" workbookViewId="0">
      <selection activeCell="N18" sqref="N18"/>
    </sheetView>
  </sheetViews>
  <sheetFormatPr defaultRowHeight="14.4" outlineLevelRow="1" x14ac:dyDescent="0.3"/>
  <cols>
    <col min="2" max="2" width="2.77734375" customWidth="1"/>
    <col min="3" max="3" width="42.77734375" bestFit="1" customWidth="1"/>
    <col min="7" max="7" width="9.6640625" bestFit="1" customWidth="1"/>
    <col min="8" max="9" width="9" bestFit="1" customWidth="1"/>
    <col min="10" max="11" width="9.5546875" bestFit="1" customWidth="1"/>
  </cols>
  <sheetData>
    <row r="2" spans="2:11" x14ac:dyDescent="0.3">
      <c r="F2">
        <v>-1</v>
      </c>
    </row>
    <row r="3" spans="2:11" x14ac:dyDescent="0.3">
      <c r="B3" t="s">
        <v>12</v>
      </c>
      <c r="C3" s="5" t="s">
        <v>0</v>
      </c>
      <c r="D3" s="53" t="s">
        <v>10</v>
      </c>
      <c r="E3" s="53"/>
      <c r="F3" s="53"/>
      <c r="G3" s="53"/>
      <c r="H3" s="53"/>
      <c r="I3" s="53"/>
      <c r="J3" s="53"/>
      <c r="K3" s="53"/>
    </row>
    <row r="4" spans="2:11" x14ac:dyDescent="0.3">
      <c r="D4" s="25">
        <v>2020</v>
      </c>
      <c r="E4" s="25">
        <f>D4+1</f>
        <v>2021</v>
      </c>
      <c r="F4" s="25">
        <f>E4+1</f>
        <v>2022</v>
      </c>
      <c r="G4" s="24">
        <f>F4+1</f>
        <v>2023</v>
      </c>
      <c r="H4" s="24">
        <f t="shared" ref="H4:K4" si="0">G4+1</f>
        <v>2024</v>
      </c>
      <c r="I4" s="24">
        <f t="shared" si="0"/>
        <v>2025</v>
      </c>
      <c r="J4" s="24">
        <f t="shared" si="0"/>
        <v>2026</v>
      </c>
      <c r="K4" s="24">
        <f t="shared" si="0"/>
        <v>2027</v>
      </c>
    </row>
    <row r="5" spans="2:11" x14ac:dyDescent="0.3">
      <c r="B5" t="s">
        <v>12</v>
      </c>
      <c r="C5" t="s">
        <v>1</v>
      </c>
      <c r="D5" s="10">
        <v>182527</v>
      </c>
      <c r="E5" s="10">
        <v>257637</v>
      </c>
      <c r="F5" s="10">
        <v>282836</v>
      </c>
      <c r="G5" s="15">
        <f>F5*(1+G6)</f>
        <v>354861.44894863438</v>
      </c>
      <c r="H5" s="15">
        <f t="shared" ref="H5:K5" si="1">G5*(1+H6)</f>
        <v>445228.49973102519</v>
      </c>
      <c r="I5" s="15">
        <f t="shared" si="1"/>
        <v>558607.92306417238</v>
      </c>
      <c r="J5" s="15">
        <f t="shared" si="1"/>
        <v>700859.92226145009</v>
      </c>
      <c r="K5" s="15">
        <f t="shared" si="1"/>
        <v>879337.0275485632</v>
      </c>
    </row>
    <row r="6" spans="2:11" x14ac:dyDescent="0.3">
      <c r="C6" t="s">
        <v>66</v>
      </c>
      <c r="D6" s="11"/>
      <c r="E6" s="12">
        <f>E5/D5-1</f>
        <v>0.41150076427049154</v>
      </c>
      <c r="F6" s="12">
        <f t="shared" ref="F6" si="2">F5/E5-1</f>
        <v>9.7808156437157789E-2</v>
      </c>
      <c r="G6" s="13">
        <f>AVERAGE(E6:F6)</f>
        <v>0.25465446035382466</v>
      </c>
      <c r="H6" s="13">
        <f>G6</f>
        <v>0.25465446035382466</v>
      </c>
      <c r="I6" s="13">
        <f t="shared" ref="I6:K6" si="3">H6</f>
        <v>0.25465446035382466</v>
      </c>
      <c r="J6" s="13">
        <f t="shared" si="3"/>
        <v>0.25465446035382466</v>
      </c>
      <c r="K6" s="13">
        <f t="shared" si="3"/>
        <v>0.25465446035382466</v>
      </c>
    </row>
    <row r="7" spans="2:11" x14ac:dyDescent="0.3">
      <c r="C7" t="s">
        <v>2</v>
      </c>
      <c r="D7" s="16">
        <v>-84732</v>
      </c>
      <c r="E7" s="16">
        <v>-110939</v>
      </c>
      <c r="F7" s="16">
        <v>-126203</v>
      </c>
      <c r="G7" s="17">
        <f>G5*G8</f>
        <v>-158625.88278293583</v>
      </c>
      <c r="H7" s="17">
        <f t="shared" ref="H7:K7" si="4">H5*H8</f>
        <v>-199020.67136117344</v>
      </c>
      <c r="I7" s="17">
        <f t="shared" si="4"/>
        <v>-249702.17302590894</v>
      </c>
      <c r="J7" s="17">
        <f t="shared" si="4"/>
        <v>-313289.94514699915</v>
      </c>
      <c r="K7" s="17">
        <f t="shared" si="4"/>
        <v>-393070.62706268759</v>
      </c>
    </row>
    <row r="8" spans="2:11" x14ac:dyDescent="0.3">
      <c r="C8" t="s">
        <v>67</v>
      </c>
      <c r="D8" s="13">
        <f>D7/D5</f>
        <v>-0.46421625293792151</v>
      </c>
      <c r="E8" s="13">
        <f t="shared" ref="E8:F8" si="5">E7/E5</f>
        <v>-0.43060197099019165</v>
      </c>
      <c r="F8" s="13">
        <f t="shared" si="5"/>
        <v>-0.44620557496216889</v>
      </c>
      <c r="G8" s="14">
        <f>AVERAGE(D8:F8)</f>
        <v>-0.44700793296342733</v>
      </c>
      <c r="H8" s="14">
        <f>G8</f>
        <v>-0.44700793296342733</v>
      </c>
      <c r="I8" s="14">
        <f t="shared" ref="I8:K8" si="6">H8</f>
        <v>-0.44700793296342733</v>
      </c>
      <c r="J8" s="14">
        <f t="shared" si="6"/>
        <v>-0.44700793296342733</v>
      </c>
      <c r="K8" s="14">
        <f t="shared" si="6"/>
        <v>-0.44700793296342733</v>
      </c>
    </row>
    <row r="9" spans="2:11" x14ac:dyDescent="0.3">
      <c r="C9" s="1" t="s">
        <v>3</v>
      </c>
      <c r="D9" s="19">
        <f>D5+D7</f>
        <v>97795</v>
      </c>
      <c r="E9" s="19">
        <f t="shared" ref="E9:K9" si="7">E5+E7</f>
        <v>146698</v>
      </c>
      <c r="F9" s="19">
        <f t="shared" si="7"/>
        <v>156633</v>
      </c>
      <c r="G9" s="19">
        <f t="shared" si="7"/>
        <v>196235.56616569855</v>
      </c>
      <c r="H9" s="19">
        <f t="shared" si="7"/>
        <v>246207.82836985175</v>
      </c>
      <c r="I9" s="19">
        <f t="shared" si="7"/>
        <v>308905.75003826345</v>
      </c>
      <c r="J9" s="19">
        <f t="shared" si="7"/>
        <v>387569.97711445094</v>
      </c>
      <c r="K9" s="19">
        <f t="shared" si="7"/>
        <v>486266.40048587561</v>
      </c>
    </row>
    <row r="10" spans="2:11" x14ac:dyDescent="0.3">
      <c r="C10" t="s">
        <v>74</v>
      </c>
      <c r="D10" s="14">
        <f>D9/D5</f>
        <v>0.53578374706207854</v>
      </c>
      <c r="E10" s="14">
        <f t="shared" ref="E10:K10" si="8">E9/E5</f>
        <v>0.5693980290098084</v>
      </c>
      <c r="F10" s="14">
        <f t="shared" si="8"/>
        <v>0.55379442503783116</v>
      </c>
      <c r="G10" s="14">
        <f t="shared" si="8"/>
        <v>0.55299206703657267</v>
      </c>
      <c r="H10" s="14">
        <f t="shared" si="8"/>
        <v>0.55299206703657267</v>
      </c>
      <c r="I10" s="14">
        <f t="shared" si="8"/>
        <v>0.55299206703657267</v>
      </c>
      <c r="J10" s="14">
        <f t="shared" si="8"/>
        <v>0.55299206703657267</v>
      </c>
      <c r="K10" s="14">
        <f t="shared" si="8"/>
        <v>0.55299206703657267</v>
      </c>
    </row>
    <row r="11" spans="2:11" x14ac:dyDescent="0.3">
      <c r="C11" t="s">
        <v>68</v>
      </c>
      <c r="D11" s="16">
        <v>-27573</v>
      </c>
      <c r="E11" s="16">
        <v>-31562</v>
      </c>
      <c r="F11" s="16">
        <v>-39500</v>
      </c>
      <c r="G11" s="17">
        <f>G5*G12</f>
        <v>-48879.228962068388</v>
      </c>
      <c r="H11" s="17">
        <f>H5*H12</f>
        <v>-61326.54263591495</v>
      </c>
      <c r="I11" s="17">
        <f>I5*I12</f>
        <v>-76943.620256229697</v>
      </c>
      <c r="J11" s="17">
        <f>J5*J12</f>
        <v>-96537.656350249483</v>
      </c>
      <c r="K11" s="17">
        <f>K5*K12</f>
        <v>-121121.40113194525</v>
      </c>
    </row>
    <row r="12" spans="2:11" x14ac:dyDescent="0.3">
      <c r="C12" t="s">
        <v>69</v>
      </c>
      <c r="D12" s="13">
        <f>D11/D5</f>
        <v>-0.15106258252203783</v>
      </c>
      <c r="E12" s="13">
        <f>E11/E5</f>
        <v>-0.12250569599863374</v>
      </c>
      <c r="F12" s="13">
        <f>F11/F5</f>
        <v>-0.13965690364734334</v>
      </c>
      <c r="G12" s="14">
        <f>AVERAGE(D12:F12)</f>
        <v>-0.13774172738933829</v>
      </c>
      <c r="H12" s="14">
        <f>G12</f>
        <v>-0.13774172738933829</v>
      </c>
      <c r="I12" s="14">
        <f t="shared" ref="I12:K12" si="9">H12</f>
        <v>-0.13774172738933829</v>
      </c>
      <c r="J12" s="14">
        <f t="shared" si="9"/>
        <v>-0.13774172738933829</v>
      </c>
      <c r="K12" s="14">
        <f t="shared" si="9"/>
        <v>-0.13774172738933829</v>
      </c>
    </row>
    <row r="13" spans="2:11" x14ac:dyDescent="0.3">
      <c r="C13" t="s">
        <v>70</v>
      </c>
      <c r="D13" s="18">
        <v>-17946</v>
      </c>
      <c r="E13" s="18">
        <v>-22912</v>
      </c>
      <c r="F13" s="18">
        <v>-26567</v>
      </c>
      <c r="G13" s="17">
        <f>G5*G14</f>
        <v>-33260.191876935489</v>
      </c>
      <c r="H13" s="17">
        <f>H5*H14</f>
        <v>-41730.04809062116</v>
      </c>
      <c r="I13" s="17">
        <f>I5*I14</f>
        <v>-52356.790967677443</v>
      </c>
      <c r="J13" s="17">
        <f>J5*J14</f>
        <v>-65689.681317409355</v>
      </c>
      <c r="K13" s="17">
        <f>K5*K14</f>
        <v>-82417.851664108952</v>
      </c>
    </row>
    <row r="14" spans="2:11" x14ac:dyDescent="0.3">
      <c r="C14" t="s">
        <v>67</v>
      </c>
      <c r="D14" s="13">
        <f>D13/D5</f>
        <v>-9.8319700647027566E-2</v>
      </c>
      <c r="E14" s="13">
        <f>E13/E5</f>
        <v>-8.8931325857699015E-2</v>
      </c>
      <c r="F14" s="13">
        <f>F13/F5</f>
        <v>-9.3930758460733427E-2</v>
      </c>
      <c r="G14" s="14">
        <f>AVERAGE(D14:F14)</f>
        <v>-9.3727261655153327E-2</v>
      </c>
      <c r="H14" s="14">
        <f>G14</f>
        <v>-9.3727261655153327E-2</v>
      </c>
      <c r="I14" s="14">
        <f t="shared" ref="I14:K14" si="10">H14</f>
        <v>-9.3727261655153327E-2</v>
      </c>
      <c r="J14" s="14">
        <f t="shared" si="10"/>
        <v>-9.3727261655153327E-2</v>
      </c>
      <c r="K14" s="14">
        <f t="shared" si="10"/>
        <v>-9.3727261655153327E-2</v>
      </c>
    </row>
    <row r="15" spans="2:11" x14ac:dyDescent="0.3">
      <c r="C15" t="s">
        <v>71</v>
      </c>
      <c r="D15" s="16">
        <v>-11052</v>
      </c>
      <c r="E15" s="16">
        <v>-13510</v>
      </c>
      <c r="F15" s="16">
        <v>-15724</v>
      </c>
      <c r="G15" s="17">
        <f>G5*G16</f>
        <v>-19941.098556217221</v>
      </c>
      <c r="H15" s="17">
        <f>H5*H16</f>
        <v>-25019.188247913149</v>
      </c>
      <c r="I15" s="17">
        <f>I5*I16</f>
        <v>-31390.436129676225</v>
      </c>
      <c r="J15" s="17">
        <f>J5*J16</f>
        <v>-39384.150702550127</v>
      </c>
      <c r="K15" s="17">
        <f>K5*K16</f>
        <v>-49413.500346201741</v>
      </c>
    </row>
    <row r="16" spans="2:11" x14ac:dyDescent="0.3">
      <c r="C16" t="s">
        <v>67</v>
      </c>
      <c r="D16" s="13">
        <f>D15/D5</f>
        <v>-6.0549946035381066E-2</v>
      </c>
      <c r="E16" s="13">
        <f>E15/E5</f>
        <v>-5.2438120301043716E-2</v>
      </c>
      <c r="F16" s="13">
        <f>F15/F5</f>
        <v>-5.5594054505084221E-2</v>
      </c>
      <c r="G16" s="14">
        <f>AVERAGE(D16:F16)</f>
        <v>-5.6194040280503003E-2</v>
      </c>
      <c r="H16" s="14">
        <f>G16</f>
        <v>-5.6194040280503003E-2</v>
      </c>
      <c r="I16" s="14">
        <f t="shared" ref="I16:K16" si="11">H16</f>
        <v>-5.6194040280503003E-2</v>
      </c>
      <c r="J16" s="14">
        <f t="shared" si="11"/>
        <v>-5.6194040280503003E-2</v>
      </c>
      <c r="K16" s="14">
        <f t="shared" si="11"/>
        <v>-5.6194040280503003E-2</v>
      </c>
    </row>
    <row r="17" spans="2:12" x14ac:dyDescent="0.3">
      <c r="C17" s="1" t="s">
        <v>4</v>
      </c>
      <c r="D17" s="20">
        <f>D19+D18</f>
        <v>54921</v>
      </c>
      <c r="E17" s="20">
        <f t="shared" ref="E17:K17" si="12">E19+E18</f>
        <v>91155</v>
      </c>
      <c r="F17" s="20">
        <f t="shared" si="12"/>
        <v>90770</v>
      </c>
      <c r="G17" s="20">
        <f t="shared" si="12"/>
        <v>115150.47526931688</v>
      </c>
      <c r="H17" s="20">
        <f t="shared" ca="1" si="12"/>
        <v>140034.87880392041</v>
      </c>
      <c r="I17" s="20">
        <f t="shared" ca="1" si="12"/>
        <v>174736.34423039472</v>
      </c>
      <c r="J17" s="20">
        <f t="shared" ca="1" si="12"/>
        <v>218444.20721145198</v>
      </c>
      <c r="K17" s="20">
        <f t="shared" ca="1" si="12"/>
        <v>273373.81106605666</v>
      </c>
    </row>
    <row r="18" spans="2:12" x14ac:dyDescent="0.3">
      <c r="C18" t="s">
        <v>5</v>
      </c>
      <c r="D18" s="21">
        <f>12905+792</f>
        <v>13697</v>
      </c>
      <c r="E18" s="21">
        <f>11555+886</f>
        <v>12441</v>
      </c>
      <c r="F18" s="21">
        <f>15287+641</f>
        <v>15928</v>
      </c>
      <c r="G18" s="15">
        <f>'D&amp;A'!G17</f>
        <v>20995.428498839421</v>
      </c>
      <c r="H18" s="15">
        <f ca="1">'D&amp;A'!H17</f>
        <v>21902.82940851793</v>
      </c>
      <c r="I18" s="15">
        <f ca="1">'D&amp;A'!I17</f>
        <v>26521.441545714657</v>
      </c>
      <c r="J18" s="15">
        <f ca="1">'D&amp;A'!J17</f>
        <v>32485.718467210016</v>
      </c>
      <c r="K18" s="15">
        <f ca="1">'D&amp;A'!K17</f>
        <v>40060.16372243697</v>
      </c>
      <c r="L18" t="s">
        <v>105</v>
      </c>
    </row>
    <row r="19" spans="2:12" x14ac:dyDescent="0.3">
      <c r="C19" s="1" t="s">
        <v>8</v>
      </c>
      <c r="D19" s="20">
        <f t="shared" ref="D19:K19" si="13">D9+D11+D13+D15</f>
        <v>41224</v>
      </c>
      <c r="E19" s="20">
        <f t="shared" si="13"/>
        <v>78714</v>
      </c>
      <c r="F19" s="20">
        <f t="shared" si="13"/>
        <v>74842</v>
      </c>
      <c r="G19" s="20">
        <f t="shared" si="13"/>
        <v>94155.046770477464</v>
      </c>
      <c r="H19" s="20">
        <f t="shared" si="13"/>
        <v>118132.04939540249</v>
      </c>
      <c r="I19" s="20">
        <f t="shared" si="13"/>
        <v>148214.90268468007</v>
      </c>
      <c r="J19" s="20">
        <f t="shared" si="13"/>
        <v>185958.48874424197</v>
      </c>
      <c r="K19" s="20">
        <f t="shared" si="13"/>
        <v>233313.6473436197</v>
      </c>
    </row>
    <row r="20" spans="2:12" x14ac:dyDescent="0.3">
      <c r="C20" t="s">
        <v>72</v>
      </c>
      <c r="D20" s="21">
        <v>6858</v>
      </c>
      <c r="E20" s="21">
        <v>12020</v>
      </c>
      <c r="F20" s="16">
        <v>-3514</v>
      </c>
      <c r="G20" s="15">
        <f ca="1">'Debt and Interest Schedule '!G33</f>
        <v>-375.39299999999997</v>
      </c>
      <c r="H20" s="15">
        <f ca="1">'Debt and Interest Schedule '!H33</f>
        <v>-223.59136438516418</v>
      </c>
      <c r="I20" s="15">
        <f ca="1">'Debt and Interest Schedule '!I33</f>
        <v>-58.058345530557119</v>
      </c>
      <c r="J20" s="15">
        <f ca="1">'Debt and Interest Schedule '!J33</f>
        <v>147.27852930336337</v>
      </c>
      <c r="K20" s="15">
        <f ca="1">'Debt and Interest Schedule '!K33</f>
        <v>403.05846420827163</v>
      </c>
      <c r="L20" t="s">
        <v>138</v>
      </c>
    </row>
    <row r="21" spans="2:12" x14ac:dyDescent="0.3">
      <c r="C21" s="1" t="s">
        <v>9</v>
      </c>
      <c r="D21" s="20">
        <f>D19+D20</f>
        <v>48082</v>
      </c>
      <c r="E21" s="20">
        <f t="shared" ref="E21:K21" si="14">E19+E20</f>
        <v>90734</v>
      </c>
      <c r="F21" s="20">
        <f t="shared" si="14"/>
        <v>71328</v>
      </c>
      <c r="G21" s="20">
        <f t="shared" ca="1" si="14"/>
        <v>93779.653770477467</v>
      </c>
      <c r="H21" s="20">
        <f t="shared" ca="1" si="14"/>
        <v>117908.45803101732</v>
      </c>
      <c r="I21" s="20">
        <f t="shared" ca="1" si="14"/>
        <v>148156.84433914951</v>
      </c>
      <c r="J21" s="20">
        <f t="shared" ca="1" si="14"/>
        <v>186105.76727354532</v>
      </c>
      <c r="K21" s="20">
        <f t="shared" ca="1" si="14"/>
        <v>233716.70580782797</v>
      </c>
    </row>
    <row r="22" spans="2:12" x14ac:dyDescent="0.3">
      <c r="C22" t="s">
        <v>6</v>
      </c>
      <c r="D22" s="16">
        <v>-7813</v>
      </c>
      <c r="E22" s="16">
        <v>-14701</v>
      </c>
      <c r="F22" s="16">
        <v>-11356</v>
      </c>
      <c r="G22" s="17">
        <f ca="1">(G21*G25)*-1</f>
        <v>-19693.727291800267</v>
      </c>
      <c r="H22" s="17">
        <f ca="1">(H21*H25)*-1</f>
        <v>-24760.776186513634</v>
      </c>
      <c r="I22" s="17">
        <f ca="1">(I21*I25)*-1</f>
        <v>-31112.937311221394</v>
      </c>
      <c r="J22" s="17">
        <f ca="1">(J21*J25)*-1</f>
        <v>-39082.21112744452</v>
      </c>
      <c r="K22" s="17">
        <f ca="1">(K21*K25)*-1</f>
        <v>-49080.508219643874</v>
      </c>
    </row>
    <row r="23" spans="2:12" x14ac:dyDescent="0.3">
      <c r="B23" t="s">
        <v>12</v>
      </c>
      <c r="C23" s="1" t="s">
        <v>7</v>
      </c>
      <c r="D23" s="20">
        <f>D21+D22</f>
        <v>40269</v>
      </c>
      <c r="E23" s="20">
        <f t="shared" ref="E23:K23" si="15">E21+E22</f>
        <v>76033</v>
      </c>
      <c r="F23" s="20">
        <f t="shared" si="15"/>
        <v>59972</v>
      </c>
      <c r="G23" s="20">
        <f t="shared" ca="1" si="15"/>
        <v>74085.926478677196</v>
      </c>
      <c r="H23" s="20">
        <f t="shared" ca="1" si="15"/>
        <v>93147.681844503677</v>
      </c>
      <c r="I23" s="20">
        <f t="shared" ca="1" si="15"/>
        <v>117043.90702792811</v>
      </c>
      <c r="J23" s="20">
        <f t="shared" ca="1" si="15"/>
        <v>147023.5561461008</v>
      </c>
      <c r="K23" s="20">
        <f t="shared" ca="1" si="15"/>
        <v>184636.19758818409</v>
      </c>
    </row>
    <row r="25" spans="2:12" x14ac:dyDescent="0.3">
      <c r="C25" s="1" t="s">
        <v>73</v>
      </c>
      <c r="D25" s="22">
        <v>0.21</v>
      </c>
      <c r="E25" s="22">
        <v>0.21</v>
      </c>
      <c r="F25" s="22">
        <v>0.21</v>
      </c>
      <c r="G25" s="22">
        <v>0.21</v>
      </c>
      <c r="H25" s="22">
        <v>0.21</v>
      </c>
      <c r="I25" s="22">
        <v>0.21</v>
      </c>
      <c r="J25" s="22">
        <v>0.21</v>
      </c>
      <c r="K25" s="22">
        <v>0.21</v>
      </c>
    </row>
    <row r="26" spans="2:12" x14ac:dyDescent="0.3">
      <c r="B26" t="s">
        <v>12</v>
      </c>
      <c r="C26" s="5" t="s">
        <v>11</v>
      </c>
      <c r="D26" s="53" t="s">
        <v>24</v>
      </c>
      <c r="E26" s="53"/>
      <c r="F26" s="53"/>
      <c r="G26" s="53"/>
      <c r="H26" s="53"/>
      <c r="I26" s="53"/>
      <c r="J26" s="53"/>
      <c r="K26" s="53"/>
    </row>
    <row r="27" spans="2:12" x14ac:dyDescent="0.3">
      <c r="C27" s="1" t="s">
        <v>13</v>
      </c>
      <c r="D27" s="25">
        <v>2020</v>
      </c>
      <c r="E27" s="25">
        <f t="shared" ref="E27:K27" si="16">D27+1</f>
        <v>2021</v>
      </c>
      <c r="F27" s="25">
        <f t="shared" si="16"/>
        <v>2022</v>
      </c>
      <c r="G27" s="24">
        <f t="shared" si="16"/>
        <v>2023</v>
      </c>
      <c r="H27" s="24">
        <f t="shared" si="16"/>
        <v>2024</v>
      </c>
      <c r="I27" s="24">
        <f t="shared" si="16"/>
        <v>2025</v>
      </c>
      <c r="J27" s="24">
        <f t="shared" si="16"/>
        <v>2026</v>
      </c>
      <c r="K27" s="24">
        <f t="shared" si="16"/>
        <v>2027</v>
      </c>
    </row>
    <row r="28" spans="2:12" x14ac:dyDescent="0.3">
      <c r="C28" t="s">
        <v>14</v>
      </c>
    </row>
    <row r="29" spans="2:12" x14ac:dyDescent="0.3">
      <c r="C29" s="3" t="s">
        <v>15</v>
      </c>
      <c r="D29" s="10">
        <v>26465</v>
      </c>
      <c r="E29" s="10">
        <v>20945</v>
      </c>
      <c r="F29" s="10">
        <v>21879</v>
      </c>
      <c r="G29" s="15">
        <f ca="1">G111</f>
        <v>72479.545204945258</v>
      </c>
      <c r="H29" s="15">
        <f t="shared" ref="H29:K29" ca="1" si="17">H111</f>
        <v>127657.21815648094</v>
      </c>
      <c r="I29" s="15">
        <f t="shared" ca="1" si="17"/>
        <v>196102.84310112111</v>
      </c>
      <c r="J29" s="15">
        <f t="shared" ca="1" si="17"/>
        <v>281362.8214027572</v>
      </c>
      <c r="K29" s="15">
        <f t="shared" ca="1" si="17"/>
        <v>387808.88271072623</v>
      </c>
      <c r="L29" t="s">
        <v>124</v>
      </c>
    </row>
    <row r="30" spans="2:12" x14ac:dyDescent="0.3">
      <c r="C30" s="3" t="s">
        <v>16</v>
      </c>
      <c r="D30" s="10">
        <v>30930</v>
      </c>
      <c r="E30" s="10">
        <v>39304</v>
      </c>
      <c r="F30" s="10">
        <v>40258</v>
      </c>
      <c r="G30" s="15">
        <f>'Working Cap Schedule'!G10</f>
        <v>49140.253934339889</v>
      </c>
      <c r="H30" s="15">
        <f>'Working Cap Schedule'!H10</f>
        <v>61654.038781639123</v>
      </c>
      <c r="I30" s="15">
        <f>'Working Cap Schedule'!I10</f>
        <v>77354.514756211211</v>
      </c>
      <c r="J30" s="15">
        <f>'Working Cap Schedule'!J10</f>
        <v>97053.186967386151</v>
      </c>
      <c r="K30" s="15">
        <f>'Working Cap Schedule'!K10</f>
        <v>121768.21392018473</v>
      </c>
    </row>
    <row r="31" spans="2:12" x14ac:dyDescent="0.3">
      <c r="C31" s="3" t="s">
        <v>75</v>
      </c>
      <c r="D31" s="10">
        <v>110229</v>
      </c>
      <c r="E31" s="10">
        <v>118704</v>
      </c>
      <c r="F31" s="10">
        <v>91883</v>
      </c>
      <c r="G31">
        <f>F31</f>
        <v>91883</v>
      </c>
      <c r="H31">
        <f t="shared" ref="H31:K31" si="18">G31</f>
        <v>91883</v>
      </c>
      <c r="I31">
        <f t="shared" si="18"/>
        <v>91883</v>
      </c>
      <c r="J31">
        <f t="shared" si="18"/>
        <v>91883</v>
      </c>
      <c r="K31">
        <f t="shared" si="18"/>
        <v>91883</v>
      </c>
    </row>
    <row r="32" spans="2:12" x14ac:dyDescent="0.3">
      <c r="C32" s="3" t="s">
        <v>17</v>
      </c>
      <c r="D32" s="10">
        <v>728</v>
      </c>
      <c r="E32" s="10">
        <v>1170</v>
      </c>
      <c r="F32" s="10">
        <v>2670</v>
      </c>
      <c r="G32" s="15">
        <f>'Working Cap Schedule'!G11</f>
        <v>1885.096904135333</v>
      </c>
      <c r="H32" s="15">
        <f>'Working Cap Schedule'!H11</f>
        <v>2365.1452389725823</v>
      </c>
      <c r="I32" s="15">
        <f>'Working Cap Schedule'!I11</f>
        <v>2967.4400234615628</v>
      </c>
      <c r="J32" s="15">
        <f>'Working Cap Schedule'!J11</f>
        <v>3723.1118612685077</v>
      </c>
      <c r="K32" s="15">
        <f>'Working Cap Schedule'!K11</f>
        <v>4671.2189031367643</v>
      </c>
      <c r="L32" t="s">
        <v>125</v>
      </c>
    </row>
    <row r="33" spans="2:12" x14ac:dyDescent="0.3">
      <c r="C33" s="3" t="s">
        <v>18</v>
      </c>
      <c r="D33" s="10">
        <f>5490+454</f>
        <v>5944</v>
      </c>
      <c r="E33" s="10">
        <v>8020</v>
      </c>
      <c r="F33" s="10">
        <v>8105</v>
      </c>
      <c r="G33">
        <f>F33</f>
        <v>8105</v>
      </c>
      <c r="H33">
        <f t="shared" ref="H33:K33" si="19">G33</f>
        <v>8105</v>
      </c>
      <c r="I33">
        <f t="shared" si="19"/>
        <v>8105</v>
      </c>
      <c r="J33">
        <f t="shared" si="19"/>
        <v>8105</v>
      </c>
      <c r="K33">
        <f t="shared" si="19"/>
        <v>8105</v>
      </c>
    </row>
    <row r="34" spans="2:12" x14ac:dyDescent="0.3">
      <c r="C34" s="4" t="s">
        <v>19</v>
      </c>
      <c r="D34" s="1">
        <f>SUM(D29:D33)</f>
        <v>174296</v>
      </c>
      <c r="E34" s="1">
        <f>SUM(E29:E33)</f>
        <v>188143</v>
      </c>
      <c r="F34" s="20">
        <f>SUM(F29:F33)</f>
        <v>164795</v>
      </c>
      <c r="G34" s="20">
        <f t="shared" ref="G34:K34" ca="1" si="20">SUM(G29:G33)</f>
        <v>223492.89604342048</v>
      </c>
      <c r="H34" s="20">
        <f t="shared" ca="1" si="20"/>
        <v>291664.40217709262</v>
      </c>
      <c r="I34" s="20">
        <f t="shared" ca="1" si="20"/>
        <v>376412.79788079392</v>
      </c>
      <c r="J34" s="20">
        <f t="shared" ca="1" si="20"/>
        <v>482127.12023141189</v>
      </c>
      <c r="K34" s="20">
        <f t="shared" ca="1" si="20"/>
        <v>614236.31553404778</v>
      </c>
    </row>
    <row r="36" spans="2:12" x14ac:dyDescent="0.3">
      <c r="B36" t="s">
        <v>12</v>
      </c>
      <c r="C36" t="s">
        <v>20</v>
      </c>
    </row>
    <row r="37" spans="2:12" x14ac:dyDescent="0.3">
      <c r="C37" s="3" t="s">
        <v>86</v>
      </c>
      <c r="D37" s="10">
        <v>84749</v>
      </c>
      <c r="E37" s="10">
        <v>97599</v>
      </c>
      <c r="F37" s="10">
        <v>112668</v>
      </c>
      <c r="G37" s="15">
        <f>'D&amp;A'!G14</f>
        <v>131055.23459253662</v>
      </c>
      <c r="H37" s="15">
        <f ca="1">'D&amp;A'!H14</f>
        <v>158427.13407708178</v>
      </c>
      <c r="I37" s="15">
        <f ca="1">'D&amp;A'!I14</f>
        <v>193485.38433937708</v>
      </c>
      <c r="J37" s="15">
        <f ca="1">'D&amp;A'!J14</f>
        <v>238101.93936574954</v>
      </c>
      <c r="K37" s="15">
        <f ca="1">'D&amp;A'!K14</f>
        <v>294635.64318727318</v>
      </c>
      <c r="L37" t="s">
        <v>5</v>
      </c>
    </row>
    <row r="38" spans="2:12" x14ac:dyDescent="0.3">
      <c r="C38" t="s">
        <v>87</v>
      </c>
      <c r="D38" s="10">
        <v>12211</v>
      </c>
      <c r="E38" s="10">
        <v>12959</v>
      </c>
      <c r="F38" s="10">
        <v>14381</v>
      </c>
      <c r="G38">
        <f>F38</f>
        <v>14381</v>
      </c>
      <c r="H38">
        <f t="shared" ref="H38:K38" si="21">G38</f>
        <v>14381</v>
      </c>
      <c r="I38">
        <f t="shared" si="21"/>
        <v>14381</v>
      </c>
      <c r="J38">
        <f t="shared" si="21"/>
        <v>14381</v>
      </c>
      <c r="K38">
        <f t="shared" si="21"/>
        <v>14381</v>
      </c>
    </row>
    <row r="39" spans="2:12" x14ac:dyDescent="0.3">
      <c r="C39" t="s">
        <v>88</v>
      </c>
      <c r="D39" s="10">
        <v>1084</v>
      </c>
      <c r="E39" s="10">
        <v>1284</v>
      </c>
      <c r="F39" s="10">
        <v>5261</v>
      </c>
      <c r="G39">
        <f>F39</f>
        <v>5261</v>
      </c>
      <c r="H39">
        <f t="shared" ref="H39:K39" si="22">G39</f>
        <v>5261</v>
      </c>
      <c r="I39">
        <f t="shared" si="22"/>
        <v>5261</v>
      </c>
      <c r="J39">
        <f t="shared" si="22"/>
        <v>5261</v>
      </c>
      <c r="K39">
        <f t="shared" si="22"/>
        <v>5261</v>
      </c>
    </row>
    <row r="40" spans="2:12" x14ac:dyDescent="0.3">
      <c r="C40" t="s">
        <v>89</v>
      </c>
      <c r="D40" s="10">
        <v>20703</v>
      </c>
      <c r="E40" s="10">
        <v>29549</v>
      </c>
      <c r="F40" s="10">
        <v>30492</v>
      </c>
      <c r="G40">
        <f>F40</f>
        <v>30492</v>
      </c>
      <c r="H40">
        <f t="shared" ref="H40:K40" si="23">G40</f>
        <v>30492</v>
      </c>
      <c r="I40">
        <f t="shared" si="23"/>
        <v>30492</v>
      </c>
      <c r="J40">
        <f t="shared" si="23"/>
        <v>30492</v>
      </c>
      <c r="K40">
        <f t="shared" si="23"/>
        <v>30492</v>
      </c>
    </row>
    <row r="41" spans="2:12" x14ac:dyDescent="0.3">
      <c r="C41" t="s">
        <v>90</v>
      </c>
      <c r="D41" s="10">
        <v>1445</v>
      </c>
      <c r="E41" s="10">
        <v>1417</v>
      </c>
      <c r="F41" s="10">
        <v>2084</v>
      </c>
      <c r="G41">
        <f>'D&amp;A'!G26</f>
        <v>1621</v>
      </c>
      <c r="H41">
        <f>'D&amp;A'!H26</f>
        <v>1177</v>
      </c>
      <c r="I41">
        <f>'D&amp;A'!I26</f>
        <v>863</v>
      </c>
      <c r="J41">
        <f>'D&amp;A'!J26</f>
        <v>628</v>
      </c>
      <c r="K41">
        <f>'D&amp;A'!K26</f>
        <v>476</v>
      </c>
    </row>
    <row r="42" spans="2:12" x14ac:dyDescent="0.3">
      <c r="C42" s="3" t="s">
        <v>21</v>
      </c>
      <c r="D42" s="10">
        <v>21175</v>
      </c>
      <c r="E42" s="10">
        <v>22956</v>
      </c>
      <c r="F42" s="10">
        <v>28960</v>
      </c>
      <c r="G42">
        <f>F42</f>
        <v>28960</v>
      </c>
      <c r="H42">
        <f t="shared" ref="H42:K43" si="24">G42</f>
        <v>28960</v>
      </c>
      <c r="I42">
        <f t="shared" si="24"/>
        <v>28960</v>
      </c>
      <c r="J42">
        <f t="shared" si="24"/>
        <v>28960</v>
      </c>
      <c r="K42">
        <f t="shared" si="24"/>
        <v>28960</v>
      </c>
    </row>
    <row r="43" spans="2:12" x14ac:dyDescent="0.3">
      <c r="C43" s="3" t="s">
        <v>22</v>
      </c>
      <c r="D43" s="10">
        <v>3953</v>
      </c>
      <c r="E43" s="10">
        <v>5361</v>
      </c>
      <c r="F43" s="10">
        <v>6623</v>
      </c>
      <c r="G43">
        <f>F43</f>
        <v>6623</v>
      </c>
      <c r="H43">
        <f t="shared" si="24"/>
        <v>6623</v>
      </c>
      <c r="I43">
        <f t="shared" si="24"/>
        <v>6623</v>
      </c>
      <c r="J43">
        <f t="shared" si="24"/>
        <v>6623</v>
      </c>
      <c r="K43">
        <f t="shared" si="24"/>
        <v>6623</v>
      </c>
    </row>
    <row r="44" spans="2:12" x14ac:dyDescent="0.3">
      <c r="C44" s="4" t="s">
        <v>32</v>
      </c>
      <c r="D44" s="1">
        <f t="shared" ref="D44:K44" si="25">SUM(D36:D43)</f>
        <v>145320</v>
      </c>
      <c r="E44" s="1">
        <f t="shared" si="25"/>
        <v>171125</v>
      </c>
      <c r="F44" s="1">
        <f t="shared" si="25"/>
        <v>200469</v>
      </c>
      <c r="G44" s="20">
        <f t="shared" si="25"/>
        <v>218393.23459253664</v>
      </c>
      <c r="H44" s="20">
        <f t="shared" ca="1" si="25"/>
        <v>245321.13407708178</v>
      </c>
      <c r="I44" s="20">
        <f t="shared" ca="1" si="25"/>
        <v>280065.38433937705</v>
      </c>
      <c r="J44" s="20">
        <f t="shared" ca="1" si="25"/>
        <v>324446.93936574954</v>
      </c>
      <c r="K44" s="20">
        <f t="shared" ca="1" si="25"/>
        <v>380828.64318727318</v>
      </c>
    </row>
    <row r="46" spans="2:12" ht="15" thickBot="1" x14ac:dyDescent="0.35">
      <c r="B46" t="s">
        <v>12</v>
      </c>
      <c r="C46" s="1" t="s">
        <v>23</v>
      </c>
      <c r="D46" s="26">
        <f t="shared" ref="D46:K46" si="26">SUM(D34,D44)</f>
        <v>319616</v>
      </c>
      <c r="E46" s="26">
        <f t="shared" si="26"/>
        <v>359268</v>
      </c>
      <c r="F46" s="26">
        <f t="shared" si="26"/>
        <v>365264</v>
      </c>
      <c r="G46" s="29">
        <f t="shared" ca="1" si="26"/>
        <v>441886.13063595712</v>
      </c>
      <c r="H46" s="29">
        <f t="shared" ca="1" si="26"/>
        <v>536985.53625417443</v>
      </c>
      <c r="I46" s="29">
        <f t="shared" ca="1" si="26"/>
        <v>656478.18222017097</v>
      </c>
      <c r="J46" s="29">
        <f t="shared" ca="1" si="26"/>
        <v>806574.05959716137</v>
      </c>
      <c r="K46" s="29">
        <f t="shared" ca="1" si="26"/>
        <v>995064.95872132096</v>
      </c>
    </row>
    <row r="47" spans="2:12" ht="15" thickTop="1" x14ac:dyDescent="0.3"/>
    <row r="48" spans="2:12" x14ac:dyDescent="0.3">
      <c r="C48" s="1" t="s">
        <v>25</v>
      </c>
      <c r="D48" s="25">
        <v>2020</v>
      </c>
      <c r="E48" s="25">
        <f t="shared" ref="E48:K48" si="27">D48+1</f>
        <v>2021</v>
      </c>
      <c r="F48" s="25">
        <f t="shared" si="27"/>
        <v>2022</v>
      </c>
      <c r="G48" s="24">
        <f t="shared" si="27"/>
        <v>2023</v>
      </c>
      <c r="H48" s="24">
        <f t="shared" si="27"/>
        <v>2024</v>
      </c>
      <c r="I48" s="24">
        <f t="shared" si="27"/>
        <v>2025</v>
      </c>
      <c r="J48" s="24">
        <f t="shared" si="27"/>
        <v>2026</v>
      </c>
      <c r="K48" s="24">
        <f t="shared" si="27"/>
        <v>2027</v>
      </c>
    </row>
    <row r="49" spans="3:12" x14ac:dyDescent="0.3">
      <c r="C49" t="s">
        <v>26</v>
      </c>
    </row>
    <row r="50" spans="3:12" x14ac:dyDescent="0.3">
      <c r="C50" s="3" t="s">
        <v>27</v>
      </c>
      <c r="D50" s="10">
        <v>5589</v>
      </c>
      <c r="E50" s="10">
        <v>6037</v>
      </c>
      <c r="F50" s="10">
        <v>5128</v>
      </c>
      <c r="G50" s="15">
        <f>'Working Cap Schedule'!G15</f>
        <v>7664.2041572799026</v>
      </c>
      <c r="H50" s="15">
        <f>'Working Cap Schedule'!H15</f>
        <v>9615.9279309935573</v>
      </c>
      <c r="I50" s="15">
        <f>'Working Cap Schedule'!I15</f>
        <v>12064.666869061992</v>
      </c>
      <c r="J50" s="15">
        <f>'Working Cap Schedule'!J15</f>
        <v>15136.988099951641</v>
      </c>
      <c r="K50" s="15">
        <f>'Working Cap Schedule'!K15</f>
        <v>18991.689635927094</v>
      </c>
    </row>
    <row r="51" spans="3:12" x14ac:dyDescent="0.3">
      <c r="C51" t="s">
        <v>131</v>
      </c>
      <c r="D51" s="11">
        <v>0</v>
      </c>
      <c r="E51" s="11">
        <v>0</v>
      </c>
      <c r="F51" s="11">
        <v>0</v>
      </c>
      <c r="G51">
        <f ca="1">'Debt and Interest Schedule '!G25</f>
        <v>0</v>
      </c>
      <c r="H51">
        <f ca="1">'Debt and Interest Schedule '!H25</f>
        <v>0</v>
      </c>
      <c r="I51">
        <f ca="1">'Debt and Interest Schedule '!I25</f>
        <v>0</v>
      </c>
      <c r="J51">
        <f ca="1">'Debt and Interest Schedule '!J25</f>
        <v>0</v>
      </c>
      <c r="K51">
        <f ca="1">'Debt and Interest Schedule '!K25</f>
        <v>0</v>
      </c>
      <c r="L51" t="s">
        <v>124</v>
      </c>
    </row>
    <row r="52" spans="3:12" x14ac:dyDescent="0.3">
      <c r="C52" s="3" t="s">
        <v>76</v>
      </c>
      <c r="D52" s="10">
        <v>11086</v>
      </c>
      <c r="E52" s="10">
        <v>13889</v>
      </c>
      <c r="F52" s="10">
        <v>14028</v>
      </c>
      <c r="G52">
        <f>F52</f>
        <v>14028</v>
      </c>
      <c r="H52">
        <f t="shared" ref="H52:K52" si="28">G52</f>
        <v>14028</v>
      </c>
      <c r="I52">
        <f t="shared" si="28"/>
        <v>14028</v>
      </c>
      <c r="J52">
        <f t="shared" si="28"/>
        <v>14028</v>
      </c>
      <c r="K52">
        <f t="shared" si="28"/>
        <v>14028</v>
      </c>
    </row>
    <row r="53" spans="3:12" x14ac:dyDescent="0.3">
      <c r="C53" s="3" t="s">
        <v>77</v>
      </c>
      <c r="D53" s="10">
        <f>28631+1485</f>
        <v>30116</v>
      </c>
      <c r="E53" s="10">
        <v>32044</v>
      </c>
      <c r="F53" s="10">
        <v>37866</v>
      </c>
      <c r="G53">
        <f>F53</f>
        <v>37866</v>
      </c>
      <c r="H53">
        <f t="shared" ref="H53:K53" si="29">G53</f>
        <v>37866</v>
      </c>
      <c r="I53">
        <f t="shared" si="29"/>
        <v>37866</v>
      </c>
      <c r="J53">
        <f t="shared" si="29"/>
        <v>37866</v>
      </c>
      <c r="K53">
        <f t="shared" si="29"/>
        <v>37866</v>
      </c>
    </row>
    <row r="54" spans="3:12" x14ac:dyDescent="0.3">
      <c r="C54" s="3" t="s">
        <v>78</v>
      </c>
      <c r="D54" s="10">
        <v>7500</v>
      </c>
      <c r="E54" s="10">
        <v>8996</v>
      </c>
      <c r="F54" s="10">
        <v>8370</v>
      </c>
      <c r="G54">
        <f>F54</f>
        <v>8370</v>
      </c>
      <c r="H54">
        <f t="shared" ref="H54:K54" si="30">G54</f>
        <v>8370</v>
      </c>
      <c r="I54">
        <f t="shared" si="30"/>
        <v>8370</v>
      </c>
      <c r="J54">
        <f t="shared" si="30"/>
        <v>8370</v>
      </c>
      <c r="K54">
        <f t="shared" si="30"/>
        <v>8370</v>
      </c>
    </row>
    <row r="55" spans="3:12" x14ac:dyDescent="0.3">
      <c r="C55" s="3" t="s">
        <v>79</v>
      </c>
      <c r="D55" s="10">
        <v>2543</v>
      </c>
      <c r="E55" s="10">
        <v>3288</v>
      </c>
      <c r="F55" s="10">
        <v>3908</v>
      </c>
      <c r="G55">
        <f>F55</f>
        <v>3908</v>
      </c>
      <c r="H55">
        <f t="shared" ref="H55:K55" si="31">G55</f>
        <v>3908</v>
      </c>
      <c r="I55">
        <f t="shared" si="31"/>
        <v>3908</v>
      </c>
      <c r="J55">
        <f t="shared" si="31"/>
        <v>3908</v>
      </c>
      <c r="K55">
        <f t="shared" si="31"/>
        <v>3908</v>
      </c>
    </row>
    <row r="56" spans="3:12" x14ac:dyDescent="0.3">
      <c r="C56" s="4" t="s">
        <v>28</v>
      </c>
      <c r="D56" s="1">
        <f t="shared" ref="D56:K56" si="32">SUM(D50:D55)</f>
        <v>56834</v>
      </c>
      <c r="E56" s="1">
        <f t="shared" si="32"/>
        <v>64254</v>
      </c>
      <c r="F56" s="20">
        <f t="shared" si="32"/>
        <v>69300</v>
      </c>
      <c r="G56" s="20">
        <f t="shared" ca="1" si="32"/>
        <v>71836.204157279906</v>
      </c>
      <c r="H56" s="20">
        <f t="shared" ca="1" si="32"/>
        <v>73787.927930993552</v>
      </c>
      <c r="I56" s="20">
        <f t="shared" ca="1" si="32"/>
        <v>76236.666869061999</v>
      </c>
      <c r="J56" s="20">
        <f t="shared" ca="1" si="32"/>
        <v>79308.988099951646</v>
      </c>
      <c r="K56" s="20">
        <f t="shared" ca="1" si="32"/>
        <v>83163.68963592709</v>
      </c>
    </row>
    <row r="58" spans="3:12" x14ac:dyDescent="0.3">
      <c r="C58" s="4"/>
      <c r="D58" s="1"/>
      <c r="E58" s="1"/>
      <c r="F58" s="20"/>
      <c r="G58" s="20"/>
      <c r="H58" s="20"/>
      <c r="I58" s="20"/>
      <c r="J58" s="20"/>
      <c r="K58" s="20"/>
    </row>
    <row r="59" spans="3:12" x14ac:dyDescent="0.3">
      <c r="C59" s="1" t="s">
        <v>29</v>
      </c>
    </row>
    <row r="60" spans="3:12" x14ac:dyDescent="0.3">
      <c r="C60" s="3" t="s">
        <v>30</v>
      </c>
      <c r="D60" s="10">
        <v>13932</v>
      </c>
      <c r="E60" s="10">
        <v>14817</v>
      </c>
      <c r="F60" s="10">
        <v>14701</v>
      </c>
      <c r="G60">
        <f>'Debt and Interest Schedule '!F9</f>
        <v>14701</v>
      </c>
      <c r="H60">
        <f>'Debt and Interest Schedule '!G9</f>
        <v>14701</v>
      </c>
      <c r="I60">
        <f>'Debt and Interest Schedule '!H9</f>
        <v>14701</v>
      </c>
      <c r="J60">
        <f>'Debt and Interest Schedule '!I9</f>
        <v>14701</v>
      </c>
      <c r="K60">
        <f>'Debt and Interest Schedule '!J9</f>
        <v>14701</v>
      </c>
      <c r="L60" t="s">
        <v>124</v>
      </c>
    </row>
    <row r="61" spans="3:12" x14ac:dyDescent="0.3">
      <c r="C61" s="3" t="s">
        <v>80</v>
      </c>
      <c r="D61" s="10">
        <v>481</v>
      </c>
      <c r="E61" s="10">
        <v>535</v>
      </c>
      <c r="F61" s="10">
        <v>599</v>
      </c>
      <c r="G61">
        <f>F61</f>
        <v>599</v>
      </c>
      <c r="H61">
        <f t="shared" ref="H61:K61" si="33">G61</f>
        <v>599</v>
      </c>
      <c r="I61">
        <f t="shared" si="33"/>
        <v>599</v>
      </c>
      <c r="J61">
        <f t="shared" si="33"/>
        <v>599</v>
      </c>
      <c r="K61">
        <f t="shared" si="33"/>
        <v>599</v>
      </c>
    </row>
    <row r="62" spans="3:12" x14ac:dyDescent="0.3">
      <c r="C62" s="3" t="s">
        <v>81</v>
      </c>
      <c r="D62" s="10">
        <v>8849</v>
      </c>
      <c r="E62" s="10">
        <v>9176</v>
      </c>
      <c r="F62" s="10">
        <v>9258</v>
      </c>
      <c r="G62">
        <f>F62</f>
        <v>9258</v>
      </c>
      <c r="H62">
        <f t="shared" ref="H62:K62" si="34">G62</f>
        <v>9258</v>
      </c>
      <c r="I62">
        <f t="shared" si="34"/>
        <v>9258</v>
      </c>
      <c r="J62">
        <f t="shared" si="34"/>
        <v>9258</v>
      </c>
      <c r="K62">
        <f t="shared" si="34"/>
        <v>9258</v>
      </c>
    </row>
    <row r="63" spans="3:12" x14ac:dyDescent="0.3">
      <c r="C63" s="3" t="s">
        <v>82</v>
      </c>
      <c r="D63" s="10">
        <v>3561</v>
      </c>
      <c r="E63" s="10">
        <v>5257</v>
      </c>
      <c r="F63" s="10">
        <v>514</v>
      </c>
      <c r="G63">
        <f>F63</f>
        <v>514</v>
      </c>
      <c r="H63">
        <f t="shared" ref="H63:K63" si="35">G63</f>
        <v>514</v>
      </c>
      <c r="I63">
        <f t="shared" si="35"/>
        <v>514</v>
      </c>
      <c r="J63">
        <f t="shared" si="35"/>
        <v>514</v>
      </c>
      <c r="K63">
        <f t="shared" si="35"/>
        <v>514</v>
      </c>
    </row>
    <row r="64" spans="3:12" x14ac:dyDescent="0.3">
      <c r="C64" s="3" t="s">
        <v>83</v>
      </c>
      <c r="D64" s="10">
        <v>11146</v>
      </c>
      <c r="E64" s="10">
        <v>11389</v>
      </c>
      <c r="F64" s="10">
        <v>12501</v>
      </c>
      <c r="G64">
        <f>F64</f>
        <v>12501</v>
      </c>
      <c r="H64">
        <f t="shared" ref="H64:K65" si="36">G64</f>
        <v>12501</v>
      </c>
      <c r="I64">
        <f t="shared" si="36"/>
        <v>12501</v>
      </c>
      <c r="J64">
        <f t="shared" si="36"/>
        <v>12501</v>
      </c>
      <c r="K64">
        <f t="shared" si="36"/>
        <v>12501</v>
      </c>
    </row>
    <row r="65" spans="2:12" x14ac:dyDescent="0.3">
      <c r="C65" s="3" t="s">
        <v>31</v>
      </c>
      <c r="D65" s="10">
        <v>2269</v>
      </c>
      <c r="E65" s="10">
        <v>2205</v>
      </c>
      <c r="F65" s="10">
        <v>2247</v>
      </c>
      <c r="G65">
        <f>F65</f>
        <v>2247</v>
      </c>
      <c r="H65">
        <f t="shared" si="36"/>
        <v>2247</v>
      </c>
      <c r="I65">
        <f t="shared" si="36"/>
        <v>2247</v>
      </c>
      <c r="J65">
        <f t="shared" si="36"/>
        <v>2247</v>
      </c>
      <c r="K65">
        <f t="shared" si="36"/>
        <v>2247</v>
      </c>
    </row>
    <row r="66" spans="2:12" x14ac:dyDescent="0.3">
      <c r="C66" s="4" t="s">
        <v>33</v>
      </c>
      <c r="D66" s="1">
        <f t="shared" ref="D66:K66" si="37">SUM(D60:D65)</f>
        <v>40238</v>
      </c>
      <c r="E66" s="1">
        <f t="shared" si="37"/>
        <v>43379</v>
      </c>
      <c r="F66" s="1">
        <f t="shared" si="37"/>
        <v>39820</v>
      </c>
      <c r="G66" s="1">
        <f t="shared" si="37"/>
        <v>39820</v>
      </c>
      <c r="H66" s="1">
        <f t="shared" si="37"/>
        <v>39820</v>
      </c>
      <c r="I66" s="1">
        <f t="shared" si="37"/>
        <v>39820</v>
      </c>
      <c r="J66" s="1">
        <f t="shared" si="37"/>
        <v>39820</v>
      </c>
      <c r="K66" s="1">
        <f t="shared" si="37"/>
        <v>39820</v>
      </c>
    </row>
    <row r="68" spans="2:12" x14ac:dyDescent="0.3">
      <c r="C68" s="1" t="s">
        <v>35</v>
      </c>
    </row>
    <row r="69" spans="2:12" x14ac:dyDescent="0.3">
      <c r="C69" s="3" t="s">
        <v>35</v>
      </c>
      <c r="D69" s="10">
        <v>58510</v>
      </c>
      <c r="E69" s="10">
        <v>61774</v>
      </c>
      <c r="F69" s="10">
        <v>68184</v>
      </c>
      <c r="G69" s="30"/>
      <c r="H69" s="30"/>
      <c r="I69" s="30"/>
      <c r="J69" s="30"/>
      <c r="K69" s="30"/>
    </row>
    <row r="70" spans="2:12" x14ac:dyDescent="0.3">
      <c r="C70" s="3" t="s">
        <v>84</v>
      </c>
      <c r="D70" s="10">
        <v>0</v>
      </c>
      <c r="E70" s="10">
        <v>0</v>
      </c>
      <c r="F70" s="10">
        <v>0</v>
      </c>
      <c r="G70" s="30"/>
      <c r="H70" s="30"/>
      <c r="I70" s="30"/>
      <c r="J70" s="30"/>
      <c r="K70" s="30"/>
    </row>
    <row r="71" spans="2:12" x14ac:dyDescent="0.3">
      <c r="C71" s="3" t="s">
        <v>85</v>
      </c>
      <c r="D71" s="10">
        <v>633</v>
      </c>
      <c r="E71" s="16">
        <v>-1623</v>
      </c>
      <c r="F71" s="16">
        <v>-7603</v>
      </c>
      <c r="G71" s="30"/>
      <c r="H71" s="30"/>
      <c r="I71" s="30"/>
      <c r="J71" s="30"/>
      <c r="K71" s="30"/>
    </row>
    <row r="72" spans="2:12" x14ac:dyDescent="0.3">
      <c r="C72" s="3" t="s">
        <v>37</v>
      </c>
      <c r="D72" s="10">
        <v>0</v>
      </c>
      <c r="E72" s="10">
        <v>0</v>
      </c>
      <c r="F72" s="10">
        <v>0</v>
      </c>
      <c r="G72" s="30"/>
      <c r="H72" s="30"/>
      <c r="I72" s="30"/>
      <c r="J72" s="30"/>
      <c r="K72" s="30"/>
    </row>
    <row r="73" spans="2:12" x14ac:dyDescent="0.3">
      <c r="C73" s="3" t="s">
        <v>38</v>
      </c>
      <c r="D73" s="10">
        <v>0</v>
      </c>
      <c r="E73" s="10">
        <v>0</v>
      </c>
      <c r="F73" s="10">
        <v>0</v>
      </c>
      <c r="G73" s="30"/>
      <c r="H73" s="30"/>
      <c r="I73" s="30"/>
      <c r="J73" s="30"/>
      <c r="K73" s="30"/>
    </row>
    <row r="74" spans="2:12" x14ac:dyDescent="0.3">
      <c r="C74" s="4" t="s">
        <v>91</v>
      </c>
      <c r="D74" s="1">
        <f>SUM(D69:D73)</f>
        <v>59143</v>
      </c>
      <c r="E74" s="1">
        <f>SUM(E69:E73)</f>
        <v>60151</v>
      </c>
      <c r="F74" s="1">
        <f>SUM(F69:F73)</f>
        <v>60581</v>
      </c>
      <c r="G74" s="1">
        <f>'Equity Schedule'!G9</f>
        <v>60581</v>
      </c>
      <c r="H74" s="1">
        <f>'Equity Schedule'!H9</f>
        <v>60581</v>
      </c>
      <c r="I74" s="1">
        <f>'Equity Schedule'!I9</f>
        <v>60581</v>
      </c>
      <c r="J74" s="1">
        <f>'Equity Schedule'!J9</f>
        <v>60581</v>
      </c>
      <c r="K74" s="1">
        <f>'Equity Schedule'!K9</f>
        <v>60581</v>
      </c>
      <c r="L74" t="s">
        <v>139</v>
      </c>
    </row>
    <row r="75" spans="2:12" x14ac:dyDescent="0.3">
      <c r="C75" s="3" t="s">
        <v>36</v>
      </c>
      <c r="D75" s="10">
        <v>163401</v>
      </c>
      <c r="E75" s="10">
        <v>191484</v>
      </c>
      <c r="F75" s="10">
        <v>195563</v>
      </c>
      <c r="G75" s="15">
        <f ca="1">'Equity Schedule'!G14</f>
        <v>269648.9264786772</v>
      </c>
      <c r="H75" s="15">
        <f ca="1">'Equity Schedule'!H14</f>
        <v>362796.60832318087</v>
      </c>
      <c r="I75" s="15">
        <f ca="1">'Equity Schedule'!I14</f>
        <v>479840.51535110897</v>
      </c>
      <c r="J75" s="15">
        <f ca="1">'Equity Schedule'!J14</f>
        <v>626864.07149720984</v>
      </c>
      <c r="K75" s="15">
        <f ca="1">'Equity Schedule'!K14</f>
        <v>811500.26908539399</v>
      </c>
      <c r="L75" t="s">
        <v>139</v>
      </c>
    </row>
    <row r="76" spans="2:12" x14ac:dyDescent="0.3">
      <c r="C76" s="4" t="s">
        <v>39</v>
      </c>
      <c r="D76" s="1">
        <f>SUM(D74:D75)</f>
        <v>222544</v>
      </c>
      <c r="E76" s="1">
        <f t="shared" ref="E76:F76" si="38">SUM(E74:E75)</f>
        <v>251635</v>
      </c>
      <c r="F76" s="20">
        <f t="shared" si="38"/>
        <v>256144</v>
      </c>
      <c r="G76" s="20">
        <f t="shared" ref="G76" ca="1" si="39">SUM(G74:G75)</f>
        <v>330229.9264786772</v>
      </c>
      <c r="H76" s="20">
        <f t="shared" ref="H76" ca="1" si="40">SUM(H74:H75)</f>
        <v>423377.60832318087</v>
      </c>
      <c r="I76" s="20">
        <f t="shared" ref="I76" ca="1" si="41">SUM(I74:I75)</f>
        <v>540421.51535110897</v>
      </c>
      <c r="J76" s="20">
        <f t="shared" ref="J76" ca="1" si="42">SUM(J74:J75)</f>
        <v>687445.07149720984</v>
      </c>
      <c r="K76" s="20">
        <f t="shared" ref="K76" ca="1" si="43">SUM(K74:K75)</f>
        <v>872081.26908539399</v>
      </c>
    </row>
    <row r="78" spans="2:12" ht="15" thickBot="1" x14ac:dyDescent="0.35">
      <c r="B78" t="s">
        <v>12</v>
      </c>
      <c r="C78" s="1" t="s">
        <v>40</v>
      </c>
      <c r="D78" s="26">
        <f>SUM(D56,D66,D76)</f>
        <v>319616</v>
      </c>
      <c r="E78" s="26">
        <f t="shared" ref="E78:K78" si="44">SUM(E56,E66,E76)</f>
        <v>359268</v>
      </c>
      <c r="F78" s="29">
        <f t="shared" si="44"/>
        <v>365264</v>
      </c>
      <c r="G78" s="29">
        <f t="shared" ca="1" si="44"/>
        <v>441886.13063595712</v>
      </c>
      <c r="H78" s="29">
        <f t="shared" ca="1" si="44"/>
        <v>536985.53625417443</v>
      </c>
      <c r="I78" s="29">
        <f t="shared" ca="1" si="44"/>
        <v>656478.18222017097</v>
      </c>
      <c r="J78" s="29">
        <f t="shared" ca="1" si="44"/>
        <v>806574.05959716148</v>
      </c>
      <c r="K78" s="29">
        <f t="shared" ca="1" si="44"/>
        <v>995064.95872132108</v>
      </c>
    </row>
    <row r="79" spans="2:12" ht="15" thickTop="1" x14ac:dyDescent="0.3"/>
    <row r="80" spans="2:12" x14ac:dyDescent="0.3">
      <c r="C80" s="6" t="s">
        <v>34</v>
      </c>
      <c r="D80" s="6" t="b">
        <f t="shared" ref="D80:K80" si="45">D46=D78</f>
        <v>1</v>
      </c>
      <c r="E80" s="6" t="b">
        <f t="shared" si="45"/>
        <v>1</v>
      </c>
      <c r="F80" s="6" t="b">
        <f t="shared" si="45"/>
        <v>1</v>
      </c>
      <c r="G80" s="6" t="b">
        <f t="shared" ca="1" si="45"/>
        <v>1</v>
      </c>
      <c r="H80" s="6" t="b">
        <f t="shared" ca="1" si="45"/>
        <v>1</v>
      </c>
      <c r="I80" s="6" t="b">
        <f t="shared" ca="1" si="45"/>
        <v>1</v>
      </c>
      <c r="J80" s="6" t="b">
        <f t="shared" ca="1" si="45"/>
        <v>1</v>
      </c>
      <c r="K80" s="6" t="b">
        <f t="shared" ca="1" si="45"/>
        <v>1</v>
      </c>
    </row>
    <row r="82" spans="3:11" x14ac:dyDescent="0.3">
      <c r="C82" s="5" t="s">
        <v>41</v>
      </c>
      <c r="D82" s="53" t="s">
        <v>64</v>
      </c>
      <c r="E82" s="53"/>
      <c r="F82" s="53"/>
      <c r="G82" s="53"/>
      <c r="H82" s="53"/>
      <c r="I82" s="53"/>
      <c r="J82" s="53"/>
      <c r="K82" s="53"/>
    </row>
    <row r="84" spans="3:11" x14ac:dyDescent="0.3">
      <c r="C84" t="s">
        <v>42</v>
      </c>
      <c r="D84" s="15">
        <f t="shared" ref="D84:K84" si="46">D23</f>
        <v>40269</v>
      </c>
      <c r="E84" s="15">
        <f t="shared" si="46"/>
        <v>76033</v>
      </c>
      <c r="F84" s="15">
        <f t="shared" si="46"/>
        <v>59972</v>
      </c>
      <c r="G84" s="15">
        <f t="shared" ca="1" si="46"/>
        <v>74085.926478677196</v>
      </c>
      <c r="H84" s="15">
        <f t="shared" ca="1" si="46"/>
        <v>93147.681844503677</v>
      </c>
      <c r="I84" s="15">
        <f t="shared" ca="1" si="46"/>
        <v>117043.90702792811</v>
      </c>
      <c r="J84" s="15">
        <f t="shared" ca="1" si="46"/>
        <v>147023.5561461008</v>
      </c>
      <c r="K84" s="15">
        <f t="shared" ca="1" si="46"/>
        <v>184636.19758818409</v>
      </c>
    </row>
    <row r="85" spans="3:11" x14ac:dyDescent="0.3">
      <c r="C85" s="7" t="s">
        <v>49</v>
      </c>
      <c r="D85" s="15">
        <f t="shared" ref="D85:K85" si="47">D18</f>
        <v>13697</v>
      </c>
      <c r="E85" s="15">
        <f t="shared" si="47"/>
        <v>12441</v>
      </c>
      <c r="F85" s="15">
        <f t="shared" si="47"/>
        <v>15928</v>
      </c>
      <c r="G85" s="15">
        <f t="shared" si="47"/>
        <v>20995.428498839421</v>
      </c>
      <c r="H85" s="15">
        <f t="shared" ca="1" si="47"/>
        <v>21902.82940851793</v>
      </c>
      <c r="I85" s="15">
        <f t="shared" ca="1" si="47"/>
        <v>26521.441545714657</v>
      </c>
      <c r="J85" s="15">
        <f t="shared" ca="1" si="47"/>
        <v>32485.718467210016</v>
      </c>
      <c r="K85" s="15">
        <f t="shared" ca="1" si="47"/>
        <v>40060.16372243697</v>
      </c>
    </row>
    <row r="86" spans="3:11" x14ac:dyDescent="0.3">
      <c r="C86" s="2" t="s">
        <v>43</v>
      </c>
      <c r="G86" s="15">
        <f>-'Working Cap Schedule'!G19</f>
        <v>-5561.1466811953142</v>
      </c>
      <c r="H86" s="15">
        <f>-'Working Cap Schedule'!H19</f>
        <v>-11042.109408422832</v>
      </c>
      <c r="I86" s="15">
        <f>-'Working Cap Schedule'!I19</f>
        <v>-13854.031820992641</v>
      </c>
      <c r="J86" s="15">
        <f>-'Working Cap Schedule'!J19</f>
        <v>-17382.022818092228</v>
      </c>
      <c r="K86" s="15">
        <f>-'Working Cap Schedule'!K19</f>
        <v>-21808.432458691386</v>
      </c>
    </row>
    <row r="87" spans="3:11" hidden="1" outlineLevel="1" x14ac:dyDescent="0.3">
      <c r="C87" s="8" t="s">
        <v>44</v>
      </c>
    </row>
    <row r="88" spans="3:11" hidden="1" outlineLevel="1" x14ac:dyDescent="0.3">
      <c r="C88" s="8" t="s">
        <v>46</v>
      </c>
    </row>
    <row r="89" spans="3:11" hidden="1" outlineLevel="1" x14ac:dyDescent="0.3">
      <c r="C89" s="8" t="s">
        <v>47</v>
      </c>
    </row>
    <row r="90" spans="3:11" hidden="1" outlineLevel="1" x14ac:dyDescent="0.3">
      <c r="C90" s="8" t="s">
        <v>45</v>
      </c>
    </row>
    <row r="91" spans="3:11" hidden="1" outlineLevel="1" x14ac:dyDescent="0.3">
      <c r="C91" s="8" t="s">
        <v>48</v>
      </c>
    </row>
    <row r="92" spans="3:11" collapsed="1" x14ac:dyDescent="0.3">
      <c r="C92" s="7" t="s">
        <v>50</v>
      </c>
    </row>
    <row r="93" spans="3:11" x14ac:dyDescent="0.3">
      <c r="C93" s="4" t="s">
        <v>51</v>
      </c>
      <c r="D93" s="34">
        <f t="shared" ref="D93:K93" si="48">SUM(D84:D86,D92)</f>
        <v>53966</v>
      </c>
      <c r="E93" s="34">
        <f t="shared" si="48"/>
        <v>88474</v>
      </c>
      <c r="F93" s="34">
        <f t="shared" si="48"/>
        <v>75900</v>
      </c>
      <c r="G93" s="34">
        <f t="shared" ca="1" si="48"/>
        <v>89520.208296321303</v>
      </c>
      <c r="H93" s="34">
        <f t="shared" ca="1" si="48"/>
        <v>104008.40184459876</v>
      </c>
      <c r="I93" s="34">
        <f t="shared" ca="1" si="48"/>
        <v>129711.31675265013</v>
      </c>
      <c r="J93" s="34">
        <f t="shared" ca="1" si="48"/>
        <v>162127.25179521859</v>
      </c>
      <c r="K93" s="34">
        <f t="shared" ca="1" si="48"/>
        <v>202887.92885192967</v>
      </c>
    </row>
    <row r="95" spans="3:11" x14ac:dyDescent="0.3">
      <c r="C95" t="s">
        <v>52</v>
      </c>
      <c r="D95" s="16">
        <v>-22281</v>
      </c>
      <c r="E95" s="16">
        <v>-24640</v>
      </c>
      <c r="F95" s="16">
        <v>-31485</v>
      </c>
      <c r="G95" s="15">
        <f>'D&amp;A'!G7</f>
        <v>-38919.663091376045</v>
      </c>
      <c r="H95" s="15">
        <f>'D&amp;A'!H7</f>
        <v>-48830.728893063075</v>
      </c>
      <c r="I95" s="15">
        <f>'D&amp;A'!I7</f>
        <v>-61265.691808009971</v>
      </c>
      <c r="J95" s="15">
        <f>'D&amp;A'!J7</f>
        <v>-76867.273493582499</v>
      </c>
      <c r="K95" s="15">
        <f>'D&amp;A'!K7</f>
        <v>-96441.867543960601</v>
      </c>
    </row>
    <row r="96" spans="3:11" x14ac:dyDescent="0.3">
      <c r="C96" s="7" t="s">
        <v>53</v>
      </c>
    </row>
    <row r="97" spans="3:11" x14ac:dyDescent="0.3">
      <c r="C97" s="4" t="s">
        <v>54</v>
      </c>
      <c r="D97" s="34">
        <f t="shared" ref="D97:K97" si="49">SUM(D95:D96)</f>
        <v>-22281</v>
      </c>
      <c r="E97" s="34">
        <f t="shared" si="49"/>
        <v>-24640</v>
      </c>
      <c r="F97" s="34">
        <f t="shared" si="49"/>
        <v>-31485</v>
      </c>
      <c r="G97" s="34">
        <f t="shared" si="49"/>
        <v>-38919.663091376045</v>
      </c>
      <c r="H97" s="34">
        <f t="shared" si="49"/>
        <v>-48830.728893063075</v>
      </c>
      <c r="I97" s="34">
        <f t="shared" si="49"/>
        <v>-61265.691808009971</v>
      </c>
      <c r="J97" s="34">
        <f t="shared" si="49"/>
        <v>-76867.273493582499</v>
      </c>
      <c r="K97" s="34">
        <f t="shared" si="49"/>
        <v>-96441.867543960601</v>
      </c>
    </row>
    <row r="99" spans="3:11" x14ac:dyDescent="0.3">
      <c r="C99" t="s">
        <v>55</v>
      </c>
      <c r="G99">
        <f>'Equity Schedule'!G7</f>
        <v>0</v>
      </c>
      <c r="H99">
        <f>'Equity Schedule'!H7</f>
        <v>0</v>
      </c>
      <c r="I99">
        <f>'Equity Schedule'!I7</f>
        <v>0</v>
      </c>
      <c r="J99">
        <f>'Equity Schedule'!J7</f>
        <v>0</v>
      </c>
      <c r="K99">
        <f>'Equity Schedule'!K7</f>
        <v>0</v>
      </c>
    </row>
    <row r="100" spans="3:11" x14ac:dyDescent="0.3">
      <c r="C100" t="s">
        <v>56</v>
      </c>
      <c r="G100">
        <f>'Equity Schedule'!G8</f>
        <v>0</v>
      </c>
      <c r="H100">
        <f>'Equity Schedule'!H8</f>
        <v>0</v>
      </c>
      <c r="I100">
        <f>'Equity Schedule'!I8</f>
        <v>0</v>
      </c>
      <c r="J100">
        <f>'Equity Schedule'!J8</f>
        <v>0</v>
      </c>
      <c r="K100">
        <f>'Equity Schedule'!K8</f>
        <v>0</v>
      </c>
    </row>
    <row r="101" spans="3:11" x14ac:dyDescent="0.3">
      <c r="C101" t="s">
        <v>59</v>
      </c>
      <c r="G101">
        <f ca="1">'Equity Schedule'!G13</f>
        <v>0</v>
      </c>
      <c r="H101">
        <f ca="1">'Equity Schedule'!H13</f>
        <v>0</v>
      </c>
      <c r="I101">
        <f ca="1">'Equity Schedule'!I13</f>
        <v>0</v>
      </c>
      <c r="J101">
        <f ca="1">'Equity Schedule'!J13</f>
        <v>0</v>
      </c>
      <c r="K101">
        <f ca="1">'Equity Schedule'!K13</f>
        <v>0</v>
      </c>
    </row>
    <row r="102" spans="3:11" x14ac:dyDescent="0.3">
      <c r="C102" t="s">
        <v>57</v>
      </c>
      <c r="G102">
        <f>'Debt and Interest Schedule '!G7</f>
        <v>0</v>
      </c>
      <c r="H102">
        <f>'Debt and Interest Schedule '!H7</f>
        <v>0</v>
      </c>
      <c r="I102">
        <f>'Debt and Interest Schedule '!I7</f>
        <v>0</v>
      </c>
      <c r="J102">
        <f>'Debt and Interest Schedule '!J7</f>
        <v>0</v>
      </c>
      <c r="K102">
        <f>'Debt and Interest Schedule '!K7</f>
        <v>0</v>
      </c>
    </row>
    <row r="103" spans="3:11" x14ac:dyDescent="0.3">
      <c r="C103" t="s">
        <v>58</v>
      </c>
      <c r="G103">
        <f>'Debt and Interest Schedule '!G8</f>
        <v>0</v>
      </c>
      <c r="H103">
        <f>'Debt and Interest Schedule '!H8</f>
        <v>0</v>
      </c>
      <c r="I103">
        <f>'Debt and Interest Schedule '!I8</f>
        <v>0</v>
      </c>
      <c r="J103">
        <f>'Debt and Interest Schedule '!J8</f>
        <v>0</v>
      </c>
      <c r="K103">
        <f>'Debt and Interest Schedule '!K8</f>
        <v>0</v>
      </c>
    </row>
    <row r="104" spans="3:11" x14ac:dyDescent="0.3">
      <c r="C104" s="7" t="s">
        <v>53</v>
      </c>
    </row>
    <row r="105" spans="3:11" x14ac:dyDescent="0.3">
      <c r="C105" s="4" t="s">
        <v>60</v>
      </c>
      <c r="D105" s="35">
        <f t="shared" ref="D105:K105" si="50">SUM(D99:D104)</f>
        <v>0</v>
      </c>
      <c r="E105" s="35">
        <f t="shared" si="50"/>
        <v>0</v>
      </c>
      <c r="F105" s="35">
        <f t="shared" si="50"/>
        <v>0</v>
      </c>
      <c r="G105" s="35">
        <f t="shared" ca="1" si="50"/>
        <v>0</v>
      </c>
      <c r="H105" s="35">
        <f t="shared" ca="1" si="50"/>
        <v>0</v>
      </c>
      <c r="I105" s="35">
        <f t="shared" ca="1" si="50"/>
        <v>0</v>
      </c>
      <c r="J105" s="35">
        <f t="shared" ca="1" si="50"/>
        <v>0</v>
      </c>
      <c r="K105" s="35">
        <f t="shared" ca="1" si="50"/>
        <v>0</v>
      </c>
    </row>
    <row r="107" spans="3:11" x14ac:dyDescent="0.3">
      <c r="C107" s="32" t="s">
        <v>61</v>
      </c>
      <c r="D107" s="33">
        <f t="shared" ref="D107:K107" si="51">SUM(D93,D97,D105)</f>
        <v>31685</v>
      </c>
      <c r="E107" s="33">
        <f t="shared" si="51"/>
        <v>63834</v>
      </c>
      <c r="F107" s="33">
        <f t="shared" si="51"/>
        <v>44415</v>
      </c>
      <c r="G107" s="33">
        <f t="shared" ca="1" si="51"/>
        <v>50600.545204945258</v>
      </c>
      <c r="H107" s="33">
        <f t="shared" ca="1" si="51"/>
        <v>55177.672951535686</v>
      </c>
      <c r="I107" s="33">
        <f t="shared" ca="1" si="51"/>
        <v>68445.624944640163</v>
      </c>
      <c r="J107" s="33">
        <f t="shared" ca="1" si="51"/>
        <v>85259.978301636089</v>
      </c>
      <c r="K107" s="33">
        <f t="shared" ca="1" si="51"/>
        <v>106446.06130796907</v>
      </c>
    </row>
    <row r="108" spans="3:11" x14ac:dyDescent="0.3">
      <c r="C108" s="2"/>
      <c r="D108" s="2"/>
      <c r="E108" s="2"/>
      <c r="F108" s="2"/>
      <c r="G108" s="2"/>
      <c r="H108" s="2"/>
      <c r="I108" s="2"/>
      <c r="J108" s="2"/>
      <c r="K108" s="2"/>
    </row>
    <row r="109" spans="3:11" x14ac:dyDescent="0.3">
      <c r="C109" t="s">
        <v>62</v>
      </c>
      <c r="D109" s="9"/>
      <c r="G109">
        <f t="shared" ref="G109:K109" si="52">F111</f>
        <v>21879</v>
      </c>
      <c r="H109">
        <f t="shared" ca="1" si="52"/>
        <v>72479.545204945258</v>
      </c>
      <c r="I109">
        <f t="shared" ca="1" si="52"/>
        <v>127657.21815648094</v>
      </c>
      <c r="J109">
        <f t="shared" ca="1" si="52"/>
        <v>196102.84310112111</v>
      </c>
      <c r="K109">
        <f t="shared" ca="1" si="52"/>
        <v>281362.8214027572</v>
      </c>
    </row>
    <row r="110" spans="3:11" x14ac:dyDescent="0.3">
      <c r="C110" s="2" t="s">
        <v>61</v>
      </c>
      <c r="G110" s="15">
        <f t="shared" ref="G110:K110" ca="1" si="53">G107</f>
        <v>50600.545204945258</v>
      </c>
      <c r="H110" s="15">
        <f t="shared" ca="1" si="53"/>
        <v>55177.672951535686</v>
      </c>
      <c r="I110" s="15">
        <f t="shared" ca="1" si="53"/>
        <v>68445.624944640163</v>
      </c>
      <c r="J110" s="15">
        <f t="shared" ca="1" si="53"/>
        <v>85259.978301636089</v>
      </c>
      <c r="K110" s="15">
        <f t="shared" ca="1" si="53"/>
        <v>106446.06130796907</v>
      </c>
    </row>
    <row r="111" spans="3:11" x14ac:dyDescent="0.3">
      <c r="C111" s="2" t="s">
        <v>63</v>
      </c>
      <c r="D111">
        <f>D29</f>
        <v>26465</v>
      </c>
      <c r="E111">
        <f>E29</f>
        <v>20945</v>
      </c>
      <c r="F111">
        <f>F29</f>
        <v>21879</v>
      </c>
      <c r="G111" s="15">
        <f t="shared" ref="G111:K111" ca="1" si="54">SUM(G109:G110)</f>
        <v>72479.545204945258</v>
      </c>
      <c r="H111" s="15">
        <f t="shared" ca="1" si="54"/>
        <v>127657.21815648094</v>
      </c>
      <c r="I111" s="15">
        <f t="shared" ca="1" si="54"/>
        <v>196102.84310112111</v>
      </c>
      <c r="J111" s="15">
        <f t="shared" ca="1" si="54"/>
        <v>281362.8214027572</v>
      </c>
      <c r="K111" s="15">
        <f t="shared" ca="1" si="54"/>
        <v>387808.88271072623</v>
      </c>
    </row>
    <row r="113" spans="3:11" x14ac:dyDescent="0.3">
      <c r="C113" s="2" t="s">
        <v>65</v>
      </c>
      <c r="D113" s="2" t="b">
        <f t="shared" ref="D113:K113" si="55">D111=D29</f>
        <v>1</v>
      </c>
      <c r="E113" s="2" t="b">
        <f t="shared" si="55"/>
        <v>1</v>
      </c>
      <c r="F113" s="2" t="b">
        <f t="shared" si="55"/>
        <v>1</v>
      </c>
      <c r="G113" s="2" t="b">
        <f t="shared" ca="1" si="55"/>
        <v>1</v>
      </c>
      <c r="H113" s="2" t="b">
        <f t="shared" ca="1" si="55"/>
        <v>1</v>
      </c>
      <c r="I113" s="2" t="b">
        <f t="shared" ca="1" si="55"/>
        <v>1</v>
      </c>
      <c r="J113" s="2" t="b">
        <f t="shared" ca="1" si="55"/>
        <v>1</v>
      </c>
      <c r="K113" s="2" t="b">
        <f t="shared" ca="1" si="55"/>
        <v>1</v>
      </c>
    </row>
  </sheetData>
  <mergeCells count="3">
    <mergeCell ref="D3:K3"/>
    <mergeCell ref="D26:K26"/>
    <mergeCell ref="D82:K8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0A72-385A-4C41-B997-DD8C0CCFF321}">
  <dimension ref="C3:K30"/>
  <sheetViews>
    <sheetView workbookViewId="0">
      <selection activeCell="M7" sqref="M7"/>
    </sheetView>
  </sheetViews>
  <sheetFormatPr defaultRowHeight="14.4" x14ac:dyDescent="0.3"/>
  <cols>
    <col min="2" max="2" width="3.21875" customWidth="1"/>
    <col min="3" max="3" width="29.109375" customWidth="1"/>
    <col min="5" max="5" width="9.5546875" bestFit="1" customWidth="1"/>
    <col min="6" max="10" width="9" bestFit="1" customWidth="1"/>
    <col min="11" max="11" width="9.5546875" bestFit="1" customWidth="1"/>
  </cols>
  <sheetData>
    <row r="3" spans="3:11" x14ac:dyDescent="0.3">
      <c r="C3" s="5" t="s">
        <v>115</v>
      </c>
      <c r="D3" s="53" t="s">
        <v>10</v>
      </c>
      <c r="E3" s="53"/>
      <c r="F3" s="53"/>
      <c r="G3" s="53"/>
      <c r="H3" s="53"/>
      <c r="I3" s="53"/>
      <c r="J3" s="53"/>
      <c r="K3" s="53"/>
    </row>
    <row r="4" spans="3:11" x14ac:dyDescent="0.3">
      <c r="D4" s="25">
        <v>2020</v>
      </c>
      <c r="E4" s="25">
        <f>D4+1</f>
        <v>2021</v>
      </c>
      <c r="F4" s="25">
        <f>E4+1</f>
        <v>2022</v>
      </c>
      <c r="G4" s="24">
        <f>F4+1</f>
        <v>2023</v>
      </c>
      <c r="H4" s="24">
        <f t="shared" ref="H4:K4" si="0">G4+1</f>
        <v>2024</v>
      </c>
      <c r="I4" s="24">
        <f t="shared" si="0"/>
        <v>2025</v>
      </c>
      <c r="J4" s="24">
        <f t="shared" si="0"/>
        <v>2026</v>
      </c>
      <c r="K4" s="24">
        <f t="shared" si="0"/>
        <v>2027</v>
      </c>
    </row>
    <row r="5" spans="3:11" x14ac:dyDescent="0.3">
      <c r="C5" t="s">
        <v>1</v>
      </c>
      <c r="D5" s="15">
        <f>'Operating Model - IS, BS, CF'!D5</f>
        <v>182527</v>
      </c>
      <c r="E5" s="15">
        <f>'Operating Model - IS, BS, CF'!E5</f>
        <v>257637</v>
      </c>
      <c r="F5" s="15">
        <f>'Operating Model - IS, BS, CF'!F5</f>
        <v>282836</v>
      </c>
      <c r="G5" s="15">
        <f>'Operating Model - IS, BS, CF'!G5</f>
        <v>354861.44894863438</v>
      </c>
      <c r="H5" s="15">
        <f>'Operating Model - IS, BS, CF'!H5</f>
        <v>445228.49973102519</v>
      </c>
      <c r="I5" s="15">
        <f>'Operating Model - IS, BS, CF'!I5</f>
        <v>558607.92306417238</v>
      </c>
      <c r="J5" s="15">
        <f>'Operating Model - IS, BS, CF'!J5</f>
        <v>700859.92226145009</v>
      </c>
      <c r="K5" s="15">
        <f>'Operating Model - IS, BS, CF'!K5</f>
        <v>879337.0275485632</v>
      </c>
    </row>
    <row r="6" spans="3:11" x14ac:dyDescent="0.3">
      <c r="C6" t="s">
        <v>119</v>
      </c>
      <c r="D6" s="15">
        <f>-'Operating Model - IS, BS, CF'!D7</f>
        <v>84732</v>
      </c>
      <c r="E6" s="15">
        <f>-'Operating Model - IS, BS, CF'!E7</f>
        <v>110939</v>
      </c>
      <c r="F6" s="15">
        <f>-'Operating Model - IS, BS, CF'!F7</f>
        <v>126203</v>
      </c>
      <c r="G6" s="15">
        <f>-'Operating Model - IS, BS, CF'!G7</f>
        <v>158625.88278293583</v>
      </c>
      <c r="H6" s="15">
        <f>-'Operating Model - IS, BS, CF'!H7</f>
        <v>199020.67136117344</v>
      </c>
      <c r="I6" s="15">
        <f>-'Operating Model - IS, BS, CF'!I7</f>
        <v>249702.17302590894</v>
      </c>
      <c r="J6" s="15">
        <f>-'Operating Model - IS, BS, CF'!J7</f>
        <v>313289.94514699915</v>
      </c>
      <c r="K6" s="15">
        <f>-'Operating Model - IS, BS, CF'!K7</f>
        <v>393070.62706268759</v>
      </c>
    </row>
    <row r="9" spans="3:11" x14ac:dyDescent="0.3">
      <c r="C9" t="s">
        <v>14</v>
      </c>
    </row>
    <row r="10" spans="3:11" x14ac:dyDescent="0.3">
      <c r="C10" s="3" t="s">
        <v>16</v>
      </c>
      <c r="D10">
        <f>'Operating Model - IS, BS, CF'!D30</f>
        <v>30930</v>
      </c>
      <c r="E10">
        <f>'Operating Model - IS, BS, CF'!E30</f>
        <v>39304</v>
      </c>
      <c r="F10">
        <f>'Operating Model - IS, BS, CF'!F30</f>
        <v>40258</v>
      </c>
      <c r="G10" s="15">
        <f t="shared" ref="G10:K11" si="1">G5/G22</f>
        <v>49140.253934339889</v>
      </c>
      <c r="H10" s="15">
        <f t="shared" si="1"/>
        <v>61654.038781639123</v>
      </c>
      <c r="I10" s="15">
        <f t="shared" si="1"/>
        <v>77354.514756211211</v>
      </c>
      <c r="J10" s="15">
        <f t="shared" si="1"/>
        <v>97053.186967386151</v>
      </c>
      <c r="K10" s="15">
        <f t="shared" si="1"/>
        <v>121768.21392018473</v>
      </c>
    </row>
    <row r="11" spans="3:11" x14ac:dyDescent="0.3">
      <c r="C11" s="3" t="s">
        <v>17</v>
      </c>
      <c r="D11">
        <f>'Operating Model - IS, BS, CF'!D32</f>
        <v>728</v>
      </c>
      <c r="E11">
        <f>'Operating Model - IS, BS, CF'!E32</f>
        <v>1170</v>
      </c>
      <c r="F11">
        <f>'Operating Model - IS, BS, CF'!F32</f>
        <v>2670</v>
      </c>
      <c r="G11" s="15">
        <f t="shared" si="1"/>
        <v>1885.096904135333</v>
      </c>
      <c r="H11" s="15">
        <f t="shared" si="1"/>
        <v>2365.1452389725823</v>
      </c>
      <c r="I11" s="15">
        <f t="shared" si="1"/>
        <v>2967.4400234615628</v>
      </c>
      <c r="J11" s="15">
        <f t="shared" si="1"/>
        <v>3723.1118612685077</v>
      </c>
      <c r="K11" s="15">
        <f t="shared" si="1"/>
        <v>4671.2189031367643</v>
      </c>
    </row>
    <row r="12" spans="3:11" x14ac:dyDescent="0.3">
      <c r="C12" s="4" t="s">
        <v>19</v>
      </c>
      <c r="D12">
        <f>SUM(D10:D11)</f>
        <v>31658</v>
      </c>
      <c r="E12">
        <f>SUM(E10:E11)</f>
        <v>40474</v>
      </c>
      <c r="F12" s="15">
        <f>SUM(F10:F11)</f>
        <v>42928</v>
      </c>
      <c r="G12" s="15">
        <f t="shared" ref="G12:K12" si="2">SUM(G10:G11)</f>
        <v>51025.35083847522</v>
      </c>
      <c r="H12" s="15">
        <f t="shared" si="2"/>
        <v>64019.184020611705</v>
      </c>
      <c r="I12" s="15">
        <f t="shared" si="2"/>
        <v>80321.954779672771</v>
      </c>
      <c r="J12" s="15">
        <f t="shared" si="2"/>
        <v>100776.29882865466</v>
      </c>
      <c r="K12" s="15">
        <f t="shared" si="2"/>
        <v>126439.43282332149</v>
      </c>
    </row>
    <row r="14" spans="3:11" x14ac:dyDescent="0.3">
      <c r="C14" t="s">
        <v>26</v>
      </c>
    </row>
    <row r="15" spans="3:11" x14ac:dyDescent="0.3">
      <c r="C15" s="3" t="s">
        <v>27</v>
      </c>
      <c r="D15">
        <f>'Operating Model - IS, BS, CF'!D50</f>
        <v>5589</v>
      </c>
      <c r="E15">
        <f>'Operating Model - IS, BS, CF'!E50</f>
        <v>6037</v>
      </c>
      <c r="F15">
        <f>'Operating Model - IS, BS, CF'!F50</f>
        <v>5128</v>
      </c>
      <c r="G15" s="15">
        <f>G6/G24</f>
        <v>7664.2041572799026</v>
      </c>
      <c r="H15" s="15">
        <f>H6/H24</f>
        <v>9615.9279309935573</v>
      </c>
      <c r="I15" s="15">
        <f>I6/I24</f>
        <v>12064.666869061992</v>
      </c>
      <c r="J15" s="15">
        <f>J6/J24</f>
        <v>15136.988099951641</v>
      </c>
      <c r="K15" s="15">
        <f>K6/K24</f>
        <v>18991.689635927094</v>
      </c>
    </row>
    <row r="16" spans="3:11" x14ac:dyDescent="0.3">
      <c r="C16" s="4" t="s">
        <v>28</v>
      </c>
      <c r="D16">
        <f>SUM(D15:D15)</f>
        <v>5589</v>
      </c>
      <c r="E16">
        <f>SUM(E15:E15)</f>
        <v>6037</v>
      </c>
      <c r="F16" s="15">
        <f>SUM(F15:F15)</f>
        <v>5128</v>
      </c>
      <c r="G16" s="15">
        <f t="shared" ref="G16:K16" si="3">SUM(G15:G15)</f>
        <v>7664.2041572799026</v>
      </c>
      <c r="H16" s="15">
        <f t="shared" si="3"/>
        <v>9615.9279309935573</v>
      </c>
      <c r="I16" s="15">
        <f t="shared" si="3"/>
        <v>12064.666869061992</v>
      </c>
      <c r="J16" s="15">
        <f t="shared" si="3"/>
        <v>15136.988099951641</v>
      </c>
      <c r="K16" s="15">
        <f t="shared" si="3"/>
        <v>18991.689635927094</v>
      </c>
    </row>
    <row r="18" spans="3:11" x14ac:dyDescent="0.3">
      <c r="C18" s="1" t="s">
        <v>126</v>
      </c>
      <c r="D18" s="20">
        <f>D12-D16</f>
        <v>26069</v>
      </c>
      <c r="E18" s="20">
        <f t="shared" ref="E18:K18" si="4">E12-E16</f>
        <v>34437</v>
      </c>
      <c r="F18" s="20">
        <f t="shared" si="4"/>
        <v>37800</v>
      </c>
      <c r="G18" s="20">
        <f t="shared" si="4"/>
        <v>43361.146681195314</v>
      </c>
      <c r="H18" s="20">
        <f t="shared" si="4"/>
        <v>54403.256089618146</v>
      </c>
      <c r="I18" s="20">
        <f t="shared" si="4"/>
        <v>68257.287910610787</v>
      </c>
      <c r="J18" s="20">
        <f t="shared" si="4"/>
        <v>85639.310728703014</v>
      </c>
      <c r="K18" s="20">
        <f t="shared" si="4"/>
        <v>107447.7431873944</v>
      </c>
    </row>
    <row r="19" spans="3:11" x14ac:dyDescent="0.3">
      <c r="C19" s="4" t="s">
        <v>43</v>
      </c>
      <c r="D19" s="1"/>
      <c r="E19" s="1"/>
      <c r="F19" s="20"/>
      <c r="G19" s="20">
        <f>G18-F18</f>
        <v>5561.1466811953142</v>
      </c>
      <c r="H19" s="20">
        <f t="shared" ref="H19:K19" si="5">H18-G18</f>
        <v>11042.109408422832</v>
      </c>
      <c r="I19" s="20">
        <f t="shared" si="5"/>
        <v>13854.031820992641</v>
      </c>
      <c r="J19" s="20">
        <f t="shared" si="5"/>
        <v>17382.022818092228</v>
      </c>
      <c r="K19" s="20">
        <f t="shared" si="5"/>
        <v>21808.432458691386</v>
      </c>
    </row>
    <row r="20" spans="3:11" x14ac:dyDescent="0.3">
      <c r="C20" s="4"/>
      <c r="F20" s="15"/>
      <c r="G20" s="15"/>
      <c r="H20" s="15"/>
      <c r="I20" s="15"/>
      <c r="J20" s="15"/>
      <c r="K20" s="15"/>
    </row>
    <row r="22" spans="3:11" x14ac:dyDescent="0.3">
      <c r="C22" t="s">
        <v>116</v>
      </c>
      <c r="E22" s="31">
        <f>E5/AVERAGE(D10:E10)</f>
        <v>7.3365321639092178</v>
      </c>
      <c r="F22" s="31">
        <f>F5/AVERAGE(E10:F10)</f>
        <v>7.1098262989869534</v>
      </c>
      <c r="G22" s="31">
        <f>G26/G28</f>
        <v>7.2214003904577364</v>
      </c>
      <c r="H22" s="31">
        <f t="shared" ref="H22:K22" si="6">H26/H28</f>
        <v>7.2214003904577364</v>
      </c>
      <c r="I22" s="31">
        <f t="shared" si="6"/>
        <v>7.2214003904577364</v>
      </c>
      <c r="J22" s="31">
        <f t="shared" si="6"/>
        <v>7.2214003904577364</v>
      </c>
      <c r="K22" s="31">
        <f t="shared" si="6"/>
        <v>7.2214003904577364</v>
      </c>
    </row>
    <row r="23" spans="3:11" x14ac:dyDescent="0.3">
      <c r="C23" t="s">
        <v>117</v>
      </c>
      <c r="E23" s="31">
        <f>E6/AVERAGE(D11:E11)</f>
        <v>116.9009483667018</v>
      </c>
      <c r="F23" s="31">
        <f>F6/AVERAGE(E11:F11)</f>
        <v>65.730729166666663</v>
      </c>
      <c r="G23" s="31">
        <f>G26/G29</f>
        <v>84.147336105087533</v>
      </c>
      <c r="H23" s="31">
        <f t="shared" ref="H23:K23" si="7">H26/H29</f>
        <v>84.147336105087533</v>
      </c>
      <c r="I23" s="31">
        <f t="shared" si="7"/>
        <v>84.147336105087533</v>
      </c>
      <c r="J23" s="31">
        <f t="shared" si="7"/>
        <v>84.147336105087533</v>
      </c>
      <c r="K23" s="31">
        <f t="shared" si="7"/>
        <v>84.147336105087533</v>
      </c>
    </row>
    <row r="24" spans="3:11" x14ac:dyDescent="0.3">
      <c r="C24" t="s">
        <v>118</v>
      </c>
      <c r="E24" s="31">
        <f>E6/AVERAGE(D15:E15)</f>
        <v>19.084637880612419</v>
      </c>
      <c r="F24" s="31">
        <f>F6/AVERAGE(E15:F15)</f>
        <v>22.606896551724137</v>
      </c>
      <c r="G24" s="31">
        <f>G26/G30</f>
        <v>20.696980342344329</v>
      </c>
      <c r="H24" s="31">
        <f t="shared" ref="H24:K24" si="8">H26/H30</f>
        <v>20.696980342344329</v>
      </c>
      <c r="I24" s="31">
        <f t="shared" si="8"/>
        <v>20.696980342344329</v>
      </c>
      <c r="J24" s="31">
        <f t="shared" si="8"/>
        <v>20.696980342344329</v>
      </c>
      <c r="K24" s="31">
        <f t="shared" si="8"/>
        <v>20.696980342344329</v>
      </c>
    </row>
    <row r="26" spans="3:11" x14ac:dyDescent="0.3">
      <c r="C26" t="s">
        <v>120</v>
      </c>
      <c r="D26" s="10">
        <v>365</v>
      </c>
      <c r="E26" s="10">
        <v>365</v>
      </c>
      <c r="F26" s="10">
        <v>365</v>
      </c>
      <c r="G26" s="10">
        <v>365</v>
      </c>
      <c r="H26" s="10">
        <v>365</v>
      </c>
      <c r="I26" s="10">
        <v>365</v>
      </c>
      <c r="J26" s="10">
        <v>365</v>
      </c>
      <c r="K26" s="10">
        <v>365</v>
      </c>
    </row>
    <row r="28" spans="3:11" x14ac:dyDescent="0.3">
      <c r="C28" t="s">
        <v>121</v>
      </c>
      <c r="E28" s="15">
        <f>E26/E22</f>
        <v>49.751025667897082</v>
      </c>
      <c r="F28" s="15">
        <f>F26/F22</f>
        <v>51.337400472358539</v>
      </c>
      <c r="G28" s="15">
        <f>AVERAGE(E28:F28)</f>
        <v>50.54421307012781</v>
      </c>
      <c r="H28" s="15">
        <f>G28</f>
        <v>50.54421307012781</v>
      </c>
      <c r="I28" s="15">
        <f t="shared" ref="I28:K28" si="9">H28</f>
        <v>50.54421307012781</v>
      </c>
      <c r="J28" s="15">
        <f t="shared" si="9"/>
        <v>50.54421307012781</v>
      </c>
      <c r="K28" s="15">
        <f t="shared" si="9"/>
        <v>50.54421307012781</v>
      </c>
    </row>
    <row r="29" spans="3:11" x14ac:dyDescent="0.3">
      <c r="C29" t="s">
        <v>122</v>
      </c>
      <c r="E29" s="15">
        <f>E26/E23</f>
        <v>3.1223014449382092</v>
      </c>
      <c r="F29" s="15">
        <f>F26/F23</f>
        <v>5.5529583290413065</v>
      </c>
      <c r="G29" s="15">
        <f t="shared" ref="G29:G30" si="10">AVERAGE(E29:F29)</f>
        <v>4.3376298869897578</v>
      </c>
      <c r="H29" s="15">
        <f t="shared" ref="H29:K30" si="11">G29</f>
        <v>4.3376298869897578</v>
      </c>
      <c r="I29" s="15">
        <f t="shared" si="11"/>
        <v>4.3376298869897578</v>
      </c>
      <c r="J29" s="15">
        <f t="shared" si="11"/>
        <v>4.3376298869897578</v>
      </c>
      <c r="K29" s="15">
        <f t="shared" si="11"/>
        <v>4.3376298869897578</v>
      </c>
    </row>
    <row r="30" spans="3:11" x14ac:dyDescent="0.3">
      <c r="C30" t="s">
        <v>123</v>
      </c>
      <c r="E30" s="15">
        <f>E26/E24</f>
        <v>19.125330136381255</v>
      </c>
      <c r="F30" s="15">
        <f>F26/F24</f>
        <v>16.145515558267238</v>
      </c>
      <c r="G30" s="15">
        <f t="shared" si="10"/>
        <v>17.635422847324246</v>
      </c>
      <c r="H30" s="15">
        <f t="shared" si="11"/>
        <v>17.635422847324246</v>
      </c>
      <c r="I30" s="15">
        <f t="shared" si="11"/>
        <v>17.635422847324246</v>
      </c>
      <c r="J30" s="15">
        <f t="shared" si="11"/>
        <v>17.635422847324246</v>
      </c>
      <c r="K30" s="15">
        <f t="shared" si="11"/>
        <v>17.635422847324246</v>
      </c>
    </row>
  </sheetData>
  <mergeCells count="1">
    <mergeCell ref="D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19C9-1A22-4ED5-ADA6-A31B87FE41C2}">
  <dimension ref="B3:M17"/>
  <sheetViews>
    <sheetView workbookViewId="0">
      <selection activeCell="C3" sqref="C3:K4"/>
    </sheetView>
  </sheetViews>
  <sheetFormatPr defaultRowHeight="14.4" x14ac:dyDescent="0.3"/>
  <cols>
    <col min="2" max="2" width="2.77734375" customWidth="1"/>
    <col min="3" max="3" width="23.44140625" bestFit="1" customWidth="1"/>
  </cols>
  <sheetData>
    <row r="3" spans="2:13" x14ac:dyDescent="0.3">
      <c r="C3" s="5" t="s">
        <v>98</v>
      </c>
      <c r="D3" s="53" t="s">
        <v>10</v>
      </c>
      <c r="E3" s="53"/>
      <c r="F3" s="53"/>
      <c r="G3" s="53"/>
      <c r="H3" s="53"/>
      <c r="I3" s="53"/>
      <c r="J3" s="53"/>
      <c r="K3" s="53"/>
    </row>
    <row r="4" spans="2:13" x14ac:dyDescent="0.3">
      <c r="D4" s="25">
        <v>2020</v>
      </c>
      <c r="E4" s="25">
        <f>D4+1</f>
        <v>2021</v>
      </c>
      <c r="F4" s="25">
        <f>E4+1</f>
        <v>2022</v>
      </c>
      <c r="G4" s="24">
        <f>F4+1</f>
        <v>2023</v>
      </c>
      <c r="H4" s="24">
        <f t="shared" ref="H4:K4" si="0">G4+1</f>
        <v>2024</v>
      </c>
      <c r="I4" s="24">
        <f t="shared" si="0"/>
        <v>2025</v>
      </c>
      <c r="J4" s="24">
        <f t="shared" si="0"/>
        <v>2026</v>
      </c>
      <c r="K4" s="24">
        <f t="shared" si="0"/>
        <v>2027</v>
      </c>
    </row>
    <row r="6" spans="2:13" x14ac:dyDescent="0.3">
      <c r="C6" t="s">
        <v>92</v>
      </c>
      <c r="G6">
        <f>F9</f>
        <v>60581</v>
      </c>
      <c r="H6">
        <f t="shared" ref="H6:K6" si="1">G9</f>
        <v>60581</v>
      </c>
      <c r="I6">
        <f t="shared" si="1"/>
        <v>60581</v>
      </c>
      <c r="J6">
        <f t="shared" si="1"/>
        <v>60581</v>
      </c>
      <c r="K6">
        <f t="shared" si="1"/>
        <v>60581</v>
      </c>
    </row>
    <row r="7" spans="2:13" x14ac:dyDescent="0.3">
      <c r="B7" s="7" t="s">
        <v>93</v>
      </c>
      <c r="C7" t="s">
        <v>94</v>
      </c>
      <c r="G7">
        <v>0</v>
      </c>
      <c r="H7">
        <v>0</v>
      </c>
      <c r="I7">
        <v>0</v>
      </c>
      <c r="J7">
        <v>0</v>
      </c>
      <c r="K7">
        <v>0</v>
      </c>
    </row>
    <row r="8" spans="2:13" x14ac:dyDescent="0.3">
      <c r="B8" s="7" t="s">
        <v>95</v>
      </c>
      <c r="C8" t="s">
        <v>96</v>
      </c>
      <c r="G8">
        <v>0</v>
      </c>
      <c r="H8">
        <v>0</v>
      </c>
      <c r="I8">
        <v>0</v>
      </c>
      <c r="J8">
        <v>0</v>
      </c>
      <c r="K8">
        <v>0</v>
      </c>
    </row>
    <row r="9" spans="2:13" x14ac:dyDescent="0.3">
      <c r="C9" s="1" t="s">
        <v>97</v>
      </c>
      <c r="D9" s="1">
        <f>'Operating Model - IS, BS, CF'!D74</f>
        <v>59143</v>
      </c>
      <c r="E9" s="1">
        <f>'Operating Model - IS, BS, CF'!E74</f>
        <v>60151</v>
      </c>
      <c r="F9" s="1">
        <f>'Operating Model - IS, BS, CF'!F74</f>
        <v>60581</v>
      </c>
      <c r="G9" s="1">
        <f>SUM(G6:G8)</f>
        <v>60581</v>
      </c>
      <c r="H9" s="1">
        <f t="shared" ref="H9:K9" si="2">SUM(H6:H8)</f>
        <v>60581</v>
      </c>
      <c r="I9" s="1">
        <f t="shared" si="2"/>
        <v>60581</v>
      </c>
      <c r="J9" s="1">
        <f t="shared" si="2"/>
        <v>60581</v>
      </c>
      <c r="K9" s="1">
        <f t="shared" si="2"/>
        <v>60581</v>
      </c>
    </row>
    <row r="11" spans="2:13" x14ac:dyDescent="0.3">
      <c r="C11" t="s">
        <v>99</v>
      </c>
      <c r="G11" s="15">
        <f>F14</f>
        <v>195563</v>
      </c>
      <c r="H11" s="15">
        <f t="shared" ref="H11:K11" ca="1" si="3">G14</f>
        <v>269648.9264786772</v>
      </c>
      <c r="I11" s="15">
        <f t="shared" ca="1" si="3"/>
        <v>362796.60832318087</v>
      </c>
      <c r="J11" s="15">
        <f t="shared" ca="1" si="3"/>
        <v>479840.51535110897</v>
      </c>
      <c r="K11" s="15">
        <f t="shared" ca="1" si="3"/>
        <v>626864.07149720984</v>
      </c>
    </row>
    <row r="12" spans="2:13" x14ac:dyDescent="0.3">
      <c r="B12" s="7" t="s">
        <v>93</v>
      </c>
      <c r="C12" t="s">
        <v>42</v>
      </c>
      <c r="D12" s="15"/>
      <c r="E12" s="15"/>
      <c r="F12" s="15"/>
      <c r="G12" s="15">
        <f ca="1">'Operating Model - IS, BS, CF'!G23</f>
        <v>74085.926478677196</v>
      </c>
      <c r="H12" s="15">
        <f ca="1">'Operating Model - IS, BS, CF'!H23</f>
        <v>93147.681844503677</v>
      </c>
      <c r="I12" s="15">
        <f ca="1">'Operating Model - IS, BS, CF'!I23</f>
        <v>117043.90702792811</v>
      </c>
      <c r="J12" s="15">
        <f ca="1">'Operating Model - IS, BS, CF'!J23</f>
        <v>147023.5561461008</v>
      </c>
      <c r="K12" s="15">
        <f ca="1">'Operating Model - IS, BS, CF'!K23</f>
        <v>184636.19758818409</v>
      </c>
    </row>
    <row r="13" spans="2:13" x14ac:dyDescent="0.3">
      <c r="B13" s="7" t="s">
        <v>95</v>
      </c>
      <c r="C13" t="s">
        <v>100</v>
      </c>
      <c r="G13">
        <f ca="1">G12*G16</f>
        <v>0</v>
      </c>
      <c r="H13">
        <f t="shared" ref="H13:K13" ca="1" si="4">H12*H16</f>
        <v>0</v>
      </c>
      <c r="I13">
        <f t="shared" ca="1" si="4"/>
        <v>0</v>
      </c>
      <c r="J13">
        <f t="shared" ca="1" si="4"/>
        <v>0</v>
      </c>
      <c r="K13">
        <f t="shared" ca="1" si="4"/>
        <v>0</v>
      </c>
    </row>
    <row r="14" spans="2:13" x14ac:dyDescent="0.3">
      <c r="C14" s="1" t="s">
        <v>101</v>
      </c>
      <c r="D14" s="1">
        <f>'Operating Model - IS, BS, CF'!D75</f>
        <v>163401</v>
      </c>
      <c r="E14" s="1">
        <f>'Operating Model - IS, BS, CF'!E75</f>
        <v>191484</v>
      </c>
      <c r="F14" s="1">
        <f>'Operating Model - IS, BS, CF'!F75</f>
        <v>195563</v>
      </c>
      <c r="G14" s="20">
        <f ca="1">SUM(G11:G13)</f>
        <v>269648.9264786772</v>
      </c>
      <c r="H14" s="20">
        <f t="shared" ref="H14:K14" ca="1" si="5">SUM(H11:H13)</f>
        <v>362796.60832318087</v>
      </c>
      <c r="I14" s="20">
        <f t="shared" ca="1" si="5"/>
        <v>479840.51535110897</v>
      </c>
      <c r="J14" s="20">
        <f t="shared" ca="1" si="5"/>
        <v>626864.07149720984</v>
      </c>
      <c r="K14" s="20">
        <f t="shared" ca="1" si="5"/>
        <v>811500.26908539399</v>
      </c>
    </row>
    <row r="16" spans="2:13" x14ac:dyDescent="0.3">
      <c r="C16" t="s">
        <v>102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M16" t="s">
        <v>103</v>
      </c>
    </row>
    <row r="17" spans="13:13" x14ac:dyDescent="0.3">
      <c r="M17" t="s">
        <v>104</v>
      </c>
    </row>
  </sheetData>
  <mergeCells count="1">
    <mergeCell ref="D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3272-C8AC-4088-93E5-C2EE7A20A6CD}">
  <dimension ref="A3:K26"/>
  <sheetViews>
    <sheetView topLeftCell="A5" workbookViewId="0">
      <selection activeCell="M21" sqref="M21"/>
    </sheetView>
  </sheetViews>
  <sheetFormatPr defaultRowHeight="14.4" x14ac:dyDescent="0.3"/>
  <cols>
    <col min="2" max="2" width="1.88671875" customWidth="1"/>
    <col min="3" max="3" width="24.5546875" bestFit="1" customWidth="1"/>
  </cols>
  <sheetData>
    <row r="3" spans="2:11" x14ac:dyDescent="0.3">
      <c r="C3" s="5" t="s">
        <v>105</v>
      </c>
      <c r="D3" s="53" t="s">
        <v>10</v>
      </c>
      <c r="E3" s="53"/>
      <c r="F3" s="53"/>
      <c r="G3" s="53"/>
      <c r="H3" s="53"/>
      <c r="I3" s="53"/>
      <c r="J3" s="53"/>
      <c r="K3" s="53"/>
    </row>
    <row r="4" spans="2:11" x14ac:dyDescent="0.3">
      <c r="D4" s="25">
        <v>2020</v>
      </c>
      <c r="E4" s="25">
        <f>D4+1</f>
        <v>2021</v>
      </c>
      <c r="F4" s="25">
        <f>E4+1</f>
        <v>2022</v>
      </c>
      <c r="G4" s="24">
        <f>F4+1</f>
        <v>2023</v>
      </c>
      <c r="H4" s="24">
        <f t="shared" ref="H4:K4" si="0">G4+1</f>
        <v>2024</v>
      </c>
      <c r="I4" s="24">
        <f t="shared" si="0"/>
        <v>2025</v>
      </c>
      <c r="J4" s="24">
        <f t="shared" si="0"/>
        <v>2026</v>
      </c>
      <c r="K4" s="24">
        <f t="shared" si="0"/>
        <v>2027</v>
      </c>
    </row>
    <row r="6" spans="2:11" x14ac:dyDescent="0.3">
      <c r="C6" t="s">
        <v>1</v>
      </c>
      <c r="D6" s="15">
        <f>'Operating Model - IS, BS, CF'!D5</f>
        <v>182527</v>
      </c>
      <c r="E6" s="15">
        <f>'Operating Model - IS, BS, CF'!E5</f>
        <v>257637</v>
      </c>
      <c r="F6" s="15">
        <f>'Operating Model - IS, BS, CF'!F5</f>
        <v>282836</v>
      </c>
      <c r="G6" s="15">
        <f>'Operating Model - IS, BS, CF'!G5</f>
        <v>354861.44894863438</v>
      </c>
      <c r="H6" s="15">
        <f>'Operating Model - IS, BS, CF'!H5</f>
        <v>445228.49973102519</v>
      </c>
      <c r="I6" s="15">
        <f>'Operating Model - IS, BS, CF'!I5</f>
        <v>558607.92306417238</v>
      </c>
      <c r="J6" s="15">
        <f>'Operating Model - IS, BS, CF'!J5</f>
        <v>700859.92226145009</v>
      </c>
      <c r="K6" s="15">
        <f>'Operating Model - IS, BS, CF'!K5</f>
        <v>879337.0275485632</v>
      </c>
    </row>
    <row r="7" spans="2:11" x14ac:dyDescent="0.3">
      <c r="C7" s="1" t="s">
        <v>106</v>
      </c>
      <c r="D7" s="1">
        <f>'Operating Model - IS, BS, CF'!D95</f>
        <v>-22281</v>
      </c>
      <c r="E7" s="1">
        <f>'Operating Model - IS, BS, CF'!E95</f>
        <v>-24640</v>
      </c>
      <c r="F7" s="1">
        <f>'Operating Model - IS, BS, CF'!F95</f>
        <v>-31485</v>
      </c>
      <c r="G7" s="20">
        <f>G6*G8</f>
        <v>-38919.663091376045</v>
      </c>
      <c r="H7" s="20">
        <f t="shared" ref="H7:K7" si="1">H6*H8</f>
        <v>-48830.728893063075</v>
      </c>
      <c r="I7" s="20">
        <f t="shared" si="1"/>
        <v>-61265.691808009971</v>
      </c>
      <c r="J7" s="20">
        <f t="shared" si="1"/>
        <v>-76867.273493582499</v>
      </c>
      <c r="K7" s="20">
        <f t="shared" si="1"/>
        <v>-96441.867543960601</v>
      </c>
    </row>
    <row r="8" spans="2:11" x14ac:dyDescent="0.3">
      <c r="C8" t="s">
        <v>67</v>
      </c>
      <c r="D8" s="14">
        <f>D7/D6</f>
        <v>-0.12206961161910293</v>
      </c>
      <c r="E8" s="14">
        <f t="shared" ref="E8:F8" si="2">E7/E6</f>
        <v>-9.5638437025737766E-2</v>
      </c>
      <c r="F8" s="14">
        <f t="shared" si="2"/>
        <v>-0.11131892686928113</v>
      </c>
      <c r="G8" s="14">
        <f>AVERAGE(D8:F8)</f>
        <v>-0.10967565850470729</v>
      </c>
      <c r="H8" s="14">
        <f>G8</f>
        <v>-0.10967565850470729</v>
      </c>
      <c r="I8" s="14">
        <f t="shared" ref="I8:K8" si="3">H8</f>
        <v>-0.10967565850470729</v>
      </c>
      <c r="J8" s="14">
        <f t="shared" si="3"/>
        <v>-0.10967565850470729</v>
      </c>
      <c r="K8" s="14">
        <f t="shared" si="3"/>
        <v>-0.10967565850470729</v>
      </c>
    </row>
    <row r="11" spans="2:11" x14ac:dyDescent="0.3">
      <c r="C11" t="s">
        <v>109</v>
      </c>
      <c r="G11" s="15">
        <f>F14</f>
        <v>112668</v>
      </c>
      <c r="H11" s="15">
        <f t="shared" ref="H11" si="4">G14</f>
        <v>131055.23459253662</v>
      </c>
      <c r="I11" s="15">
        <f ca="1">H14</f>
        <v>158427.13407708178</v>
      </c>
      <c r="J11" s="15">
        <f ca="1">I14</f>
        <v>193485.38433937708</v>
      </c>
      <c r="K11" s="15">
        <f ca="1">J14</f>
        <v>238101.93936574954</v>
      </c>
    </row>
    <row r="12" spans="2:11" x14ac:dyDescent="0.3">
      <c r="B12" s="7" t="s">
        <v>93</v>
      </c>
      <c r="C12" t="s">
        <v>106</v>
      </c>
      <c r="G12" s="15">
        <f>-G7</f>
        <v>38919.663091376045</v>
      </c>
      <c r="H12" s="15">
        <f>-H7</f>
        <v>48830.728893063075</v>
      </c>
      <c r="I12" s="15">
        <f>-I7</f>
        <v>61265.691808009971</v>
      </c>
      <c r="J12" s="15">
        <f>-J7</f>
        <v>76867.273493582499</v>
      </c>
      <c r="K12" s="15">
        <f>-K7</f>
        <v>96441.867543960601</v>
      </c>
    </row>
    <row r="13" spans="2:11" x14ac:dyDescent="0.3">
      <c r="B13" s="7" t="s">
        <v>95</v>
      </c>
      <c r="C13" t="s">
        <v>108</v>
      </c>
      <c r="G13" s="15">
        <f>-G18</f>
        <v>-20532.428498839421</v>
      </c>
      <c r="H13" s="15">
        <f ca="1">-H18</f>
        <v>-21458.82940851793</v>
      </c>
      <c r="I13" s="15">
        <f ca="1">-I18</f>
        <v>-26207.441545714657</v>
      </c>
      <c r="J13" s="15">
        <f ca="1">-J18</f>
        <v>-32250.718467210016</v>
      </c>
      <c r="K13" s="15">
        <f ca="1">-K18</f>
        <v>-39908.16372243697</v>
      </c>
    </row>
    <row r="14" spans="2:11" x14ac:dyDescent="0.3">
      <c r="C14" s="1" t="s">
        <v>110</v>
      </c>
      <c r="D14" s="1">
        <f>'Operating Model - IS, BS, CF'!D37</f>
        <v>84749</v>
      </c>
      <c r="E14" s="1">
        <f>'Operating Model - IS, BS, CF'!E37</f>
        <v>97599</v>
      </c>
      <c r="F14" s="1">
        <f>'Operating Model - IS, BS, CF'!F37</f>
        <v>112668</v>
      </c>
      <c r="G14" s="20">
        <f>SUM(G11:G13)</f>
        <v>131055.23459253662</v>
      </c>
      <c r="H14" s="20">
        <f ca="1">SUM(H11:H13)</f>
        <v>158427.13407708178</v>
      </c>
      <c r="I14" s="20">
        <f ca="1">SUM(I11:I13)</f>
        <v>193485.38433937708</v>
      </c>
      <c r="J14" s="20">
        <f ca="1">SUM(J11:J13)</f>
        <v>238101.93936574954</v>
      </c>
      <c r="K14" s="20">
        <f ca="1">SUM(K11:K13)</f>
        <v>294635.64318727318</v>
      </c>
    </row>
    <row r="17" spans="1:11" x14ac:dyDescent="0.3">
      <c r="A17" s="1"/>
      <c r="B17" s="1"/>
      <c r="C17" s="1" t="s">
        <v>49</v>
      </c>
      <c r="D17" s="20">
        <f>'Operating Model - IS, BS, CF'!D18</f>
        <v>13697</v>
      </c>
      <c r="E17" s="20">
        <f>'Operating Model - IS, BS, CF'!E18</f>
        <v>12441</v>
      </c>
      <c r="F17" s="20">
        <f>'Operating Model - IS, BS, CF'!F18</f>
        <v>15928</v>
      </c>
      <c r="G17" s="20">
        <f>G18+G21</f>
        <v>20995.428498839421</v>
      </c>
      <c r="H17" s="20">
        <f ca="1">H18+H21</f>
        <v>21902.82940851793</v>
      </c>
      <c r="I17" s="20">
        <f ca="1">I18+I21</f>
        <v>26521.441545714657</v>
      </c>
      <c r="J17" s="20">
        <f ca="1">J18+J21</f>
        <v>32485.718467210016</v>
      </c>
      <c r="K17" s="20">
        <f ca="1">K18+K21</f>
        <v>40060.16372243697</v>
      </c>
    </row>
    <row r="18" spans="1:11" x14ac:dyDescent="0.3">
      <c r="C18" t="s">
        <v>108</v>
      </c>
      <c r="D18" s="15">
        <f>D17-D21</f>
        <v>12905</v>
      </c>
      <c r="E18" s="15">
        <f>E17-E21</f>
        <v>11555</v>
      </c>
      <c r="F18" s="15">
        <f>F17-F21</f>
        <v>15287</v>
      </c>
      <c r="G18" s="15" cm="1">
        <f t="array" ref="G18">SUM(G11:G12*G19)</f>
        <v>20532.428498839421</v>
      </c>
      <c r="H18" s="15">
        <f ca="1">H14*H19</f>
        <v>21458.82940851793</v>
      </c>
      <c r="I18" s="15">
        <f ca="1">I14*I19</f>
        <v>26207.441545714657</v>
      </c>
      <c r="J18" s="15">
        <f ca="1">J14*J19</f>
        <v>32250.718467210016</v>
      </c>
      <c r="K18" s="15">
        <f ca="1">K14*K19</f>
        <v>39908.16372243697</v>
      </c>
    </row>
    <row r="19" spans="1:11" x14ac:dyDescent="0.3">
      <c r="C19" t="s">
        <v>111</v>
      </c>
      <c r="D19" s="14">
        <f>D18/D14</f>
        <v>0.15227318316440311</v>
      </c>
      <c r="E19" s="14">
        <f t="shared" ref="E19:F19" si="5">E18/E14</f>
        <v>0.11839260648162379</v>
      </c>
      <c r="F19" s="14">
        <f t="shared" si="5"/>
        <v>0.13568182625057693</v>
      </c>
      <c r="G19" s="14">
        <f>AVERAGE(D19:F19)</f>
        <v>0.13544920529886795</v>
      </c>
      <c r="H19" s="14">
        <f>G19</f>
        <v>0.13544920529886795</v>
      </c>
      <c r="I19" s="14">
        <f t="shared" ref="I19:K19" si="6">H19</f>
        <v>0.13544920529886795</v>
      </c>
      <c r="J19" s="14">
        <f t="shared" si="6"/>
        <v>0.13544920529886795</v>
      </c>
      <c r="K19" s="14">
        <f t="shared" si="6"/>
        <v>0.13544920529886795</v>
      </c>
    </row>
    <row r="20" spans="1:11" x14ac:dyDescent="0.3">
      <c r="D20" s="15"/>
      <c r="E20" s="15"/>
      <c r="F20" s="15"/>
    </row>
    <row r="21" spans="1:11" x14ac:dyDescent="0.3">
      <c r="C21" t="s">
        <v>107</v>
      </c>
      <c r="D21" s="10">
        <v>792</v>
      </c>
      <c r="E21" s="10">
        <v>886</v>
      </c>
      <c r="F21" s="10">
        <v>641</v>
      </c>
      <c r="G21" s="10">
        <v>463</v>
      </c>
      <c r="H21" s="10">
        <v>444</v>
      </c>
      <c r="I21" s="10">
        <v>314</v>
      </c>
      <c r="J21" s="10">
        <v>235</v>
      </c>
      <c r="K21" s="10">
        <v>152</v>
      </c>
    </row>
    <row r="23" spans="1:11" x14ac:dyDescent="0.3">
      <c r="C23" t="s">
        <v>112</v>
      </c>
      <c r="G23">
        <f>F26</f>
        <v>2084</v>
      </c>
      <c r="H23">
        <f t="shared" ref="H23:K23" si="7">G26</f>
        <v>1621</v>
      </c>
      <c r="I23">
        <f t="shared" si="7"/>
        <v>1177</v>
      </c>
      <c r="J23">
        <f t="shared" si="7"/>
        <v>863</v>
      </c>
      <c r="K23">
        <f t="shared" si="7"/>
        <v>628</v>
      </c>
    </row>
    <row r="24" spans="1:11" x14ac:dyDescent="0.3">
      <c r="B24" s="7" t="s">
        <v>93</v>
      </c>
      <c r="C24" t="s">
        <v>113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1:11" x14ac:dyDescent="0.3">
      <c r="B25" s="7" t="s">
        <v>95</v>
      </c>
      <c r="C25" t="s">
        <v>107</v>
      </c>
      <c r="G25">
        <f>-G21</f>
        <v>-463</v>
      </c>
      <c r="H25">
        <f t="shared" ref="H25:K25" si="8">-H21</f>
        <v>-444</v>
      </c>
      <c r="I25">
        <f t="shared" si="8"/>
        <v>-314</v>
      </c>
      <c r="J25">
        <f t="shared" si="8"/>
        <v>-235</v>
      </c>
      <c r="K25">
        <f t="shared" si="8"/>
        <v>-152</v>
      </c>
    </row>
    <row r="26" spans="1:11" x14ac:dyDescent="0.3">
      <c r="C26" s="1" t="s">
        <v>114</v>
      </c>
      <c r="D26" s="1">
        <f>'Operating Model - IS, BS, CF'!D41</f>
        <v>1445</v>
      </c>
      <c r="E26" s="1">
        <f>'Operating Model - IS, BS, CF'!E41</f>
        <v>1417</v>
      </c>
      <c r="F26" s="1">
        <f>'Operating Model - IS, BS, CF'!F41</f>
        <v>2084</v>
      </c>
      <c r="G26" s="1">
        <f>SUM(G23:G25)</f>
        <v>1621</v>
      </c>
      <c r="H26" s="1">
        <f t="shared" ref="H26:K26" si="9">SUM(H23:H25)</f>
        <v>1177</v>
      </c>
      <c r="I26" s="1">
        <f t="shared" si="9"/>
        <v>863</v>
      </c>
      <c r="J26" s="1">
        <f t="shared" si="9"/>
        <v>628</v>
      </c>
      <c r="K26" s="1">
        <f t="shared" si="9"/>
        <v>476</v>
      </c>
    </row>
  </sheetData>
  <mergeCells count="1">
    <mergeCell ref="D3:K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D3E2-656C-4948-84EE-C1F00B7C1EB6}">
  <dimension ref="B3:U33"/>
  <sheetViews>
    <sheetView topLeftCell="A11" workbookViewId="0">
      <selection activeCell="Q13" sqref="Q13"/>
    </sheetView>
  </sheetViews>
  <sheetFormatPr defaultRowHeight="14.4" x14ac:dyDescent="0.3"/>
  <cols>
    <col min="2" max="2" width="3.21875" customWidth="1"/>
    <col min="3" max="3" width="29.109375" customWidth="1"/>
    <col min="21" max="21" width="14.77734375" bestFit="1" customWidth="1"/>
  </cols>
  <sheetData>
    <row r="3" spans="2:21" x14ac:dyDescent="0.3">
      <c r="C3" s="5" t="s">
        <v>127</v>
      </c>
      <c r="D3" s="53" t="s">
        <v>10</v>
      </c>
      <c r="E3" s="53"/>
      <c r="F3" s="53"/>
      <c r="G3" s="53"/>
      <c r="H3" s="53"/>
      <c r="I3" s="53"/>
      <c r="J3" s="53"/>
      <c r="K3" s="53"/>
      <c r="P3" s="54" t="s">
        <v>198</v>
      </c>
      <c r="Q3" s="54"/>
      <c r="R3" s="54"/>
      <c r="S3" s="54"/>
      <c r="T3" s="54"/>
      <c r="U3" s="54"/>
    </row>
    <row r="4" spans="2:21" x14ac:dyDescent="0.3">
      <c r="D4" s="25">
        <v>2020</v>
      </c>
      <c r="E4" s="25">
        <f>D4+1</f>
        <v>2021</v>
      </c>
      <c r="F4" s="25">
        <f>E4+1</f>
        <v>2022</v>
      </c>
      <c r="G4" s="24">
        <f>F4+1</f>
        <v>2023</v>
      </c>
      <c r="H4" s="24">
        <f t="shared" ref="H4:K4" si="0">G4+1</f>
        <v>2024</v>
      </c>
      <c r="I4" s="24">
        <f t="shared" si="0"/>
        <v>2025</v>
      </c>
      <c r="J4" s="24">
        <f t="shared" si="0"/>
        <v>2026</v>
      </c>
      <c r="K4" s="24">
        <f t="shared" si="0"/>
        <v>2027</v>
      </c>
      <c r="Q4" s="1" t="s">
        <v>152</v>
      </c>
      <c r="R4" s="1" t="s">
        <v>167</v>
      </c>
      <c r="S4" s="1" t="s">
        <v>153</v>
      </c>
      <c r="T4" s="1"/>
      <c r="U4" s="1" t="s">
        <v>172</v>
      </c>
    </row>
    <row r="5" spans="2:21" x14ac:dyDescent="0.3">
      <c r="P5" t="s">
        <v>168</v>
      </c>
      <c r="Q5" s="37">
        <v>3.5000000000000003E-2</v>
      </c>
      <c r="R5" s="38">
        <v>2750</v>
      </c>
      <c r="S5">
        <f>R5*Q5</f>
        <v>96.250000000000014</v>
      </c>
    </row>
    <row r="6" spans="2:21" x14ac:dyDescent="0.3">
      <c r="C6" t="s">
        <v>128</v>
      </c>
      <c r="G6">
        <f>F9</f>
        <v>14701</v>
      </c>
      <c r="H6">
        <f t="shared" ref="H6:K6" si="1">G9</f>
        <v>14701</v>
      </c>
      <c r="I6">
        <f t="shared" si="1"/>
        <v>14701</v>
      </c>
      <c r="J6">
        <f t="shared" si="1"/>
        <v>14701</v>
      </c>
      <c r="K6">
        <f t="shared" si="1"/>
        <v>14701</v>
      </c>
      <c r="P6" t="s">
        <v>169</v>
      </c>
      <c r="Q6" s="37">
        <v>3.85E-2</v>
      </c>
      <c r="R6" s="38">
        <v>3000</v>
      </c>
      <c r="S6">
        <f t="shared" ref="S6:S8" si="2">R6*Q6</f>
        <v>115.5</v>
      </c>
    </row>
    <row r="7" spans="2:21" x14ac:dyDescent="0.3">
      <c r="B7" s="7" t="s">
        <v>93</v>
      </c>
      <c r="C7" t="s">
        <v>94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P7" t="s">
        <v>170</v>
      </c>
      <c r="Q7" s="37">
        <v>4.4499999999999998E-2</v>
      </c>
      <c r="R7" s="38">
        <v>2750</v>
      </c>
      <c r="S7">
        <f t="shared" si="2"/>
        <v>122.375</v>
      </c>
    </row>
    <row r="8" spans="2:21" x14ac:dyDescent="0.3">
      <c r="B8" s="7" t="s">
        <v>95</v>
      </c>
      <c r="C8" t="s">
        <v>129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P8" t="s">
        <v>171</v>
      </c>
      <c r="Q8" s="37">
        <v>4.65E-2</v>
      </c>
      <c r="R8" s="38">
        <v>1500</v>
      </c>
      <c r="S8">
        <f t="shared" si="2"/>
        <v>69.75</v>
      </c>
    </row>
    <row r="9" spans="2:21" x14ac:dyDescent="0.3">
      <c r="C9" t="s">
        <v>130</v>
      </c>
      <c r="F9">
        <f>'Operating Model - IS, BS, CF'!F60</f>
        <v>14701</v>
      </c>
      <c r="G9">
        <f>SUM(G6:G8)</f>
        <v>14701</v>
      </c>
      <c r="H9">
        <f t="shared" ref="H9:K9" si="3">SUM(H6:H8)</f>
        <v>14701</v>
      </c>
      <c r="I9">
        <f t="shared" si="3"/>
        <v>14701</v>
      </c>
      <c r="J9">
        <f t="shared" si="3"/>
        <v>14701</v>
      </c>
      <c r="K9">
        <f t="shared" si="3"/>
        <v>14701</v>
      </c>
      <c r="R9" s="15">
        <f>SUM(R5:R8)</f>
        <v>10000</v>
      </c>
      <c r="S9">
        <f>SUM(S5:S8)</f>
        <v>403.875</v>
      </c>
      <c r="U9" s="39">
        <f>S9/R9</f>
        <v>4.03875E-2</v>
      </c>
    </row>
    <row r="11" spans="2:21" x14ac:dyDescent="0.3">
      <c r="C11" t="s">
        <v>132</v>
      </c>
      <c r="D11" s="15">
        <f>'Operating Model - IS, BS, CF'!D93</f>
        <v>53966</v>
      </c>
      <c r="E11" s="15">
        <f>'Operating Model - IS, BS, CF'!E93</f>
        <v>88474</v>
      </c>
      <c r="F11" s="15">
        <f>'Operating Model - IS, BS, CF'!F93</f>
        <v>75900</v>
      </c>
      <c r="G11" s="15">
        <f ca="1">'Operating Model - IS, BS, CF'!G93</f>
        <v>89520.208296321303</v>
      </c>
      <c r="H11" s="15">
        <f ca="1">'Operating Model - IS, BS, CF'!H93</f>
        <v>104008.40184459876</v>
      </c>
      <c r="I11" s="15">
        <f ca="1">'Operating Model - IS, BS, CF'!I93</f>
        <v>129711.31675265013</v>
      </c>
      <c r="J11" s="15">
        <f ca="1">'Operating Model - IS, BS, CF'!J93</f>
        <v>162127.25179521859</v>
      </c>
      <c r="K11" s="15">
        <f ca="1">'Operating Model - IS, BS, CF'!K93</f>
        <v>202887.92885192967</v>
      </c>
    </row>
    <row r="12" spans="2:21" x14ac:dyDescent="0.3">
      <c r="C12" t="s">
        <v>133</v>
      </c>
      <c r="D12" s="15">
        <f>'Operating Model - IS, BS, CF'!D95</f>
        <v>-22281</v>
      </c>
      <c r="E12" s="15">
        <f>'Operating Model - IS, BS, CF'!E95</f>
        <v>-24640</v>
      </c>
      <c r="F12" s="15">
        <f>'Operating Model - IS, BS, CF'!F95</f>
        <v>-31485</v>
      </c>
      <c r="G12" s="15">
        <f>'Operating Model - IS, BS, CF'!G95</f>
        <v>-38919.663091376045</v>
      </c>
      <c r="H12" s="15">
        <f>'Operating Model - IS, BS, CF'!H95</f>
        <v>-48830.728893063075</v>
      </c>
      <c r="I12" s="15">
        <f>'Operating Model - IS, BS, CF'!I95</f>
        <v>-61265.691808009971</v>
      </c>
      <c r="J12" s="15">
        <f>'Operating Model - IS, BS, CF'!J95</f>
        <v>-76867.273493582499</v>
      </c>
      <c r="K12" s="15">
        <f>'Operating Model - IS, BS, CF'!K95</f>
        <v>-96441.867543960601</v>
      </c>
    </row>
    <row r="13" spans="2:21" x14ac:dyDescent="0.3">
      <c r="C13" t="s">
        <v>55</v>
      </c>
      <c r="G13">
        <f>'Operating Model - IS, BS, CF'!G99</f>
        <v>0</v>
      </c>
      <c r="H13">
        <f>'Operating Model - IS, BS, CF'!H99</f>
        <v>0</v>
      </c>
      <c r="I13">
        <f>'Operating Model - IS, BS, CF'!I99</f>
        <v>0</v>
      </c>
      <c r="J13">
        <f>'Operating Model - IS, BS, CF'!J99</f>
        <v>0</v>
      </c>
      <c r="K13">
        <f>'Operating Model - IS, BS, CF'!K99</f>
        <v>0</v>
      </c>
    </row>
    <row r="14" spans="2:21" x14ac:dyDescent="0.3">
      <c r="C14" t="s">
        <v>56</v>
      </c>
      <c r="G14">
        <f>'Operating Model - IS, BS, CF'!G100</f>
        <v>0</v>
      </c>
      <c r="H14">
        <f>'Operating Model - IS, BS, CF'!H100</f>
        <v>0</v>
      </c>
      <c r="I14">
        <f>'Operating Model - IS, BS, CF'!I100</f>
        <v>0</v>
      </c>
      <c r="J14">
        <f>'Operating Model - IS, BS, CF'!J100</f>
        <v>0</v>
      </c>
      <c r="K14">
        <f>'Operating Model - IS, BS, CF'!K100</f>
        <v>0</v>
      </c>
    </row>
    <row r="15" spans="2:21" x14ac:dyDescent="0.3">
      <c r="C15" t="s">
        <v>59</v>
      </c>
      <c r="G15">
        <f ca="1">'Operating Model - IS, BS, CF'!G101</f>
        <v>0</v>
      </c>
      <c r="H15">
        <f ca="1">'Operating Model - IS, BS, CF'!H101</f>
        <v>0</v>
      </c>
      <c r="I15">
        <f ca="1">'Operating Model - IS, BS, CF'!I101</f>
        <v>0</v>
      </c>
      <c r="J15">
        <f ca="1">'Operating Model - IS, BS, CF'!J101</f>
        <v>0</v>
      </c>
      <c r="K15">
        <f ca="1">'Operating Model - IS, BS, CF'!K101</f>
        <v>0</v>
      </c>
    </row>
    <row r="16" spans="2:21" x14ac:dyDescent="0.3">
      <c r="C16" t="s">
        <v>57</v>
      </c>
      <c r="G16">
        <f>'Operating Model - IS, BS, CF'!G102</f>
        <v>0</v>
      </c>
      <c r="H16">
        <f>'Operating Model - IS, BS, CF'!H102</f>
        <v>0</v>
      </c>
      <c r="I16">
        <f>'Operating Model - IS, BS, CF'!I102</f>
        <v>0</v>
      </c>
      <c r="J16">
        <f>'Operating Model - IS, BS, CF'!J102</f>
        <v>0</v>
      </c>
      <c r="K16">
        <f>'Operating Model - IS, BS, CF'!K102</f>
        <v>0</v>
      </c>
    </row>
    <row r="17" spans="3:11" x14ac:dyDescent="0.3">
      <c r="C17" t="s">
        <v>58</v>
      </c>
      <c r="G17">
        <f>'Operating Model - IS, BS, CF'!G103</f>
        <v>0</v>
      </c>
      <c r="H17">
        <f>'Operating Model - IS, BS, CF'!H103</f>
        <v>0</v>
      </c>
      <c r="I17">
        <f>'Operating Model - IS, BS, CF'!I103</f>
        <v>0</v>
      </c>
      <c r="J17">
        <f>'Operating Model - IS, BS, CF'!J103</f>
        <v>0</v>
      </c>
      <c r="K17">
        <f>'Operating Model - IS, BS, CF'!K103</f>
        <v>0</v>
      </c>
    </row>
    <row r="18" spans="3:11" x14ac:dyDescent="0.3">
      <c r="C18" s="1" t="s">
        <v>134</v>
      </c>
      <c r="G18" s="20">
        <f ca="1">SUM(G11:G17)</f>
        <v>50600.545204945258</v>
      </c>
      <c r="H18" s="20">
        <f t="shared" ref="H18:K18" ca="1" si="4">SUM(H11:H17)</f>
        <v>55177.672951535686</v>
      </c>
      <c r="I18" s="20">
        <f t="shared" ca="1" si="4"/>
        <v>68445.624944640163</v>
      </c>
      <c r="J18" s="20">
        <f t="shared" ca="1" si="4"/>
        <v>85259.978301636089</v>
      </c>
      <c r="K18" s="20">
        <f t="shared" ca="1" si="4"/>
        <v>106446.06130796907</v>
      </c>
    </row>
    <row r="19" spans="3:11" x14ac:dyDescent="0.3">
      <c r="C19" s="1"/>
      <c r="G19" s="20"/>
      <c r="H19" s="20"/>
      <c r="I19" s="20"/>
      <c r="J19" s="20"/>
      <c r="K19" s="20"/>
    </row>
    <row r="20" spans="3:11" x14ac:dyDescent="0.3">
      <c r="C20" s="1"/>
      <c r="G20" s="15">
        <f>F21</f>
        <v>21879</v>
      </c>
      <c r="H20" s="15">
        <f t="shared" ref="H20:K20" ca="1" si="5">G21</f>
        <v>72479.545204945258</v>
      </c>
      <c r="I20" s="15">
        <f t="shared" ca="1" si="5"/>
        <v>127657.21815648094</v>
      </c>
      <c r="J20" s="15">
        <f t="shared" ca="1" si="5"/>
        <v>196102.84310112111</v>
      </c>
      <c r="K20" s="15">
        <f t="shared" ca="1" si="5"/>
        <v>281362.8214027572</v>
      </c>
    </row>
    <row r="21" spans="3:11" x14ac:dyDescent="0.3">
      <c r="C21" s="1" t="s">
        <v>63</v>
      </c>
      <c r="F21">
        <f>'Operating Model - IS, BS, CF'!F29</f>
        <v>21879</v>
      </c>
      <c r="G21" s="15">
        <f ca="1">G20+G18</f>
        <v>72479.545204945258</v>
      </c>
      <c r="H21" s="15">
        <f t="shared" ref="H21:K21" ca="1" si="6">H20+H18</f>
        <v>127657.21815648094</v>
      </c>
      <c r="I21" s="15">
        <f t="shared" ca="1" si="6"/>
        <v>196102.84310112111</v>
      </c>
      <c r="J21" s="15">
        <f t="shared" ca="1" si="6"/>
        <v>281362.8214027572</v>
      </c>
      <c r="K21" s="15">
        <f t="shared" ca="1" si="6"/>
        <v>387808.88271072623</v>
      </c>
    </row>
    <row r="23" spans="3:11" x14ac:dyDescent="0.3">
      <c r="C23" t="s">
        <v>135</v>
      </c>
      <c r="G23">
        <f>F25</f>
        <v>0</v>
      </c>
      <c r="H23">
        <f t="shared" ref="H23:K23" ca="1" si="7">G25</f>
        <v>0</v>
      </c>
      <c r="I23">
        <f t="shared" ca="1" si="7"/>
        <v>0</v>
      </c>
      <c r="J23">
        <f t="shared" ca="1" si="7"/>
        <v>0</v>
      </c>
      <c r="K23">
        <f t="shared" ca="1" si="7"/>
        <v>0</v>
      </c>
    </row>
    <row r="24" spans="3:11" x14ac:dyDescent="0.3">
      <c r="C24" t="s">
        <v>136</v>
      </c>
      <c r="G24" s="15">
        <f ca="1">-MIN(F25,G21)</f>
        <v>0</v>
      </c>
      <c r="H24" s="15">
        <f t="shared" ref="H24:K24" ca="1" si="8">-MIN(G25,H21)</f>
        <v>0</v>
      </c>
      <c r="I24" s="15">
        <f t="shared" ca="1" si="8"/>
        <v>0</v>
      </c>
      <c r="J24" s="15">
        <f t="shared" ca="1" si="8"/>
        <v>0</v>
      </c>
      <c r="K24" s="15">
        <f t="shared" ca="1" si="8"/>
        <v>0</v>
      </c>
    </row>
    <row r="25" spans="3:11" x14ac:dyDescent="0.3">
      <c r="C25" t="s">
        <v>137</v>
      </c>
      <c r="F25">
        <f>'Operating Model - IS, BS, CF'!F51</f>
        <v>0</v>
      </c>
      <c r="G25">
        <f ca="1">SUM(G23:G24)</f>
        <v>0</v>
      </c>
      <c r="H25">
        <f t="shared" ref="H25:K25" ca="1" si="9">SUM(H23:H24)</f>
        <v>0</v>
      </c>
      <c r="I25">
        <f t="shared" ca="1" si="9"/>
        <v>0</v>
      </c>
      <c r="J25">
        <f t="shared" ca="1" si="9"/>
        <v>0</v>
      </c>
      <c r="K25">
        <f t="shared" ca="1" si="9"/>
        <v>0</v>
      </c>
    </row>
    <row r="28" spans="3:11" x14ac:dyDescent="0.3">
      <c r="C28" t="s">
        <v>151</v>
      </c>
      <c r="G28">
        <f>G20*G29</f>
        <v>65.637</v>
      </c>
      <c r="H28">
        <f t="shared" ref="H28:K28" ca="1" si="10">H20*H29</f>
        <v>217.43863561483579</v>
      </c>
      <c r="I28">
        <f t="shared" ca="1" si="10"/>
        <v>382.97165446944285</v>
      </c>
      <c r="J28">
        <f t="shared" ca="1" si="10"/>
        <v>588.30852930336334</v>
      </c>
      <c r="K28">
        <f t="shared" ca="1" si="10"/>
        <v>844.0884642082716</v>
      </c>
    </row>
    <row r="29" spans="3:11" x14ac:dyDescent="0.3">
      <c r="C29" t="s">
        <v>152</v>
      </c>
      <c r="G29" s="27">
        <v>3.0000000000000001E-3</v>
      </c>
      <c r="H29" s="27">
        <v>3.0000000000000001E-3</v>
      </c>
      <c r="I29" s="27">
        <v>3.0000000000000001E-3</v>
      </c>
      <c r="J29" s="27">
        <v>3.0000000000000001E-3</v>
      </c>
      <c r="K29" s="27">
        <v>3.0000000000000001E-3</v>
      </c>
    </row>
    <row r="30" spans="3:11" x14ac:dyDescent="0.3">
      <c r="C30" t="s">
        <v>153</v>
      </c>
      <c r="G30">
        <f ca="1">(G9+G25)*G31</f>
        <v>441.03</v>
      </c>
      <c r="H30">
        <f t="shared" ref="H30:K30" ca="1" si="11">(H9+H25)*H31</f>
        <v>441.03</v>
      </c>
      <c r="I30">
        <f t="shared" ca="1" si="11"/>
        <v>441.03</v>
      </c>
      <c r="J30">
        <f t="shared" ca="1" si="11"/>
        <v>441.03</v>
      </c>
      <c r="K30">
        <f t="shared" ca="1" si="11"/>
        <v>441.03</v>
      </c>
    </row>
    <row r="31" spans="3:11" x14ac:dyDescent="0.3">
      <c r="C31" t="s">
        <v>152</v>
      </c>
      <c r="G31" s="28">
        <v>0.03</v>
      </c>
      <c r="H31" s="28">
        <v>0.03</v>
      </c>
      <c r="I31" s="28">
        <v>0.03</v>
      </c>
      <c r="J31" s="28">
        <v>0.03</v>
      </c>
      <c r="K31" s="28">
        <v>0.03</v>
      </c>
    </row>
    <row r="33" spans="3:11" x14ac:dyDescent="0.3">
      <c r="C33" s="1" t="s">
        <v>154</v>
      </c>
      <c r="D33" s="1"/>
      <c r="E33" s="1"/>
      <c r="F33" s="1"/>
      <c r="G33" s="1">
        <f ca="1">G28-G30</f>
        <v>-375.39299999999997</v>
      </c>
      <c r="H33" s="1">
        <f t="shared" ref="H33:K33" ca="1" si="12">H28-H30</f>
        <v>-223.59136438516418</v>
      </c>
      <c r="I33" s="1">
        <f t="shared" ca="1" si="12"/>
        <v>-58.058345530557119</v>
      </c>
      <c r="J33" s="1">
        <f t="shared" ca="1" si="12"/>
        <v>147.27852930336337</v>
      </c>
      <c r="K33" s="1">
        <f t="shared" ca="1" si="12"/>
        <v>403.05846420827163</v>
      </c>
    </row>
  </sheetData>
  <mergeCells count="2">
    <mergeCell ref="D3:K3"/>
    <mergeCell ref="P3:U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035D-0AE6-4D2A-8D47-17CCF6162377}">
  <dimension ref="B3:T49"/>
  <sheetViews>
    <sheetView workbookViewId="0">
      <selection activeCell="E18" sqref="E18"/>
    </sheetView>
  </sheetViews>
  <sheetFormatPr defaultRowHeight="14.4" x14ac:dyDescent="0.3"/>
  <cols>
    <col min="2" max="2" width="3.33203125" customWidth="1"/>
    <col min="3" max="3" width="29.109375" bestFit="1" customWidth="1"/>
    <col min="4" max="4" width="12.88671875" bestFit="1" customWidth="1"/>
    <col min="5" max="5" width="11.88671875" bestFit="1" customWidth="1"/>
    <col min="10" max="12" width="9" bestFit="1" customWidth="1"/>
    <col min="13" max="13" width="10" bestFit="1" customWidth="1"/>
    <col min="14" max="14" width="9" bestFit="1" customWidth="1"/>
    <col min="15" max="15" width="19.77734375" bestFit="1" customWidth="1"/>
    <col min="16" max="16" width="19.21875" bestFit="1" customWidth="1"/>
  </cols>
  <sheetData>
    <row r="3" spans="2:16" x14ac:dyDescent="0.3">
      <c r="C3" s="5" t="s">
        <v>155</v>
      </c>
      <c r="D3" s="53" t="s">
        <v>10</v>
      </c>
      <c r="E3" s="53"/>
      <c r="F3" s="53"/>
      <c r="G3" s="53"/>
      <c r="H3" s="53"/>
      <c r="I3" s="53"/>
      <c r="J3" s="53"/>
      <c r="K3" s="53"/>
      <c r="O3" s="1" t="s">
        <v>158</v>
      </c>
      <c r="P3" s="43">
        <f>P14*P11*(1-Assumptions!$G$5)+DCF!P15*DCF!P12</f>
        <v>7.4000643895390988E-2</v>
      </c>
    </row>
    <row r="4" spans="2:16" x14ac:dyDescent="0.3">
      <c r="D4" s="25">
        <v>2020</v>
      </c>
      <c r="E4" s="25">
        <f>D4+1</f>
        <v>2021</v>
      </c>
      <c r="F4" s="25">
        <f>E4+1</f>
        <v>2022</v>
      </c>
      <c r="G4" s="24">
        <f>F4+1</f>
        <v>2023</v>
      </c>
      <c r="H4" s="24">
        <f t="shared" ref="H4:K4" si="0">G4+1</f>
        <v>2024</v>
      </c>
      <c r="I4" s="24">
        <f t="shared" si="0"/>
        <v>2025</v>
      </c>
      <c r="J4" s="24">
        <f t="shared" si="0"/>
        <v>2026</v>
      </c>
      <c r="K4" s="24">
        <f t="shared" si="0"/>
        <v>2027</v>
      </c>
    </row>
    <row r="5" spans="2:16" x14ac:dyDescent="0.3">
      <c r="O5" t="s">
        <v>159</v>
      </c>
      <c r="P5">
        <v>125.06</v>
      </c>
    </row>
    <row r="6" spans="2:16" x14ac:dyDescent="0.3">
      <c r="C6" t="s">
        <v>156</v>
      </c>
      <c r="G6" s="15">
        <f>'Operating Model - IS, BS, CF'!G19*(1-Assumptions!G5)</f>
        <v>74382.486948677193</v>
      </c>
      <c r="H6" s="15">
        <f>'Operating Model - IS, BS, CF'!H19*(1-Assumptions!H5)</f>
        <v>93324.31902236797</v>
      </c>
      <c r="I6" s="15">
        <f>'Operating Model - IS, BS, CF'!I19*(1-Assumptions!I5)</f>
        <v>117089.77312089725</v>
      </c>
      <c r="J6" s="15">
        <f>'Operating Model - IS, BS, CF'!J19*(1-Assumptions!J5)</f>
        <v>146907.20610795118</v>
      </c>
      <c r="K6" s="15">
        <f>'Operating Model - IS, BS, CF'!K19*(1-Assumptions!K5)</f>
        <v>184317.78140145956</v>
      </c>
      <c r="O6" t="s">
        <v>160</v>
      </c>
      <c r="P6">
        <f>5918+873+5725</f>
        <v>12516</v>
      </c>
    </row>
    <row r="7" spans="2:16" x14ac:dyDescent="0.3">
      <c r="B7" s="7" t="s">
        <v>93</v>
      </c>
      <c r="C7" t="s">
        <v>5</v>
      </c>
      <c r="G7" s="15">
        <f>'Operating Model - IS, BS, CF'!G18</f>
        <v>20995.428498839421</v>
      </c>
      <c r="H7" s="15">
        <f ca="1">'Operating Model - IS, BS, CF'!H18</f>
        <v>21902.82940851793</v>
      </c>
      <c r="I7" s="15">
        <f ca="1">'Operating Model - IS, BS, CF'!I18</f>
        <v>26521.441545714657</v>
      </c>
      <c r="J7" s="15">
        <f ca="1">'Operating Model - IS, BS, CF'!J18</f>
        <v>32485.718467210016</v>
      </c>
      <c r="K7" s="15">
        <f ca="1">'Operating Model - IS, BS, CF'!K18</f>
        <v>40060.16372243697</v>
      </c>
    </row>
    <row r="8" spans="2:16" x14ac:dyDescent="0.3">
      <c r="B8" s="7" t="s">
        <v>95</v>
      </c>
      <c r="C8" t="s">
        <v>106</v>
      </c>
      <c r="G8" s="15">
        <f>'Operating Model - IS, BS, CF'!G95</f>
        <v>-38919.663091376045</v>
      </c>
      <c r="H8" s="15">
        <f>'Operating Model - IS, BS, CF'!H95</f>
        <v>-48830.728893063075</v>
      </c>
      <c r="I8" s="15">
        <f>'Operating Model - IS, BS, CF'!I95</f>
        <v>-61265.691808009971</v>
      </c>
      <c r="J8" s="15">
        <f>'Operating Model - IS, BS, CF'!J95</f>
        <v>-76867.273493582499</v>
      </c>
      <c r="K8" s="15">
        <f>'Operating Model - IS, BS, CF'!K95</f>
        <v>-96441.867543960601</v>
      </c>
      <c r="O8" t="s">
        <v>165</v>
      </c>
      <c r="P8">
        <f>'Operating Model - IS, BS, CF'!F51+'Operating Model - IS, BS, CF'!F60</f>
        <v>14701</v>
      </c>
    </row>
    <row r="9" spans="2:16" x14ac:dyDescent="0.3">
      <c r="B9" s="7" t="s">
        <v>95</v>
      </c>
      <c r="C9" t="s">
        <v>43</v>
      </c>
      <c r="G9" s="15">
        <f>'Operating Model - IS, BS, CF'!G86</f>
        <v>-5561.1466811953142</v>
      </c>
      <c r="H9" s="15">
        <f>'Operating Model - IS, BS, CF'!H86</f>
        <v>-11042.109408422832</v>
      </c>
      <c r="I9" s="15">
        <f>'Operating Model - IS, BS, CF'!I86</f>
        <v>-13854.031820992641</v>
      </c>
      <c r="J9" s="15">
        <f>'Operating Model - IS, BS, CF'!J86</f>
        <v>-17382.022818092228</v>
      </c>
      <c r="K9" s="15">
        <f>'Operating Model - IS, BS, CF'!K86</f>
        <v>-21808.432458691386</v>
      </c>
      <c r="O9" t="s">
        <v>166</v>
      </c>
      <c r="P9" s="15">
        <f>P6*P5</f>
        <v>1565250.96</v>
      </c>
    </row>
    <row r="11" spans="2:16" x14ac:dyDescent="0.3">
      <c r="O11" t="s">
        <v>162</v>
      </c>
      <c r="P11" s="36">
        <f>P8/(P8+P9)</f>
        <v>9.3047132901433287E-3</v>
      </c>
    </row>
    <row r="12" spans="2:16" x14ac:dyDescent="0.3">
      <c r="C12" s="1" t="s">
        <v>157</v>
      </c>
      <c r="F12" s="1"/>
      <c r="G12" s="20">
        <f>SUM(G6:G9)</f>
        <v>50897.105674945255</v>
      </c>
      <c r="H12" s="20">
        <f t="shared" ref="H12:K12" ca="1" si="1">SUM(H6:H9)</f>
        <v>55354.310129399986</v>
      </c>
      <c r="I12" s="20">
        <f t="shared" ca="1" si="1"/>
        <v>68491.491037609318</v>
      </c>
      <c r="J12" s="20">
        <f t="shared" ca="1" si="1"/>
        <v>85143.628263486462</v>
      </c>
      <c r="K12" s="20">
        <f t="shared" ca="1" si="1"/>
        <v>106127.64512124454</v>
      </c>
      <c r="O12" t="s">
        <v>161</v>
      </c>
      <c r="P12" s="36">
        <f>P9/(P8+P9)</f>
        <v>0.99069528670985663</v>
      </c>
    </row>
    <row r="13" spans="2:16" x14ac:dyDescent="0.3">
      <c r="G13" s="20"/>
      <c r="H13" s="20"/>
      <c r="I13" s="20"/>
      <c r="J13" s="20"/>
      <c r="K13" s="20"/>
    </row>
    <row r="14" spans="2:16" x14ac:dyDescent="0.3">
      <c r="D14" s="1" t="s">
        <v>185</v>
      </c>
      <c r="E14" s="1" t="s">
        <v>186</v>
      </c>
      <c r="O14" t="s">
        <v>163</v>
      </c>
      <c r="P14" s="14">
        <f>'Debt and Interest Schedule '!U9</f>
        <v>4.03875E-2</v>
      </c>
    </row>
    <row r="15" spans="2:16" x14ac:dyDescent="0.3">
      <c r="C15" s="1" t="s">
        <v>188</v>
      </c>
      <c r="D15" s="20">
        <f ca="1">K12*(1+D16)/(P3-D16)</f>
        <v>2484315.3371746931</v>
      </c>
      <c r="O15" t="s">
        <v>164</v>
      </c>
      <c r="P15" s="41">
        <f>P17+(P18*P19)</f>
        <v>7.4396000000000018E-2</v>
      </c>
    </row>
    <row r="16" spans="2:16" x14ac:dyDescent="0.3">
      <c r="C16" t="s">
        <v>176</v>
      </c>
      <c r="D16" s="28">
        <v>0.03</v>
      </c>
    </row>
    <row r="17" spans="2:20" x14ac:dyDescent="0.3">
      <c r="C17" s="1" t="s">
        <v>189</v>
      </c>
      <c r="D17" s="28"/>
      <c r="E17" s="1">
        <f ca="1">E18*'Operating Model - IS, BS, CF'!K17</f>
        <v>2733738.1106605665</v>
      </c>
      <c r="O17" t="s">
        <v>173</v>
      </c>
      <c r="P17" s="23">
        <v>4.5900000000000003E-2</v>
      </c>
    </row>
    <row r="18" spans="2:20" x14ac:dyDescent="0.3">
      <c r="C18" t="s">
        <v>190</v>
      </c>
      <c r="D18" s="28"/>
      <c r="E18" s="44">
        <v>10</v>
      </c>
      <c r="O18" t="s">
        <v>174</v>
      </c>
      <c r="P18" s="40">
        <v>1.04</v>
      </c>
    </row>
    <row r="19" spans="2:20" x14ac:dyDescent="0.3">
      <c r="D19" s="28"/>
      <c r="O19" t="s">
        <v>175</v>
      </c>
      <c r="P19" s="23">
        <f>7.33%-4.59%</f>
        <v>2.7400000000000008E-2</v>
      </c>
    </row>
    <row r="21" spans="2:20" x14ac:dyDescent="0.3">
      <c r="C21" s="1" t="s">
        <v>177</v>
      </c>
      <c r="D21" s="20">
        <f ca="1">NPV(P3,G12:K12)</f>
        <v>288928.19224462245</v>
      </c>
      <c r="E21" s="20">
        <f ca="1">NPV(P3,G12:K12)</f>
        <v>288928.19224462245</v>
      </c>
      <c r="G21" s="20"/>
      <c r="H21" s="20"/>
      <c r="I21" s="20"/>
      <c r="J21" s="20"/>
      <c r="K21" s="20"/>
    </row>
    <row r="22" spans="2:20" x14ac:dyDescent="0.3">
      <c r="C22" s="1" t="s">
        <v>178</v>
      </c>
      <c r="D22" s="20">
        <f ca="1">D15/(1+P3)^(K4-F4)</f>
        <v>1738537.2960891437</v>
      </c>
      <c r="E22" s="20">
        <f ca="1">E17/(1+$P$3)^($K$4-$F$4)</f>
        <v>1913084.7006438067</v>
      </c>
    </row>
    <row r="24" spans="2:20" x14ac:dyDescent="0.3">
      <c r="C24" s="1" t="s">
        <v>179</v>
      </c>
      <c r="D24" s="20">
        <f ca="1">D21+D22</f>
        <v>2027465.4883337661</v>
      </c>
      <c r="E24" s="20">
        <f ca="1">E21+E22</f>
        <v>2202012.8928884291</v>
      </c>
    </row>
    <row r="25" spans="2:20" x14ac:dyDescent="0.3">
      <c r="B25" s="7" t="s">
        <v>95</v>
      </c>
      <c r="C25" t="s">
        <v>181</v>
      </c>
      <c r="D25">
        <f>-('Operating Model - IS, BS, CF'!F51+'Operating Model - IS, BS, CF'!F60)</f>
        <v>-14701</v>
      </c>
      <c r="E25">
        <f>-('Operating Model - IS, BS, CF'!F51+'Operating Model - IS, BS, CF'!F60)</f>
        <v>-14701</v>
      </c>
    </row>
    <row r="26" spans="2:20" x14ac:dyDescent="0.3">
      <c r="B26" s="7" t="s">
        <v>95</v>
      </c>
      <c r="C26" t="s">
        <v>182</v>
      </c>
      <c r="D26" s="10">
        <v>0</v>
      </c>
      <c r="E26" s="10">
        <v>0</v>
      </c>
    </row>
    <row r="27" spans="2:20" x14ac:dyDescent="0.3">
      <c r="B27" s="7" t="s">
        <v>95</v>
      </c>
      <c r="C27" t="s">
        <v>37</v>
      </c>
      <c r="D27" s="10">
        <v>0</v>
      </c>
      <c r="E27" s="10">
        <v>0</v>
      </c>
    </row>
    <row r="28" spans="2:20" x14ac:dyDescent="0.3">
      <c r="B28" s="7" t="s">
        <v>95</v>
      </c>
      <c r="C28" t="s">
        <v>183</v>
      </c>
      <c r="D28">
        <f>-'Operating Model - IS, BS, CF'!F64</f>
        <v>-12501</v>
      </c>
      <c r="E28">
        <f>-'Operating Model - IS, BS, CF'!F64</f>
        <v>-12501</v>
      </c>
    </row>
    <row r="29" spans="2:20" x14ac:dyDescent="0.3">
      <c r="B29" s="7" t="s">
        <v>93</v>
      </c>
      <c r="C29" t="s">
        <v>180</v>
      </c>
      <c r="D29">
        <f>'Operating Model - IS, BS, CF'!F29</f>
        <v>21879</v>
      </c>
      <c r="E29">
        <f>'Operating Model - IS, BS, CF'!F29</f>
        <v>21879</v>
      </c>
    </row>
    <row r="30" spans="2:20" x14ac:dyDescent="0.3">
      <c r="C30" s="1" t="s">
        <v>184</v>
      </c>
      <c r="D30" s="20">
        <f ca="1">SUM(D24:D29)</f>
        <v>2022142.4883337661</v>
      </c>
      <c r="E30" s="20">
        <f ca="1">SUM(E24:E29)</f>
        <v>2196689.8928884291</v>
      </c>
    </row>
    <row r="32" spans="2:20" ht="14.4" customHeight="1" x14ac:dyDescent="0.3">
      <c r="C32" s="1" t="s">
        <v>187</v>
      </c>
      <c r="D32" s="42">
        <f ca="1">D30/$P$6</f>
        <v>161.56459638333064</v>
      </c>
      <c r="E32" s="42">
        <f ca="1">E30/$P$6</f>
        <v>175.51053794250791</v>
      </c>
      <c r="H32" s="55" t="s">
        <v>197</v>
      </c>
      <c r="I32" s="55"/>
      <c r="J32" s="55"/>
      <c r="K32" s="55"/>
      <c r="L32" s="55"/>
      <c r="M32" s="55"/>
      <c r="N32" s="55"/>
      <c r="P32" s="55" t="s">
        <v>196</v>
      </c>
      <c r="Q32" s="55"/>
      <c r="R32" s="55"/>
      <c r="S32" s="55"/>
      <c r="T32" s="55"/>
    </row>
    <row r="33" spans="3:20" x14ac:dyDescent="0.3">
      <c r="C33" s="1"/>
      <c r="D33" s="42"/>
      <c r="E33" s="42"/>
      <c r="H33" s="56" t="s">
        <v>176</v>
      </c>
      <c r="I33" s="57" t="s">
        <v>158</v>
      </c>
      <c r="J33" s="57"/>
      <c r="K33" s="57"/>
      <c r="L33" s="57"/>
      <c r="M33" s="57"/>
      <c r="N33" s="57"/>
      <c r="Q33" s="1" t="s">
        <v>193</v>
      </c>
      <c r="R33" s="1" t="s">
        <v>194</v>
      </c>
      <c r="S33" s="1"/>
      <c r="T33" s="1" t="s">
        <v>195</v>
      </c>
    </row>
    <row r="34" spans="3:20" ht="14.4" customHeight="1" x14ac:dyDescent="0.3">
      <c r="H34" s="56"/>
      <c r="I34" s="45">
        <f ca="1">D32</f>
        <v>161.56459638333064</v>
      </c>
      <c r="J34" s="47">
        <v>7.0000000000000007E-2</v>
      </c>
      <c r="K34" s="48">
        <v>7.4000643895390988E-2</v>
      </c>
      <c r="L34" s="47">
        <v>0.08</v>
      </c>
      <c r="M34" s="49">
        <v>8.5000000000000006E-2</v>
      </c>
      <c r="N34" s="47">
        <v>0.09</v>
      </c>
      <c r="P34" s="1" t="s">
        <v>185</v>
      </c>
      <c r="Q34" s="15">
        <f>MIN(J35:N39)</f>
        <v>101.88703178507652</v>
      </c>
      <c r="R34" s="15">
        <f>MAX(J35:N39)</f>
        <v>232.52374475966678</v>
      </c>
      <c r="T34" s="15">
        <f>R34-Q34</f>
        <v>130.63671297459027</v>
      </c>
    </row>
    <row r="35" spans="3:20" x14ac:dyDescent="0.3">
      <c r="H35" s="56"/>
      <c r="I35" s="46">
        <v>0.02</v>
      </c>
      <c r="J35" s="15">
        <f t="dataTable" ref="J35:N39" dt2D="1" dtr="1" r1="P3" r2="D16" ca="1"/>
        <v>146.27225618091288</v>
      </c>
      <c r="K35" s="15">
        <v>134.74286331353665</v>
      </c>
      <c r="L35" s="15">
        <v>120.35248219872885</v>
      </c>
      <c r="M35" s="15">
        <v>110.40315828178485</v>
      </c>
      <c r="N35" s="15">
        <v>101.88703178507652</v>
      </c>
      <c r="P35" s="1" t="s">
        <v>186</v>
      </c>
      <c r="Q35" s="15">
        <f>MIN(J45:N49)</f>
        <v>135.15001166631154</v>
      </c>
      <c r="R35" s="15">
        <f>MAX(J45:N49)</f>
        <v>209.81676617848422</v>
      </c>
      <c r="T35" s="15">
        <f>R35-Q35</f>
        <v>74.666754512172673</v>
      </c>
    </row>
    <row r="36" spans="3:20" x14ac:dyDescent="0.3">
      <c r="H36" s="56"/>
      <c r="I36" s="46">
        <v>2.5000000000000001E-2</v>
      </c>
      <c r="J36" s="15">
        <v>160.64750427737187</v>
      </c>
      <c r="K36" s="15">
        <v>146.78529206182748</v>
      </c>
      <c r="L36" s="15">
        <v>129.79578717697518</v>
      </c>
      <c r="M36" s="15">
        <v>118.24737200303247</v>
      </c>
      <c r="N36" s="15">
        <v>108.48812079947827</v>
      </c>
      <c r="P36" s="1" t="s">
        <v>192</v>
      </c>
      <c r="Q36">
        <v>83.45</v>
      </c>
      <c r="R36">
        <v>142.38</v>
      </c>
      <c r="T36" s="15">
        <f>R36-Q36</f>
        <v>58.929999999999993</v>
      </c>
    </row>
    <row r="37" spans="3:20" x14ac:dyDescent="0.3">
      <c r="H37" s="56"/>
      <c r="I37" s="46">
        <v>0.03</v>
      </c>
      <c r="J37" s="15">
        <v>178.61656439794558</v>
      </c>
      <c r="K37" s="15">
        <v>161.56459638333064</v>
      </c>
      <c r="L37" s="15">
        <v>141.1277531508708</v>
      </c>
      <c r="M37" s="15">
        <v>127.51780640087054</v>
      </c>
      <c r="N37" s="15">
        <v>116.18939131628036</v>
      </c>
    </row>
    <row r="38" spans="3:20" x14ac:dyDescent="0.3">
      <c r="H38" s="56"/>
      <c r="I38" s="46">
        <v>3.5000000000000003E-2</v>
      </c>
      <c r="J38" s="15">
        <v>201.71964169582611</v>
      </c>
      <c r="K38" s="15">
        <v>180.13340335026314</v>
      </c>
      <c r="L38" s="15">
        <v>154.97793378563208</v>
      </c>
      <c r="M38" s="15">
        <v>138.64232767827622</v>
      </c>
      <c r="N38" s="15">
        <v>125.29089283613735</v>
      </c>
    </row>
    <row r="39" spans="3:20" x14ac:dyDescent="0.3">
      <c r="H39" s="56"/>
      <c r="I39" s="46">
        <v>0.04</v>
      </c>
      <c r="J39" s="15">
        <v>232.52374475966678</v>
      </c>
      <c r="K39" s="15">
        <v>204.16352070415849</v>
      </c>
      <c r="L39" s="15">
        <v>172.29065957908372</v>
      </c>
      <c r="M39" s="15">
        <v>152.23896479510543</v>
      </c>
      <c r="N39" s="15">
        <v>136.21269465996576</v>
      </c>
    </row>
    <row r="43" spans="3:20" x14ac:dyDescent="0.3">
      <c r="H43" s="56" t="s">
        <v>191</v>
      </c>
      <c r="I43" s="57" t="s">
        <v>158</v>
      </c>
      <c r="J43" s="57"/>
      <c r="K43" s="57"/>
      <c r="L43" s="57"/>
      <c r="M43" s="57"/>
      <c r="N43" s="57"/>
    </row>
    <row r="44" spans="3:20" x14ac:dyDescent="0.3">
      <c r="H44" s="56"/>
      <c r="I44" s="45">
        <f ca="1">E32</f>
        <v>175.51053794250791</v>
      </c>
      <c r="J44" s="50">
        <v>7.0000000000000007E-2</v>
      </c>
      <c r="K44" s="51">
        <v>7.4000643895390988E-2</v>
      </c>
      <c r="L44" s="50">
        <v>0.08</v>
      </c>
      <c r="M44" s="52">
        <v>8.5000000000000006E-2</v>
      </c>
      <c r="N44" s="50">
        <v>0.09</v>
      </c>
    </row>
    <row r="45" spans="3:20" x14ac:dyDescent="0.3">
      <c r="H45" s="56"/>
      <c r="I45" s="44">
        <v>8</v>
      </c>
      <c r="J45" s="15">
        <f t="dataTable" ref="J45:N49" dt2D="1" dtr="1" r1="P3" r2="E18" ca="1"/>
        <v>147.52474025234875</v>
      </c>
      <c r="K45" s="15">
        <v>144.94031262061904</v>
      </c>
      <c r="L45" s="15">
        <v>141.16913403560491</v>
      </c>
      <c r="M45" s="15">
        <v>138.11884800868091</v>
      </c>
      <c r="N45" s="15">
        <v>135.15001166631154</v>
      </c>
    </row>
    <row r="46" spans="3:20" x14ac:dyDescent="0.3">
      <c r="H46" s="56"/>
      <c r="I46" s="44">
        <v>9</v>
      </c>
      <c r="J46" s="15">
        <v>163.09774673388262</v>
      </c>
      <c r="K46" s="15">
        <v>160.22542528156347</v>
      </c>
      <c r="L46" s="15">
        <v>156.03439628557598</v>
      </c>
      <c r="M46" s="15">
        <v>152.6447350250119</v>
      </c>
      <c r="N46" s="15">
        <v>149.34577868483376</v>
      </c>
    </row>
    <row r="47" spans="3:20" x14ac:dyDescent="0.3">
      <c r="H47" s="56"/>
      <c r="I47" s="44">
        <v>10</v>
      </c>
      <c r="J47" s="15">
        <v>178.67075321541648</v>
      </c>
      <c r="K47" s="15">
        <v>175.51053794250791</v>
      </c>
      <c r="L47" s="15">
        <v>170.89965853554708</v>
      </c>
      <c r="M47" s="15">
        <v>167.17062204134288</v>
      </c>
      <c r="N47" s="15">
        <v>163.54154570335598</v>
      </c>
    </row>
    <row r="48" spans="3:20" x14ac:dyDescent="0.3">
      <c r="H48" s="56"/>
      <c r="I48" s="44">
        <v>11</v>
      </c>
      <c r="J48" s="15">
        <v>194.24375969695032</v>
      </c>
      <c r="K48" s="15">
        <v>190.79565060345237</v>
      </c>
      <c r="L48" s="15">
        <v>185.76492078551814</v>
      </c>
      <c r="M48" s="15">
        <v>181.69650905767386</v>
      </c>
      <c r="N48" s="15">
        <v>177.73731272187817</v>
      </c>
    </row>
    <row r="49" spans="8:14" x14ac:dyDescent="0.3">
      <c r="H49" s="56"/>
      <c r="I49" s="44">
        <v>12</v>
      </c>
      <c r="J49" s="15">
        <v>209.81676617848422</v>
      </c>
      <c r="K49" s="15">
        <v>206.08076326439684</v>
      </c>
      <c r="L49" s="15">
        <v>200.63018303548927</v>
      </c>
      <c r="M49" s="15">
        <v>196.22239607400488</v>
      </c>
      <c r="N49" s="15">
        <v>191.93307974040044</v>
      </c>
    </row>
  </sheetData>
  <mergeCells count="7">
    <mergeCell ref="H43:H49"/>
    <mergeCell ref="I43:N43"/>
    <mergeCell ref="P32:T32"/>
    <mergeCell ref="H32:N32"/>
    <mergeCell ref="D3:K3"/>
    <mergeCell ref="H33:H39"/>
    <mergeCell ref="I33:N33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5C8E-F7D0-42E4-B960-4CA858CDA205}">
  <dimension ref="B3:K36"/>
  <sheetViews>
    <sheetView tabSelected="1" workbookViewId="0">
      <pane xSplit="3" ySplit="4" topLeftCell="D26" activePane="bottomRight" state="frozen"/>
      <selection pane="topRight" activeCell="D1" sqref="D1"/>
      <selection pane="bottomLeft" activeCell="A5" sqref="A5"/>
      <selection pane="bottomRight" activeCell="H38" sqref="H38"/>
    </sheetView>
  </sheetViews>
  <sheetFormatPr defaultRowHeight="14.4" x14ac:dyDescent="0.3"/>
  <cols>
    <col min="2" max="2" width="2.88671875" customWidth="1"/>
    <col min="3" max="3" width="24.44140625" bestFit="1" customWidth="1"/>
  </cols>
  <sheetData>
    <row r="3" spans="2:11" x14ac:dyDescent="0.3">
      <c r="C3" s="5" t="s">
        <v>140</v>
      </c>
      <c r="D3" s="53" t="s">
        <v>10</v>
      </c>
      <c r="E3" s="53"/>
      <c r="F3" s="53"/>
      <c r="G3" s="53"/>
      <c r="H3" s="53"/>
      <c r="I3" s="53"/>
      <c r="J3" s="53"/>
      <c r="K3" s="53"/>
    </row>
    <row r="4" spans="2:11" x14ac:dyDescent="0.3">
      <c r="D4" s="25">
        <v>2020</v>
      </c>
      <c r="E4" s="25">
        <f>D4+1</f>
        <v>2021</v>
      </c>
      <c r="F4" s="25">
        <f>E4+1</f>
        <v>2022</v>
      </c>
      <c r="G4" s="24">
        <f>F4+1</f>
        <v>2023</v>
      </c>
      <c r="H4" s="24">
        <f t="shared" ref="H4:K4" si="0">G4+1</f>
        <v>2024</v>
      </c>
      <c r="I4" s="24">
        <f t="shared" si="0"/>
        <v>2025</v>
      </c>
      <c r="J4" s="24">
        <f t="shared" si="0"/>
        <v>2026</v>
      </c>
      <c r="K4" s="24">
        <f t="shared" si="0"/>
        <v>2027</v>
      </c>
    </row>
    <row r="5" spans="2:11" x14ac:dyDescent="0.3">
      <c r="C5" t="s">
        <v>141</v>
      </c>
      <c r="G5" s="28">
        <v>0.21</v>
      </c>
      <c r="H5" s="28">
        <v>0.21</v>
      </c>
      <c r="I5" s="28">
        <v>0.21</v>
      </c>
      <c r="J5" s="28">
        <v>0.21</v>
      </c>
      <c r="K5" s="28">
        <v>0.21</v>
      </c>
    </row>
    <row r="7" spans="2:11" x14ac:dyDescent="0.3">
      <c r="C7" t="s">
        <v>107</v>
      </c>
      <c r="G7" s="10">
        <v>463</v>
      </c>
      <c r="H7" s="10">
        <v>444</v>
      </c>
      <c r="I7" s="10">
        <v>314</v>
      </c>
      <c r="J7" s="10">
        <v>235</v>
      </c>
      <c r="K7" s="10">
        <v>152</v>
      </c>
    </row>
    <row r="9" spans="2:11" x14ac:dyDescent="0.3">
      <c r="C9" t="s">
        <v>142</v>
      </c>
    </row>
    <row r="10" spans="2:11" x14ac:dyDescent="0.3">
      <c r="B10" s="7" t="s">
        <v>93</v>
      </c>
      <c r="C10" t="s">
        <v>113</v>
      </c>
      <c r="D10" s="10"/>
      <c r="E10" s="10"/>
      <c r="F10" s="10"/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1" x14ac:dyDescent="0.3">
      <c r="D11" s="10"/>
      <c r="E11" s="10"/>
      <c r="F11" s="10"/>
      <c r="G11" s="10"/>
      <c r="H11" s="10"/>
      <c r="I11" s="10"/>
      <c r="J11" s="10"/>
      <c r="K11" s="10"/>
    </row>
    <row r="12" spans="2:11" x14ac:dyDescent="0.3">
      <c r="C12" t="s">
        <v>120</v>
      </c>
      <c r="D12" s="10">
        <v>365</v>
      </c>
      <c r="E12" s="10">
        <v>365</v>
      </c>
      <c r="F12" s="10">
        <v>365</v>
      </c>
      <c r="G12" s="10">
        <v>365</v>
      </c>
      <c r="H12" s="10">
        <v>365</v>
      </c>
      <c r="I12" s="10">
        <v>365</v>
      </c>
      <c r="J12" s="10">
        <v>365</v>
      </c>
      <c r="K12" s="10">
        <v>365</v>
      </c>
    </row>
    <row r="13" spans="2:11" x14ac:dyDescent="0.3">
      <c r="D13" s="10"/>
      <c r="E13" s="10"/>
      <c r="F13" s="10"/>
      <c r="G13" s="10"/>
      <c r="H13" s="10"/>
      <c r="I13" s="10"/>
      <c r="J13" s="10"/>
      <c r="K13" s="10"/>
    </row>
    <row r="14" spans="2:11" x14ac:dyDescent="0.3">
      <c r="C14" t="s">
        <v>143</v>
      </c>
      <c r="D14" s="10"/>
      <c r="E14" s="10"/>
      <c r="F14" s="10"/>
      <c r="G14" s="10"/>
      <c r="H14" s="10"/>
      <c r="I14" s="10"/>
      <c r="J14" s="10"/>
      <c r="K14" s="10"/>
    </row>
    <row r="15" spans="2:11" x14ac:dyDescent="0.3">
      <c r="B15" s="7" t="s">
        <v>93</v>
      </c>
      <c r="C15" t="s">
        <v>94</v>
      </c>
      <c r="D15" s="10"/>
      <c r="E15" s="10"/>
      <c r="F15" s="10"/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2:11" x14ac:dyDescent="0.3">
      <c r="B16" s="7" t="s">
        <v>95</v>
      </c>
      <c r="C16" t="s">
        <v>96</v>
      </c>
      <c r="D16" s="10"/>
      <c r="E16" s="10"/>
      <c r="F16" s="10"/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x14ac:dyDescent="0.3">
      <c r="C17" t="s">
        <v>144</v>
      </c>
      <c r="D17" s="10"/>
      <c r="E17" s="10"/>
      <c r="F17" s="10"/>
      <c r="G17" s="10"/>
      <c r="H17" s="10"/>
      <c r="I17" s="10"/>
      <c r="J17" s="10"/>
      <c r="K17" s="10"/>
    </row>
    <row r="18" spans="2:11" x14ac:dyDescent="0.3">
      <c r="D18" s="10"/>
      <c r="E18" s="10"/>
      <c r="F18" s="10"/>
      <c r="G18" s="10"/>
      <c r="H18" s="10"/>
      <c r="I18" s="10"/>
      <c r="J18" s="10"/>
      <c r="K18" s="10"/>
    </row>
    <row r="19" spans="2:11" x14ac:dyDescent="0.3">
      <c r="C19" t="s">
        <v>145</v>
      </c>
      <c r="D19" s="10"/>
      <c r="E19" s="10"/>
      <c r="F19" s="10"/>
      <c r="G19" s="28">
        <v>0</v>
      </c>
      <c r="H19" s="28">
        <v>0</v>
      </c>
      <c r="I19" s="28">
        <v>0</v>
      </c>
      <c r="J19" s="28">
        <v>0</v>
      </c>
      <c r="K19" s="28">
        <v>0</v>
      </c>
    </row>
    <row r="20" spans="2:11" x14ac:dyDescent="0.3">
      <c r="D20" s="10"/>
      <c r="E20" s="10"/>
      <c r="F20" s="10"/>
      <c r="G20" s="10"/>
      <c r="H20" s="10"/>
      <c r="I20" s="10"/>
      <c r="J20" s="10"/>
      <c r="K20" s="10"/>
    </row>
    <row r="21" spans="2:11" x14ac:dyDescent="0.3">
      <c r="C21" t="s">
        <v>146</v>
      </c>
      <c r="D21" s="10"/>
      <c r="E21" s="10"/>
      <c r="F21" s="10"/>
      <c r="G21" s="10"/>
      <c r="H21" s="10"/>
      <c r="I21" s="10"/>
      <c r="J21" s="10"/>
      <c r="K21" s="10"/>
    </row>
    <row r="22" spans="2:11" x14ac:dyDescent="0.3">
      <c r="B22" s="7" t="s">
        <v>93</v>
      </c>
      <c r="C22" t="s">
        <v>148</v>
      </c>
      <c r="D22" s="10"/>
      <c r="E22" s="10"/>
      <c r="F22" s="10"/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2:11" x14ac:dyDescent="0.3">
      <c r="B23" s="7" t="s">
        <v>95</v>
      </c>
      <c r="C23" t="s">
        <v>129</v>
      </c>
      <c r="D23" s="10"/>
      <c r="E23" s="10"/>
      <c r="F23" s="10"/>
      <c r="G23" s="10">
        <v>0</v>
      </c>
      <c r="H23" s="10">
        <v>0</v>
      </c>
      <c r="I23" s="10">
        <v>0</v>
      </c>
      <c r="J23" s="10">
        <v>0</v>
      </c>
      <c r="K23" s="10">
        <v>0</v>
      </c>
    </row>
    <row r="24" spans="2:11" x14ac:dyDescent="0.3">
      <c r="C24" t="s">
        <v>147</v>
      </c>
      <c r="D24" s="10"/>
      <c r="E24" s="10"/>
      <c r="F24" s="10"/>
      <c r="G24" s="10"/>
      <c r="H24" s="10"/>
      <c r="I24" s="10"/>
      <c r="J24" s="10"/>
      <c r="K24" s="10"/>
    </row>
    <row r="25" spans="2:11" x14ac:dyDescent="0.3">
      <c r="D25" s="10"/>
      <c r="E25" s="10"/>
      <c r="F25" s="10"/>
      <c r="G25" s="10"/>
      <c r="H25" s="10"/>
      <c r="I25" s="10"/>
      <c r="J25" s="10"/>
      <c r="K25" s="10"/>
    </row>
    <row r="26" spans="2:11" x14ac:dyDescent="0.3">
      <c r="C26" t="s">
        <v>149</v>
      </c>
      <c r="D26" s="10"/>
      <c r="E26" s="10"/>
      <c r="F26" s="10"/>
      <c r="G26" s="28">
        <v>0.03</v>
      </c>
      <c r="H26" s="28">
        <v>0.03</v>
      </c>
      <c r="I26" s="28">
        <v>0.03</v>
      </c>
      <c r="J26" s="28">
        <v>0.03</v>
      </c>
      <c r="K26" s="28">
        <v>0.03</v>
      </c>
    </row>
    <row r="27" spans="2:11" x14ac:dyDescent="0.3">
      <c r="C27" t="s">
        <v>150</v>
      </c>
      <c r="D27" s="10"/>
      <c r="E27" s="10"/>
      <c r="F27" s="10"/>
      <c r="G27" s="27">
        <v>3.0000000000000001E-3</v>
      </c>
      <c r="H27" s="27">
        <v>3.0000000000000001E-3</v>
      </c>
      <c r="I27" s="27">
        <v>3.0000000000000001E-3</v>
      </c>
      <c r="J27" s="27">
        <v>3.0000000000000001E-3</v>
      </c>
      <c r="K27" s="27">
        <v>3.0000000000000001E-3</v>
      </c>
    </row>
    <row r="28" spans="2:11" x14ac:dyDescent="0.3">
      <c r="D28" s="10"/>
      <c r="E28" s="10"/>
      <c r="F28" s="10"/>
      <c r="G28" s="10"/>
      <c r="H28" s="10"/>
      <c r="I28" s="10"/>
      <c r="J28" s="10"/>
      <c r="K28" s="10"/>
    </row>
    <row r="29" spans="2:11" x14ac:dyDescent="0.3">
      <c r="C29" t="s">
        <v>176</v>
      </c>
      <c r="D29" s="28">
        <v>0.03</v>
      </c>
      <c r="E29" s="28">
        <v>0.03</v>
      </c>
      <c r="F29" s="28">
        <v>0.03</v>
      </c>
      <c r="G29" s="28">
        <v>0.03</v>
      </c>
      <c r="H29" s="28">
        <v>0.03</v>
      </c>
      <c r="I29" s="28">
        <v>0.03</v>
      </c>
      <c r="J29" s="28">
        <v>0.03</v>
      </c>
      <c r="K29" s="28">
        <v>0.03</v>
      </c>
    </row>
    <row r="31" spans="2:11" x14ac:dyDescent="0.3">
      <c r="C31" t="s">
        <v>191</v>
      </c>
      <c r="D31" s="44">
        <v>10</v>
      </c>
    </row>
    <row r="35" spans="3:4" x14ac:dyDescent="0.3">
      <c r="C35" t="s">
        <v>200</v>
      </c>
      <c r="D35" s="58" t="s">
        <v>199</v>
      </c>
    </row>
    <row r="36" spans="3:4" x14ac:dyDescent="0.3">
      <c r="C36" t="s">
        <v>201</v>
      </c>
      <c r="D36" s="58" t="s">
        <v>202</v>
      </c>
    </row>
  </sheetData>
  <mergeCells count="1">
    <mergeCell ref="D3:K3"/>
  </mergeCells>
  <hyperlinks>
    <hyperlink ref="D35" r:id="rId1" display="https://abc.xyz/assets/c2/3e/0d6d568e4f56a1d14ca6b70c3443/goog-10-q-q3-2023.pdf" xr:uid="{F98AB299-F89A-4CF7-9C8C-5797326CE1EC}"/>
    <hyperlink ref="D36" r:id="rId2" display="https://abc.xyz/assets/9a/bd/838c917c4b4ab21f94e84c3c2c65/goog-10-k-q4-2022.pdf" xr:uid="{D044C34C-DFC1-49C2-9A99-614853E56C8F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Operating Model - IS, BS, CF</vt:lpstr>
      <vt:lpstr>Working Cap Schedule</vt:lpstr>
      <vt:lpstr>Equity Schedule</vt:lpstr>
      <vt:lpstr>D&amp;A</vt:lpstr>
      <vt:lpstr>Debt and Interest Schedule </vt:lpstr>
      <vt:lpstr>DCF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varun jithava</cp:lastModifiedBy>
  <dcterms:created xsi:type="dcterms:W3CDTF">2020-09-08T15:19:35Z</dcterms:created>
  <dcterms:modified xsi:type="dcterms:W3CDTF">2023-11-16T07:49:06Z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2023-10-29T07:12:12Z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a0c9ab8a-0c32-4b2b-9c2c-adfdf11dfb6d</vt:lpwstr>
  </property>
  <property fmtid="{D5CDD505-2E9C-101B-9397-08002B2CF9AE}" pid="7" name="MSIP_Label_defa4170-0d19-0005-0004-bc88714345d2_ActionId">
    <vt:lpwstr>4b725331-9144-43b7-8683-854d9c6682b4</vt:lpwstr>
  </property>
  <property fmtid="{D5CDD505-2E9C-101B-9397-08002B2CF9AE}" pid="8" name="MSIP_Label_defa4170-0d19-0005-0004-bc88714345d2_ContentBits">
    <vt:lpwstr>0</vt:lpwstr>
  </property>
</Properties>
</file>