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Laptop\Models\"/>
    </mc:Choice>
  </mc:AlternateContent>
  <xr:revisionPtr revIDLastSave="0" documentId="13_ncr:1_{8E91248C-2C96-43A3-84D4-D124122E85D1}" xr6:coauthVersionLast="47" xr6:coauthVersionMax="47" xr10:uidLastSave="{00000000-0000-0000-0000-000000000000}"/>
  <bookViews>
    <workbookView xWindow="-108" yWindow="-108" windowWidth="23256" windowHeight="12456" tabRatio="813" xr2:uid="{5AC94D1B-F088-4697-AA70-D6C25E75C604}"/>
  </bookViews>
  <sheets>
    <sheet name="Bond Value" sheetId="1" r:id="rId1"/>
    <sheet name="YTM" sheetId="3" r:id="rId2"/>
    <sheet name="Spot Rates" sheetId="2" r:id="rId3"/>
    <sheet name="Price-Yield Curve" sheetId="4" r:id="rId4"/>
    <sheet name="Forward Rates" sheetId="5" r:id="rId5"/>
    <sheet name="Z-Spread" sheetId="7" r:id="rId6"/>
    <sheet name="Duration &amp; Convexity" sheetId="8" r:id="rId7"/>
    <sheet name="Immunization" sheetId="9" r:id="rId8"/>
    <sheet name="Bootstrapping" sheetId="10" r:id="rId9"/>
    <sheet name="Swaps" sheetId="11" r:id="rId10"/>
    <sheet name="Delineating Portfolio" sheetId="12" r:id="rId11"/>
  </sheets>
  <definedNames>
    <definedName name="solver_adj" localSheetId="10" hidden="1">'Delineating Portfolio'!$B$3</definedName>
    <definedName name="solver_adj" localSheetId="2" hidden="1">'Spot Rates'!$B$5</definedName>
    <definedName name="solver_adj" localSheetId="1" hidden="1">YTM!$B$6</definedName>
    <definedName name="solver_adj" localSheetId="5" hidden="1">'Z-Spread'!$B$5</definedName>
    <definedName name="solver_cvg" localSheetId="10" hidden="1">0.0001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10" hidden="1">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10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10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10" hidden="1">2147483647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10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10" hidden="1">30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10" hidden="1">0.075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10" hidden="1">2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10" hidden="1">1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10" hidden="1">2147483647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10" hidden="1">0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10" hidden="1">1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10" hidden="1">'Delineating Portfolio'!$B$8</definedName>
    <definedName name="solver_opt" localSheetId="2" hidden="1">'Spot Rates'!$B$14</definedName>
    <definedName name="solver_opt" localSheetId="1" hidden="1">YTM!$B$10</definedName>
    <definedName name="solver_opt" localSheetId="5" hidden="1">'Z-Spread'!$B$11</definedName>
    <definedName name="solver_pre" localSheetId="10" hidden="1">0.000001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10" hidden="1">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10" hidden="1">2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10" hidden="1">0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10" hidden="1">1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10" hidden="1">2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10" hidden="1">100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10" hidden="1">2147483647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10" hidden="1">0.01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10" hidden="1">2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10" hidden="1">0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10" hidden="1">3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C3" i="12"/>
  <c r="B9" i="12" s="1"/>
  <c r="I21" i="11" a="1"/>
  <c r="I21" i="11" s="1"/>
  <c r="I20" i="11" a="1"/>
  <c r="I20" i="11" s="1"/>
  <c r="I19" i="11" a="1"/>
  <c r="I19" i="11" s="1"/>
  <c r="I18" i="11" a="1"/>
  <c r="I18" i="11" s="1"/>
  <c r="I17" i="11" a="1"/>
  <c r="I17" i="11" s="1"/>
  <c r="I16" i="11" a="1"/>
  <c r="I16" i="11" s="1"/>
  <c r="I15" i="11" a="1"/>
  <c r="I15" i="11" s="1"/>
  <c r="I14" i="11" a="1"/>
  <c r="I14" i="11" s="1"/>
  <c r="I13" i="11" a="1"/>
  <c r="I13" i="11" s="1"/>
  <c r="I12" i="11" a="1"/>
  <c r="I12" i="11" s="1"/>
  <c r="F21" i="11" a="1"/>
  <c r="F21" i="11" s="1"/>
  <c r="F20" i="11" a="1"/>
  <c r="F20" i="11" s="1"/>
  <c r="F19" i="11" a="1"/>
  <c r="F19" i="11" s="1"/>
  <c r="F18" i="11" a="1"/>
  <c r="F18" i="11" s="1"/>
  <c r="F17" i="11" a="1"/>
  <c r="F17" i="11" s="1"/>
  <c r="F16" i="11" a="1"/>
  <c r="F16" i="11" s="1"/>
  <c r="F15" i="11" a="1"/>
  <c r="F15" i="11" s="1"/>
  <c r="F14" i="11" a="1"/>
  <c r="F14" i="11" s="1"/>
  <c r="F13" i="11" a="1"/>
  <c r="F13" i="11" s="1"/>
  <c r="F12" i="11" a="1"/>
  <c r="F12" i="11" s="1"/>
  <c r="E21" i="11"/>
  <c r="E20" i="11"/>
  <c r="G20" i="11" s="1"/>
  <c r="E19" i="11"/>
  <c r="E18" i="11"/>
  <c r="G18" i="11" s="1"/>
  <c r="E17" i="11"/>
  <c r="E16" i="11"/>
  <c r="G16" i="11" s="1"/>
  <c r="E15" i="11"/>
  <c r="E14" i="11"/>
  <c r="G14" i="11" s="1"/>
  <c r="E13" i="11"/>
  <c r="G21" i="11"/>
  <c r="G17" i="11"/>
  <c r="G15" i="11"/>
  <c r="E12" i="11"/>
  <c r="G19" i="11"/>
  <c r="G13" i="11"/>
  <c r="I11" i="11"/>
  <c r="F11" i="11"/>
  <c r="H56" i="10"/>
  <c r="G56" i="10"/>
  <c r="F56" i="10"/>
  <c r="E56" i="10"/>
  <c r="H55" i="10"/>
  <c r="G55" i="10"/>
  <c r="F55" i="10"/>
  <c r="E55" i="10"/>
  <c r="H54" i="10"/>
  <c r="G54" i="10"/>
  <c r="F54" i="10"/>
  <c r="E54" i="10"/>
  <c r="H53" i="10"/>
  <c r="G53" i="10"/>
  <c r="F53" i="10"/>
  <c r="E53" i="10"/>
  <c r="K53" i="10" s="1" a="1"/>
  <c r="K53" i="10" s="1"/>
  <c r="C57" i="10" s="1"/>
  <c r="C47" i="10"/>
  <c r="C23" i="10"/>
  <c r="C22" i="10"/>
  <c r="C21" i="10"/>
  <c r="C20" i="10"/>
  <c r="C19" i="10"/>
  <c r="H16" i="10"/>
  <c r="H15" i="10"/>
  <c r="H14" i="10"/>
  <c r="H13" i="10"/>
  <c r="H12" i="10"/>
  <c r="F16" i="10"/>
  <c r="E16" i="10"/>
  <c r="D16" i="10"/>
  <c r="C16" i="10"/>
  <c r="D15" i="10"/>
  <c r="C15" i="10"/>
  <c r="C14" i="10"/>
  <c r="E15" i="10"/>
  <c r="D14" i="10"/>
  <c r="C13" i="10"/>
  <c r="B12" i="10"/>
  <c r="B16" i="10"/>
  <c r="B15" i="10"/>
  <c r="B14" i="10"/>
  <c r="B13" i="10"/>
  <c r="C8" i="9"/>
  <c r="B8" i="9"/>
  <c r="C7" i="9"/>
  <c r="B7" i="9"/>
  <c r="F5" i="9"/>
  <c r="C5" i="9"/>
  <c r="C4" i="9"/>
  <c r="F4" i="9"/>
  <c r="D7" i="9" s="1"/>
  <c r="N24" i="8"/>
  <c r="M24" i="8"/>
  <c r="L24" i="8"/>
  <c r="K24" i="8"/>
  <c r="J24" i="8"/>
  <c r="I24" i="8"/>
  <c r="H24" i="8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G23" i="8" a="1"/>
  <c r="G23" i="8" s="1"/>
  <c r="G24" i="8" s="1"/>
  <c r="F23" i="8" a="1"/>
  <c r="F23" i="8" s="1"/>
  <c r="F24" i="8" s="1"/>
  <c r="E23" i="8" a="1"/>
  <c r="E23" i="8" s="1"/>
  <c r="E24" i="8" s="1"/>
  <c r="N22" i="8"/>
  <c r="M22" i="8"/>
  <c r="L22" i="8"/>
  <c r="K22" i="8"/>
  <c r="J22" i="8"/>
  <c r="I22" i="8"/>
  <c r="H22" i="8"/>
  <c r="G22" i="8"/>
  <c r="F22" i="8"/>
  <c r="E22" i="8"/>
  <c r="D22" i="8"/>
  <c r="N19" i="8"/>
  <c r="M19" i="8"/>
  <c r="L19" i="8"/>
  <c r="K19" i="8"/>
  <c r="J19" i="8"/>
  <c r="I19" i="8"/>
  <c r="H19" i="8"/>
  <c r="N17" i="8"/>
  <c r="M17" i="8"/>
  <c r="L17" i="8"/>
  <c r="K17" i="8"/>
  <c r="J17" i="8"/>
  <c r="I17" i="8"/>
  <c r="H17" i="8"/>
  <c r="N15" i="8"/>
  <c r="M15" i="8"/>
  <c r="L15" i="8"/>
  <c r="K15" i="8"/>
  <c r="J15" i="8"/>
  <c r="I15" i="8"/>
  <c r="H15" i="8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G15" i="8" s="1"/>
  <c r="F14" i="8" a="1"/>
  <c r="F14" i="8" s="1"/>
  <c r="F15" i="8" s="1"/>
  <c r="E14" i="8" a="1"/>
  <c r="E14" i="8" s="1"/>
  <c r="E15" i="8" s="1"/>
  <c r="N13" i="8"/>
  <c r="M13" i="8"/>
  <c r="L13" i="8"/>
  <c r="K13" i="8"/>
  <c r="J13" i="8"/>
  <c r="I13" i="8"/>
  <c r="H13" i="8"/>
  <c r="G13" i="8"/>
  <c r="F13" i="8"/>
  <c r="E13" i="8"/>
  <c r="D13" i="8"/>
  <c r="N11" i="8"/>
  <c r="M11" i="8"/>
  <c r="L11" i="8"/>
  <c r="K11" i="8"/>
  <c r="J11" i="8"/>
  <c r="I11" i="8"/>
  <c r="H11" i="8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G11" i="8" s="1"/>
  <c r="G17" i="8" s="1"/>
  <c r="F10" i="8" a="1"/>
  <c r="F10" i="8" s="1"/>
  <c r="F11" i="8" s="1"/>
  <c r="F17" i="8" s="1"/>
  <c r="E10" i="8" a="1"/>
  <c r="E10" i="8" s="1"/>
  <c r="E11" i="8" s="1"/>
  <c r="N9" i="8"/>
  <c r="M9" i="8"/>
  <c r="L9" i="8"/>
  <c r="K9" i="8"/>
  <c r="J9" i="8"/>
  <c r="I9" i="8"/>
  <c r="H9" i="8"/>
  <c r="G9" i="8"/>
  <c r="F9" i="8"/>
  <c r="E9" i="8"/>
  <c r="D9" i="8"/>
  <c r="B15" i="7"/>
  <c r="N10" i="7"/>
  <c r="M10" i="7"/>
  <c r="L10" i="7"/>
  <c r="K10" i="7"/>
  <c r="J10" i="7"/>
  <c r="I10" i="7"/>
  <c r="H10" i="7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G10" i="7" s="1"/>
  <c r="F9" i="7" a="1"/>
  <c r="F9" i="7" s="1"/>
  <c r="E9" i="7" a="1"/>
  <c r="E9" i="7" s="1"/>
  <c r="N8" i="7"/>
  <c r="M8" i="7"/>
  <c r="L8" i="7"/>
  <c r="K8" i="7"/>
  <c r="J8" i="7"/>
  <c r="I8" i="7"/>
  <c r="H8" i="7"/>
  <c r="G8" i="7"/>
  <c r="F8" i="7"/>
  <c r="E8" i="7"/>
  <c r="D8" i="7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I29" i="4" s="1"/>
  <c r="H7" i="4" a="1"/>
  <c r="H7" i="4" s="1"/>
  <c r="H29" i="4" s="1"/>
  <c r="G7" i="4" a="1"/>
  <c r="G7" i="4" s="1"/>
  <c r="G29" i="4" s="1"/>
  <c r="F7" i="4" a="1"/>
  <c r="F7" i="4" s="1"/>
  <c r="F29" i="4" s="1"/>
  <c r="E7" i="4" a="1"/>
  <c r="E7" i="4" s="1"/>
  <c r="E9" i="4" s="1"/>
  <c r="N6" i="4"/>
  <c r="M6" i="4"/>
  <c r="L6" i="4"/>
  <c r="K6" i="4"/>
  <c r="J6" i="4"/>
  <c r="I6" i="4"/>
  <c r="H6" i="4"/>
  <c r="G6" i="4"/>
  <c r="F6" i="4"/>
  <c r="E6" i="4"/>
  <c r="D6" i="4"/>
  <c r="N14" i="2"/>
  <c r="M14" i="2"/>
  <c r="L14" i="2"/>
  <c r="K14" i="2"/>
  <c r="J14" i="2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I14" i="2" s="1"/>
  <c r="H13" i="2" a="1"/>
  <c r="H13" i="2" s="1"/>
  <c r="H14" i="2" s="1"/>
  <c r="G13" i="2" a="1"/>
  <c r="G13" i="2" s="1"/>
  <c r="F13" i="2" a="1"/>
  <c r="F13" i="2" s="1"/>
  <c r="E13" i="2" a="1"/>
  <c r="E13" i="2" s="1"/>
  <c r="N12" i="2"/>
  <c r="M12" i="2"/>
  <c r="L12" i="2"/>
  <c r="K12" i="2"/>
  <c r="J12" i="2"/>
  <c r="I12" i="2"/>
  <c r="H12" i="2"/>
  <c r="G12" i="2"/>
  <c r="F12" i="2"/>
  <c r="E12" i="2"/>
  <c r="D12" i="2"/>
  <c r="N10" i="2"/>
  <c r="M10" i="2"/>
  <c r="L10" i="2"/>
  <c r="K10" i="2"/>
  <c r="J10" i="2"/>
  <c r="I10" i="2"/>
  <c r="H10" i="2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N8" i="2"/>
  <c r="M8" i="2"/>
  <c r="L8" i="2"/>
  <c r="K8" i="2"/>
  <c r="J8" i="2"/>
  <c r="I8" i="2"/>
  <c r="H8" i="2"/>
  <c r="G8" i="2"/>
  <c r="F8" i="2"/>
  <c r="E8" i="2"/>
  <c r="D8" i="2"/>
  <c r="N10" i="3"/>
  <c r="M10" i="3"/>
  <c r="L10" i="3"/>
  <c r="K10" i="3"/>
  <c r="J10" i="3"/>
  <c r="N9" i="3" a="1"/>
  <c r="N9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N8" i="3"/>
  <c r="M8" i="3"/>
  <c r="L8" i="3"/>
  <c r="K8" i="3"/>
  <c r="J8" i="3"/>
  <c r="I8" i="3"/>
  <c r="H8" i="3"/>
  <c r="G8" i="3"/>
  <c r="F8" i="3"/>
  <c r="E8" i="3"/>
  <c r="D8" i="3"/>
  <c r="N8" i="1" a="1"/>
  <c r="N8" i="1" s="1"/>
  <c r="M8" i="1" a="1"/>
  <c r="M8" i="1" s="1"/>
  <c r="L8" i="1" a="1"/>
  <c r="L8" i="1" s="1"/>
  <c r="K8" i="1" a="1"/>
  <c r="K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E7" i="1"/>
  <c r="N7" i="1"/>
  <c r="M7" i="1"/>
  <c r="L7" i="1"/>
  <c r="K7" i="1"/>
  <c r="K9" i="1" s="1"/>
  <c r="J7" i="1"/>
  <c r="I7" i="1"/>
  <c r="H7" i="1"/>
  <c r="G7" i="1"/>
  <c r="F7" i="1"/>
  <c r="D7" i="1"/>
  <c r="J9" i="1" l="1"/>
  <c r="L9" i="1"/>
  <c r="M9" i="1"/>
  <c r="N9" i="1"/>
  <c r="B8" i="12"/>
  <c r="J13" i="11"/>
  <c r="K13" i="11" s="1"/>
  <c r="J14" i="11"/>
  <c r="K14" i="11" s="1"/>
  <c r="H15" i="11"/>
  <c r="H17" i="11"/>
  <c r="H19" i="11"/>
  <c r="H21" i="11"/>
  <c r="G12" i="11"/>
  <c r="H12" i="11" s="1"/>
  <c r="J15" i="11"/>
  <c r="K15" i="11" s="1"/>
  <c r="J17" i="11"/>
  <c r="K17" i="11" s="1"/>
  <c r="J19" i="11"/>
  <c r="J21" i="11"/>
  <c r="K19" i="11"/>
  <c r="K21" i="11"/>
  <c r="H16" i="11"/>
  <c r="H18" i="11"/>
  <c r="H20" i="11"/>
  <c r="J12" i="11"/>
  <c r="K12" i="11" s="1"/>
  <c r="J16" i="11"/>
  <c r="K16" i="11" s="1"/>
  <c r="J18" i="11"/>
  <c r="K18" i="11" s="1"/>
  <c r="J20" i="11"/>
  <c r="K20" i="11" s="1"/>
  <c r="H13" i="11"/>
  <c r="H14" i="11"/>
  <c r="B19" i="10" a="1"/>
  <c r="B19" i="10" s="1"/>
  <c r="D19" i="10" s="1"/>
  <c r="D8" i="9"/>
  <c r="B11" i="9" s="1" a="1"/>
  <c r="B23" i="8"/>
  <c r="B10" i="8"/>
  <c r="E17" i="8"/>
  <c r="B14" i="8"/>
  <c r="B15" i="8" s="1"/>
  <c r="F10" i="7"/>
  <c r="E10" i="7"/>
  <c r="E11" i="4"/>
  <c r="E13" i="4"/>
  <c r="E15" i="4"/>
  <c r="E17" i="4"/>
  <c r="E19" i="4"/>
  <c r="E21" i="4"/>
  <c r="E23" i="4"/>
  <c r="E25" i="4"/>
  <c r="E27" i="4"/>
  <c r="E29" i="4"/>
  <c r="O29" i="4" s="1"/>
  <c r="C29" i="4" s="1"/>
  <c r="F9" i="4"/>
  <c r="F10" i="4"/>
  <c r="F12" i="4"/>
  <c r="F14" i="4"/>
  <c r="F16" i="4"/>
  <c r="F18" i="4"/>
  <c r="F20" i="4"/>
  <c r="F22" i="4"/>
  <c r="F24" i="4"/>
  <c r="F26" i="4"/>
  <c r="F28" i="4"/>
  <c r="G10" i="4"/>
  <c r="G12" i="4"/>
  <c r="G14" i="4"/>
  <c r="G16" i="4"/>
  <c r="G18" i="4"/>
  <c r="G20" i="4"/>
  <c r="G22" i="4"/>
  <c r="G24" i="4"/>
  <c r="G26" i="4"/>
  <c r="G28" i="4"/>
  <c r="H9" i="4"/>
  <c r="H10" i="4"/>
  <c r="H12" i="4"/>
  <c r="H14" i="4"/>
  <c r="H16" i="4"/>
  <c r="H18" i="4"/>
  <c r="H20" i="4"/>
  <c r="H22" i="4"/>
  <c r="H24" i="4"/>
  <c r="H26" i="4"/>
  <c r="H28" i="4"/>
  <c r="I10" i="4"/>
  <c r="I12" i="4"/>
  <c r="I14" i="4"/>
  <c r="I16" i="4"/>
  <c r="I18" i="4"/>
  <c r="I20" i="4"/>
  <c r="I22" i="4"/>
  <c r="I24" i="4"/>
  <c r="I26" i="4"/>
  <c r="I28" i="4"/>
  <c r="E10" i="4"/>
  <c r="E12" i="4"/>
  <c r="E14" i="4"/>
  <c r="E16" i="4"/>
  <c r="E18" i="4"/>
  <c r="E20" i="4"/>
  <c r="E22" i="4"/>
  <c r="E24" i="4"/>
  <c r="E26" i="4"/>
  <c r="E28" i="4"/>
  <c r="G9" i="4"/>
  <c r="F11" i="4"/>
  <c r="F13" i="4"/>
  <c r="F15" i="4"/>
  <c r="F17" i="4"/>
  <c r="F19" i="4"/>
  <c r="F21" i="4"/>
  <c r="F23" i="4"/>
  <c r="F25" i="4"/>
  <c r="F27" i="4"/>
  <c r="G11" i="4"/>
  <c r="G13" i="4"/>
  <c r="G15" i="4"/>
  <c r="G17" i="4"/>
  <c r="G19" i="4"/>
  <c r="G21" i="4"/>
  <c r="G23" i="4"/>
  <c r="G25" i="4"/>
  <c r="G27" i="4"/>
  <c r="I9" i="4"/>
  <c r="H11" i="4"/>
  <c r="H13" i="4"/>
  <c r="H15" i="4"/>
  <c r="H17" i="4"/>
  <c r="H19" i="4"/>
  <c r="H21" i="4"/>
  <c r="H23" i="4"/>
  <c r="H25" i="4"/>
  <c r="H27" i="4"/>
  <c r="I11" i="4"/>
  <c r="I13" i="4"/>
  <c r="I15" i="4"/>
  <c r="I17" i="4"/>
  <c r="I19" i="4"/>
  <c r="I21" i="4"/>
  <c r="I23" i="4"/>
  <c r="I25" i="4"/>
  <c r="I27" i="4"/>
  <c r="B7" i="4"/>
  <c r="F14" i="2"/>
  <c r="F10" i="2"/>
  <c r="E10" i="2"/>
  <c r="G10" i="2"/>
  <c r="E14" i="2"/>
  <c r="G14" i="2"/>
  <c r="B13" i="2" s="1"/>
  <c r="F10" i="3"/>
  <c r="H10" i="3"/>
  <c r="G10" i="3"/>
  <c r="I10" i="3"/>
  <c r="E10" i="3"/>
  <c r="I9" i="1"/>
  <c r="G9" i="1"/>
  <c r="E9" i="1"/>
  <c r="H9" i="1"/>
  <c r="F9" i="1"/>
  <c r="B8" i="1"/>
  <c r="B11" i="9" l="1"/>
  <c r="C12" i="9"/>
  <c r="B9" i="2"/>
  <c r="B14" i="2" s="1"/>
  <c r="K22" i="11"/>
  <c r="H22" i="11"/>
  <c r="D23" i="10"/>
  <c r="D22" i="10"/>
  <c r="D21" i="10"/>
  <c r="D20" i="10"/>
  <c r="C11" i="9"/>
  <c r="B24" i="8"/>
  <c r="F19" i="8"/>
  <c r="B20" i="8"/>
  <c r="G19" i="8"/>
  <c r="E19" i="8"/>
  <c r="B17" i="8"/>
  <c r="B18" i="8" s="1"/>
  <c r="B9" i="7"/>
  <c r="B11" i="7" s="1"/>
  <c r="O9" i="4"/>
  <c r="C9" i="4" s="1"/>
  <c r="O26" i="4"/>
  <c r="C26" i="4" s="1"/>
  <c r="O22" i="4"/>
  <c r="C22" i="4" s="1"/>
  <c r="O28" i="4"/>
  <c r="C28" i="4" s="1"/>
  <c r="O24" i="4"/>
  <c r="C24" i="4" s="1"/>
  <c r="O20" i="4"/>
  <c r="C20" i="4" s="1"/>
  <c r="O16" i="4"/>
  <c r="C16" i="4" s="1"/>
  <c r="O12" i="4"/>
  <c r="C12" i="4" s="1"/>
  <c r="O18" i="4"/>
  <c r="C18" i="4" s="1"/>
  <c r="O14" i="4"/>
  <c r="C14" i="4" s="1"/>
  <c r="O10" i="4"/>
  <c r="C10" i="4" s="1"/>
  <c r="O27" i="4"/>
  <c r="C27" i="4" s="1"/>
  <c r="O23" i="4"/>
  <c r="C23" i="4" s="1"/>
  <c r="O19" i="4"/>
  <c r="C19" i="4" s="1"/>
  <c r="O15" i="4"/>
  <c r="C15" i="4" s="1"/>
  <c r="O11" i="4"/>
  <c r="C11" i="4" s="1"/>
  <c r="O25" i="4"/>
  <c r="C25" i="4" s="1"/>
  <c r="O21" i="4"/>
  <c r="C21" i="4" s="1"/>
  <c r="O17" i="4"/>
  <c r="C17" i="4" s="1"/>
  <c r="O13" i="4"/>
  <c r="C13" i="4" s="1"/>
  <c r="B9" i="3"/>
  <c r="B10" i="3" s="1"/>
  <c r="B9" i="1"/>
  <c r="B12" i="11" l="1"/>
  <c r="B19" i="8"/>
  <c r="B25" i="8" s="1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<sst xmlns="http://schemas.openxmlformats.org/spreadsheetml/2006/main" count="165" uniqueCount="88">
  <si>
    <t>Face Value</t>
  </si>
  <si>
    <t>Coupon</t>
  </si>
  <si>
    <t>Coupon Rate</t>
  </si>
  <si>
    <t>Yield</t>
  </si>
  <si>
    <t>Yield/Benchmark</t>
  </si>
  <si>
    <t>Time</t>
  </si>
  <si>
    <t>Total returns</t>
  </si>
  <si>
    <t>Par Value</t>
  </si>
  <si>
    <t>Difference</t>
  </si>
  <si>
    <t>Current Yield for Zero-Coupon Bonds</t>
  </si>
  <si>
    <t>Face Value of Corporate Bond</t>
  </si>
  <si>
    <t>Par Value of Corporate Bond</t>
  </si>
  <si>
    <t>Spot Rates</t>
  </si>
  <si>
    <t>Total Returns</t>
  </si>
  <si>
    <t>YTM</t>
  </si>
  <si>
    <t xml:space="preserve">Bond 1 </t>
  </si>
  <si>
    <t>Spot Rate</t>
  </si>
  <si>
    <t>Bond 2</t>
  </si>
  <si>
    <t>Forward Rate</t>
  </si>
  <si>
    <t>(Higher Duration)</t>
  </si>
  <si>
    <t>(Lower Duration)</t>
  </si>
  <si>
    <t>Forward Rates</t>
  </si>
  <si>
    <t>Z-Spread</t>
  </si>
  <si>
    <t>Coupon Rate of Corporate Bond</t>
  </si>
  <si>
    <t>Spot Rates of Government Bond</t>
  </si>
  <si>
    <t>Current Price of Corporate Bond</t>
  </si>
  <si>
    <t>YTM of Corporate Bond</t>
  </si>
  <si>
    <t>YTM of Government Bond</t>
  </si>
  <si>
    <t>G-Spread</t>
  </si>
  <si>
    <t>(Calculate from YTM sheet)</t>
  </si>
  <si>
    <t>Macauley Duration</t>
  </si>
  <si>
    <t>Actual YTM</t>
  </si>
  <si>
    <t>New YTM</t>
  </si>
  <si>
    <t>Modified Duration</t>
  </si>
  <si>
    <t>Actual % Price change</t>
  </si>
  <si>
    <t>Convexity</t>
  </si>
  <si>
    <t>Par value of New YTM</t>
  </si>
  <si>
    <t>Par Value of Actual YTM</t>
  </si>
  <si>
    <t>Durations &amp; Convexity</t>
  </si>
  <si>
    <t>Dollar Duration</t>
  </si>
  <si>
    <t>Dollar Convexity</t>
  </si>
  <si>
    <t>Immunization (Bond Hedging)</t>
  </si>
  <si>
    <t>Bond</t>
  </si>
  <si>
    <t>Bond 1</t>
  </si>
  <si>
    <t>Bond 3</t>
  </si>
  <si>
    <t>Bond 4</t>
  </si>
  <si>
    <t>Long</t>
  </si>
  <si>
    <t>Short</t>
  </si>
  <si>
    <t>Price</t>
  </si>
  <si>
    <t>FV</t>
  </si>
  <si>
    <t>Discount Factors</t>
  </si>
  <si>
    <t>Linear Interpolation to find missing Bond rates</t>
  </si>
  <si>
    <t>Bond x</t>
  </si>
  <si>
    <t>Here x is the missing bond in bootstrapping series</t>
  </si>
  <si>
    <t>Bootstrapping (Used to value bonds in real life by considering spot rates of various bonds &amp; tenures)</t>
  </si>
  <si>
    <t>Cubic Interpolation to find missing Bond rates</t>
  </si>
  <si>
    <t>MMULT</t>
  </si>
  <si>
    <t>Current Bond Price</t>
  </si>
  <si>
    <t>Currency 1</t>
  </si>
  <si>
    <t>Currency 2</t>
  </si>
  <si>
    <t>Principal</t>
  </si>
  <si>
    <t>Swap rate</t>
  </si>
  <si>
    <t>Risk free rate</t>
  </si>
  <si>
    <t>Spot Price</t>
  </si>
  <si>
    <t>Discount Factor</t>
  </si>
  <si>
    <t>Present Value</t>
  </si>
  <si>
    <t>Swap Value</t>
  </si>
  <si>
    <t>Valuation of Swaps using Bonds/Forwards</t>
  </si>
  <si>
    <t>Frequency</t>
  </si>
  <si>
    <t>Delineating Portfolio</t>
  </si>
  <si>
    <t>Expected returns in %</t>
  </si>
  <si>
    <t>Asset weightage</t>
  </si>
  <si>
    <t>Variance</t>
  </si>
  <si>
    <t>Standard Deviation</t>
  </si>
  <si>
    <t>Correlation</t>
  </si>
  <si>
    <t>Expected return</t>
  </si>
  <si>
    <t>(Use Solver)</t>
  </si>
  <si>
    <t>CALCULATIONS</t>
  </si>
  <si>
    <t>Quantity</t>
  </si>
  <si>
    <t>Action</t>
  </si>
  <si>
    <t>Yield-to-Maturity (YTM)</t>
  </si>
  <si>
    <t>Price-Yield Curve</t>
  </si>
  <si>
    <t>Z-Spread &amp; G-Spread</t>
  </si>
  <si>
    <t>Constraints</t>
  </si>
  <si>
    <t>Only 10 years or lesser timeframe can be given as input</t>
  </si>
  <si>
    <t>None</t>
  </si>
  <si>
    <t>Only 5 bonds data can be given as input</t>
  </si>
  <si>
    <t>Time must be less than or equal to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</si>
</sst>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9" fontId="0" fillId="0" borderId="0" xfId="0" applyNumberFormat="1"/>
    <xf numFmtId="164" fontId="0" fillId="0" borderId="0" xfId="0" applyNumberForma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10" fontId="0" fillId="2" borderId="1" xfId="1" applyNumberFormat="1" applyFont="1" applyFill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9" fontId="0" fillId="2" borderId="1" xfId="0" applyNumberFormat="1" applyFill="1" applyBorder="1"/>
    <xf numFmtId="10" fontId="0" fillId="2" borderId="1" xfId="1" applyNumberFormat="1" applyFont="1" applyFill="1" applyBorder="1" applyAlignment="1">
      <alignment horizontal="center"/>
    </xf>
    <xf numFmtId="0" fontId="0" fillId="3" borderId="1" xfId="0" applyFill="1" applyBorder="1"/>
    <xf numFmtId="9" fontId="0" fillId="3" borderId="1" xfId="1" applyFont="1" applyFill="1" applyBorder="1"/>
    <xf numFmtId="164" fontId="0" fillId="3" borderId="1" xfId="0" applyNumberFormat="1" applyFill="1" applyBorder="1"/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/>
    <xf numFmtId="10" fontId="0" fillId="3" borderId="1" xfId="1" applyNumberFormat="1" applyFont="1" applyFill="1" applyBorder="1"/>
    <xf numFmtId="0" fontId="0" fillId="0" borderId="0" xfId="0" applyAlignment="1">
      <alignment wrapText="1"/>
    </xf>
    <xf numFmtId="0" fontId="0" fillId="0" borderId="1" xfId="0" applyFill="1" applyBorder="1"/>
    <xf numFmtId="9" fontId="0" fillId="0" borderId="1" xfId="0" applyNumberFormat="1" applyBorder="1"/>
    <xf numFmtId="2" fontId="0" fillId="3" borderId="1" xfId="0" applyNumberFormat="1" applyFill="1" applyBorder="1"/>
    <xf numFmtId="10" fontId="0" fillId="2" borderId="1" xfId="0" applyNumberFormat="1" applyFill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9" fontId="0" fillId="0" borderId="1" xfId="1" applyFont="1" applyBorder="1"/>
    <xf numFmtId="0" fontId="0" fillId="4" borderId="1" xfId="0" applyFill="1" applyBorder="1"/>
    <xf numFmtId="0" fontId="0" fillId="4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5" fontId="2" fillId="0" borderId="9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166" fontId="0" fillId="0" borderId="1" xfId="1" applyNumberFormat="1" applyFont="1" applyBorder="1"/>
    <xf numFmtId="10" fontId="0" fillId="0" borderId="1" xfId="1" applyNumberFormat="1" applyFont="1" applyBorder="1"/>
    <xf numFmtId="1" fontId="0" fillId="2" borderId="1" xfId="0" applyNumberFormat="1" applyFill="1" applyBorder="1"/>
    <xf numFmtId="0" fontId="2" fillId="0" borderId="12" xfId="0" applyFont="1" applyBorder="1"/>
    <xf numFmtId="0" fontId="0" fillId="0" borderId="12" xfId="0" applyBorder="1"/>
    <xf numFmtId="0" fontId="2" fillId="0" borderId="9" xfId="0" applyFont="1" applyBorder="1" applyAlignment="1">
      <alignment wrapText="1"/>
    </xf>
    <xf numFmtId="10" fontId="0" fillId="2" borderId="10" xfId="1" applyNumberFormat="1" applyFont="1" applyFill="1" applyBorder="1"/>
    <xf numFmtId="10" fontId="0" fillId="2" borderId="11" xfId="1" applyNumberFormat="1" applyFont="1" applyFill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Price-Yield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'Price-Yield Curve'!$B$9:$B$29</c:f>
              <c:numCache>
                <c:formatCode>0.0%</c:formatCode>
                <c:ptCount val="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</c:numCache>
            </c:numRef>
          </c:xVal>
          <c:yVal>
            <c:numRef>
              <c:f>'Price-Yield Curve'!$C$9:$C$29</c:f>
              <c:numCache>
                <c:formatCode>General</c:formatCode>
                <c:ptCount val="21"/>
                <c:pt idx="0">
                  <c:v>125</c:v>
                </c:pt>
                <c:pt idx="1">
                  <c:v>122.166398476445</c:v>
                </c:pt>
                <c:pt idx="2">
                  <c:v>119.4137249573005</c:v>
                </c:pt>
                <c:pt idx="3">
                  <c:v>116.73925740535088</c:v>
                </c:pt>
                <c:pt idx="4">
                  <c:v>114.14037852551262</c:v>
                </c:pt>
                <c:pt idx="5">
                  <c:v>111.61457123904833</c:v>
                </c:pt>
                <c:pt idx="6">
                  <c:v>109.15941437438909</c:v>
                </c:pt>
                <c:pt idx="7">
                  <c:v>106.77257856320617</c:v>
                </c:pt>
                <c:pt idx="8">
                  <c:v>104.45182233101617</c:v>
                </c:pt>
                <c:pt idx="9">
                  <c:v>102.19498837221467</c:v>
                </c:pt>
                <c:pt idx="10">
                  <c:v>99.999999999999986</c:v>
                </c:pt>
                <c:pt idx="11">
                  <c:v>97.864857762190468</c:v>
                </c:pt>
                <c:pt idx="12">
                  <c:v>95.787636214434258</c:v>
                </c:pt>
                <c:pt idx="13">
                  <c:v>93.766480842791296</c:v>
                </c:pt>
                <c:pt idx="14">
                  <c:v>91.799605128104801</c:v>
                </c:pt>
                <c:pt idx="15">
                  <c:v>89.885287745003879</c:v>
                </c:pt>
                <c:pt idx="16">
                  <c:v>88.021869888765721</c:v>
                </c:pt>
                <c:pt idx="17">
                  <c:v>86.207752723641505</c:v>
                </c:pt>
                <c:pt idx="18">
                  <c:v>84.441394946593107</c:v>
                </c:pt>
                <c:pt idx="19">
                  <c:v>82.721310460719749</c:v>
                </c:pt>
                <c:pt idx="20">
                  <c:v>81.046066152957735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B-413D-B91E-E68CB4CED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54032"/>
        <c:axId val="455654360"/>
      </c:scatterChart>
      <c:valAx>
        <c:axId val="4556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54360"/>
        <c:crosses val="autoZero"/>
        <c:crossBetween val="midCat"/>
        <c:majorUnit val="1.0000000000000002E-2"/>
      </c:valAx>
      <c:valAx>
        <c:axId val="45565436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5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Spot</a:t>
            </a:r>
            <a:r>
              <a:rPr lang="en-IN" baseline="0"/>
              <a:t> Rates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Bootstrapping!$C$19:$C$23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Bootstrapping!$D$19:$D$23</c:f>
              <c:numCache>
                <c:formatCode>0.00%</c:formatCode>
                <c:ptCount val="5"/>
                <c:pt idx="0">
                  <c:v>4.9761509559063943E-2</c:v>
                </c:pt>
                <c:pt idx="1">
                  <c:v>7.1213027781562133E-2</c:v>
                </c:pt>
                <c:pt idx="2">
                  <c:v>8.6888892352827041E-2</c:v>
                </c:pt>
                <c:pt idx="3">
                  <c:v>7.5198118134560982E-2</c:v>
                </c:pt>
                <c:pt idx="4">
                  <c:v>7.1886722588596283E-2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4-4BB4-A6DE-9A0B2DE48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83376"/>
        <c:axId val="531079768"/>
      </c:scatterChart>
      <c:valAx>
        <c:axId val="53108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79768"/>
        <c:crosses val="autoZero"/>
        <c:crossBetween val="midCat"/>
      </c:valAx>
      <c:valAx>
        <c:axId val="5310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8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4762</xdr:rowOff>
    </xdr:from>
    <xdr:to>
      <xdr:col>15</xdr:col>
      <xdr:colOff>0</xdr:colOff>
      <xdr:row>51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F03F7-0948-43E7-A2AC-95AD7610A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24</xdr:row>
      <xdr:rowOff>52387</xdr:rowOff>
    </xdr:from>
    <xdr:to>
      <xdr:col>9</xdr:col>
      <xdr:colOff>333375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A2B7A-58C3-4166-B74D-029386D32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3E8-1BC3-4B6A-B48D-4EBC0A02DF50}">
  <dimension ref="A1:N12"/>
  <sheetViews>
    <sheetView tabSelected="1" zoomScaleNormal="100" workbookViewId="0">
      <selection activeCell="A12" sqref="A12:B12"/>
    </sheetView>
  </sheetViews>
  <sheetFormatPr defaultRowHeight="14.4" x14ac:dyDescent="0.3"/>
  <cols>
    <col min="1" max="1" width="19.44140625" bestFit="1" customWidth="1"/>
  </cols>
  <sheetData>
    <row r="1" spans="1:14" ht="23.4" x14ac:dyDescent="0.45">
      <c r="A1" s="28" t="s">
        <v>57</v>
      </c>
    </row>
    <row r="3" spans="1:14" x14ac:dyDescent="0.3">
      <c r="A3" s="29" t="s">
        <v>0</v>
      </c>
      <c r="B3" s="16">
        <v>100</v>
      </c>
    </row>
    <row r="4" spans="1:14" x14ac:dyDescent="0.3">
      <c r="A4" s="29" t="s">
        <v>2</v>
      </c>
      <c r="B4" s="17">
        <v>0.05</v>
      </c>
    </row>
    <row r="5" spans="1:14" x14ac:dyDescent="0.3">
      <c r="A5" s="29" t="s">
        <v>4</v>
      </c>
      <c r="B5" s="17">
        <v>0.05</v>
      </c>
    </row>
    <row r="6" spans="1:14" x14ac:dyDescent="0.3">
      <c r="A6" s="29" t="s">
        <v>5</v>
      </c>
      <c r="B6" s="16">
        <v>10</v>
      </c>
      <c r="D6" s="51" t="s">
        <v>77</v>
      </c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x14ac:dyDescent="0.3">
      <c r="D7" s="2" t="str">
        <f>IF($B$6&gt;0,"0","")</f>
        <v>0</v>
      </c>
      <c r="E7" s="2" t="str">
        <f>IF($B$6&gt;=1,"1","")</f>
        <v>1</v>
      </c>
      <c r="F7" s="2" t="str">
        <f>IF($B$6&gt;=2,"2","")</f>
        <v>2</v>
      </c>
      <c r="G7" s="2" t="str">
        <f>IF($B$6&gt;=3,"3","")</f>
        <v>3</v>
      </c>
      <c r="H7" s="2" t="str">
        <f>IF($B$6&gt;=4,"4","")</f>
        <v>4</v>
      </c>
      <c r="I7" s="2" t="str">
        <f>IF($B$6&gt;=5,"5","")</f>
        <v>5</v>
      </c>
      <c r="J7" s="2" t="str">
        <f>IF($B$6&gt;=6,"6","")</f>
        <v>6</v>
      </c>
      <c r="K7" s="2" t="str">
        <f>IF($B$6&gt;=7,"7","")</f>
        <v>7</v>
      </c>
      <c r="L7" s="2" t="str">
        <f>IF($B$6&gt;=8,"8","")</f>
        <v>8</v>
      </c>
      <c r="M7" s="2" t="str">
        <f>IF($B$6&gt;=9,"9","")</f>
        <v>9</v>
      </c>
      <c r="N7" s="2" t="str">
        <f>IF($B$6&gt;=10,"10","")</f>
        <v>10</v>
      </c>
    </row>
    <row r="8" spans="1:14" x14ac:dyDescent="0.3">
      <c r="A8" s="29" t="s">
        <v>6</v>
      </c>
      <c r="B8" s="2">
        <f>SUM(E8:N8)</f>
        <v>150</v>
      </c>
      <c r="D8" s="2">
        <v>0</v>
      </c>
      <c r="E8" s="2" cm="1">
        <f t="array" ref="E8">_xlfn.IFS($B$6&gt;1,$B$3*$B$4,$B$6=1,$B$3*$B$4+$B$3,$B$6&lt;1,"")</f>
        <v>5</v>
      </c>
      <c r="F8" s="2" cm="1">
        <f t="array" ref="F8">_xlfn.IFS($B$6&gt;2,$B$3*$B$4,$B$6=2,$B$3*$B$4+$B$3,$B$6&lt;2,"")</f>
        <v>5</v>
      </c>
      <c r="G8" s="2" cm="1">
        <f t="array" ref="G8">_xlfn.IFS($B$6&gt;3,$B$3*$B$4,$B$6=3,$B$3*$B$4+$B$3,$B$6&lt;3,"")</f>
        <v>5</v>
      </c>
      <c r="H8" s="2" cm="1">
        <f t="array" ref="H8">_xlfn.IFS($B$6&gt;4,$B$3*$B$4,$B$6=4,$B$3*$B$4+$B$3,$B$6&lt;4,"")</f>
        <v>5</v>
      </c>
      <c r="I8" s="2" cm="1">
        <f t="array" ref="I8">_xlfn.IFS($B$6&gt;5,$B$3*$B$4,$B$6=5,$B$3*$B$4+$B$3,$B$6&lt;5,"")</f>
        <v>5</v>
      </c>
      <c r="J8" s="2" cm="1">
        <f t="array" ref="J8">_xlfn.IFS($B$6&gt;6,$B$3*$B$4,$B$6=6,$B$3*$B$4+$B$3,$B$6&lt;6,"")</f>
        <v>5</v>
      </c>
      <c r="K8" s="2" cm="1">
        <f t="array" ref="K8">_xlfn.IFS($B$6&gt;7,$B$3*$B$4,$B$6=7,$B$3*$B$4+$B$3,$B$6&lt;7,"")</f>
        <v>5</v>
      </c>
      <c r="L8" s="2" cm="1">
        <f t="array" ref="L8">_xlfn.IFS($B$6&gt;8,$B$3*$B$4,$B$6=8,$B$3*$B$4+$B$3,$B$6&lt;8,"")</f>
        <v>5</v>
      </c>
      <c r="M8" s="2" cm="1">
        <f t="array" ref="M8">_xlfn.IFS($B$6&gt;9,$B$3*$B$4,$B$6=9,$B$3*$B$4+$B$3,$B$6&lt;9,"")</f>
        <v>5</v>
      </c>
      <c r="N8" s="2" cm="1">
        <f t="array" ref="N8">_xlfn.IFS($B$6&gt;10,$B$3*$B$4,$B$6=10,$B$3*$B$4+$B$3,$B$6&lt;10,"")</f>
        <v>105</v>
      </c>
    </row>
    <row r="9" spans="1:14" x14ac:dyDescent="0.3">
      <c r="A9" s="29" t="s">
        <v>57</v>
      </c>
      <c r="B9" s="12">
        <f>SUM(E9:N9)</f>
        <v>99.999999999999986</v>
      </c>
      <c r="D9" s="2">
        <v>0</v>
      </c>
      <c r="E9" s="3">
        <f>IF($B$6&gt;=1,E8/(1+$B$5)^E7,"")</f>
        <v>4.7619047619047619</v>
      </c>
      <c r="F9" s="3">
        <f>IF($B$6&gt;=2,F8/(1+$B$5)^F7,"")</f>
        <v>4.5351473922902494</v>
      </c>
      <c r="G9" s="3">
        <f>IF($B$6&gt;=3,G8/(1+$B$5)^G7,"")</f>
        <v>4.3191879926573797</v>
      </c>
      <c r="H9" s="3">
        <f>IF($B$6&gt;=4,H8/(1+$B$5)^H7,"")</f>
        <v>4.1135123739594102</v>
      </c>
      <c r="I9" s="3">
        <f>IF($B$6&gt;=5,I8/(1+$B$5)^I7,"")</f>
        <v>3.9176308323422946</v>
      </c>
      <c r="J9" s="3">
        <f>IF($B$6&gt;=6,J8/(1+$B$5)^J7,"")</f>
        <v>3.7310769831831383</v>
      </c>
      <c r="K9" s="3">
        <f>IF($B$6&gt;=7,K8/(1+$B$5)^K7,"")</f>
        <v>3.5534066506506075</v>
      </c>
      <c r="L9" s="3">
        <f>IF($B$6&gt;=8,L8/(1+$B$5)^L7,"")</f>
        <v>3.3841968101434361</v>
      </c>
      <c r="M9" s="3">
        <f>IF($B$6&gt;=9,M8/(1+$B$5)^M7,"")</f>
        <v>3.2230445810889865</v>
      </c>
      <c r="N9" s="3">
        <f>IF($B$6&gt;=10,N8/(1+$B$5)^N7,"")</f>
        <v>64.460891621779723</v>
      </c>
    </row>
    <row r="12" spans="1:14" x14ac:dyDescent="0.3">
      <c r="A12" t="s">
        <v>83</v>
      </c>
      <c r="B12" t="s">
        <v>84</v>
      </c>
      <c r="D12" s="4"/>
    </row>
  </sheetData>
  <mergeCells count="1">
    <mergeCell ref="D6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9AF-983A-48A0-A53C-BC7B0BAD8F59}">
  <dimension ref="A1:N15"/>
  <sheetViews>
    <sheetView workbookViewId="0">
      <selection activeCell="C19" sqref="C19"/>
    </sheetView>
  </sheetViews>
  <sheetFormatPr defaultRowHeight="14.4" x14ac:dyDescent="0.3"/>
  <cols>
    <col min="1" max="1" width="19.44140625" bestFit="1" customWidth="1"/>
  </cols>
  <sheetData>
    <row r="1" spans="1:14" ht="23.4" x14ac:dyDescent="0.45">
      <c r="A1" s="28" t="s">
        <v>80</v>
      </c>
    </row>
    <row r="3" spans="1:14" x14ac:dyDescent="0.3">
      <c r="A3" s="29" t="s">
        <v>0</v>
      </c>
      <c r="B3" s="16">
        <v>100</v>
      </c>
    </row>
    <row r="4" spans="1:14" x14ac:dyDescent="0.3">
      <c r="A4" s="29" t="s">
        <v>57</v>
      </c>
      <c r="B4" s="18">
        <v>110</v>
      </c>
    </row>
    <row r="5" spans="1:14" x14ac:dyDescent="0.3">
      <c r="A5" s="29" t="s">
        <v>2</v>
      </c>
      <c r="B5" s="17">
        <v>0.06</v>
      </c>
    </row>
    <row r="6" spans="1:14" x14ac:dyDescent="0.3">
      <c r="A6" s="29" t="s">
        <v>14</v>
      </c>
      <c r="B6" s="10">
        <v>3.7683281861669707E-2</v>
      </c>
    </row>
    <row r="7" spans="1:14" x14ac:dyDescent="0.3">
      <c r="A7" s="29" t="s">
        <v>5</v>
      </c>
      <c r="B7" s="16">
        <v>5</v>
      </c>
      <c r="D7" s="51" t="s">
        <v>77</v>
      </c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 x14ac:dyDescent="0.3">
      <c r="D8" s="2" t="str">
        <f>IF($B$7&gt;0,"0","")</f>
        <v>0</v>
      </c>
      <c r="E8" s="2" t="str">
        <f>IF($B$7&gt;=1,"1","")</f>
        <v>1</v>
      </c>
      <c r="F8" s="2" t="str">
        <f>IF($B$7&gt;=2,"2","")</f>
        <v>2</v>
      </c>
      <c r="G8" s="2" t="str">
        <f>IF($B$7&gt;=3,"3","")</f>
        <v>3</v>
      </c>
      <c r="H8" s="2" t="str">
        <f>IF($B$7&gt;=4,"4","")</f>
        <v>4</v>
      </c>
      <c r="I8" s="2" t="str">
        <f>IF($B$7&gt;=5,"5","")</f>
        <v>5</v>
      </c>
      <c r="J8" s="2" t="str">
        <f>IF($B$7&gt;=6,"6","")</f>
        <v/>
      </c>
      <c r="K8" s="2" t="str">
        <f>IF($B$7&gt;=7,"7","")</f>
        <v/>
      </c>
      <c r="L8" s="2" t="str">
        <f>IF($B$7&gt;=8,"8","")</f>
        <v/>
      </c>
      <c r="M8" s="2" t="str">
        <f>IF($B$7&gt;=9,"9","")</f>
        <v/>
      </c>
      <c r="N8" s="2" t="str">
        <f>IF($B$7&gt;=10,"10","")</f>
        <v/>
      </c>
    </row>
    <row r="9" spans="1:14" x14ac:dyDescent="0.3">
      <c r="A9" s="29" t="s">
        <v>6</v>
      </c>
      <c r="B9" s="3">
        <f>SUM(E10:N10)</f>
        <v>109.99999872267485</v>
      </c>
      <c r="D9" s="2">
        <v>0</v>
      </c>
      <c r="E9" s="2" cm="1">
        <f t="array" ref="E9">_xlfn.IFS($B$7&gt;1,$B$3*$B$5,$B$7=1,$B$3*$B$5+$B$3,$B$7&lt;1,"")</f>
        <v>6</v>
      </c>
      <c r="F9" s="2" cm="1">
        <f t="array" ref="F9">_xlfn.IFS($B$7&gt;2,$B$3*$B$5,$B$7=2,$B$3*$B$5+$B$3,$B$7&lt;2,"")</f>
        <v>6</v>
      </c>
      <c r="G9" s="2" cm="1">
        <f t="array" ref="G9">_xlfn.IFS($B$7&gt;3,$B$3*$B$5,$B$7=3,$B$3*$B$5+$B$3,$B$7&lt;3,"")</f>
        <v>6</v>
      </c>
      <c r="H9" s="2" cm="1">
        <f t="array" ref="H9">_xlfn.IFS($B$7&gt;4,$B$3*$B$5,$B$7=4,$B$3*$B$5+$B$3,$B$7&lt;4,"")</f>
        <v>6</v>
      </c>
      <c r="I9" s="2" cm="1">
        <f t="array" ref="I9">_xlfn.IFS($B$7&gt;5,$B$3*$B$5,$B$7=5,$B$3*$B$5+$B$3,$B$7&lt;5,"")</f>
        <v>106</v>
      </c>
      <c r="J9" s="2" t="str" cm="1">
        <f t="array" ref="J9">_xlfn.IFS($B$7&gt;6,$B$3*$B$5,$B$7=6,$B$3*$B$5+$B$3,$B$7&lt;6,"")</f>
        <v/>
      </c>
      <c r="K9" s="2" t="str" cm="1">
        <f t="array" ref="K9">_xlfn.IFS($B$7&gt;7,$B$3*$B$5,$B$7=7,$B$3*$B$5+$B$3,$B$7&lt;7,"")</f>
        <v/>
      </c>
      <c r="L9" s="2" t="str" cm="1">
        <f t="array" ref="L9">_xlfn.IFS($B$7&gt;8,$B$3*$B$5,$B$7=8,$B$3*$B$5+$B$3,$B$7&lt;8,"")</f>
        <v/>
      </c>
      <c r="M9" s="2" t="str" cm="1">
        <f t="array" ref="M9">_xlfn.IFS($B$7&gt;9,$B$3*$B$5,$B$7=9,$B$3*$B$5+$B$3,$B$7&lt;9,"")</f>
        <v/>
      </c>
      <c r="N9" s="2" t="str" cm="1">
        <f t="array" ref="N9">_xlfn.IFS($B$7&gt;10,$B$3*$B$5,$B$7=10,$B$3*$B$5+$B$3,$B$7&lt;10,"")</f>
        <v/>
      </c>
    </row>
    <row r="10" spans="1:14" x14ac:dyDescent="0.3">
      <c r="A10" s="29" t="s">
        <v>8</v>
      </c>
      <c r="B10" s="11">
        <f>B9-B4</f>
        <v>-1.2773251540920683E-6</v>
      </c>
      <c r="D10" s="2">
        <v>0</v>
      </c>
      <c r="E10" s="3">
        <f>IF($B$7&gt;=1,E9/(1+$B$6)^E8,"")</f>
        <v>5.7821110784743679</v>
      </c>
      <c r="F10" s="3">
        <f>IF($B$7&gt;=2,F9/(1+$B$6)^F8,"")</f>
        <v>5.5721347539693351</v>
      </c>
      <c r="G10" s="3">
        <f>IF($B$7&gt;=3,G9/(1+$B$6)^G8,"")</f>
        <v>5.3697836819463562</v>
      </c>
      <c r="H10" s="3">
        <f>IF($B$7&gt;=4,H9/(1+$B$6)^H8,"")</f>
        <v>5.1747809527321502</v>
      </c>
      <c r="I10" s="3">
        <f>IF($B$7&gt;=5,I9/(1+$B$6)^I8,"")</f>
        <v>88.101188255552643</v>
      </c>
      <c r="J10" s="3" t="str">
        <f>IF($B$7&gt;=6,J9/(1+$B$6)^J8,"")</f>
        <v/>
      </c>
      <c r="K10" s="3" t="str">
        <f>IF($B$7&gt;=7,K9/(1+$B$6)^K8,"")</f>
        <v/>
      </c>
      <c r="L10" s="3" t="str">
        <f>IF($B$7&gt;=8,L9/(1+$B$6)^L8,"")</f>
        <v/>
      </c>
      <c r="M10" s="3" t="str">
        <f>IF($B$7&gt;=9,M9/(1+$B$6)^M8,"")</f>
        <v/>
      </c>
      <c r="N10" s="3" t="str">
        <f>IF($B$7&gt;=10,N9/(1+$B$6)^N8,"")</f>
        <v/>
      </c>
    </row>
    <row r="12" spans="1:14" ht="28.8" x14ac:dyDescent="0.3">
      <c r="A12" s="30" t="s">
        <v>9</v>
      </c>
      <c r="B12" s="10">
        <f>(B3*B5)/B4</f>
        <v>5.4545454545454543E-2</v>
      </c>
    </row>
    <row r="13" spans="1:14" x14ac:dyDescent="0.3">
      <c r="D13" s="4"/>
    </row>
    <row r="15" spans="1:14" x14ac:dyDescent="0.3">
      <c r="A15" t="s">
        <v>83</v>
      </c>
      <c r="B15" t="s">
        <v>84</v>
      </c>
    </row>
  </sheetData>
  <mergeCells count="1">
    <mergeCell ref="D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C320-3B47-4504-9D99-A9F80DAA2ECF}">
  <dimension ref="A1:N17"/>
  <sheetViews>
    <sheetView workbookViewId="0">
      <selection activeCell="A17" sqref="A17:B17"/>
    </sheetView>
  </sheetViews>
  <sheetFormatPr defaultRowHeight="14.4" x14ac:dyDescent="0.3"/>
  <cols>
    <col min="1" max="1" width="19.44140625" bestFit="1" customWidth="1"/>
  </cols>
  <sheetData>
    <row r="1" spans="1:14" ht="23.4" x14ac:dyDescent="0.45">
      <c r="A1" s="28" t="s">
        <v>12</v>
      </c>
    </row>
    <row r="3" spans="1:14" x14ac:dyDescent="0.3">
      <c r="A3" s="29" t="s">
        <v>0</v>
      </c>
      <c r="B3" s="16">
        <v>100</v>
      </c>
    </row>
    <row r="4" spans="1:14" x14ac:dyDescent="0.3">
      <c r="A4" s="29" t="s">
        <v>2</v>
      </c>
      <c r="B4" s="17">
        <v>0.05</v>
      </c>
    </row>
    <row r="5" spans="1:14" x14ac:dyDescent="0.3">
      <c r="A5" s="29" t="s">
        <v>14</v>
      </c>
      <c r="B5" s="10">
        <v>0.04</v>
      </c>
    </row>
    <row r="6" spans="1:14" x14ac:dyDescent="0.3">
      <c r="A6" s="29" t="s">
        <v>5</v>
      </c>
      <c r="B6" s="16">
        <v>3</v>
      </c>
      <c r="D6" s="51" t="s">
        <v>77</v>
      </c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x14ac:dyDescent="0.3">
      <c r="A7" t="s">
        <v>12</v>
      </c>
      <c r="D7" s="31"/>
      <c r="E7" s="31">
        <v>0.02</v>
      </c>
      <c r="F7" s="31">
        <v>0.03</v>
      </c>
      <c r="G7" s="31">
        <v>0.04</v>
      </c>
      <c r="H7" s="31"/>
      <c r="I7" s="31"/>
      <c r="J7" s="31"/>
      <c r="K7" s="31"/>
      <c r="L7" s="31"/>
      <c r="M7" s="31"/>
      <c r="N7" s="31"/>
    </row>
    <row r="8" spans="1:14" x14ac:dyDescent="0.3">
      <c r="D8" s="2" t="str">
        <f>IF($B$6&gt;0,"0","")</f>
        <v>0</v>
      </c>
      <c r="E8" s="2" t="str">
        <f>IF($B$6&gt;=1,"1","")</f>
        <v>1</v>
      </c>
      <c r="F8" s="2" t="str">
        <f>IF($B$6&gt;=2,"2","")</f>
        <v>2</v>
      </c>
      <c r="G8" s="2" t="str">
        <f>IF($B$6&gt;=3,"3","")</f>
        <v>3</v>
      </c>
      <c r="H8" s="2" t="str">
        <f>IF($B$6&gt;=4,"4","")</f>
        <v/>
      </c>
      <c r="I8" s="2" t="str">
        <f>IF($B$6&gt;=5,"5","")</f>
        <v/>
      </c>
      <c r="J8" s="2" t="str">
        <f>IF($B$6&gt;=6,"6","")</f>
        <v/>
      </c>
      <c r="K8" s="2" t="str">
        <f>IF($B$6&gt;=7,"7","")</f>
        <v/>
      </c>
      <c r="L8" s="2" t="str">
        <f>IF($B$6&gt;=8,"8","")</f>
        <v/>
      </c>
      <c r="M8" s="2" t="str">
        <f>IF($B$6&gt;=9,"9","")</f>
        <v/>
      </c>
      <c r="N8" s="2" t="str">
        <f>IF($B$6&gt;=10,"10","")</f>
        <v/>
      </c>
    </row>
    <row r="9" spans="1:14" x14ac:dyDescent="0.3">
      <c r="A9" s="29" t="s">
        <v>7</v>
      </c>
      <c r="B9" s="12">
        <f>SUM(E10:N10)</f>
        <v>102.95955799042856</v>
      </c>
      <c r="D9" s="2">
        <v>0</v>
      </c>
      <c r="E9" s="2" cm="1">
        <f t="array" ref="E9">_xlfn.IFS($B$6&gt;1,$B$3*$B$4,$B$6=1,$B$3*$B$4+$B$3,$B$6&lt;1,"")</f>
        <v>5</v>
      </c>
      <c r="F9" s="2" cm="1">
        <f t="array" ref="F9">_xlfn.IFS($B$6&gt;2,$B$3*$B$4,$B$6=2,$B$3*$B$4+$B$3,$B$6&lt;2,"")</f>
        <v>5</v>
      </c>
      <c r="G9" s="2" cm="1">
        <f t="array" ref="G9">_xlfn.IFS($B$6&gt;3,$B$3*$B$4,$B$6=3,$B$3*$B$4+$B$3,$B$6&lt;3,"")</f>
        <v>105</v>
      </c>
      <c r="H9" s="2" t="str" cm="1">
        <f t="array" ref="H9">_xlfn.IFS($B$6&gt;4,$B$3*$B$4,$B$6=4,$B$3*$B$4+$B$3,$B$6&lt;4,"")</f>
        <v/>
      </c>
      <c r="I9" s="2" t="str" cm="1">
        <f t="array" ref="I9">_xlfn.IFS($B$6&gt;5,$B$3*$B$4,$B$6=5,$B$3*$B$4+$B$3,$B$6&lt;5,"")</f>
        <v/>
      </c>
      <c r="J9" s="2" t="str" cm="1">
        <f t="array" ref="J9">_xlfn.IFS($B$6&gt;6,$B$3*$B$4,$B$6=6,$B$3*$B$4+$B$3,$B$6&lt;6,"")</f>
        <v/>
      </c>
      <c r="K9" s="2" t="str" cm="1">
        <f t="array" ref="K9">_xlfn.IFS($B$6&gt;7,$B$3*$B$4,$B$6=7,$B$3*$B$4+$B$3,$B$6&lt;7,"")</f>
        <v/>
      </c>
      <c r="L9" s="2" t="str" cm="1">
        <f t="array" ref="L9">_xlfn.IFS($B$6&gt;8,$B$3*$B$4,$B$6=8,$B$3*$B$4+$B$3,$B$6&lt;8,"")</f>
        <v/>
      </c>
      <c r="M9" s="2" t="str" cm="1">
        <f t="array" ref="M9">_xlfn.IFS($B$6&gt;9,$B$3*$B$4,$B$6=9,$B$3*$B$4+$B$3,$B$6&lt;9,"")</f>
        <v/>
      </c>
      <c r="N9" s="2" t="str" cm="1">
        <f t="array" ref="N9">_xlfn.IFS($B$6&gt;10,$B$3*$B$4,$B$6=10,$B$3*$B$4+$B$3,$B$6&lt;10,"")</f>
        <v/>
      </c>
    </row>
    <row r="10" spans="1:14" x14ac:dyDescent="0.3">
      <c r="B10" s="5"/>
      <c r="D10" s="2">
        <v>0</v>
      </c>
      <c r="E10" s="3">
        <f>IF($B$6&gt;=1,E9/(1+E7)^E8,"")</f>
        <v>4.9019607843137258</v>
      </c>
      <c r="F10" s="3">
        <f>IF($B$6&gt;=2,F9/(1+F7)^F8,"")</f>
        <v>4.7129795456687722</v>
      </c>
      <c r="G10" s="3">
        <f>IF($B$6&gt;=3,G9/(1+G7)^G8,"")</f>
        <v>93.344617660446062</v>
      </c>
      <c r="H10" s="3" t="str">
        <f>IF($B$6&gt;=4,H9/(1+H7)^H8,"")</f>
        <v/>
      </c>
      <c r="I10" s="3" t="str">
        <f>IF($B$6&gt;=5,I9/(1+I7)^I8,"")</f>
        <v/>
      </c>
      <c r="J10" s="3" t="str">
        <f>IF($B$6&gt;=6,J9/(1+J7)^J8,"")</f>
        <v/>
      </c>
      <c r="K10" s="3" t="str">
        <f>IF($B$6&gt;=7,K9/(1+K7)^K8,"")</f>
        <v/>
      </c>
      <c r="L10" s="3" t="str">
        <f>IF($B$6&gt;=8,L9/(1+L7)^L8,"")</f>
        <v/>
      </c>
      <c r="M10" s="3" t="str">
        <f>IF($B$6&gt;=9,M9/(1+M7)^M8,"")</f>
        <v/>
      </c>
      <c r="N10" s="3" t="str">
        <f>IF($B$6&gt;=10,N9/(1+N7)^N8,"")</f>
        <v/>
      </c>
    </row>
    <row r="11" spans="1:14" x14ac:dyDescent="0.3"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 x14ac:dyDescent="0.3">
      <c r="D12" s="2" t="str">
        <f>IF($B$6&gt;0,"0","")</f>
        <v>0</v>
      </c>
      <c r="E12" s="2" t="str">
        <f>IF($B$6&gt;=1,"1","")</f>
        <v>1</v>
      </c>
      <c r="F12" s="2" t="str">
        <f>IF($B$6&gt;=2,"2","")</f>
        <v>2</v>
      </c>
      <c r="G12" s="2" t="str">
        <f>IF($B$6&gt;=3,"3","")</f>
        <v>3</v>
      </c>
      <c r="H12" s="2" t="str">
        <f>IF($B$6&gt;=4,"4","")</f>
        <v/>
      </c>
      <c r="I12" s="2" t="str">
        <f>IF($B$6&gt;=5,"5","")</f>
        <v/>
      </c>
      <c r="J12" s="2" t="str">
        <f>IF($B$6&gt;=6,"6","")</f>
        <v/>
      </c>
      <c r="K12" s="2" t="str">
        <f>IF($B$6&gt;=7,"7","")</f>
        <v/>
      </c>
      <c r="L12" s="2" t="str">
        <f>IF($B$6&gt;=8,"8","")</f>
        <v/>
      </c>
      <c r="M12" s="2" t="str">
        <f>IF($B$6&gt;=9,"9","")</f>
        <v/>
      </c>
      <c r="N12" s="2" t="str">
        <f>IF($B$6&gt;=10,"10","")</f>
        <v/>
      </c>
    </row>
    <row r="13" spans="1:14" x14ac:dyDescent="0.3">
      <c r="A13" s="29" t="s">
        <v>13</v>
      </c>
      <c r="B13" s="3">
        <f>SUM(E14:N14)</f>
        <v>102.77509103322713</v>
      </c>
      <c r="D13" s="2">
        <v>0</v>
      </c>
      <c r="E13" s="2" cm="1">
        <f t="array" ref="E13">_xlfn.IFS($B$6&gt;1,$B$3*$B$4,$B$6=1,$B$3*$B$4+$B$3,$B$6&lt;1,"")</f>
        <v>5</v>
      </c>
      <c r="F13" s="2" cm="1">
        <f t="array" ref="F13">_xlfn.IFS($B$6&gt;2,$B$3*$B$4,$B$6=2,$B$3*$B$4+$B$3,$B$6&lt;2,"")</f>
        <v>5</v>
      </c>
      <c r="G13" s="2" cm="1">
        <f t="array" ref="G13">_xlfn.IFS($B$6&gt;3,$B$3*$B$4,$B$6=3,$B$3*$B$4+$B$3,$B$6&lt;3,"")</f>
        <v>105</v>
      </c>
      <c r="H13" s="2" t="str" cm="1">
        <f t="array" ref="H13">_xlfn.IFS($B$6&gt;4,$B$3*$B$4,$B$6=4,$B$3*$B$4+$B$3,$B$6&lt;4,"")</f>
        <v/>
      </c>
      <c r="I13" s="2" t="str" cm="1">
        <f t="array" ref="I13">_xlfn.IFS($B$6&gt;5,$B$3*$B$4,$B$6=5,$B$3*$B$4+$B$3,$B$6&lt;5,"")</f>
        <v/>
      </c>
      <c r="J13" s="2" t="str" cm="1">
        <f t="array" ref="J13">_xlfn.IFS($B$6&gt;6,$B$3*$B$4,$B$6=6,$B$3*$B$4+$B$3,$B$6&lt;6,"")</f>
        <v/>
      </c>
      <c r="K13" s="2" t="str" cm="1">
        <f t="array" ref="K13">_xlfn.IFS($B$6&gt;7,$B$3*$B$4,$B$6=7,$B$3*$B$4+$B$3,$B$6&lt;7,"")</f>
        <v/>
      </c>
      <c r="L13" s="2" t="str" cm="1">
        <f t="array" ref="L13">_xlfn.IFS($B$6&gt;8,$B$3*$B$4,$B$6=8,$B$3*$B$4+$B$3,$B$6&lt;8,"")</f>
        <v/>
      </c>
      <c r="M13" s="2" t="str" cm="1">
        <f t="array" ref="M13">_xlfn.IFS($B$6&gt;9,$B$3*$B$4,$B$6=9,$B$3*$B$4+$B$3,$B$6&lt;9,"")</f>
        <v/>
      </c>
      <c r="N13" s="2" t="str" cm="1">
        <f t="array" ref="N13">_xlfn.IFS($B$6&gt;10,$B$3*$B$4,$B$6=10,$B$3*$B$4+$B$3,$B$6&lt;10,"")</f>
        <v/>
      </c>
    </row>
    <row r="14" spans="1:14" x14ac:dyDescent="0.3">
      <c r="A14" s="29" t="s">
        <v>8</v>
      </c>
      <c r="B14" s="3">
        <f>B13-B9</f>
        <v>-0.1844669572014368</v>
      </c>
      <c r="D14" s="2">
        <v>0</v>
      </c>
      <c r="E14" s="3">
        <f>IF($B$6&gt;=1,E13/(1+$B$5)^E12,"")</f>
        <v>4.8076923076923075</v>
      </c>
      <c r="F14" s="3">
        <f>IF($B$6&gt;=2,F13/(1+$B$5)^F12,"")</f>
        <v>4.6227810650887573</v>
      </c>
      <c r="G14" s="3">
        <f>IF($B$6&gt;=3,G13/(1+$B$5)^G12,"")</f>
        <v>93.344617660446062</v>
      </c>
      <c r="H14" s="3" t="str">
        <f>IF($B$6&gt;=4,H13/(1+$B$5)^H12,"")</f>
        <v/>
      </c>
      <c r="I14" s="3" t="str">
        <f>IF($B$6&gt;=5,I13/(1+$B$5)^I12,"")</f>
        <v/>
      </c>
      <c r="J14" s="3" t="str">
        <f>IF($B$6&gt;=6,J13/(1+$B$5)^J12,"")</f>
        <v/>
      </c>
      <c r="K14" s="3" t="str">
        <f>IF($B$6&gt;=7,K13/(1+$B$5)^K12,"")</f>
        <v/>
      </c>
      <c r="L14" s="3" t="str">
        <f>IF($B$6&gt;=8,L13/(1+$B$5)^L12,"")</f>
        <v/>
      </c>
      <c r="M14" s="3" t="str">
        <f>IF($B$6&gt;=9,M13/(1+$B$5)^M12,"")</f>
        <v/>
      </c>
      <c r="N14" s="3" t="str">
        <f>IF($B$6&gt;=10,N13/(1+$B$5)^N12,"")</f>
        <v/>
      </c>
    </row>
    <row r="15" spans="1:14" x14ac:dyDescent="0.3">
      <c r="B15" s="1"/>
    </row>
    <row r="17" spans="1:2" x14ac:dyDescent="0.3">
      <c r="A17" t="s">
        <v>83</v>
      </c>
      <c r="B17" t="s">
        <v>84</v>
      </c>
    </row>
  </sheetData>
  <mergeCells count="1">
    <mergeCell ref="D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3981-4275-4496-8674-BD0DF45D6EE2}">
  <dimension ref="A1:O55"/>
  <sheetViews>
    <sheetView topLeftCell="A37" workbookViewId="0">
      <selection activeCell="A55" sqref="A55:B55"/>
    </sheetView>
  </sheetViews>
  <sheetFormatPr defaultRowHeight="14.4" x14ac:dyDescent="0.3"/>
  <cols>
    <col min="1" max="1" width="19.44140625" bestFit="1" customWidth="1"/>
  </cols>
  <sheetData>
    <row r="1" spans="1:15" ht="23.4" x14ac:dyDescent="0.45">
      <c r="A1" s="28" t="s">
        <v>81</v>
      </c>
    </row>
    <row r="3" spans="1:15" x14ac:dyDescent="0.3">
      <c r="A3" s="2" t="s">
        <v>0</v>
      </c>
      <c r="B3" s="16">
        <v>100</v>
      </c>
    </row>
    <row r="4" spans="1:15" x14ac:dyDescent="0.3">
      <c r="A4" s="2" t="s">
        <v>2</v>
      </c>
      <c r="B4" s="17">
        <v>0.05</v>
      </c>
    </row>
    <row r="5" spans="1:15" x14ac:dyDescent="0.3">
      <c r="A5" s="2" t="s">
        <v>5</v>
      </c>
      <c r="B5" s="16">
        <v>5</v>
      </c>
      <c r="D5" s="51" t="s">
        <v>77</v>
      </c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3">
      <c r="D6" s="2" t="str">
        <f>IF($B$5&gt;0,"0","")</f>
        <v>0</v>
      </c>
      <c r="E6" s="2" t="str">
        <f>IF($B$5&gt;=1,"1","")</f>
        <v>1</v>
      </c>
      <c r="F6" s="2" t="str">
        <f>IF($B$5&gt;=2,"2","")</f>
        <v>2</v>
      </c>
      <c r="G6" s="2" t="str">
        <f>IF($B$5&gt;=3,"3","")</f>
        <v>3</v>
      </c>
      <c r="H6" s="2" t="str">
        <f>IF($B$5&gt;=4,"4","")</f>
        <v>4</v>
      </c>
      <c r="I6" s="2" t="str">
        <f>IF($B$5&gt;=5,"5","")</f>
        <v>5</v>
      </c>
      <c r="J6" s="2" t="str">
        <f>IF($B$5&gt;=6,"6","")</f>
        <v/>
      </c>
      <c r="K6" s="2" t="str">
        <f>IF($B$5&gt;=7,"7","")</f>
        <v/>
      </c>
      <c r="L6" s="2" t="str">
        <f>IF($B$5&gt;=8,"8","")</f>
        <v/>
      </c>
      <c r="M6" s="2" t="str">
        <f>IF($B$5&gt;=9,"9","")</f>
        <v/>
      </c>
      <c r="N6" s="2" t="str">
        <f>IF($B$5&gt;=10,"10","")</f>
        <v/>
      </c>
    </row>
    <row r="7" spans="1:15" x14ac:dyDescent="0.3">
      <c r="A7" s="2" t="s">
        <v>6</v>
      </c>
      <c r="B7" s="2">
        <f>SUM(E7:N7)</f>
        <v>125</v>
      </c>
      <c r="D7" s="2">
        <v>0</v>
      </c>
      <c r="E7" s="2" cm="1">
        <f t="array" ref="E7">_xlfn.IFS($B$5&gt;1,$B$3*$B$4,$B$5=1,$B$3*$B$4+$B$3,$B$5&lt;1,"")</f>
        <v>5</v>
      </c>
      <c r="F7" s="2" cm="1">
        <f t="array" ref="F7">_xlfn.IFS($B$5&gt;2,$B$3*$B$4,$B$5=2,$B$3*$B$4+$B$3,$B$5&lt;2,"")</f>
        <v>5</v>
      </c>
      <c r="G7" s="2" cm="1">
        <f t="array" ref="G7">_xlfn.IFS($B$5&gt;3,$B$3*$B$4,$B$5=3,$B$3*$B$4+$B$3,$B$5&lt;3,"")</f>
        <v>5</v>
      </c>
      <c r="H7" s="2" cm="1">
        <f t="array" ref="H7">_xlfn.IFS($B$5&gt;4,$B$3*$B$4,$B$5=4,$B$3*$B$4+$B$3,$B$5&lt;4,"")</f>
        <v>5</v>
      </c>
      <c r="I7" s="2" cm="1">
        <f t="array" ref="I7">_xlfn.IFS($B$5&gt;5,$B$3*$B$4,$B$5=5,$B$3*$B$4+$B$3,$B$5&lt;5,"")</f>
        <v>105</v>
      </c>
      <c r="J7" s="2" t="str" cm="1">
        <f t="array" ref="J7">_xlfn.IFS($B$5&gt;6,$B$3*$B$4,$B$5=6,$B$3*$B$4+$B$3,$B$5&lt;6,"")</f>
        <v/>
      </c>
      <c r="K7" s="2" t="str" cm="1">
        <f t="array" ref="K7">_xlfn.IFS($B$5&gt;7,$B$3*$B$4,$B$5=7,$B$3*$B$4+$B$3,$B$5&lt;7,"")</f>
        <v/>
      </c>
      <c r="L7" s="2" t="str" cm="1">
        <f t="array" ref="L7">_xlfn.IFS($B$5&gt;8,$B$3*$B$4,$B$5=8,$B$3*$B$4+$B$3,$B$5&lt;8,"")</f>
        <v/>
      </c>
      <c r="M7" s="2" t="str" cm="1">
        <f t="array" ref="M7">_xlfn.IFS($B$5&gt;9,$B$3*$B$4,$B$5=9,$B$3*$B$4+$B$3,$B$5&lt;9,"")</f>
        <v/>
      </c>
      <c r="N7" s="2" t="str" cm="1">
        <f t="array" ref="N7">_xlfn.IFS($B$5&gt;10,$B$3*$B$4,$B$5=10,$B$3*$B$4+$B$3,$B$5&lt;10,"")</f>
        <v/>
      </c>
    </row>
    <row r="8" spans="1:15" ht="15" thickBot="1" x14ac:dyDescent="0.35"/>
    <row r="9" spans="1:15" x14ac:dyDescent="0.3">
      <c r="A9" s="52" t="s">
        <v>3</v>
      </c>
      <c r="B9" s="37">
        <v>0</v>
      </c>
      <c r="C9" s="34">
        <f>O9</f>
        <v>125</v>
      </c>
      <c r="D9" s="33"/>
      <c r="E9" s="2">
        <f>E$7/(1+$B9)^E$6</f>
        <v>5</v>
      </c>
      <c r="F9" s="2">
        <f>F$7/(1+$B9)^F$6</f>
        <v>5</v>
      </c>
      <c r="G9" s="2">
        <f>G$7/(1+$B9)^G$6</f>
        <v>5</v>
      </c>
      <c r="H9" s="2">
        <f>H$7/(1+$B9)^H$6</f>
        <v>5</v>
      </c>
      <c r="I9" s="2">
        <f>I$7/(1+$B9)^I$6</f>
        <v>105</v>
      </c>
      <c r="J9" s="2"/>
      <c r="K9" s="2"/>
      <c r="L9" s="2"/>
      <c r="M9" s="2"/>
      <c r="N9" s="2"/>
      <c r="O9" s="2">
        <f>SUM(E9:N9)</f>
        <v>125</v>
      </c>
    </row>
    <row r="10" spans="1:15" x14ac:dyDescent="0.3">
      <c r="A10" s="53"/>
      <c r="B10" s="38">
        <v>5.0000000000000001E-3</v>
      </c>
      <c r="C10" s="35">
        <f t="shared" ref="C10:C29" si="0">O10</f>
        <v>122.166398476445</v>
      </c>
      <c r="D10" s="33"/>
      <c r="E10" s="2">
        <f>$E$7/(1+B10)^$E$6</f>
        <v>4.9751243781094532</v>
      </c>
      <c r="F10" s="2">
        <f>F$7/(1+$B10)^F$6</f>
        <v>4.9503725155317948</v>
      </c>
      <c r="G10" s="2">
        <f t="shared" ref="G10:I29" si="1">G$7/(1+$B10)^G$6</f>
        <v>4.9257437965490505</v>
      </c>
      <c r="H10" s="2">
        <f t="shared" si="1"/>
        <v>4.901237608506519</v>
      </c>
      <c r="I10" s="2">
        <f t="shared" si="1"/>
        <v>102.41392017774818</v>
      </c>
      <c r="J10" s="2"/>
      <c r="K10" s="2"/>
      <c r="L10" s="2"/>
      <c r="M10" s="2"/>
      <c r="N10" s="2"/>
      <c r="O10" s="2">
        <f>SUM(E10:N10)</f>
        <v>122.166398476445</v>
      </c>
    </row>
    <row r="11" spans="1:15" x14ac:dyDescent="0.3">
      <c r="A11" s="53"/>
      <c r="B11" s="38">
        <v>0.01</v>
      </c>
      <c r="C11" s="35">
        <f t="shared" si="0"/>
        <v>119.4137249573005</v>
      </c>
      <c r="D11" s="33"/>
      <c r="E11" s="2">
        <f t="shared" ref="E11:E29" si="2">$E$7/(1+B11)^$E$6</f>
        <v>4.9504950495049505</v>
      </c>
      <c r="F11" s="2">
        <f t="shared" ref="F11:F29" si="3">F$7/(1+$B11)^F$6</f>
        <v>4.9014802470346046</v>
      </c>
      <c r="G11" s="2">
        <f t="shared" si="1"/>
        <v>4.8529507396382225</v>
      </c>
      <c r="H11" s="2">
        <f t="shared" si="1"/>
        <v>4.8049017224140815</v>
      </c>
      <c r="I11" s="2">
        <f t="shared" si="1"/>
        <v>99.903897198708634</v>
      </c>
      <c r="J11" s="2"/>
      <c r="K11" s="2"/>
      <c r="L11" s="2"/>
      <c r="M11" s="2"/>
      <c r="N11" s="2"/>
      <c r="O11" s="2">
        <f t="shared" ref="O11:O29" si="4">SUM(E11:N11)</f>
        <v>119.4137249573005</v>
      </c>
    </row>
    <row r="12" spans="1:15" x14ac:dyDescent="0.3">
      <c r="A12" s="53"/>
      <c r="B12" s="38">
        <v>1.4999999999999999E-2</v>
      </c>
      <c r="C12" s="35">
        <f t="shared" si="0"/>
        <v>116.73925740535088</v>
      </c>
      <c r="D12" s="33"/>
      <c r="E12" s="2">
        <f t="shared" si="2"/>
        <v>4.9261083743842367</v>
      </c>
      <c r="F12" s="2">
        <f t="shared" si="3"/>
        <v>4.8533087432357025</v>
      </c>
      <c r="G12" s="2">
        <f t="shared" si="1"/>
        <v>4.7815849687051255</v>
      </c>
      <c r="H12" s="2">
        <f t="shared" si="1"/>
        <v>4.710921151433622</v>
      </c>
      <c r="I12" s="2">
        <f t="shared" si="1"/>
        <v>97.467334167592199</v>
      </c>
      <c r="J12" s="2"/>
      <c r="K12" s="2"/>
      <c r="L12" s="2"/>
      <c r="M12" s="2"/>
      <c r="N12" s="2"/>
      <c r="O12" s="2">
        <f t="shared" si="4"/>
        <v>116.73925740535088</v>
      </c>
    </row>
    <row r="13" spans="1:15" x14ac:dyDescent="0.3">
      <c r="A13" s="53"/>
      <c r="B13" s="38">
        <v>0.02</v>
      </c>
      <c r="C13" s="35">
        <f t="shared" si="0"/>
        <v>114.14037852551262</v>
      </c>
      <c r="D13" s="33"/>
      <c r="E13" s="2">
        <f t="shared" si="2"/>
        <v>4.9019607843137258</v>
      </c>
      <c r="F13" s="2">
        <f t="shared" si="3"/>
        <v>4.805843906189927</v>
      </c>
      <c r="G13" s="2">
        <f t="shared" si="1"/>
        <v>4.7116116727352226</v>
      </c>
      <c r="H13" s="2">
        <f t="shared" si="1"/>
        <v>4.6192271301325709</v>
      </c>
      <c r="I13" s="2">
        <f t="shared" si="1"/>
        <v>95.101735032141164</v>
      </c>
      <c r="J13" s="2"/>
      <c r="K13" s="2"/>
      <c r="L13" s="2"/>
      <c r="M13" s="2"/>
      <c r="N13" s="2"/>
      <c r="O13" s="2">
        <f t="shared" si="4"/>
        <v>114.14037852551262</v>
      </c>
    </row>
    <row r="14" spans="1:15" x14ac:dyDescent="0.3">
      <c r="A14" s="53"/>
      <c r="B14" s="38">
        <v>2.5000000000000001E-2</v>
      </c>
      <c r="C14" s="35">
        <f t="shared" si="0"/>
        <v>111.61457123904833</v>
      </c>
      <c r="D14" s="33"/>
      <c r="E14" s="2">
        <f t="shared" si="2"/>
        <v>4.8780487804878057</v>
      </c>
      <c r="F14" s="2">
        <f t="shared" si="3"/>
        <v>4.7590719809637125</v>
      </c>
      <c r="G14" s="2">
        <f t="shared" si="1"/>
        <v>4.6429970545987436</v>
      </c>
      <c r="H14" s="2">
        <f t="shared" si="1"/>
        <v>4.5297532239987754</v>
      </c>
      <c r="I14" s="2">
        <f t="shared" si="1"/>
        <v>92.804700198999299</v>
      </c>
      <c r="J14" s="2"/>
      <c r="K14" s="2"/>
      <c r="L14" s="2"/>
      <c r="M14" s="2"/>
      <c r="N14" s="2"/>
      <c r="O14" s="2">
        <f t="shared" si="4"/>
        <v>111.61457123904833</v>
      </c>
    </row>
    <row r="15" spans="1:15" x14ac:dyDescent="0.3">
      <c r="A15" s="53"/>
      <c r="B15" s="38">
        <v>0.03</v>
      </c>
      <c r="C15" s="35">
        <f t="shared" si="0"/>
        <v>109.15941437438909</v>
      </c>
      <c r="D15" s="33"/>
      <c r="E15" s="2">
        <f t="shared" si="2"/>
        <v>4.8543689320388346</v>
      </c>
      <c r="F15" s="2">
        <f t="shared" si="3"/>
        <v>4.7129795456687722</v>
      </c>
      <c r="G15" s="2">
        <f t="shared" si="1"/>
        <v>4.5757082967657983</v>
      </c>
      <c r="H15" s="2">
        <f t="shared" si="1"/>
        <v>4.4424352395784448</v>
      </c>
      <c r="I15" s="2">
        <f t="shared" si="1"/>
        <v>90.573922360337235</v>
      </c>
      <c r="J15" s="2"/>
      <c r="K15" s="2"/>
      <c r="L15" s="2"/>
      <c r="M15" s="2"/>
      <c r="N15" s="2"/>
      <c r="O15" s="2">
        <f t="shared" si="4"/>
        <v>109.15941437438909</v>
      </c>
    </row>
    <row r="16" spans="1:15" x14ac:dyDescent="0.3">
      <c r="A16" s="53"/>
      <c r="B16" s="38">
        <v>3.5000000000000003E-2</v>
      </c>
      <c r="C16" s="35">
        <f t="shared" si="0"/>
        <v>106.77257856320617</v>
      </c>
      <c r="D16" s="33"/>
      <c r="E16" s="2">
        <f t="shared" si="2"/>
        <v>4.8309178743961354</v>
      </c>
      <c r="F16" s="2">
        <f t="shared" si="3"/>
        <v>4.6675535018320149</v>
      </c>
      <c r="G16" s="2">
        <f t="shared" si="1"/>
        <v>4.5097135283401117</v>
      </c>
      <c r="H16" s="2">
        <f t="shared" si="1"/>
        <v>4.357211138492862</v>
      </c>
      <c r="I16" s="2">
        <f t="shared" si="1"/>
        <v>88.407182520145042</v>
      </c>
      <c r="J16" s="2"/>
      <c r="K16" s="2"/>
      <c r="L16" s="2"/>
      <c r="M16" s="2"/>
      <c r="N16" s="2"/>
      <c r="O16" s="2">
        <f t="shared" si="4"/>
        <v>106.77257856320617</v>
      </c>
    </row>
    <row r="17" spans="1:15" x14ac:dyDescent="0.3">
      <c r="A17" s="53"/>
      <c r="B17" s="38">
        <v>0.04</v>
      </c>
      <c r="C17" s="35">
        <f t="shared" si="0"/>
        <v>104.45182233101617</v>
      </c>
      <c r="D17" s="33"/>
      <c r="E17" s="2">
        <f t="shared" si="2"/>
        <v>4.8076923076923075</v>
      </c>
      <c r="F17" s="2">
        <f t="shared" si="3"/>
        <v>4.6227810650887573</v>
      </c>
      <c r="G17" s="2">
        <f t="shared" si="1"/>
        <v>4.4449817933545743</v>
      </c>
      <c r="H17" s="2">
        <f t="shared" si="1"/>
        <v>4.2740209551486288</v>
      </c>
      <c r="I17" s="2">
        <f t="shared" si="1"/>
        <v>86.302346209731908</v>
      </c>
      <c r="J17" s="2"/>
      <c r="K17" s="2"/>
      <c r="L17" s="2"/>
      <c r="M17" s="2"/>
      <c r="N17" s="2"/>
      <c r="O17" s="2">
        <f t="shared" si="4"/>
        <v>104.45182233101617</v>
      </c>
    </row>
    <row r="18" spans="1:15" x14ac:dyDescent="0.3">
      <c r="A18" s="53"/>
      <c r="B18" s="38">
        <v>4.4999999999999998E-2</v>
      </c>
      <c r="C18" s="35">
        <f t="shared" si="0"/>
        <v>102.19498837221467</v>
      </c>
      <c r="D18" s="33"/>
      <c r="E18" s="2">
        <f t="shared" si="2"/>
        <v>4.7846889952153111</v>
      </c>
      <c r="F18" s="2">
        <f t="shared" si="3"/>
        <v>4.5786497561869011</v>
      </c>
      <c r="G18" s="2">
        <f t="shared" si="1"/>
        <v>4.3814830202745467</v>
      </c>
      <c r="H18" s="2">
        <f t="shared" si="1"/>
        <v>4.1928067179660742</v>
      </c>
      <c r="I18" s="2">
        <f t="shared" si="1"/>
        <v>84.257359882571834</v>
      </c>
      <c r="J18" s="2"/>
      <c r="K18" s="2"/>
      <c r="L18" s="2"/>
      <c r="M18" s="2"/>
      <c r="N18" s="2"/>
      <c r="O18" s="2">
        <f t="shared" si="4"/>
        <v>102.19498837221467</v>
      </c>
    </row>
    <row r="19" spans="1:15" x14ac:dyDescent="0.3">
      <c r="A19" s="53"/>
      <c r="B19" s="38">
        <v>0.05</v>
      </c>
      <c r="C19" s="35">
        <f t="shared" si="0"/>
        <v>99.999999999999986</v>
      </c>
      <c r="D19" s="33"/>
      <c r="E19" s="2">
        <f t="shared" si="2"/>
        <v>4.7619047619047619</v>
      </c>
      <c r="F19" s="2">
        <f t="shared" si="3"/>
        <v>4.5351473922902494</v>
      </c>
      <c r="G19" s="2">
        <f t="shared" si="1"/>
        <v>4.3191879926573797</v>
      </c>
      <c r="H19" s="2">
        <f t="shared" si="1"/>
        <v>4.1135123739594102</v>
      </c>
      <c r="I19" s="2">
        <f t="shared" si="1"/>
        <v>82.270247479188185</v>
      </c>
      <c r="J19" s="2"/>
      <c r="K19" s="2"/>
      <c r="L19" s="2"/>
      <c r="M19" s="2"/>
      <c r="N19" s="2"/>
      <c r="O19" s="2">
        <f t="shared" si="4"/>
        <v>99.999999999999986</v>
      </c>
    </row>
    <row r="20" spans="1:15" x14ac:dyDescent="0.3">
      <c r="A20" s="53"/>
      <c r="B20" s="38">
        <v>5.5E-2</v>
      </c>
      <c r="C20" s="35">
        <f t="shared" si="0"/>
        <v>97.864857762190468</v>
      </c>
      <c r="D20" s="33"/>
      <c r="E20" s="2">
        <f t="shared" si="2"/>
        <v>4.7393364928909953</v>
      </c>
      <c r="F20" s="2">
        <f t="shared" si="3"/>
        <v>4.4922620785696639</v>
      </c>
      <c r="G20" s="2">
        <f t="shared" si="1"/>
        <v>4.2580683209191132</v>
      </c>
      <c r="H20" s="2">
        <f t="shared" si="1"/>
        <v>4.0360837165110075</v>
      </c>
      <c r="I20" s="2">
        <f t="shared" si="1"/>
        <v>80.339107153299693</v>
      </c>
      <c r="J20" s="2"/>
      <c r="K20" s="2"/>
      <c r="L20" s="2"/>
      <c r="M20" s="2"/>
      <c r="N20" s="2"/>
      <c r="O20" s="2">
        <f t="shared" si="4"/>
        <v>97.864857762190468</v>
      </c>
    </row>
    <row r="21" spans="1:15" x14ac:dyDescent="0.3">
      <c r="A21" s="53"/>
      <c r="B21" s="38">
        <v>0.06</v>
      </c>
      <c r="C21" s="35">
        <f t="shared" si="0"/>
        <v>95.787636214434258</v>
      </c>
      <c r="D21" s="33"/>
      <c r="E21" s="2">
        <f t="shared" si="2"/>
        <v>4.7169811320754711</v>
      </c>
      <c r="F21" s="2">
        <f t="shared" si="3"/>
        <v>4.449982200071199</v>
      </c>
      <c r="G21" s="2">
        <f t="shared" si="1"/>
        <v>4.1980964151615083</v>
      </c>
      <c r="H21" s="2">
        <f t="shared" si="1"/>
        <v>3.9604683161901022</v>
      </c>
      <c r="I21" s="2">
        <f t="shared" si="1"/>
        <v>78.462108150935975</v>
      </c>
      <c r="J21" s="2"/>
      <c r="K21" s="2"/>
      <c r="L21" s="2"/>
      <c r="M21" s="2"/>
      <c r="N21" s="2"/>
      <c r="O21" s="2">
        <f t="shared" si="4"/>
        <v>95.787636214434258</v>
      </c>
    </row>
    <row r="22" spans="1:15" x14ac:dyDescent="0.3">
      <c r="A22" s="53"/>
      <c r="B22" s="38">
        <v>6.5000000000000002E-2</v>
      </c>
      <c r="C22" s="35">
        <f t="shared" si="0"/>
        <v>93.766480842791296</v>
      </c>
      <c r="D22" s="33"/>
      <c r="E22" s="2">
        <f t="shared" si="2"/>
        <v>4.694835680751174</v>
      </c>
      <c r="F22" s="2">
        <f t="shared" si="3"/>
        <v>4.4082964138508682</v>
      </c>
      <c r="G22" s="2">
        <f t="shared" si="1"/>
        <v>4.1392454590148997</v>
      </c>
      <c r="H22" s="2">
        <f t="shared" si="1"/>
        <v>3.8866154544740845</v>
      </c>
      <c r="I22" s="2">
        <f t="shared" si="1"/>
        <v>76.637487834700266</v>
      </c>
      <c r="J22" s="2"/>
      <c r="K22" s="2"/>
      <c r="L22" s="2"/>
      <c r="M22" s="2"/>
      <c r="N22" s="2"/>
      <c r="O22" s="2">
        <f t="shared" si="4"/>
        <v>93.766480842791296</v>
      </c>
    </row>
    <row r="23" spans="1:15" x14ac:dyDescent="0.3">
      <c r="A23" s="53"/>
      <c r="B23" s="38">
        <v>7.0000000000000007E-2</v>
      </c>
      <c r="C23" s="35">
        <f t="shared" si="0"/>
        <v>91.799605128104801</v>
      </c>
      <c r="D23" s="33"/>
      <c r="E23" s="2">
        <f t="shared" si="2"/>
        <v>4.6728971962616823</v>
      </c>
      <c r="F23" s="2">
        <f t="shared" si="3"/>
        <v>4.3671936413660584</v>
      </c>
      <c r="G23" s="2">
        <f t="shared" si="1"/>
        <v>4.0814893844542599</v>
      </c>
      <c r="H23" s="2">
        <f t="shared" si="1"/>
        <v>3.814476060237626</v>
      </c>
      <c r="I23" s="2">
        <f t="shared" si="1"/>
        <v>74.863548845785175</v>
      </c>
      <c r="J23" s="2"/>
      <c r="K23" s="2"/>
      <c r="L23" s="2"/>
      <c r="M23" s="2"/>
      <c r="N23" s="2"/>
      <c r="O23" s="2">
        <f t="shared" si="4"/>
        <v>91.799605128104801</v>
      </c>
    </row>
    <row r="24" spans="1:15" x14ac:dyDescent="0.3">
      <c r="A24" s="53"/>
      <c r="B24" s="38">
        <v>7.4999999999999997E-2</v>
      </c>
      <c r="C24" s="35">
        <f t="shared" si="0"/>
        <v>89.885287745003879</v>
      </c>
      <c r="D24" s="33"/>
      <c r="E24" s="2">
        <f t="shared" si="2"/>
        <v>4.6511627906976747</v>
      </c>
      <c r="F24" s="2">
        <f t="shared" si="3"/>
        <v>4.3266630611141164</v>
      </c>
      <c r="G24" s="2">
        <f t="shared" si="1"/>
        <v>4.0248028475480151</v>
      </c>
      <c r="H24" s="2">
        <f t="shared" si="1"/>
        <v>3.7440026488818745</v>
      </c>
      <c r="I24" s="2">
        <f t="shared" si="1"/>
        <v>73.138656396762201</v>
      </c>
      <c r="J24" s="2"/>
      <c r="K24" s="2"/>
      <c r="L24" s="2"/>
      <c r="M24" s="2"/>
      <c r="N24" s="2"/>
      <c r="O24" s="2">
        <f t="shared" si="4"/>
        <v>89.885287745003879</v>
      </c>
    </row>
    <row r="25" spans="1:15" x14ac:dyDescent="0.3">
      <c r="A25" s="53"/>
      <c r="B25" s="38">
        <v>0.08</v>
      </c>
      <c r="C25" s="35">
        <f t="shared" si="0"/>
        <v>88.021869888765721</v>
      </c>
      <c r="D25" s="33"/>
      <c r="E25" s="2">
        <f t="shared" si="2"/>
        <v>4.6296296296296298</v>
      </c>
      <c r="F25" s="2">
        <f t="shared" si="3"/>
        <v>4.2866941015089157</v>
      </c>
      <c r="G25" s="2">
        <f t="shared" si="1"/>
        <v>3.969161205100848</v>
      </c>
      <c r="H25" s="2">
        <f t="shared" si="1"/>
        <v>3.675149263982266</v>
      </c>
      <c r="I25" s="2">
        <f t="shared" si="1"/>
        <v>71.461235688544065</v>
      </c>
      <c r="J25" s="2"/>
      <c r="K25" s="2"/>
      <c r="L25" s="2"/>
      <c r="M25" s="2"/>
      <c r="N25" s="2"/>
      <c r="O25" s="2">
        <f t="shared" si="4"/>
        <v>88.021869888765721</v>
      </c>
    </row>
    <row r="26" spans="1:15" x14ac:dyDescent="0.3">
      <c r="A26" s="53"/>
      <c r="B26" s="38">
        <v>8.5000000000000006E-2</v>
      </c>
      <c r="C26" s="35">
        <f t="shared" si="0"/>
        <v>86.207752723641505</v>
      </c>
      <c r="D26" s="33"/>
      <c r="E26" s="2">
        <f t="shared" si="2"/>
        <v>4.6082949308755765</v>
      </c>
      <c r="F26" s="2">
        <f t="shared" si="3"/>
        <v>4.2472764339867064</v>
      </c>
      <c r="G26" s="2">
        <f t="shared" si="1"/>
        <v>3.914540492153646</v>
      </c>
      <c r="H26" s="2">
        <f t="shared" si="1"/>
        <v>3.6078714213397665</v>
      </c>
      <c r="I26" s="2">
        <f t="shared" si="1"/>
        <v>69.829769445285805</v>
      </c>
      <c r="J26" s="2"/>
      <c r="K26" s="2"/>
      <c r="L26" s="2"/>
      <c r="M26" s="2"/>
      <c r="N26" s="2"/>
      <c r="O26" s="2">
        <f t="shared" si="4"/>
        <v>86.207752723641505</v>
      </c>
    </row>
    <row r="27" spans="1:15" x14ac:dyDescent="0.3">
      <c r="A27" s="53"/>
      <c r="B27" s="38">
        <v>0.09</v>
      </c>
      <c r="C27" s="35">
        <f t="shared" si="0"/>
        <v>84.441394946593107</v>
      </c>
      <c r="D27" s="33"/>
      <c r="E27" s="2">
        <f t="shared" si="2"/>
        <v>4.5871559633027523</v>
      </c>
      <c r="F27" s="2">
        <f t="shared" si="3"/>
        <v>4.2083999663327996</v>
      </c>
      <c r="G27" s="2">
        <f t="shared" si="1"/>
        <v>3.8609174003053206</v>
      </c>
      <c r="H27" s="2">
        <f t="shared" si="1"/>
        <v>3.5421260553259821</v>
      </c>
      <c r="I27" s="2">
        <f t="shared" si="1"/>
        <v>68.242795561326261</v>
      </c>
      <c r="J27" s="2"/>
      <c r="K27" s="2"/>
      <c r="L27" s="2"/>
      <c r="M27" s="2"/>
      <c r="N27" s="2"/>
      <c r="O27" s="2">
        <f t="shared" si="4"/>
        <v>84.441394946593107</v>
      </c>
    </row>
    <row r="28" spans="1:15" x14ac:dyDescent="0.3">
      <c r="A28" s="53"/>
      <c r="B28" s="38">
        <v>9.5000000000000001E-2</v>
      </c>
      <c r="C28" s="35">
        <f t="shared" si="0"/>
        <v>82.721310460719749</v>
      </c>
      <c r="D28" s="33"/>
      <c r="E28" s="2">
        <f t="shared" si="2"/>
        <v>4.5662100456621006</v>
      </c>
      <c r="F28" s="2">
        <f t="shared" si="3"/>
        <v>4.1700548362210963</v>
      </c>
      <c r="G28" s="2">
        <f t="shared" si="1"/>
        <v>3.8082692568229191</v>
      </c>
      <c r="H28" s="2">
        <f t="shared" si="1"/>
        <v>3.4778714674181908</v>
      </c>
      <c r="I28" s="2">
        <f t="shared" si="1"/>
        <v>66.69890485459544</v>
      </c>
      <c r="J28" s="2"/>
      <c r="K28" s="2"/>
      <c r="L28" s="2"/>
      <c r="M28" s="2"/>
      <c r="N28" s="2"/>
      <c r="O28" s="2">
        <f t="shared" si="4"/>
        <v>82.721310460719749</v>
      </c>
    </row>
    <row r="29" spans="1:15" ht="15" thickBot="1" x14ac:dyDescent="0.35">
      <c r="A29" s="54"/>
      <c r="B29" s="39">
        <v>0.1</v>
      </c>
      <c r="C29" s="36">
        <f t="shared" si="0"/>
        <v>81.046066152957735</v>
      </c>
      <c r="D29" s="33"/>
      <c r="E29" s="2">
        <f t="shared" si="2"/>
        <v>4.545454545454545</v>
      </c>
      <c r="F29" s="2">
        <f t="shared" si="3"/>
        <v>4.1322314049586772</v>
      </c>
      <c r="G29" s="2">
        <f t="shared" si="1"/>
        <v>3.7565740045078875</v>
      </c>
      <c r="H29" s="2">
        <f t="shared" si="1"/>
        <v>3.4150672768253525</v>
      </c>
      <c r="I29" s="2">
        <f t="shared" si="1"/>
        <v>65.196738921211278</v>
      </c>
      <c r="J29" s="2"/>
      <c r="K29" s="2"/>
      <c r="L29" s="2"/>
      <c r="M29" s="2"/>
      <c r="N29" s="2"/>
      <c r="O29" s="2">
        <f t="shared" si="4"/>
        <v>81.046066152957735</v>
      </c>
    </row>
    <row r="55" spans="1:2" x14ac:dyDescent="0.3">
      <c r="A55" t="s">
        <v>83</v>
      </c>
      <c r="B55" t="s">
        <v>84</v>
      </c>
    </row>
  </sheetData>
  <mergeCells count="2">
    <mergeCell ref="A9:A29"/>
    <mergeCell ref="D5:N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8F54-A7E5-4104-BA46-2349B6FE9E0A}">
  <dimension ref="A1:E10"/>
  <sheetViews>
    <sheetView workbookViewId="0">
      <selection activeCell="B11" sqref="B11"/>
    </sheetView>
  </sheetViews>
  <sheetFormatPr defaultColWidth="9.109375" defaultRowHeight="14.4" x14ac:dyDescent="0.3"/>
  <cols>
    <col min="1" max="1" width="13.6640625" style="6" bestFit="1" customWidth="1"/>
    <col min="2" max="2" width="16.5546875" style="6" bestFit="1" customWidth="1"/>
    <col min="3" max="3" width="9.109375" style="6"/>
    <col min="4" max="4" width="13.6640625" style="6" customWidth="1"/>
    <col min="5" max="5" width="16.109375" style="6" bestFit="1" customWidth="1"/>
    <col min="6" max="16384" width="9.109375" style="6"/>
  </cols>
  <sheetData>
    <row r="1" spans="1:5" ht="23.4" x14ac:dyDescent="0.45">
      <c r="A1" s="40" t="s">
        <v>21</v>
      </c>
    </row>
    <row r="3" spans="1:5" x14ac:dyDescent="0.3">
      <c r="A3" s="41" t="s">
        <v>15</v>
      </c>
      <c r="B3" s="41" t="s">
        <v>19</v>
      </c>
      <c r="C3" s="7"/>
      <c r="D3" s="41" t="s">
        <v>17</v>
      </c>
      <c r="E3" s="41" t="s">
        <v>20</v>
      </c>
    </row>
    <row r="4" spans="1:5" x14ac:dyDescent="0.3">
      <c r="A4" s="41" t="s">
        <v>16</v>
      </c>
      <c r="B4" s="19">
        <v>0.05</v>
      </c>
      <c r="C4" s="7"/>
      <c r="D4" s="41" t="s">
        <v>16</v>
      </c>
      <c r="E4" s="19">
        <v>0.03</v>
      </c>
    </row>
    <row r="5" spans="1:5" x14ac:dyDescent="0.3">
      <c r="A5" s="41" t="s">
        <v>5</v>
      </c>
      <c r="B5" s="20">
        <v>5</v>
      </c>
      <c r="C5" s="7"/>
      <c r="D5" s="41" t="s">
        <v>5</v>
      </c>
      <c r="E5" s="20">
        <v>3</v>
      </c>
    </row>
    <row r="7" spans="1:5" x14ac:dyDescent="0.3">
      <c r="A7" s="41" t="s">
        <v>18</v>
      </c>
      <c r="B7" s="15">
        <f>POWER((1+B4)^B5/((1+E4)^E5),1/(B5-E5))-1</f>
        <v>8.0730506142994596E-2</v>
      </c>
    </row>
    <row r="10" spans="1:5" x14ac:dyDescent="0.3">
      <c r="A10" t="s">
        <v>83</v>
      </c>
      <c r="B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B505-9D1E-4190-8D76-36AA7D2C859F}">
  <dimension ref="A1:N18"/>
  <sheetViews>
    <sheetView workbookViewId="0">
      <selection activeCell="A18" sqref="A18:B18"/>
    </sheetView>
  </sheetViews>
  <sheetFormatPr defaultRowHeight="14.4" x14ac:dyDescent="0.3"/>
  <cols>
    <col min="1" max="1" width="29.88671875" bestFit="1" customWidth="1"/>
  </cols>
  <sheetData>
    <row r="1" spans="1:14" ht="23.4" x14ac:dyDescent="0.45">
      <c r="A1" s="28" t="s">
        <v>82</v>
      </c>
    </row>
    <row r="3" spans="1:14" x14ac:dyDescent="0.3">
      <c r="A3" s="29" t="s">
        <v>10</v>
      </c>
      <c r="B3" s="16">
        <v>100</v>
      </c>
    </row>
    <row r="4" spans="1:14" x14ac:dyDescent="0.3">
      <c r="A4" s="29" t="s">
        <v>23</v>
      </c>
      <c r="B4" s="17">
        <v>0.06</v>
      </c>
    </row>
    <row r="5" spans="1:14" x14ac:dyDescent="0.3">
      <c r="A5" s="29" t="s">
        <v>22</v>
      </c>
      <c r="B5" s="10">
        <v>2.3422133279979204E-2</v>
      </c>
    </row>
    <row r="6" spans="1:14" x14ac:dyDescent="0.3">
      <c r="A6" s="29" t="s">
        <v>5</v>
      </c>
      <c r="B6" s="16">
        <v>2</v>
      </c>
      <c r="D6" s="51" t="s">
        <v>77</v>
      </c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x14ac:dyDescent="0.3">
      <c r="A7" t="s">
        <v>24</v>
      </c>
      <c r="D7" s="31"/>
      <c r="E7" s="42">
        <v>2.1000000000000001E-2</v>
      </c>
      <c r="F7" s="42">
        <v>3.635E-2</v>
      </c>
      <c r="G7" s="31"/>
      <c r="H7" s="31"/>
      <c r="I7" s="31"/>
      <c r="J7" s="31"/>
      <c r="K7" s="31"/>
      <c r="L7" s="31"/>
      <c r="M7" s="31"/>
      <c r="N7" s="31"/>
    </row>
    <row r="8" spans="1:14" x14ac:dyDescent="0.3">
      <c r="D8" s="2" t="str">
        <f>IF($B$6&gt;0,"0","")</f>
        <v>0</v>
      </c>
      <c r="E8" s="2" t="str">
        <f>IF($B$6&gt;=1,"1","")</f>
        <v>1</v>
      </c>
      <c r="F8" s="2" t="str">
        <f>IF($B$6&gt;=2,"2","")</f>
        <v>2</v>
      </c>
      <c r="G8" s="2" t="str">
        <f>IF($B$6&gt;=3,"3","")</f>
        <v/>
      </c>
      <c r="H8" s="2" t="str">
        <f>IF($B$6&gt;=4,"4","")</f>
        <v/>
      </c>
      <c r="I8" s="2" t="str">
        <f>IF($B$6&gt;=5,"5","")</f>
        <v/>
      </c>
      <c r="J8" s="2" t="str">
        <f>IF($B$6&gt;=6,"6","")</f>
        <v/>
      </c>
      <c r="K8" s="2" t="str">
        <f>IF($B$6&gt;=7,"7","")</f>
        <v/>
      </c>
      <c r="L8" s="2" t="str">
        <f>IF($B$6&gt;=8,"8","")</f>
        <v/>
      </c>
      <c r="M8" s="2" t="str">
        <f>IF($B$6&gt;=9,"9","")</f>
        <v/>
      </c>
      <c r="N8" s="2" t="str">
        <f>IF($B$6&gt;=10,"10","")</f>
        <v/>
      </c>
    </row>
    <row r="9" spans="1:14" x14ac:dyDescent="0.3">
      <c r="A9" s="29" t="s">
        <v>11</v>
      </c>
      <c r="B9" s="11">
        <f>SUM(E10:N10)</f>
        <v>100.12499940804892</v>
      </c>
      <c r="D9" s="2">
        <v>0</v>
      </c>
      <c r="E9" s="2" cm="1">
        <f t="array" ref="E9">_xlfn.IFS($B$6&gt;1,$B$3*$B$4,$B$6=1,$B$3*$B$4+$B$3,$B$6&lt;1,"")</f>
        <v>6</v>
      </c>
      <c r="F9" s="2" cm="1">
        <f t="array" ref="F9">_xlfn.IFS($B$6&gt;2,$B$3*$B$4,$B$6=2,$B$3*$B$4+$B$3,$B$6&lt;2,"")</f>
        <v>106</v>
      </c>
      <c r="G9" s="2" t="str" cm="1">
        <f t="array" ref="G9">_xlfn.IFS($B$6&gt;3,$B$3*$B$4,$B$6=3,$B$3*$B$4+$B$3,$B$6&lt;3,"")</f>
        <v/>
      </c>
      <c r="H9" s="2" t="str" cm="1">
        <f t="array" ref="H9">_xlfn.IFS($B$6&gt;4,$B$3*$B$4,$B$6=4,$B$3*$B$4+$B$3,$B$6&lt;4,"")</f>
        <v/>
      </c>
      <c r="I9" s="2" t="str" cm="1">
        <f t="array" ref="I9">_xlfn.IFS($B$6&gt;5,$B$3*$B$4,$B$6=5,$B$3*$B$4+$B$3,$B$6&lt;5,"")</f>
        <v/>
      </c>
      <c r="J9" s="2" t="str" cm="1">
        <f t="array" ref="J9">_xlfn.IFS($B$6&gt;6,$B$3*$B$4,$B$6=6,$B$3*$B$4+$B$3,$B$6&lt;6,"")</f>
        <v/>
      </c>
      <c r="K9" s="2" t="str" cm="1">
        <f t="array" ref="K9">_xlfn.IFS($B$6&gt;7,$B$3*$B$4,$B$6=7,$B$3*$B$4+$B$3,$B$6&lt;7,"")</f>
        <v/>
      </c>
      <c r="L9" s="2" t="str" cm="1">
        <f t="array" ref="L9">_xlfn.IFS($B$6&gt;8,$B$3*$B$4,$B$6=8,$B$3*$B$4+$B$3,$B$6&lt;8,"")</f>
        <v/>
      </c>
      <c r="M9" s="2" t="str" cm="1">
        <f t="array" ref="M9">_xlfn.IFS($B$6&gt;9,$B$3*$B$4,$B$6=9,$B$3*$B$4+$B$3,$B$6&lt;9,"")</f>
        <v/>
      </c>
      <c r="N9" s="2" t="str" cm="1">
        <f t="array" ref="N9">_xlfn.IFS($B$6&gt;10,$B$3*$B$4,$B$6=10,$B$3*$B$4+$B$3,$B$6&lt;10,"")</f>
        <v/>
      </c>
    </row>
    <row r="10" spans="1:14" x14ac:dyDescent="0.3">
      <c r="A10" s="29" t="s">
        <v>25</v>
      </c>
      <c r="B10" s="11">
        <v>100.125</v>
      </c>
      <c r="D10" s="2">
        <v>0</v>
      </c>
      <c r="E10" s="3">
        <f>IF($B$6&gt;=1,E9/(1+E7+$B$5)^E8,"")</f>
        <v>5.7448035701399442</v>
      </c>
      <c r="F10" s="3">
        <f>IF($B$6&gt;=2,F9/(1+F7+$B$5)^F8,"")</f>
        <v>94.380195837908971</v>
      </c>
      <c r="G10" s="3" t="str">
        <f>IF($B$6&gt;=3,G9/(1+G7+$B$5)^G8,"")</f>
        <v/>
      </c>
      <c r="H10" s="3" t="str">
        <f>IF($B$6&gt;=4,H9/(1+H7+$B$5)^H8,"")</f>
        <v/>
      </c>
      <c r="I10" s="3" t="str">
        <f>IF($B$6&gt;=5,I9/(1+I7+$B$5)^I8,"")</f>
        <v/>
      </c>
      <c r="J10" s="3" t="str">
        <f>IF($B$6&gt;=6,J9/(1+J7+$B$5)^J8,"")</f>
        <v/>
      </c>
      <c r="K10" s="3" t="str">
        <f>IF($B$6&gt;=7,K9/(1+K7+$B$5)^K8,"")</f>
        <v/>
      </c>
      <c r="L10" s="3" t="str">
        <f>IF($B$6&gt;=8,L9/(1+L7+$B$5)^L8,"")</f>
        <v/>
      </c>
      <c r="M10" s="3" t="str">
        <f>IF($B$6&gt;=9,M9/(1+M7+$B$5)^M8,"")</f>
        <v/>
      </c>
      <c r="N10" s="3" t="str">
        <f>IF($B$6&gt;=10,N9/(1+N7+$B$5)^N8,"")</f>
        <v/>
      </c>
    </row>
    <row r="11" spans="1:14" x14ac:dyDescent="0.3">
      <c r="A11" s="29" t="s">
        <v>8</v>
      </c>
      <c r="B11" s="3">
        <f>B10-B9</f>
        <v>5.9195107837695105E-7</v>
      </c>
    </row>
    <row r="12" spans="1:14" x14ac:dyDescent="0.3">
      <c r="B12" s="1"/>
    </row>
    <row r="13" spans="1:14" x14ac:dyDescent="0.3">
      <c r="A13" s="29" t="s">
        <v>26</v>
      </c>
      <c r="B13" s="21">
        <v>0.05</v>
      </c>
      <c r="D13" t="s">
        <v>29</v>
      </c>
    </row>
    <row r="14" spans="1:14" x14ac:dyDescent="0.3">
      <c r="A14" s="29" t="s">
        <v>27</v>
      </c>
      <c r="B14" s="21">
        <v>0.03</v>
      </c>
      <c r="D14" t="s">
        <v>29</v>
      </c>
    </row>
    <row r="15" spans="1:14" x14ac:dyDescent="0.3">
      <c r="A15" s="29" t="s">
        <v>28</v>
      </c>
      <c r="B15" s="14">
        <f>B13-B14</f>
        <v>2.0000000000000004E-2</v>
      </c>
    </row>
    <row r="18" spans="1:2" x14ac:dyDescent="0.3">
      <c r="A18" t="s">
        <v>83</v>
      </c>
      <c r="B18" t="s">
        <v>84</v>
      </c>
    </row>
  </sheetData>
  <mergeCells count="1">
    <mergeCell ref="D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EF23-5F43-4C0B-8E43-8A995E84752E}">
  <dimension ref="A1:N28"/>
  <sheetViews>
    <sheetView topLeftCell="A13" workbookViewId="0">
      <selection activeCell="D33" sqref="D33"/>
    </sheetView>
  </sheetViews>
  <sheetFormatPr defaultRowHeight="14.4" x14ac:dyDescent="0.3"/>
  <cols>
    <col min="1" max="1" width="22.33203125" bestFit="1" customWidth="1"/>
  </cols>
  <sheetData>
    <row r="1" spans="1:14" ht="23.4" x14ac:dyDescent="0.45">
      <c r="A1" s="28" t="s">
        <v>38</v>
      </c>
    </row>
    <row r="3" spans="1:14" x14ac:dyDescent="0.3">
      <c r="A3" s="29" t="s">
        <v>0</v>
      </c>
      <c r="B3" s="16">
        <v>100</v>
      </c>
    </row>
    <row r="4" spans="1:14" x14ac:dyDescent="0.3">
      <c r="A4" s="29" t="s">
        <v>2</v>
      </c>
      <c r="B4" s="17">
        <v>0.05</v>
      </c>
    </row>
    <row r="5" spans="1:14" x14ac:dyDescent="0.3">
      <c r="A5" s="29" t="s">
        <v>31</v>
      </c>
      <c r="B5" s="22">
        <v>4.48E-2</v>
      </c>
    </row>
    <row r="6" spans="1:14" x14ac:dyDescent="0.3">
      <c r="A6" s="29" t="s">
        <v>32</v>
      </c>
      <c r="B6" s="22">
        <v>4.4900000000000002E-2</v>
      </c>
    </row>
    <row r="7" spans="1:14" x14ac:dyDescent="0.3">
      <c r="A7" s="29" t="s">
        <v>5</v>
      </c>
      <c r="B7" s="16">
        <v>3</v>
      </c>
      <c r="D7" s="51" t="s">
        <v>77</v>
      </c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 x14ac:dyDescent="0.3">
      <c r="A8" t="s">
        <v>12</v>
      </c>
      <c r="D8" s="31"/>
      <c r="E8" s="43">
        <v>0.04</v>
      </c>
      <c r="F8" s="43">
        <v>4.2500000000000003E-2</v>
      </c>
      <c r="G8" s="43">
        <v>4.4999999999999998E-2</v>
      </c>
      <c r="H8" s="43"/>
      <c r="I8" s="43"/>
      <c r="J8" s="43"/>
      <c r="K8" s="43"/>
      <c r="L8" s="43"/>
      <c r="M8" s="43"/>
      <c r="N8" s="43"/>
    </row>
    <row r="9" spans="1:14" x14ac:dyDescent="0.3">
      <c r="D9" s="2" t="str">
        <f>IF($B$7&gt;0,"0","")</f>
        <v>0</v>
      </c>
      <c r="E9" s="2" t="str">
        <f>IF($B$7&gt;=1,"1","")</f>
        <v>1</v>
      </c>
      <c r="F9" s="2" t="str">
        <f>IF($B$7&gt;=2,"2","")</f>
        <v>2</v>
      </c>
      <c r="G9" s="2" t="str">
        <f>IF($B$7&gt;=3,"3","")</f>
        <v>3</v>
      </c>
      <c r="H9" s="2" t="str">
        <f>IF($B$7&gt;=4,"4","")</f>
        <v/>
      </c>
      <c r="I9" s="2" t="str">
        <f>IF($B$7&gt;=5,"5","")</f>
        <v/>
      </c>
      <c r="J9" s="2" t="str">
        <f>IF($B$7&gt;=6,"6","")</f>
        <v/>
      </c>
      <c r="K9" s="2" t="str">
        <f>IF($B$7&gt;=7,"7","")</f>
        <v/>
      </c>
      <c r="L9" s="2" t="str">
        <f>IF($B$7&gt;=8,"8","")</f>
        <v/>
      </c>
      <c r="M9" s="2" t="str">
        <f>IF($B$7&gt;=9,"9","")</f>
        <v/>
      </c>
      <c r="N9" s="2" t="str">
        <f>IF($B$7&gt;=10,"10","")</f>
        <v/>
      </c>
    </row>
    <row r="10" spans="1:14" x14ac:dyDescent="0.3">
      <c r="A10" s="29" t="s">
        <v>7</v>
      </c>
      <c r="B10" s="11">
        <f>SUM(E11:N11)</f>
        <v>101.41947177139004</v>
      </c>
      <c r="D10" s="2">
        <v>0</v>
      </c>
      <c r="E10" s="2" cm="1">
        <f t="array" ref="E10">_xlfn.IFS($B$7&gt;1,$B$3*$B$4,$B$7=1,$B$3*$B$4+$B$3,$B$7&lt;1,"")</f>
        <v>5</v>
      </c>
      <c r="F10" s="2" cm="1">
        <f t="array" ref="F10">_xlfn.IFS($B$7&gt;2,$B$3*$B$4,$B$7=2,$B$3*$B$4+$B$3,$B$7&lt;2,"")</f>
        <v>5</v>
      </c>
      <c r="G10" s="2" cm="1">
        <f t="array" ref="G10">_xlfn.IFS($B$7&gt;3,$B$3*$B$4,$B$7=3,$B$3*$B$4+$B$3,$B$7&lt;3,"")</f>
        <v>105</v>
      </c>
      <c r="H10" s="2" t="str" cm="1">
        <f t="array" ref="H10">_xlfn.IFS($B$7&gt;4,$B$3*$B$4,$B$7=4,$B$3*$B$4+$B$3,$B$7&lt;4,"")</f>
        <v/>
      </c>
      <c r="I10" s="2" t="str" cm="1">
        <f t="array" ref="I10">_xlfn.IFS($B$7&gt;5,$B$3*$B$4,$B$7=5,$B$3*$B$4+$B$3,$B$7&lt;5,"")</f>
        <v/>
      </c>
      <c r="J10" s="2" t="str" cm="1">
        <f t="array" ref="J10">_xlfn.IFS($B$7&gt;6,$B$3*$B$4,$B$7=6,$B$3*$B$4+$B$3,$B$7&lt;6,"")</f>
        <v/>
      </c>
      <c r="K10" s="2" t="str" cm="1">
        <f t="array" ref="K10">_xlfn.IFS($B$7&gt;7,$B$3*$B$4,$B$7=7,$B$3*$B$4+$B$3,$B$7&lt;7,"")</f>
        <v/>
      </c>
      <c r="L10" s="2" t="str" cm="1">
        <f t="array" ref="L10">_xlfn.IFS($B$7&gt;8,$B$3*$B$4,$B$7=8,$B$3*$B$4+$B$3,$B$7&lt;8,"")</f>
        <v/>
      </c>
      <c r="M10" s="2" t="str" cm="1">
        <f t="array" ref="M10">_xlfn.IFS($B$7&gt;9,$B$3*$B$4,$B$7=9,$B$3*$B$4+$B$3,$B$7&lt;9,"")</f>
        <v/>
      </c>
      <c r="N10" s="2" t="str" cm="1">
        <f t="array" ref="N10">_xlfn.IFS($B$7&gt;10,$B$3*$B$4,$B$7=10,$B$3*$B$4+$B$3,$B$7&lt;10,"")</f>
        <v/>
      </c>
    </row>
    <row r="11" spans="1:14" x14ac:dyDescent="0.3">
      <c r="B11" s="5"/>
      <c r="D11" s="2">
        <v>0</v>
      </c>
      <c r="E11" s="3">
        <f>IF($B$7&gt;=1,E10/(1+E8)^E9,"")</f>
        <v>4.8076923076923075</v>
      </c>
      <c r="F11" s="3">
        <f>IF($B$7&gt;=2,F10/(1+F8)^F9,"")</f>
        <v>4.6006360379322446</v>
      </c>
      <c r="G11" s="3">
        <f>IF($B$7&gt;=3,G10/(1+G8)^G9,"")</f>
        <v>92.011143425765482</v>
      </c>
      <c r="H11" s="3" t="str">
        <f>IF($B$7&gt;=4,H10/(1+H8)^H9,"")</f>
        <v/>
      </c>
      <c r="I11" s="3" t="str">
        <f>IF($B$7&gt;=5,I10/(1+I8)^I9,"")</f>
        <v/>
      </c>
      <c r="J11" s="3" t="str">
        <f>IF($B$7&gt;=6,J10/(1+J8)^J9,"")</f>
        <v/>
      </c>
      <c r="K11" s="3" t="str">
        <f>IF($B$7&gt;=7,K10/(1+K8)^K9,"")</f>
        <v/>
      </c>
      <c r="L11" s="3" t="str">
        <f>IF($B$7&gt;=8,L10/(1+L8)^L9,"")</f>
        <v/>
      </c>
      <c r="M11" s="3" t="str">
        <f>IF($B$7&gt;=9,M10/(1+M8)^M9,"")</f>
        <v/>
      </c>
      <c r="N11" s="3" t="str">
        <f>IF($B$7&gt;=10,N10/(1+N8)^N9,"")</f>
        <v/>
      </c>
    </row>
    <row r="12" spans="1:14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D13" s="2" t="str">
        <f>IF($B$7&gt;0,"0","")</f>
        <v>0</v>
      </c>
      <c r="E13" s="2" t="str">
        <f>IF($B$7&gt;=1,"1","")</f>
        <v>1</v>
      </c>
      <c r="F13" s="2" t="str">
        <f>IF($B$7&gt;=2,"2","")</f>
        <v>2</v>
      </c>
      <c r="G13" s="2" t="str">
        <f>IF($B$7&gt;=3,"3","")</f>
        <v>3</v>
      </c>
      <c r="H13" s="2" t="str">
        <f>IF($B$7&gt;=4,"4","")</f>
        <v/>
      </c>
      <c r="I13" s="2" t="str">
        <f>IF($B$7&gt;=5,"5","")</f>
        <v/>
      </c>
      <c r="J13" s="2" t="str">
        <f>IF($B$7&gt;=6,"6","")</f>
        <v/>
      </c>
      <c r="K13" s="2" t="str">
        <f>IF($B$7&gt;=7,"7","")</f>
        <v/>
      </c>
      <c r="L13" s="2" t="str">
        <f>IF($B$7&gt;=8,"8","")</f>
        <v/>
      </c>
      <c r="M13" s="2" t="str">
        <f>IF($B$7&gt;=9,"9","")</f>
        <v/>
      </c>
      <c r="N13" s="2" t="str">
        <f>IF($B$7&gt;=10,"10","")</f>
        <v/>
      </c>
    </row>
    <row r="14" spans="1:14" x14ac:dyDescent="0.3">
      <c r="A14" s="29" t="s">
        <v>36</v>
      </c>
      <c r="B14" s="3">
        <f>SUM(E15:N15)</f>
        <v>101.40223624693782</v>
      </c>
      <c r="D14" s="2">
        <v>0</v>
      </c>
      <c r="E14" s="2" cm="1">
        <f t="array" ref="E14">_xlfn.IFS($B$7&gt;1,$B$3*$B$4,$B$7=1,$B$3*$B$4+$B$3,$B$7&lt;1,"")</f>
        <v>5</v>
      </c>
      <c r="F14" s="2" cm="1">
        <f t="array" ref="F14">_xlfn.IFS($B$7&gt;2,$B$3*$B$4,$B$7=2,$B$3*$B$4+$B$3,$B$7&lt;2,"")</f>
        <v>5</v>
      </c>
      <c r="G14" s="2" cm="1">
        <f t="array" ref="G14">_xlfn.IFS($B$7&gt;3,$B$3*$B$4,$B$7=3,$B$3*$B$4+$B$3,$B$7&lt;3,"")</f>
        <v>105</v>
      </c>
      <c r="H14" s="2" t="str" cm="1">
        <f t="array" ref="H14">_xlfn.IFS($B$7&gt;4,$B$3*$B$4,$B$7=4,$B$3*$B$4+$B$3,$B$7&lt;4,"")</f>
        <v/>
      </c>
      <c r="I14" s="2" t="str" cm="1">
        <f t="array" ref="I14">_xlfn.IFS($B$7&gt;5,$B$3*$B$4,$B$7=5,$B$3*$B$4+$B$3,$B$7&lt;5,"")</f>
        <v/>
      </c>
      <c r="J14" s="2" t="str" cm="1">
        <f t="array" ref="J14">_xlfn.IFS($B$7&gt;6,$B$3*$B$4,$B$7=6,$B$3*$B$4+$B$3,$B$7&lt;6,"")</f>
        <v/>
      </c>
      <c r="K14" s="2" t="str" cm="1">
        <f t="array" ref="K14">_xlfn.IFS($B$7&gt;7,$B$3*$B$4,$B$7=7,$B$3*$B$4+$B$3,$B$7&lt;7,"")</f>
        <v/>
      </c>
      <c r="L14" s="2" t="str" cm="1">
        <f t="array" ref="L14">_xlfn.IFS($B$7&gt;8,$B$3*$B$4,$B$7=8,$B$3*$B$4+$B$3,$B$7&lt;8,"")</f>
        <v/>
      </c>
      <c r="M14" s="2" t="str" cm="1">
        <f t="array" ref="M14">_xlfn.IFS($B$7&gt;9,$B$3*$B$4,$B$7=9,$B$3*$B$4+$B$3,$B$7&lt;9,"")</f>
        <v/>
      </c>
      <c r="N14" s="2" t="str" cm="1">
        <f t="array" ref="N14">_xlfn.IFS($B$7&gt;10,$B$3*$B$4,$B$7=10,$B$3*$B$4+$B$3,$B$7&lt;10,"")</f>
        <v/>
      </c>
    </row>
    <row r="15" spans="1:14" x14ac:dyDescent="0.3">
      <c r="A15" s="29" t="s">
        <v>8</v>
      </c>
      <c r="B15" s="3">
        <f>B14-B10</f>
        <v>-1.7235524452217987E-2</v>
      </c>
      <c r="D15" s="2">
        <v>0</v>
      </c>
      <c r="E15" s="3">
        <f>IF($B$7&gt;=1,E14/(1+$B$6)^E13,"")</f>
        <v>4.7851469040099532</v>
      </c>
      <c r="F15" s="3">
        <f>IF($B$7&gt;=2,F14/(1+$B$6)^F13,"")</f>
        <v>4.5795261785912089</v>
      </c>
      <c r="G15" s="3">
        <f>IF($B$7&gt;=3,G14/(1+$B$6)^G13,"")</f>
        <v>92.03756316433666</v>
      </c>
      <c r="H15" s="3" t="str">
        <f>IF($B$7&gt;=4,H14/(1+$B$6)^H13,"")</f>
        <v/>
      </c>
      <c r="I15" s="3" t="str">
        <f>IF($B$7&gt;=5,I14/(1+$B$6)^I13,"")</f>
        <v/>
      </c>
      <c r="J15" s="3" t="str">
        <f>IF($B$7&gt;=6,J14/(1+$B$6)^J13,"")</f>
        <v/>
      </c>
      <c r="K15" s="3" t="str">
        <f>IF($B$7&gt;=7,K14/(1+$B$6)^K13,"")</f>
        <v/>
      </c>
      <c r="L15" s="3" t="str">
        <f>IF($B$7&gt;=8,L14/(1+$B$6)^L13,"")</f>
        <v/>
      </c>
      <c r="M15" s="3" t="str">
        <f>IF($B$7&gt;=9,M14/(1+$B$6)^M13,"")</f>
        <v/>
      </c>
      <c r="N15" s="3" t="str">
        <f>IF($B$7&gt;=10,N14/(1+$B$6)^N13,"")</f>
        <v/>
      </c>
    </row>
    <row r="16" spans="1:14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9" t="s">
        <v>30</v>
      </c>
      <c r="B17" s="12">
        <f>SUM(E17:N17)/B10</f>
        <v>2.859829474508</v>
      </c>
      <c r="D17" s="2"/>
      <c r="E17" s="3">
        <f>IF($B$7&gt;=1,E11*E9,"")</f>
        <v>4.8076923076923075</v>
      </c>
      <c r="F17" s="3">
        <f>IF($B$7&gt;=2,F11*F9,"")</f>
        <v>9.2012720758644893</v>
      </c>
      <c r="G17" s="3">
        <f>IF($B$7&gt;=3,G11*G9,"")</f>
        <v>276.03343027729647</v>
      </c>
      <c r="H17" s="3" t="str">
        <f>IF($B$7&gt;=4,H11*H9,"")</f>
        <v/>
      </c>
      <c r="I17" s="3" t="str">
        <f>IF($B$7&gt;=5,I11*I9,"")</f>
        <v/>
      </c>
      <c r="J17" s="3" t="str">
        <f>IF($B$7&gt;=6,J11*J9,"")</f>
        <v/>
      </c>
      <c r="K17" s="3" t="str">
        <f>IF($B$7&gt;=7,K11*K9,"")</f>
        <v/>
      </c>
      <c r="L17" s="3" t="str">
        <f>IF($B$7&gt;=8,L11*L9,"")</f>
        <v/>
      </c>
      <c r="M17" s="3" t="str">
        <f>IF($B$7&gt;=9,M11*M9,"")</f>
        <v/>
      </c>
      <c r="N17" s="3" t="str">
        <f>IF($B$7&gt;=10,N11*N9,"")</f>
        <v/>
      </c>
    </row>
    <row r="18" spans="1:14" x14ac:dyDescent="0.3">
      <c r="A18" s="29" t="s">
        <v>33</v>
      </c>
      <c r="B18" s="12">
        <f>B17/(1+B5)</f>
        <v>2.7372027895367537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9" t="s">
        <v>35</v>
      </c>
      <c r="B19" s="12">
        <f>SUM(E19:N19)</f>
        <v>10.307461538334419</v>
      </c>
      <c r="D19" s="2"/>
      <c r="E19" s="2">
        <f>IF($B$7&gt;=1,(E9*E9+E9)*(E10/((1+E8)^(E9+2)))/$B$10,"")</f>
        <v>8.7655392317049774E-2</v>
      </c>
      <c r="F19" s="2">
        <f>IF($B$7&gt;=2,(F9*F9+F9)*(F10/((1+F8)^(F9+2)))/$B$10,"")</f>
        <v>0.25043536414266776</v>
      </c>
      <c r="G19" s="2">
        <f>IF($B$7&gt;=3,(G9*G9+G9)*(G10/((1+G8)^(G9+2)))/$B$10,"")</f>
        <v>9.9693707818747015</v>
      </c>
      <c r="H19" s="2" t="str">
        <f>IF($B$7&gt;=4,(H9*H9+H9)*(H10/((1+H8)^(H9+2)))/$B$10,"")</f>
        <v/>
      </c>
      <c r="I19" s="2" t="str">
        <f>IF($B$7&gt;=5,(I9*I9+I9)*(I10/((1+I8)^(I9+2)))/$B$10,"")</f>
        <v/>
      </c>
      <c r="J19" s="2" t="str">
        <f>IF($B$7&gt;=6,(J9*J9+J9)*(J10/((1+J8)^(J9+2)))/$B$10,"")</f>
        <v/>
      </c>
      <c r="K19" s="2" t="str">
        <f>IF($B$7&gt;=7,(K9*K9+K9)*(K10/((1+K8)^(K9+2)))/$B$10,"")</f>
        <v/>
      </c>
      <c r="L19" s="2" t="str">
        <f>IF($B$7&gt;=8,(L9*L9+L9)*(L10/((1+L8)^(L9+2)))/$B$10,"")</f>
        <v/>
      </c>
      <c r="M19" s="2" t="str">
        <f>IF($B$7&gt;=9,(M9*M9+M9)*(M10/((1+M8)^(M9+2)))/$B$10,"")</f>
        <v/>
      </c>
      <c r="N19" s="2" t="str">
        <f>IF($B$7&gt;=10,(N9*N9+N9)*(N10/((1+N8)^(N9+2)))/$B$10,"")</f>
        <v/>
      </c>
    </row>
    <row r="20" spans="1:14" x14ac:dyDescent="0.3">
      <c r="A20" s="29" t="s">
        <v>34</v>
      </c>
      <c r="B20" s="10">
        <f>(B14-B10)/B10</f>
        <v>-1.6994295228699909E-4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D22" s="2" t="str">
        <f>IF($B$7&gt;0,"0","")</f>
        <v>0</v>
      </c>
      <c r="E22" s="2" t="str">
        <f>IF($B$7&gt;=1,"1","")</f>
        <v>1</v>
      </c>
      <c r="F22" s="2" t="str">
        <f>IF($B$7&gt;=2,"2","")</f>
        <v>2</v>
      </c>
      <c r="G22" s="2" t="str">
        <f>IF($B$7&gt;=3,"3","")</f>
        <v>3</v>
      </c>
      <c r="H22" s="2" t="str">
        <f>IF($B$7&gt;=4,"4","")</f>
        <v/>
      </c>
      <c r="I22" s="2" t="str">
        <f>IF($B$7&gt;=5,"5","")</f>
        <v/>
      </c>
      <c r="J22" s="2" t="str">
        <f>IF($B$7&gt;=6,"6","")</f>
        <v/>
      </c>
      <c r="K22" s="2" t="str">
        <f>IF($B$7&gt;=7,"7","")</f>
        <v/>
      </c>
      <c r="L22" s="2" t="str">
        <f>IF($B$7&gt;=8,"8","")</f>
        <v/>
      </c>
      <c r="M22" s="2" t="str">
        <f>IF($B$7&gt;=9,"9","")</f>
        <v/>
      </c>
      <c r="N22" s="2" t="str">
        <f>IF($B$7&gt;=10,"10","")</f>
        <v/>
      </c>
    </row>
    <row r="23" spans="1:14" x14ac:dyDescent="0.3">
      <c r="A23" s="29" t="s">
        <v>37</v>
      </c>
      <c r="B23" s="3">
        <f>SUM(E24:N24)</f>
        <v>101.43000077175006</v>
      </c>
      <c r="D23" s="2">
        <v>0</v>
      </c>
      <c r="E23" s="2" cm="1">
        <f t="array" ref="E23">_xlfn.IFS($B$7&gt;1,$B$3*$B$4,$B$7=1,$B$3*$B$4+$B$3,$B$7&lt;1,"")</f>
        <v>5</v>
      </c>
      <c r="F23" s="2" cm="1">
        <f t="array" ref="F23">_xlfn.IFS($B$7&gt;2,$B$3*$B$4,$B$7=2,$B$3*$B$4+$B$3,$B$7&lt;2,"")</f>
        <v>5</v>
      </c>
      <c r="G23" s="2" cm="1">
        <f t="array" ref="G23">_xlfn.IFS($B$7&gt;3,$B$3*$B$4,$B$7=3,$B$3*$B$4+$B$3,$B$7&lt;3,"")</f>
        <v>105</v>
      </c>
      <c r="H23" s="2" t="str" cm="1">
        <f t="array" ref="H23">_xlfn.IFS($B$7&gt;4,$B$3*$B$4,$B$7=4,$B$3*$B$4+$B$3,$B$7&lt;4,"")</f>
        <v/>
      </c>
      <c r="I23" s="2" t="str" cm="1">
        <f t="array" ref="I23">_xlfn.IFS($B$7&gt;5,$B$3*$B$4,$B$7=5,$B$3*$B$4+$B$3,$B$7&lt;5,"")</f>
        <v/>
      </c>
      <c r="J23" s="2" t="str" cm="1">
        <f t="array" ref="J23">_xlfn.IFS($B$7&gt;6,$B$3*$B$4,$B$7=6,$B$3*$B$4+$B$3,$B$7&lt;6,"")</f>
        <v/>
      </c>
      <c r="K23" s="2" t="str" cm="1">
        <f t="array" ref="K23">_xlfn.IFS($B$7&gt;7,$B$3*$B$4,$B$7=7,$B$3*$B$4+$B$3,$B$7&lt;7,"")</f>
        <v/>
      </c>
      <c r="L23" s="2" t="str" cm="1">
        <f t="array" ref="L23">_xlfn.IFS($B$7&gt;8,$B$3*$B$4,$B$7=8,$B$3*$B$4+$B$3,$B$7&lt;8,"")</f>
        <v/>
      </c>
      <c r="M23" s="2" t="str" cm="1">
        <f t="array" ref="M23">_xlfn.IFS($B$7&gt;9,$B$3*$B$4,$B$7=9,$B$3*$B$4+$B$3,$B$7&lt;9,"")</f>
        <v/>
      </c>
      <c r="N23" s="2" t="str" cm="1">
        <f t="array" ref="N23">_xlfn.IFS($B$7&gt;10,$B$3*$B$4,$B$7=10,$B$3*$B$4+$B$3,$B$7&lt;10,"")</f>
        <v/>
      </c>
    </row>
    <row r="24" spans="1:14" x14ac:dyDescent="0.3">
      <c r="A24" s="29" t="s">
        <v>39</v>
      </c>
      <c r="B24" s="12">
        <f>B23-B14</f>
        <v>2.776452481224112E-2</v>
      </c>
      <c r="D24" s="2">
        <v>0</v>
      </c>
      <c r="E24" s="3">
        <f>IF($B$7&gt;=1,E23/(1+$B$5)^E22,"")</f>
        <v>4.7856049004594183</v>
      </c>
      <c r="F24" s="3">
        <f>IF($B$7&gt;=2,F23/(1+$B$5)^F22,"")</f>
        <v>4.5804028526602396</v>
      </c>
      <c r="G24" s="3">
        <f>IF($B$7&gt;=3,G23/(1+$B$5)^G22,"")</f>
        <v>92.063993018630399</v>
      </c>
      <c r="H24" s="3" t="str">
        <f>IF($B$7&gt;=4,H23/(1+$B$5)^H22,"")</f>
        <v/>
      </c>
      <c r="I24" s="3" t="str">
        <f>IF($B$7&gt;=5,I23/(1+$B$5)^I22,"")</f>
        <v/>
      </c>
      <c r="J24" s="3" t="str">
        <f>IF($B$7&gt;=6,J23/(1+$B$5)^J22,"")</f>
        <v/>
      </c>
      <c r="K24" s="3" t="str">
        <f>IF($B$7&gt;=7,K23/(1+$B$5)^K22,"")</f>
        <v/>
      </c>
      <c r="L24" s="3" t="str">
        <f>IF($B$7&gt;=8,L23/(1+$B$5)^L22,"")</f>
        <v/>
      </c>
      <c r="M24" s="3" t="str">
        <f>IF($B$7&gt;=9,M23/(1+$B$5)^M22,"")</f>
        <v/>
      </c>
      <c r="N24" s="3" t="str">
        <f>IF($B$7&gt;=10,N23/(1+$B$5)^N22,"")</f>
        <v/>
      </c>
    </row>
    <row r="25" spans="1:14" x14ac:dyDescent="0.3">
      <c r="A25" s="29" t="s">
        <v>40</v>
      </c>
      <c r="B25" s="13">
        <f>B19*$B$10</f>
        <v>1045.3773045217961</v>
      </c>
    </row>
    <row r="28" spans="1:14" x14ac:dyDescent="0.3">
      <c r="A28" t="s">
        <v>83</v>
      </c>
      <c r="B28" t="s">
        <v>84</v>
      </c>
    </row>
  </sheetData>
  <mergeCells count="1">
    <mergeCell ref="D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F924-48E7-4E97-9602-DD00C2B8302B}">
  <dimension ref="A1:L12"/>
  <sheetViews>
    <sheetView workbookViewId="0">
      <selection activeCell="A15" sqref="A15"/>
    </sheetView>
  </sheetViews>
  <sheetFormatPr defaultRowHeight="14.4" x14ac:dyDescent="0.3"/>
  <cols>
    <col min="1" max="1" width="15.6640625" bestFit="1" customWidth="1"/>
    <col min="4" max="4" width="15.6640625" bestFit="1" customWidth="1"/>
    <col min="6" max="6" width="9.6640625" bestFit="1" customWidth="1"/>
    <col min="8" max="8" width="15.6640625" bestFit="1" customWidth="1"/>
    <col min="11" max="11" width="15.6640625" bestFit="1" customWidth="1"/>
  </cols>
  <sheetData>
    <row r="1" spans="1:12" ht="23.4" x14ac:dyDescent="0.45">
      <c r="A1" s="28" t="s">
        <v>41</v>
      </c>
    </row>
    <row r="3" spans="1:12" x14ac:dyDescent="0.3">
      <c r="A3" s="29" t="s">
        <v>43</v>
      </c>
      <c r="B3" s="29" t="s">
        <v>46</v>
      </c>
      <c r="C3" s="2"/>
      <c r="D3" s="29" t="s">
        <v>17</v>
      </c>
      <c r="E3" s="29" t="s">
        <v>47</v>
      </c>
      <c r="F3" s="8"/>
      <c r="H3" s="29" t="s">
        <v>44</v>
      </c>
      <c r="I3" s="2"/>
      <c r="J3" s="2"/>
      <c r="K3" s="29" t="s">
        <v>45</v>
      </c>
      <c r="L3" s="2"/>
    </row>
    <row r="4" spans="1:12" x14ac:dyDescent="0.3">
      <c r="A4" s="29" t="s">
        <v>39</v>
      </c>
      <c r="B4" s="16">
        <v>416</v>
      </c>
      <c r="C4" s="2">
        <f>IF(B3="SHORT",-B4,B4)</f>
        <v>416</v>
      </c>
      <c r="D4" s="29" t="s">
        <v>39</v>
      </c>
      <c r="E4" s="16">
        <v>514</v>
      </c>
      <c r="F4" s="2">
        <f>IF(E3="SHORT",-E4,E4)</f>
        <v>-514</v>
      </c>
      <c r="H4" s="29" t="s">
        <v>39</v>
      </c>
      <c r="I4" s="16">
        <v>5</v>
      </c>
      <c r="J4" s="2"/>
      <c r="K4" s="29" t="s">
        <v>39</v>
      </c>
      <c r="L4" s="16">
        <v>2</v>
      </c>
    </row>
    <row r="5" spans="1:12" x14ac:dyDescent="0.3">
      <c r="A5" s="29" t="s">
        <v>40</v>
      </c>
      <c r="B5" s="16">
        <v>15680660</v>
      </c>
      <c r="C5" s="2">
        <f>IF(B3="SHORT",-B5,B5)</f>
        <v>15680660</v>
      </c>
      <c r="D5" s="29" t="s">
        <v>40</v>
      </c>
      <c r="E5" s="16">
        <v>27938000</v>
      </c>
      <c r="F5" s="2">
        <f>IF(E3="SHORT",-E5,E5)</f>
        <v>-27938000</v>
      </c>
      <c r="H5" s="29" t="s">
        <v>40</v>
      </c>
      <c r="I5" s="16">
        <v>20000</v>
      </c>
      <c r="J5" s="2"/>
      <c r="K5" s="29" t="s">
        <v>40</v>
      </c>
      <c r="L5" s="16">
        <v>100000</v>
      </c>
    </row>
    <row r="7" spans="1:12" x14ac:dyDescent="0.3">
      <c r="B7">
        <f>I4</f>
        <v>5</v>
      </c>
      <c r="C7">
        <f>L4</f>
        <v>2</v>
      </c>
      <c r="D7">
        <f>C4+F4</f>
        <v>-98</v>
      </c>
    </row>
    <row r="8" spans="1:12" x14ac:dyDescent="0.3">
      <c r="B8">
        <f>I5</f>
        <v>20000</v>
      </c>
      <c r="C8">
        <f>L5</f>
        <v>100000</v>
      </c>
      <c r="D8">
        <f>C5+F5</f>
        <v>-12257340</v>
      </c>
    </row>
    <row r="10" spans="1:12" x14ac:dyDescent="0.3">
      <c r="B10" s="29" t="s">
        <v>78</v>
      </c>
      <c r="C10" s="29" t="s">
        <v>79</v>
      </c>
    </row>
    <row r="11" spans="1:12" x14ac:dyDescent="0.3">
      <c r="A11" s="30" t="s">
        <v>44</v>
      </c>
      <c r="B11" s="44" cm="1">
        <f t="array" ref="B11:B12">-MMULT(MINVERSE(B7:C8),D7:D8)</f>
        <v>-31.988434782608795</v>
      </c>
      <c r="C11" s="2" t="str">
        <f>IF(B11&gt;0,"BUY","SELL")</f>
        <v>SELL</v>
      </c>
    </row>
    <row r="12" spans="1:12" x14ac:dyDescent="0.3">
      <c r="A12" s="30" t="s">
        <v>45</v>
      </c>
      <c r="B12" s="44">
        <v>128.97108695652173</v>
      </c>
      <c r="C12" s="2" t="str">
        <f>IF(B12&gt;0,"BUY","SELL")</f>
        <v>BUY</v>
      </c>
    </row>
  </sheetData>
  <conditionalFormatting sqref="C11">
    <cfRule type="containsText" dxfId="3" priority="3" operator="containsText" text="BUY">
      <formula>NOT(ISERROR(SEARCH("BUY",C11)))</formula>
    </cfRule>
    <cfRule type="containsText" dxfId="2" priority="4" operator="containsText" text="SELL">
      <formula>NOT(ISERROR(SEARCH("SELL",C11)))</formula>
    </cfRule>
  </conditionalFormatting>
  <conditionalFormatting sqref="C12">
    <cfRule type="containsText" dxfId="1" priority="1" operator="containsText" text="BUY">
      <formula>NOT(ISERROR(SEARCH("BUY",C12)))</formula>
    </cfRule>
    <cfRule type="containsText" dxfId="0" priority="2" operator="containsText" text="SELL">
      <formula>NOT(ISERROR(SEARCH("SELL",C12)))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5FF1-1A32-4E0E-A757-695F9E7A38DB}">
  <dimension ref="A1:K60"/>
  <sheetViews>
    <sheetView topLeftCell="A46" workbookViewId="0">
      <selection activeCell="A60" sqref="A60:B60"/>
    </sheetView>
  </sheetViews>
  <sheetFormatPr defaultRowHeight="14.4" x14ac:dyDescent="0.3"/>
  <cols>
    <col min="1" max="1" width="10.44140625" customWidth="1"/>
    <col min="11" max="11" width="12.6640625" bestFit="1" customWidth="1"/>
  </cols>
  <sheetData>
    <row r="1" spans="1:9" ht="23.4" x14ac:dyDescent="0.45">
      <c r="A1" s="28" t="s">
        <v>54</v>
      </c>
    </row>
    <row r="3" spans="1:9" x14ac:dyDescent="0.3">
      <c r="A3" t="s">
        <v>49</v>
      </c>
      <c r="B3">
        <v>100</v>
      </c>
    </row>
    <row r="4" spans="1:9" x14ac:dyDescent="0.3">
      <c r="A4" s="2" t="s">
        <v>42</v>
      </c>
      <c r="B4" s="2" t="s">
        <v>48</v>
      </c>
      <c r="C4" s="2" t="s">
        <v>5</v>
      </c>
      <c r="D4" s="2" t="s">
        <v>1</v>
      </c>
    </row>
    <row r="5" spans="1:9" x14ac:dyDescent="0.3">
      <c r="A5" s="2">
        <v>1</v>
      </c>
      <c r="B5" s="16">
        <v>98</v>
      </c>
      <c r="C5" s="16">
        <v>1</v>
      </c>
      <c r="D5" s="17">
        <v>0.03</v>
      </c>
    </row>
    <row r="6" spans="1:9" x14ac:dyDescent="0.3">
      <c r="A6" s="2">
        <v>2</v>
      </c>
      <c r="B6" s="16">
        <v>94</v>
      </c>
      <c r="C6" s="16">
        <v>2</v>
      </c>
      <c r="D6" s="17">
        <v>0.04</v>
      </c>
    </row>
    <row r="7" spans="1:9" x14ac:dyDescent="0.3">
      <c r="A7" s="2">
        <v>3</v>
      </c>
      <c r="B7" s="16">
        <v>90</v>
      </c>
      <c r="C7" s="16">
        <v>3</v>
      </c>
      <c r="D7" s="17">
        <v>0.05</v>
      </c>
    </row>
    <row r="8" spans="1:9" x14ac:dyDescent="0.3">
      <c r="A8" s="2">
        <v>4</v>
      </c>
      <c r="B8" s="16">
        <v>94</v>
      </c>
      <c r="C8" s="16">
        <v>4</v>
      </c>
      <c r="D8" s="17">
        <v>0.06</v>
      </c>
    </row>
    <row r="9" spans="1:9" x14ac:dyDescent="0.3">
      <c r="A9" s="2">
        <v>5</v>
      </c>
      <c r="B9" s="16">
        <v>98</v>
      </c>
      <c r="C9" s="16">
        <v>5</v>
      </c>
      <c r="D9" s="17">
        <v>7.0000000000000007E-2</v>
      </c>
    </row>
    <row r="12" spans="1:9" x14ac:dyDescent="0.3">
      <c r="A12" s="4"/>
      <c r="B12" s="2">
        <f>$B$3*$D5+$B$3</f>
        <v>103</v>
      </c>
      <c r="C12" s="2">
        <v>0</v>
      </c>
      <c r="D12" s="2">
        <v>0</v>
      </c>
      <c r="E12" s="2">
        <v>0</v>
      </c>
      <c r="F12" s="2">
        <v>0</v>
      </c>
      <c r="H12" s="2">
        <f>B5</f>
        <v>98</v>
      </c>
      <c r="I12" s="8"/>
    </row>
    <row r="13" spans="1:9" x14ac:dyDescent="0.3">
      <c r="B13" s="2">
        <f>$B$3*$D6</f>
        <v>4</v>
      </c>
      <c r="C13" s="2">
        <f>$B$3*$D6+$B$3</f>
        <v>104</v>
      </c>
      <c r="D13" s="2">
        <v>0</v>
      </c>
      <c r="E13" s="2">
        <v>0</v>
      </c>
      <c r="F13" s="2">
        <v>0</v>
      </c>
      <c r="H13" s="2">
        <f t="shared" ref="H13:H16" si="0">B6</f>
        <v>94</v>
      </c>
      <c r="I13" s="8"/>
    </row>
    <row r="14" spans="1:9" x14ac:dyDescent="0.3">
      <c r="B14" s="2">
        <f>$B$3*$D7</f>
        <v>5</v>
      </c>
      <c r="C14" s="2">
        <f>$B$3*$D7</f>
        <v>5</v>
      </c>
      <c r="D14" s="2">
        <f>$B$3*$D7+$B$3</f>
        <v>105</v>
      </c>
      <c r="E14" s="2">
        <v>0</v>
      </c>
      <c r="F14" s="2">
        <v>0</v>
      </c>
      <c r="H14" s="2">
        <f t="shared" si="0"/>
        <v>90</v>
      </c>
      <c r="I14" s="8"/>
    </row>
    <row r="15" spans="1:9" x14ac:dyDescent="0.3">
      <c r="B15" s="2">
        <f>$B$3*$D8</f>
        <v>6</v>
      </c>
      <c r="C15" s="2">
        <f>$B$3*$D8</f>
        <v>6</v>
      </c>
      <c r="D15" s="2">
        <f>$B$3*$D8</f>
        <v>6</v>
      </c>
      <c r="E15" s="2">
        <f>$B$3*$D8+$B$3</f>
        <v>106</v>
      </c>
      <c r="F15" s="2">
        <v>0</v>
      </c>
      <c r="H15" s="2">
        <f t="shared" si="0"/>
        <v>94</v>
      </c>
      <c r="I15" s="8"/>
    </row>
    <row r="16" spans="1:9" x14ac:dyDescent="0.3">
      <c r="A16" s="4"/>
      <c r="B16" s="2">
        <f>$B$3*$D9</f>
        <v>7.0000000000000009</v>
      </c>
      <c r="C16" s="2">
        <f>$B$3*$D9</f>
        <v>7.0000000000000009</v>
      </c>
      <c r="D16" s="2">
        <f>$B$3*$D9</f>
        <v>7.0000000000000009</v>
      </c>
      <c r="E16" s="2">
        <f>$B$3*$D9</f>
        <v>7.0000000000000009</v>
      </c>
      <c r="F16" s="2">
        <f>$B$3*$D9+$B$3</f>
        <v>107</v>
      </c>
      <c r="H16" s="2">
        <f t="shared" si="0"/>
        <v>98</v>
      </c>
      <c r="I16" s="8"/>
    </row>
    <row r="17" spans="2:4" ht="15" thickBot="1" x14ac:dyDescent="0.35"/>
    <row r="18" spans="2:4" ht="28.8" x14ac:dyDescent="0.3">
      <c r="B18" s="30" t="s">
        <v>50</v>
      </c>
      <c r="C18" s="45" t="s">
        <v>5</v>
      </c>
      <c r="D18" s="47" t="s">
        <v>12</v>
      </c>
    </row>
    <row r="19" spans="2:4" x14ac:dyDescent="0.3">
      <c r="B19" s="2" cm="1">
        <f t="array" ref="B19:B23">MMULT(MINVERSE(B12:F16),H12:H16)</f>
        <v>0.95145631067961156</v>
      </c>
      <c r="C19" s="46">
        <f>C5</f>
        <v>1</v>
      </c>
      <c r="D19" s="48">
        <f>-LN(B19)/C19</f>
        <v>4.9761509559063943E-2</v>
      </c>
    </row>
    <row r="20" spans="2:4" x14ac:dyDescent="0.3">
      <c r="B20" s="2">
        <v>0.86725168035847644</v>
      </c>
      <c r="C20" s="46">
        <f t="shared" ref="C20:C23" si="1">C6</f>
        <v>2</v>
      </c>
      <c r="D20" s="48">
        <f t="shared" ref="D20:D23" si="2">-LN(B20)/C20</f>
        <v>7.1213027781562133E-2</v>
      </c>
    </row>
    <row r="21" spans="2:4" x14ac:dyDescent="0.3">
      <c r="B21" s="2">
        <v>0.77053771471247212</v>
      </c>
      <c r="C21" s="46">
        <f t="shared" si="1"/>
        <v>3</v>
      </c>
      <c r="D21" s="48">
        <f t="shared" si="2"/>
        <v>8.6888892352827041E-2</v>
      </c>
    </row>
    <row r="22" spans="2:4" x14ac:dyDescent="0.3">
      <c r="B22" s="2">
        <v>0.74023137514619464</v>
      </c>
      <c r="C22" s="46">
        <f t="shared" si="1"/>
        <v>4</v>
      </c>
      <c r="D22" s="48">
        <f t="shared" si="2"/>
        <v>7.5198118134560982E-2</v>
      </c>
    </row>
    <row r="23" spans="2:4" ht="15" thickBot="1" x14ac:dyDescent="0.35">
      <c r="B23" s="2">
        <v>0.69807159283852993</v>
      </c>
      <c r="C23" s="46">
        <f t="shared" si="1"/>
        <v>5</v>
      </c>
      <c r="D23" s="49">
        <f t="shared" si="2"/>
        <v>7.1886722588596283E-2</v>
      </c>
    </row>
    <row r="42" spans="1:5" ht="23.4" x14ac:dyDescent="0.45">
      <c r="A42" s="28" t="s">
        <v>51</v>
      </c>
    </row>
    <row r="44" spans="1:5" x14ac:dyDescent="0.3">
      <c r="A44" s="2"/>
      <c r="B44" s="29" t="s">
        <v>5</v>
      </c>
      <c r="C44" s="29" t="s">
        <v>1</v>
      </c>
    </row>
    <row r="45" spans="1:5" x14ac:dyDescent="0.3">
      <c r="A45" s="29" t="s">
        <v>43</v>
      </c>
      <c r="B45" s="2">
        <v>2</v>
      </c>
      <c r="C45" s="22">
        <v>0.05</v>
      </c>
    </row>
    <row r="46" spans="1:5" x14ac:dyDescent="0.3">
      <c r="A46" s="29" t="s">
        <v>17</v>
      </c>
      <c r="B46" s="2">
        <v>3</v>
      </c>
      <c r="C46" s="22">
        <v>0.03</v>
      </c>
    </row>
    <row r="47" spans="1:5" x14ac:dyDescent="0.3">
      <c r="A47" s="29" t="s">
        <v>52</v>
      </c>
      <c r="B47" s="2">
        <v>2.5</v>
      </c>
      <c r="C47" s="10">
        <f>(C45-C46)*(B45-B47)+C45</f>
        <v>0.04</v>
      </c>
      <c r="E47" t="s">
        <v>53</v>
      </c>
    </row>
    <row r="50" spans="1:11" ht="23.4" x14ac:dyDescent="0.45">
      <c r="A50" s="28" t="s">
        <v>55</v>
      </c>
    </row>
    <row r="52" spans="1:11" x14ac:dyDescent="0.3">
      <c r="A52" s="2"/>
      <c r="B52" s="29" t="s">
        <v>5</v>
      </c>
      <c r="C52" s="29" t="s">
        <v>1</v>
      </c>
      <c r="K52" t="s">
        <v>56</v>
      </c>
    </row>
    <row r="53" spans="1:11" x14ac:dyDescent="0.3">
      <c r="A53" s="29" t="s">
        <v>43</v>
      </c>
      <c r="B53" s="2">
        <v>2</v>
      </c>
      <c r="C53" s="22">
        <v>0.03</v>
      </c>
      <c r="E53" s="2">
        <f>POWER($B53,3)</f>
        <v>8</v>
      </c>
      <c r="F53" s="2">
        <f>POWER($B53,2)</f>
        <v>4</v>
      </c>
      <c r="G53" s="2">
        <f>POWER($B53,1)</f>
        <v>2</v>
      </c>
      <c r="H53" s="2">
        <f>POWER($B53,0)</f>
        <v>1</v>
      </c>
      <c r="K53" s="2" cm="1">
        <f t="array" ref="K53:K56">MMULT(MINVERSE(E53:H56),C53:C56)</f>
        <v>-5.2041704279304213E-18</v>
      </c>
    </row>
    <row r="54" spans="1:11" x14ac:dyDescent="0.3">
      <c r="A54" s="29" t="s">
        <v>17</v>
      </c>
      <c r="B54" s="2">
        <v>3</v>
      </c>
      <c r="C54" s="22">
        <v>0.04</v>
      </c>
      <c r="E54" s="2">
        <f t="shared" ref="E54:E56" si="3">POWER($B54,3)</f>
        <v>27</v>
      </c>
      <c r="F54" s="2">
        <f t="shared" ref="F54:F56" si="4">POWER($B54,2)</f>
        <v>9</v>
      </c>
      <c r="G54" s="2">
        <f t="shared" ref="G54:G56" si="5">POWER($B54,1)</f>
        <v>3</v>
      </c>
      <c r="H54" s="2">
        <f t="shared" ref="H54:H56" si="6">POWER($B54,0)</f>
        <v>1</v>
      </c>
      <c r="K54" s="2">
        <v>4.163336342344337E-17</v>
      </c>
    </row>
    <row r="55" spans="1:11" x14ac:dyDescent="0.3">
      <c r="A55" s="29" t="s">
        <v>44</v>
      </c>
      <c r="B55" s="2">
        <v>4</v>
      </c>
      <c r="C55" s="22">
        <v>0.05</v>
      </c>
      <c r="E55" s="2">
        <f t="shared" si="3"/>
        <v>64</v>
      </c>
      <c r="F55" s="2">
        <f t="shared" si="4"/>
        <v>16</v>
      </c>
      <c r="G55" s="2">
        <f t="shared" si="5"/>
        <v>4</v>
      </c>
      <c r="H55" s="2">
        <f t="shared" si="6"/>
        <v>1</v>
      </c>
      <c r="K55" s="2">
        <v>9.9999999999998979E-3</v>
      </c>
    </row>
    <row r="56" spans="1:11" x14ac:dyDescent="0.3">
      <c r="A56" s="29" t="s">
        <v>45</v>
      </c>
      <c r="B56" s="2">
        <v>5</v>
      </c>
      <c r="C56" s="22">
        <v>0.06</v>
      </c>
      <c r="E56" s="2">
        <f t="shared" si="3"/>
        <v>125</v>
      </c>
      <c r="F56" s="2">
        <f t="shared" si="4"/>
        <v>25</v>
      </c>
      <c r="G56" s="2">
        <f t="shared" si="5"/>
        <v>5</v>
      </c>
      <c r="H56" s="2">
        <f t="shared" si="6"/>
        <v>1</v>
      </c>
      <c r="K56" s="2">
        <v>9.9999999999999256E-3</v>
      </c>
    </row>
    <row r="57" spans="1:11" x14ac:dyDescent="0.3">
      <c r="A57" s="29" t="s">
        <v>52</v>
      </c>
      <c r="B57" s="2">
        <v>2.5</v>
      </c>
      <c r="C57" s="10">
        <f>K53*POWER(B57,3)+K54*POWER(B57,2)+K55*B57+K56</f>
        <v>3.4999999999999851E-2</v>
      </c>
      <c r="E57" t="s">
        <v>53</v>
      </c>
    </row>
    <row r="60" spans="1:11" x14ac:dyDescent="0.3">
      <c r="A60" t="s">
        <v>83</v>
      </c>
      <c r="B60" t="s">
        <v>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261C-57AC-4429-9429-D759AD5F845C}">
  <dimension ref="A1:K25"/>
  <sheetViews>
    <sheetView workbookViewId="0">
      <selection activeCell="B26" sqref="B26"/>
    </sheetView>
  </sheetViews>
  <sheetFormatPr defaultRowHeight="14.4" x14ac:dyDescent="0.3"/>
  <cols>
    <col min="1" max="1" width="13.109375" customWidth="1"/>
    <col min="2" max="3" width="10.33203125" bestFit="1" customWidth="1"/>
    <col min="4" max="4" width="10.33203125" customWidth="1"/>
    <col min="6" max="6" width="10.44140625" customWidth="1"/>
    <col min="9" max="9" width="10.44140625" customWidth="1"/>
  </cols>
  <sheetData>
    <row r="1" spans="1:11" ht="23.4" x14ac:dyDescent="0.45">
      <c r="A1" s="28" t="s">
        <v>67</v>
      </c>
    </row>
    <row r="3" spans="1:11" x14ac:dyDescent="0.3">
      <c r="A3" s="2"/>
      <c r="B3" s="29" t="s">
        <v>58</v>
      </c>
      <c r="C3" s="29" t="s">
        <v>59</v>
      </c>
    </row>
    <row r="4" spans="1:11" x14ac:dyDescent="0.3">
      <c r="A4" s="29" t="s">
        <v>60</v>
      </c>
      <c r="B4" s="16">
        <v>30</v>
      </c>
      <c r="C4" s="16">
        <v>20</v>
      </c>
    </row>
    <row r="5" spans="1:11" x14ac:dyDescent="0.3">
      <c r="A5" s="29" t="s">
        <v>61</v>
      </c>
      <c r="B5" s="21">
        <v>0.06</v>
      </c>
      <c r="C5" s="21">
        <v>0.1</v>
      </c>
      <c r="D5" s="4"/>
    </row>
    <row r="6" spans="1:11" x14ac:dyDescent="0.3">
      <c r="A6" s="29" t="s">
        <v>62</v>
      </c>
      <c r="B6" s="21">
        <v>0.04</v>
      </c>
      <c r="C6" s="21">
        <v>7.0000000000000007E-2</v>
      </c>
      <c r="D6" s="4"/>
    </row>
    <row r="8" spans="1:11" x14ac:dyDescent="0.3">
      <c r="A8" s="29" t="s">
        <v>63</v>
      </c>
      <c r="B8" s="16">
        <v>1.85</v>
      </c>
    </row>
    <row r="9" spans="1:11" x14ac:dyDescent="0.3">
      <c r="A9" s="29" t="s">
        <v>5</v>
      </c>
      <c r="B9" s="16">
        <v>1.25</v>
      </c>
    </row>
    <row r="10" spans="1:11" x14ac:dyDescent="0.3">
      <c r="A10" s="50" t="s">
        <v>68</v>
      </c>
      <c r="B10" s="16">
        <v>4</v>
      </c>
      <c r="E10" s="51" t="s">
        <v>77</v>
      </c>
      <c r="F10" s="51"/>
      <c r="G10" s="51"/>
      <c r="H10" s="51"/>
      <c r="I10" s="51"/>
      <c r="J10" s="51"/>
      <c r="K10" s="51"/>
    </row>
    <row r="11" spans="1:11" s="23" customFormat="1" ht="28.8" x14ac:dyDescent="0.3">
      <c r="E11" s="9" t="s">
        <v>5</v>
      </c>
      <c r="F11" s="9" t="str">
        <f>B3</f>
        <v>Currency 1</v>
      </c>
      <c r="G11" s="9" t="s">
        <v>64</v>
      </c>
      <c r="H11" s="9" t="s">
        <v>65</v>
      </c>
      <c r="I11" s="9" t="str">
        <f>C3</f>
        <v>Currency 2</v>
      </c>
      <c r="J11" s="9" t="s">
        <v>64</v>
      </c>
      <c r="K11" s="9" t="s">
        <v>65</v>
      </c>
    </row>
    <row r="12" spans="1:11" x14ac:dyDescent="0.3">
      <c r="A12" s="29" t="s">
        <v>66</v>
      </c>
      <c r="B12" s="13">
        <f>H22-K22*(1/B8)</f>
        <v>19.532906371512858</v>
      </c>
      <c r="E12" s="2">
        <f>IF($B$9&gt;=1/$B$10,1/$B$10,0)</f>
        <v>0.25</v>
      </c>
      <c r="F12" s="2" cm="1">
        <f t="array" ref="F12">_xlfn.IFS($B$9&lt;1/$B$10,"",$B$9=1/$B$10,$B$5*$B$4/$B$10+$B$4,$B$9&gt;1/$B$10,$B$5*$B$4/$B$10)</f>
        <v>0.44999999999999996</v>
      </c>
      <c r="G12" s="2">
        <f>IF($B$9&gt;=E12,EXP(-$B$6*E12),"")</f>
        <v>0.99004983374916811</v>
      </c>
      <c r="H12" s="2">
        <f>IF($B$9&gt;=E12,F12*G12,"")</f>
        <v>0.44552242518712559</v>
      </c>
      <c r="I12" s="2" cm="1">
        <f t="array" ref="I12">_xlfn.IFS($B$9&lt;1/$B$10,"",$B$9=1/$B$10,$C$5*$C$4/$B$10+$C$4,$B$9&gt;1/$B$10,$C$5*$C$4/$B$10)</f>
        <v>0.5</v>
      </c>
      <c r="J12" s="2">
        <f>IF($B$9&gt;=E12,EXP(-$C$6*E12),"")</f>
        <v>0.9826522356650732</v>
      </c>
      <c r="K12" s="2">
        <f>IF($B$9&gt;=E12,I12*J12,"")</f>
        <v>0.4913261178325366</v>
      </c>
    </row>
    <row r="13" spans="1:11" x14ac:dyDescent="0.3">
      <c r="E13" s="2">
        <f>IF($B$9&gt;=2/$B$10,2/$B$10,"")</f>
        <v>0.5</v>
      </c>
      <c r="F13" s="2" cm="1">
        <f t="array" ref="F13">_xlfn.IFS($B$9&lt;2/$B$10,"",$B$9=2/$B$10,$B$5*$B$4/$B$10+$B$4,$B$9&gt;2/$B$10,$B$5*$B$4/$B$10)</f>
        <v>0.44999999999999996</v>
      </c>
      <c r="G13" s="2">
        <f t="shared" ref="G13:G21" si="0">IF($B$9&gt;=E13,EXP(-$B$6*E13),"")</f>
        <v>0.98019867330675525</v>
      </c>
      <c r="H13" s="2">
        <f t="shared" ref="H13:H21" si="1">IF($B$9&gt;=E13,F13*G13,"")</f>
        <v>0.44108940298803984</v>
      </c>
      <c r="I13" s="2" cm="1">
        <f t="array" ref="I13">_xlfn.IFS($B$9&lt;2/$B$10,"",$B$9=2/$B$10,$C$5*$C$4/$B$10+$C$4,$B$9&gt;2/$B$10,$C$5*$C$4/$B$10)</f>
        <v>0.5</v>
      </c>
      <c r="J13" s="2">
        <f t="shared" ref="J13:J21" si="2">IF($B$9&gt;=E13,EXP(-$C$6*E13),"")</f>
        <v>0.96560541625756646</v>
      </c>
      <c r="K13" s="2">
        <f t="shared" ref="K13:K21" si="3">IF($B$9&gt;=E13,I13*J13,"")</f>
        <v>0.48280270812878323</v>
      </c>
    </row>
    <row r="14" spans="1:11" x14ac:dyDescent="0.3">
      <c r="E14" s="2">
        <f>IF($B$9&gt;=3/$B$10,3/$B$10,"")</f>
        <v>0.75</v>
      </c>
      <c r="F14" s="2" cm="1">
        <f t="array" ref="F14">_xlfn.IFS($B$9&lt;3/$B$10,"",$B$9=3/$B$10,$B$5*$B$4/$B$10+$B$4,$B$9&gt;3/$B$10,$B$5*$B$4/$B$10)</f>
        <v>0.44999999999999996</v>
      </c>
      <c r="G14" s="2">
        <f t="shared" si="0"/>
        <v>0.97044553354850815</v>
      </c>
      <c r="H14" s="2">
        <f t="shared" si="1"/>
        <v>0.43670049009682865</v>
      </c>
      <c r="I14" s="2" cm="1">
        <f t="array" ref="I14">_xlfn.IFS($B$9&lt;3/$B$10,"",$B$9=3/$B$10,$C$5*$C$4/$B$10+$C$4,$B$9&gt;3/$B$10,$C$5*$C$4/$B$10)</f>
        <v>0.5</v>
      </c>
      <c r="J14" s="2">
        <f t="shared" si="2"/>
        <v>0.94885432105580125</v>
      </c>
      <c r="K14" s="2">
        <f t="shared" si="3"/>
        <v>0.47442716052790063</v>
      </c>
    </row>
    <row r="15" spans="1:11" x14ac:dyDescent="0.3">
      <c r="E15" s="2">
        <f>IF($B$9&gt;=4/$B$10,4/$B$10,"")</f>
        <v>1</v>
      </c>
      <c r="F15" s="2" cm="1">
        <f t="array" ref="F15">_xlfn.IFS($B$9&lt;4/$B$10,"",$B$9=4/$B$10,$B$5*$B$4/$B$10+$B$4,$B$9&gt;4/$B$10,$B$5*$B$4/$B$10)</f>
        <v>0.44999999999999996</v>
      </c>
      <c r="G15" s="2">
        <f t="shared" si="0"/>
        <v>0.96078943915232318</v>
      </c>
      <c r="H15" s="2">
        <f t="shared" si="1"/>
        <v>0.43235524761854538</v>
      </c>
      <c r="I15" s="2" cm="1">
        <f t="array" ref="I15">_xlfn.IFS($B$9&lt;4/$B$10,"",$B$9=4/$B$10,$C$5*$C$4/$B$10+$C$4,$B$9&gt;4/$B$10,$C$5*$C$4/$B$10)</f>
        <v>0.5</v>
      </c>
      <c r="J15" s="2">
        <f t="shared" si="2"/>
        <v>0.93239381990594827</v>
      </c>
      <c r="K15" s="2">
        <f t="shared" si="3"/>
        <v>0.46619690995297414</v>
      </c>
    </row>
    <row r="16" spans="1:11" x14ac:dyDescent="0.3">
      <c r="E16" s="2">
        <f>IF($B$9&gt;=5/$B$10,5/$B$10,"")</f>
        <v>1.25</v>
      </c>
      <c r="F16" s="2" cm="1">
        <f t="array" ref="F16">_xlfn.IFS($B$9&lt;5/$B$10,"",$B$9=5/$B$10,$B$5*$B$4/$B$10+$B$4,$B$9&gt;5/$B$10,$B$5*$B$4/$B$10)</f>
        <v>30.45</v>
      </c>
      <c r="G16" s="2">
        <f t="shared" si="0"/>
        <v>0.95122942450071402</v>
      </c>
      <c r="H16" s="2">
        <f t="shared" si="1"/>
        <v>28.964935976046743</v>
      </c>
      <c r="I16" s="2" cm="1">
        <f t="array" ref="I16">_xlfn.IFS($B$9&lt;5/$B$10,"",$B$9=5/$B$10,$C$5*$C$4/$B$10+$C$4,$B$9&gt;5/$B$10,$C$5*$C$4/$B$10)</f>
        <v>20.5</v>
      </c>
      <c r="J16" s="2">
        <f t="shared" si="2"/>
        <v>0.91621887165087756</v>
      </c>
      <c r="K16" s="2">
        <f t="shared" si="3"/>
        <v>18.782486868842991</v>
      </c>
    </row>
    <row r="17" spans="1:11" x14ac:dyDescent="0.3">
      <c r="E17" s="2" t="str">
        <f>IF($B$9&gt;=6/$B$10,6/$B$10,"")</f>
        <v/>
      </c>
      <c r="F17" s="2" t="str" cm="1">
        <f t="array" ref="F17">_xlfn.IFS($B$9&lt;6/$B$10,"",$B$9=6/$B$10,$B$5*$B$4/$B$10+$B$4,$B$9&gt;6/$B$10,$B$5*$B$4/$B$10)</f>
        <v/>
      </c>
      <c r="G17" s="2" t="str">
        <f t="shared" si="0"/>
        <v/>
      </c>
      <c r="H17" s="2" t="str">
        <f t="shared" si="1"/>
        <v/>
      </c>
      <c r="I17" s="2" t="str" cm="1">
        <f t="array" ref="I17">_xlfn.IFS($B$9&lt;6/$B$10,"",$B$9=6/$B$10,$C$5*$C$4/$B$10+$C$4,$B$9&gt;6/$B$10,$C$5*$C$4/$B$10)</f>
        <v/>
      </c>
      <c r="J17" s="2" t="str">
        <f t="shared" si="2"/>
        <v/>
      </c>
      <c r="K17" s="2" t="str">
        <f t="shared" si="3"/>
        <v/>
      </c>
    </row>
    <row r="18" spans="1:11" x14ac:dyDescent="0.3">
      <c r="E18" s="2" t="str">
        <f>IF($B$9&gt;=7/$B$10,7/$B$10,"")</f>
        <v/>
      </c>
      <c r="F18" s="2" t="str" cm="1">
        <f t="array" ref="F18">_xlfn.IFS($B$9&lt;7/$B$10,"",$B$9=7/$B$10,$B$5*$B$4/$B$10+$B$4,$B$9&gt;7/$B$10,$B$5*$B$4/$B$10)</f>
        <v/>
      </c>
      <c r="G18" s="2" t="str">
        <f t="shared" si="0"/>
        <v/>
      </c>
      <c r="H18" s="2" t="str">
        <f t="shared" si="1"/>
        <v/>
      </c>
      <c r="I18" s="2" t="str" cm="1">
        <f t="array" ref="I18">_xlfn.IFS($B$9&lt;7/$B$10,"",$B$9=7/$B$10,$C$5*$C$4/$B$10+$C$4,$B$9&gt;7/$B$10,$C$5*$C$4/$B$10)</f>
        <v/>
      </c>
      <c r="J18" s="2" t="str">
        <f t="shared" si="2"/>
        <v/>
      </c>
      <c r="K18" s="2" t="str">
        <f t="shared" si="3"/>
        <v/>
      </c>
    </row>
    <row r="19" spans="1:11" x14ac:dyDescent="0.3">
      <c r="E19" s="2" t="str">
        <f>IF($B$9&gt;=8/$B$10,8/$B$10,"")</f>
        <v/>
      </c>
      <c r="F19" s="2" t="str" cm="1">
        <f t="array" ref="F19">_xlfn.IFS($B$9&lt;8/$B$10,"",$B$9=8/$B$10,$B$5*$B$4/$B$10+$B$4,$B$9&gt;8/$B$10,$B$5*$B$4/$B$10)</f>
        <v/>
      </c>
      <c r="G19" s="2" t="str">
        <f t="shared" si="0"/>
        <v/>
      </c>
      <c r="H19" s="2" t="str">
        <f t="shared" si="1"/>
        <v/>
      </c>
      <c r="I19" s="2" t="str" cm="1">
        <f t="array" ref="I19">_xlfn.IFS($B$9&lt;8/$B$10,"",$B$9=8/$B$10,$C$5*$C$4/$B$10+$C$4,$B$9&gt;8/$B$10,$C$5*$C$4/$B$10)</f>
        <v/>
      </c>
      <c r="J19" s="2" t="str">
        <f t="shared" si="2"/>
        <v/>
      </c>
      <c r="K19" s="2" t="str">
        <f t="shared" si="3"/>
        <v/>
      </c>
    </row>
    <row r="20" spans="1:11" x14ac:dyDescent="0.3">
      <c r="E20" s="2" t="str">
        <f>IF($B$9&gt;=9/$B$10,9/$B$10,"")</f>
        <v/>
      </c>
      <c r="F20" s="2" t="str" cm="1">
        <f t="array" ref="F20">_xlfn.IFS($B$9&lt;9/$B$10,"",$B$9=9/$B$10,$B$5*$B$4/$B$10+$B$4,$B$9&gt;9/$B$10,$B$5*$B$4/$B$10)</f>
        <v/>
      </c>
      <c r="G20" s="2" t="str">
        <f t="shared" si="0"/>
        <v/>
      </c>
      <c r="H20" s="2" t="str">
        <f t="shared" si="1"/>
        <v/>
      </c>
      <c r="I20" s="2" t="str" cm="1">
        <f t="array" ref="I20">_xlfn.IFS($B$9&lt;9/$B$10,"",$B$9=9/$B$10,$C$5*$C$4/$B$10+$C$4,$B$9&gt;9/$B$10,$C$5*$C$4/$B$10)</f>
        <v/>
      </c>
      <c r="J20" s="2" t="str">
        <f t="shared" si="2"/>
        <v/>
      </c>
      <c r="K20" s="2" t="str">
        <f t="shared" si="3"/>
        <v/>
      </c>
    </row>
    <row r="21" spans="1:11" x14ac:dyDescent="0.3">
      <c r="E21" s="2" t="str">
        <f>IF($B$9&gt;=10/$B$10,10/$B$10,"")</f>
        <v/>
      </c>
      <c r="F21" s="2" t="str" cm="1">
        <f t="array" ref="F21">_xlfn.IFS($B$9&lt;10/$B$10,"",$B$9=10/$B$10,$B$5*$B$4/$B$10+$B$4,$B$9&gt;10/$B$10,$B$5*$B$4/$B$10)</f>
        <v/>
      </c>
      <c r="G21" s="2" t="str">
        <f t="shared" si="0"/>
        <v/>
      </c>
      <c r="H21" s="2" t="str">
        <f t="shared" si="1"/>
        <v/>
      </c>
      <c r="I21" s="2" t="str" cm="1">
        <f t="array" ref="I21">_xlfn.IFS($B$9&lt;10/$B$10,"",$B$9=10/$B$10,$C$5*$C$4/$B$10+$C$4,$B$9&gt;10/$B$10,$C$5*$C$4/$B$10)</f>
        <v/>
      </c>
      <c r="J21" s="2" t="str">
        <f t="shared" si="2"/>
        <v/>
      </c>
      <c r="K21" s="2" t="str">
        <f t="shared" si="3"/>
        <v/>
      </c>
    </row>
    <row r="22" spans="1:11" x14ac:dyDescent="0.3">
      <c r="H22" s="24">
        <f>SUM(H12:H21)</f>
        <v>30.720603541937283</v>
      </c>
      <c r="K22" s="24">
        <f>SUM(K12:K21)</f>
        <v>20.697239765285186</v>
      </c>
    </row>
    <row r="25" spans="1:11" x14ac:dyDescent="0.3">
      <c r="A25" t="s">
        <v>83</v>
      </c>
      <c r="B25" t="s">
        <v>87</v>
      </c>
    </row>
  </sheetData>
  <mergeCells count="1">
    <mergeCell ref="E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8952-1532-4832-B2D5-2466636DAD16}">
  <dimension ref="A1:C9"/>
  <sheetViews>
    <sheetView workbookViewId="0">
      <selection activeCell="I16" sqref="I16"/>
    </sheetView>
  </sheetViews>
  <sheetFormatPr defaultRowHeight="14.4" x14ac:dyDescent="0.3"/>
  <cols>
    <col min="1" max="1" width="19.88671875" bestFit="1" customWidth="1"/>
    <col min="2" max="2" width="9.109375" customWidth="1"/>
  </cols>
  <sheetData>
    <row r="1" spans="1:3" ht="23.4" x14ac:dyDescent="0.45">
      <c r="A1" s="28" t="s">
        <v>69</v>
      </c>
      <c r="C1" t="s">
        <v>76</v>
      </c>
    </row>
    <row r="3" spans="1:3" x14ac:dyDescent="0.3">
      <c r="A3" s="29" t="s">
        <v>71</v>
      </c>
      <c r="B3" s="21">
        <v>0.34482758617630332</v>
      </c>
      <c r="C3" s="25">
        <f>100%-B3</f>
        <v>0.65517241382369673</v>
      </c>
    </row>
    <row r="4" spans="1:3" x14ac:dyDescent="0.3">
      <c r="A4" s="29" t="s">
        <v>70</v>
      </c>
      <c r="B4" s="21">
        <v>0.11</v>
      </c>
      <c r="C4" s="21">
        <v>0.25</v>
      </c>
    </row>
    <row r="5" spans="1:3" x14ac:dyDescent="0.3">
      <c r="A5" s="29" t="s">
        <v>73</v>
      </c>
      <c r="B5" s="21">
        <v>0.25</v>
      </c>
      <c r="C5" s="21">
        <v>0.2</v>
      </c>
    </row>
    <row r="6" spans="1:3" x14ac:dyDescent="0.3">
      <c r="B6" s="4"/>
      <c r="C6" s="4"/>
    </row>
    <row r="7" spans="1:3" x14ac:dyDescent="0.3">
      <c r="A7" s="29" t="s">
        <v>74</v>
      </c>
      <c r="B7" s="26">
        <v>0.3</v>
      </c>
    </row>
    <row r="8" spans="1:3" x14ac:dyDescent="0.3">
      <c r="A8" s="29" t="s">
        <v>72</v>
      </c>
      <c r="B8" s="27">
        <f>SQRT(B3*B3*B5*B5+C3*C3*C5*C5+2*B3*B5*C3*C5*B7)</f>
        <v>0.17714206260746654</v>
      </c>
    </row>
    <row r="9" spans="1:3" x14ac:dyDescent="0.3">
      <c r="A9" s="29" t="s">
        <v>75</v>
      </c>
      <c r="B9" s="27">
        <f>B3*B4+C3*C4</f>
        <v>0.20172413793531754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2A9B3-CCE1-414A-92ED-15B1FCFEE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Bond Value</vt:lpstr>
      <vt:lpstr>YTM</vt:lpstr>
      <vt:lpstr>Spot Rates</vt:lpstr>
      <vt:lpstr>Price-Yield Curve</vt:lpstr>
      <vt:lpstr>Forward Rates</vt:lpstr>
      <vt:lpstr>Z-Spread</vt:lpstr>
      <vt:lpstr>Duration &amp; Convexity</vt:lpstr>
      <vt:lpstr>Immunization</vt:lpstr>
      <vt:lpstr>Bootstrapping</vt:lpstr>
      <vt:lpstr>Swaps</vt:lpstr>
      <vt:lpstr>Delineating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2021-04-17T17:05:08Z</dcterms:created>
  <dcterms:modified xsi:type="dcterms:W3CDTF">2022-07-06T11:13:12Z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c1a24c70-0fd8-4620-ba44-395d379dfc5a</vt:lpwstr>
  </property>
</Properties>
</file>