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avan Manchiraju\Documents\RIA\Clients\JD\"/>
    </mc:Choice>
  </mc:AlternateContent>
  <xr:revisionPtr revIDLastSave="0" documentId="13_ncr:1_{0E62BBF0-E350-4329-9A53-8BC457AC2D51}" xr6:coauthVersionLast="47" xr6:coauthVersionMax="47" xr10:uidLastSave="{00000000-0000-0000-0000-000000000000}"/>
  <bookViews>
    <workbookView xWindow="-108" yWindow="-108" windowWidth="23256" windowHeight="12456" xr2:uid="{FBE1D4C5-0030-4426-83F2-2BC5ED50CF43}"/>
  </bookViews>
  <sheets>
    <sheet name="AA Status" sheetId="1" r:id="rId1"/>
    <sheet name="Pivot" sheetId="6" r:id="rId2"/>
    <sheet name="Sort" sheetId="11" r:id="rId3"/>
    <sheet name="PF Holdings_diff dates" sheetId="3" r:id="rId4"/>
    <sheet name="AA Decision View" sheetId="7" r:id="rId5"/>
    <sheet name="AA Decision Input" sheetId="13" r:id="rId6"/>
    <sheet name="Instruments &amp; Categorise" sheetId="8" r:id="rId7"/>
    <sheet name="Category level Benchmark and tr" sheetId="4" r:id="rId8"/>
  </sheets>
  <definedNames>
    <definedName name="_xlnm._FilterDatabase" localSheetId="0" hidden="1">'AA Status'!$B$5:$AA$123</definedName>
    <definedName name="_xlnm._FilterDatabase" localSheetId="3" hidden="1">'PF Holdings_diff dates'!$A$1:$O$21</definedName>
    <definedName name="_xlnm.Print_Area" localSheetId="0">'AA Status'!$E$1:$AB$123</definedName>
  </definedNames>
  <calcPr calcId="191029"/>
  <pivotCaches>
    <pivotCache cacheId="3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21" i="1" l="1"/>
  <c r="AK20" i="1"/>
  <c r="AK19" i="1"/>
  <c r="AK18" i="1"/>
  <c r="AK17" i="1"/>
  <c r="AK16" i="1"/>
  <c r="AK15" i="1"/>
  <c r="AK14" i="1"/>
  <c r="AJ26" i="1"/>
  <c r="AJ22" i="1"/>
  <c r="AG22" i="1"/>
  <c r="AH22" i="1" s="1"/>
  <c r="AJ13" i="1"/>
  <c r="AH13" i="1"/>
  <c r="AK13" i="1" l="1"/>
  <c r="AG26" i="1"/>
  <c r="AH26" i="1" s="1"/>
  <c r="AK26" i="1" s="1"/>
  <c r="AK22" i="1"/>
  <c r="AB116" i="1" l="1"/>
  <c r="AB72" i="1"/>
  <c r="G25" i="4"/>
  <c r="G23" i="4"/>
  <c r="G24" i="4"/>
  <c r="G20" i="4"/>
  <c r="G22" i="4"/>
  <c r="G21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Y70" i="1" l="1"/>
  <c r="Y120" i="1"/>
  <c r="Y121" i="1" s="1"/>
  <c r="Y110" i="1"/>
  <c r="Y97" i="1"/>
  <c r="Y105" i="1"/>
  <c r="Y84" i="1"/>
  <c r="Y80" i="1"/>
  <c r="Y76" i="1"/>
  <c r="Y66" i="1"/>
  <c r="Y61" i="1"/>
  <c r="Y57" i="1"/>
  <c r="Y53" i="1"/>
  <c r="Y31" i="1"/>
  <c r="Y22" i="1"/>
  <c r="Y9" i="1"/>
  <c r="A11" i="3"/>
  <c r="D11" i="3" s="1"/>
  <c r="A10" i="3"/>
  <c r="A9" i="3"/>
  <c r="R9" i="3" s="1"/>
  <c r="A8" i="3"/>
  <c r="B8" i="3" s="1"/>
  <c r="A7" i="3"/>
  <c r="E7" i="3" s="1"/>
  <c r="A6" i="3"/>
  <c r="C6" i="3" s="1"/>
  <c r="A5" i="3"/>
  <c r="S5" i="3" s="1"/>
  <c r="A4" i="3"/>
  <c r="E4" i="3" s="1"/>
  <c r="A3" i="3"/>
  <c r="S3" i="3" s="1"/>
  <c r="A2" i="3"/>
  <c r="S2" i="3" s="1"/>
  <c r="C9" i="11"/>
  <c r="A9" i="11" s="1"/>
  <c r="C8" i="11"/>
  <c r="A8" i="11" s="1"/>
  <c r="C7" i="11"/>
  <c r="A7" i="11" s="1"/>
  <c r="C6" i="11"/>
  <c r="A6" i="11" s="1"/>
  <c r="C5" i="11"/>
  <c r="A5" i="11" s="1"/>
  <c r="C3" i="11"/>
  <c r="A3" i="11" s="1"/>
  <c r="A2" i="11"/>
  <c r="S6" i="3" l="1"/>
  <c r="S8" i="3"/>
  <c r="S11" i="3"/>
  <c r="S7" i="3"/>
  <c r="Y13" i="1"/>
  <c r="S4" i="3"/>
  <c r="Y35" i="1"/>
  <c r="Y39" i="1"/>
  <c r="Y43" i="1"/>
  <c r="Y49" i="1"/>
  <c r="S9" i="3"/>
  <c r="Y26" i="1"/>
  <c r="Y88" i="1"/>
  <c r="Y92" i="1"/>
  <c r="Y101" i="1"/>
  <c r="Y114" i="1"/>
  <c r="S10" i="3"/>
  <c r="C8" i="3"/>
  <c r="D8" i="3"/>
  <c r="E8" i="3"/>
  <c r="R8" i="3"/>
  <c r="D6" i="3"/>
  <c r="E11" i="3"/>
  <c r="R11" i="3"/>
  <c r="R4" i="3"/>
  <c r="B3" i="3"/>
  <c r="R7" i="3"/>
  <c r="D9" i="3"/>
  <c r="B11" i="3"/>
  <c r="R2" i="3"/>
  <c r="D4" i="3"/>
  <c r="B6" i="3"/>
  <c r="E9" i="3"/>
  <c r="C11" i="3"/>
  <c r="E6" i="3"/>
  <c r="C3" i="3"/>
  <c r="R6" i="3"/>
  <c r="B10" i="3"/>
  <c r="D3" i="3"/>
  <c r="B5" i="3"/>
  <c r="C10" i="3"/>
  <c r="E3" i="3"/>
  <c r="C5" i="3"/>
  <c r="D10" i="3"/>
  <c r="R3" i="3"/>
  <c r="D5" i="3"/>
  <c r="B7" i="3"/>
  <c r="E10" i="3"/>
  <c r="B2" i="3"/>
  <c r="E5" i="3"/>
  <c r="C7" i="3"/>
  <c r="R10" i="3"/>
  <c r="C2" i="3"/>
  <c r="R5" i="3"/>
  <c r="D7" i="3"/>
  <c r="B9" i="3"/>
  <c r="D2" i="3"/>
  <c r="B4" i="3"/>
  <c r="C9" i="3"/>
  <c r="E2" i="3"/>
  <c r="C4" i="3"/>
  <c r="C4" i="11"/>
  <c r="A4" i="11" s="1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A12" i="3"/>
  <c r="A13" i="3"/>
  <c r="S13" i="3" s="1"/>
  <c r="A14" i="3"/>
  <c r="S14" i="3" s="1"/>
  <c r="A15" i="3"/>
  <c r="S15" i="3" s="1"/>
  <c r="A16" i="3"/>
  <c r="A17" i="3"/>
  <c r="A18" i="3"/>
  <c r="S18" i="3" s="1"/>
  <c r="A19" i="3"/>
  <c r="S19" i="3" s="1"/>
  <c r="A20" i="3"/>
  <c r="R20" i="3" s="1"/>
  <c r="A21" i="3"/>
  <c r="R21" i="3" s="1"/>
  <c r="B17" i="3" l="1"/>
  <c r="S17" i="3"/>
  <c r="S21" i="3"/>
  <c r="S20" i="3"/>
  <c r="C16" i="3"/>
  <c r="S16" i="3"/>
  <c r="B12" i="3"/>
  <c r="S12" i="3"/>
  <c r="R18" i="3"/>
  <c r="R17" i="3"/>
  <c r="R16" i="3"/>
  <c r="C18" i="3"/>
  <c r="R15" i="3"/>
  <c r="E17" i="3"/>
  <c r="D17" i="3"/>
  <c r="C15" i="3"/>
  <c r="R13" i="3"/>
  <c r="E14" i="3"/>
  <c r="D14" i="3"/>
  <c r="C14" i="3"/>
  <c r="R14" i="3"/>
  <c r="B14" i="3"/>
  <c r="R12" i="3"/>
  <c r="C12" i="3"/>
  <c r="D20" i="3"/>
  <c r="C20" i="3"/>
  <c r="C17" i="3"/>
  <c r="E19" i="3"/>
  <c r="E16" i="3"/>
  <c r="E13" i="3"/>
  <c r="D19" i="3"/>
  <c r="D16" i="3"/>
  <c r="D13" i="3"/>
  <c r="B19" i="3"/>
  <c r="B16" i="3"/>
  <c r="B13" i="3"/>
  <c r="C21" i="3"/>
  <c r="E20" i="3"/>
  <c r="B20" i="3"/>
  <c r="C19" i="3"/>
  <c r="C13" i="3"/>
  <c r="E21" i="3"/>
  <c r="E18" i="3"/>
  <c r="E15" i="3"/>
  <c r="E12" i="3"/>
  <c r="R19" i="3"/>
  <c r="D21" i="3"/>
  <c r="D18" i="3"/>
  <c r="D15" i="3"/>
  <c r="D12" i="3"/>
  <c r="B21" i="3"/>
  <c r="B18" i="3"/>
  <c r="B15" i="3"/>
  <c r="Z70" i="1"/>
  <c r="D63" i="1"/>
  <c r="B63" i="1" s="1"/>
  <c r="J70" i="1"/>
  <c r="H70" i="1"/>
  <c r="K70" i="1" s="1"/>
  <c r="F70" i="1"/>
  <c r="C68" i="1"/>
  <c r="C69" i="1" s="1"/>
  <c r="D67" i="1"/>
  <c r="B67" i="1" s="1"/>
  <c r="C118" i="1"/>
  <c r="C119" i="1" s="1"/>
  <c r="D117" i="1"/>
  <c r="D118" i="1" s="1"/>
  <c r="D119" i="1" s="1"/>
  <c r="C112" i="1"/>
  <c r="D111" i="1"/>
  <c r="B111" i="1" s="1"/>
  <c r="C108" i="1"/>
  <c r="C109" i="1" s="1"/>
  <c r="D107" i="1"/>
  <c r="D108" i="1" s="1"/>
  <c r="C103" i="1"/>
  <c r="D102" i="1"/>
  <c r="B102" i="1" s="1"/>
  <c r="D89" i="1"/>
  <c r="B89" i="1" s="1"/>
  <c r="C90" i="1"/>
  <c r="C86" i="1"/>
  <c r="C87" i="1" s="1"/>
  <c r="C82" i="1"/>
  <c r="C74" i="1"/>
  <c r="C46" i="1"/>
  <c r="C47" i="1" s="1"/>
  <c r="C48" i="1" s="1"/>
  <c r="C64" i="1"/>
  <c r="C59" i="1"/>
  <c r="C60" i="1" s="1"/>
  <c r="D58" i="1"/>
  <c r="D59" i="1" s="1"/>
  <c r="C55" i="1"/>
  <c r="C56" i="1" s="1"/>
  <c r="D54" i="1"/>
  <c r="B54" i="1" s="1"/>
  <c r="C51" i="1"/>
  <c r="D50" i="1"/>
  <c r="D51" i="1" s="1"/>
  <c r="D52" i="1" s="1"/>
  <c r="C41" i="1"/>
  <c r="C42" i="1" s="1"/>
  <c r="D40" i="1"/>
  <c r="D41" i="1" s="1"/>
  <c r="C7" i="1"/>
  <c r="D6" i="1"/>
  <c r="D7" i="1" s="1"/>
  <c r="C99" i="1"/>
  <c r="C100" i="1" s="1"/>
  <c r="D98" i="1"/>
  <c r="B98" i="1" s="1"/>
  <c r="C95" i="1"/>
  <c r="D94" i="1"/>
  <c r="B94" i="1" s="1"/>
  <c r="C78" i="1"/>
  <c r="C79" i="1" s="1"/>
  <c r="D85" i="1"/>
  <c r="B85" i="1" s="1"/>
  <c r="D81" i="1"/>
  <c r="D82" i="1" s="1"/>
  <c r="D83" i="1" s="1"/>
  <c r="D77" i="1"/>
  <c r="D73" i="1"/>
  <c r="D74" i="1" s="1"/>
  <c r="D75" i="1" s="1"/>
  <c r="D45" i="1"/>
  <c r="C37" i="1"/>
  <c r="C38" i="1" s="1"/>
  <c r="D36" i="1"/>
  <c r="C33" i="1"/>
  <c r="C34" i="1" s="1"/>
  <c r="D32" i="1"/>
  <c r="D33" i="1" s="1"/>
  <c r="D34" i="1" s="1"/>
  <c r="C28" i="1"/>
  <c r="C29" i="1" s="1"/>
  <c r="C30" i="1" s="1"/>
  <c r="D27" i="1"/>
  <c r="D28" i="1" s="1"/>
  <c r="C24" i="1"/>
  <c r="C25" i="1" s="1"/>
  <c r="D23" i="1"/>
  <c r="C15" i="1"/>
  <c r="C16" i="1" s="1"/>
  <c r="C11" i="1"/>
  <c r="C12" i="1" s="1"/>
  <c r="D14" i="1"/>
  <c r="D15" i="1" s="1"/>
  <c r="D16" i="1" s="1"/>
  <c r="D17" i="1" s="1"/>
  <c r="D10" i="1"/>
  <c r="B10" i="1" s="1"/>
  <c r="D46" i="1" l="1"/>
  <c r="D48" i="1" s="1"/>
  <c r="B48" i="1" s="1"/>
  <c r="D47" i="1"/>
  <c r="B47" i="1" s="1"/>
  <c r="Z97" i="1"/>
  <c r="L70" i="1"/>
  <c r="M70" i="1" s="1"/>
  <c r="N70" i="1"/>
  <c r="D68" i="1"/>
  <c r="B117" i="1"/>
  <c r="B119" i="1"/>
  <c r="B118" i="1"/>
  <c r="B107" i="1"/>
  <c r="C113" i="1"/>
  <c r="D112" i="1"/>
  <c r="D113" i="1" s="1"/>
  <c r="B108" i="1"/>
  <c r="D109" i="1"/>
  <c r="B109" i="1" s="1"/>
  <c r="C104" i="1"/>
  <c r="D103" i="1"/>
  <c r="D104" i="1" s="1"/>
  <c r="C91" i="1"/>
  <c r="D90" i="1"/>
  <c r="D91" i="1" s="1"/>
  <c r="B82" i="1"/>
  <c r="D86" i="1"/>
  <c r="B74" i="1"/>
  <c r="C83" i="1"/>
  <c r="B83" i="1" s="1"/>
  <c r="C75" i="1"/>
  <c r="B75" i="1" s="1"/>
  <c r="B34" i="1"/>
  <c r="D64" i="1"/>
  <c r="D65" i="1" s="1"/>
  <c r="B41" i="1"/>
  <c r="B59" i="1"/>
  <c r="C65" i="1"/>
  <c r="B58" i="1"/>
  <c r="B50" i="1"/>
  <c r="D60" i="1"/>
  <c r="B60" i="1" s="1"/>
  <c r="B51" i="1"/>
  <c r="D55" i="1"/>
  <c r="D56" i="1" s="1"/>
  <c r="B56" i="1" s="1"/>
  <c r="C52" i="1"/>
  <c r="B52" i="1" s="1"/>
  <c r="B40" i="1"/>
  <c r="D42" i="1"/>
  <c r="B42" i="1" s="1"/>
  <c r="B6" i="1"/>
  <c r="D8" i="1"/>
  <c r="B7" i="1"/>
  <c r="C8" i="1"/>
  <c r="D99" i="1"/>
  <c r="C96" i="1"/>
  <c r="D95" i="1"/>
  <c r="D78" i="1"/>
  <c r="D79" i="1" s="1"/>
  <c r="B79" i="1" s="1"/>
  <c r="B81" i="1"/>
  <c r="B77" i="1"/>
  <c r="B36" i="1"/>
  <c r="B73" i="1"/>
  <c r="B45" i="1"/>
  <c r="D37" i="1"/>
  <c r="D38" i="1" s="1"/>
  <c r="B38" i="1" s="1"/>
  <c r="B33" i="1"/>
  <c r="B32" i="1"/>
  <c r="B16" i="1"/>
  <c r="C17" i="1"/>
  <c r="C18" i="1" s="1"/>
  <c r="C19" i="1" s="1"/>
  <c r="D29" i="1"/>
  <c r="B28" i="1"/>
  <c r="D11" i="1"/>
  <c r="B11" i="1" s="1"/>
  <c r="B27" i="1"/>
  <c r="D24" i="1"/>
  <c r="B23" i="1"/>
  <c r="D18" i="1"/>
  <c r="B15" i="1"/>
  <c r="B14" i="1"/>
  <c r="B46" i="1" l="1"/>
  <c r="B68" i="1"/>
  <c r="D69" i="1"/>
  <c r="B69" i="1" s="1"/>
  <c r="B113" i="1"/>
  <c r="B112" i="1"/>
  <c r="B103" i="1"/>
  <c r="B104" i="1"/>
  <c r="B91" i="1"/>
  <c r="B90" i="1"/>
  <c r="B86" i="1"/>
  <c r="D87" i="1"/>
  <c r="B87" i="1" s="1"/>
  <c r="B65" i="1"/>
  <c r="B64" i="1"/>
  <c r="B55" i="1"/>
  <c r="B8" i="1"/>
  <c r="D100" i="1"/>
  <c r="B99" i="1"/>
  <c r="D96" i="1"/>
  <c r="B95" i="1"/>
  <c r="B78" i="1"/>
  <c r="B37" i="1"/>
  <c r="B17" i="1"/>
  <c r="D12" i="1"/>
  <c r="D30" i="1"/>
  <c r="B29" i="1"/>
  <c r="D25" i="1"/>
  <c r="B24" i="1"/>
  <c r="D19" i="1"/>
  <c r="B19" i="1" s="1"/>
  <c r="B18" i="1"/>
  <c r="C20" i="1"/>
  <c r="E47" i="1" l="1"/>
  <c r="B100" i="1"/>
  <c r="B96" i="1"/>
  <c r="B30" i="1"/>
  <c r="B12" i="1"/>
  <c r="B25" i="1"/>
  <c r="C21" i="1"/>
  <c r="D20" i="1"/>
  <c r="Y47" i="1" l="1"/>
  <c r="W47" i="1"/>
  <c r="H47" i="1" s="1"/>
  <c r="K47" i="1" s="1"/>
  <c r="T47" i="1"/>
  <c r="R47" i="1"/>
  <c r="P47" i="1"/>
  <c r="D21" i="1"/>
  <c r="B20" i="1"/>
  <c r="J47" i="1" l="1"/>
  <c r="L47" i="1" s="1"/>
  <c r="M47" i="1" s="1"/>
  <c r="Q47" i="1"/>
  <c r="U47" i="1" s="1"/>
  <c r="V47" i="1" s="1"/>
  <c r="X47" i="1" s="1"/>
  <c r="B21" i="1"/>
  <c r="I1" i="7" l="1"/>
  <c r="Z101" i="1"/>
  <c r="Z84" i="1"/>
  <c r="Z80" i="1"/>
  <c r="D38" i="7" l="1"/>
  <c r="J38" i="7" s="1"/>
  <c r="M38" i="7" s="1"/>
  <c r="D36" i="7"/>
  <c r="J36" i="7" s="1"/>
  <c r="M36" i="7" s="1"/>
  <c r="D33" i="7"/>
  <c r="J33" i="7" s="1"/>
  <c r="M34" i="7" s="1"/>
  <c r="D28" i="7"/>
  <c r="J28" i="7" s="1"/>
  <c r="M32" i="7" s="1"/>
  <c r="D27" i="7"/>
  <c r="J27" i="7" s="1"/>
  <c r="M27" i="7" s="1"/>
  <c r="D23" i="7"/>
  <c r="J23" i="7" s="1"/>
  <c r="M26" i="7" s="1"/>
  <c r="D15" i="7"/>
  <c r="J15" i="7" s="1"/>
  <c r="M22" i="7" s="1"/>
  <c r="C38" i="7"/>
  <c r="H38" i="7" s="1"/>
  <c r="C33" i="7"/>
  <c r="H33" i="7" s="1"/>
  <c r="C28" i="7"/>
  <c r="H28" i="7" s="1"/>
  <c r="C23" i="7"/>
  <c r="H23" i="7" s="1"/>
  <c r="C15" i="7"/>
  <c r="H15" i="7" s="1"/>
  <c r="B38" i="7"/>
  <c r="F38" i="7" s="1"/>
  <c r="B28" i="7"/>
  <c r="F28" i="7" s="1"/>
  <c r="B15" i="7"/>
  <c r="F15" i="7" s="1"/>
  <c r="Z114" i="1"/>
  <c r="Z105" i="1"/>
  <c r="Z110" i="1"/>
  <c r="Z92" i="1"/>
  <c r="Z76" i="1"/>
  <c r="Z88" i="1"/>
  <c r="Y122" i="1"/>
  <c r="Z66" i="1"/>
  <c r="Z61" i="1"/>
  <c r="Z57" i="1"/>
  <c r="E85" i="1" l="1"/>
  <c r="E10" i="1"/>
  <c r="E32" i="1"/>
  <c r="E45" i="1"/>
  <c r="E27" i="1"/>
  <c r="E14" i="1"/>
  <c r="E11" i="1"/>
  <c r="E15" i="1"/>
  <c r="E36" i="1"/>
  <c r="E28" i="1"/>
  <c r="E16" i="1"/>
  <c r="E33" i="1"/>
  <c r="E73" i="1"/>
  <c r="E17" i="1"/>
  <c r="E37" i="1"/>
  <c r="E29" i="1"/>
  <c r="E18" i="1"/>
  <c r="E77" i="1"/>
  <c r="E30" i="1"/>
  <c r="E81" i="1"/>
  <c r="E78" i="1"/>
  <c r="E19" i="1"/>
  <c r="E25" i="1"/>
  <c r="E12" i="1"/>
  <c r="E23" i="1"/>
  <c r="E24" i="1"/>
  <c r="E20" i="1"/>
  <c r="E21" i="1"/>
  <c r="Z39" i="1"/>
  <c r="Z43" i="1"/>
  <c r="Z49" i="1"/>
  <c r="Z53" i="1"/>
  <c r="Z22" i="1"/>
  <c r="Z9" i="1"/>
  <c r="Z26" i="1"/>
  <c r="Z13" i="1"/>
  <c r="Z31" i="1"/>
  <c r="Z35" i="1"/>
  <c r="M31" i="7"/>
  <c r="N31" i="7" s="1"/>
  <c r="O31" i="7" s="1"/>
  <c r="M16" i="7"/>
  <c r="N16" i="7" s="1"/>
  <c r="O16" i="7" s="1"/>
  <c r="M17" i="7"/>
  <c r="N17" i="7" s="1"/>
  <c r="O17" i="7" s="1"/>
  <c r="M21" i="7"/>
  <c r="N21" i="7" s="1"/>
  <c r="O21" i="7" s="1"/>
  <c r="M20" i="7"/>
  <c r="N20" i="7" s="1"/>
  <c r="O20" i="7" s="1"/>
  <c r="N34" i="7"/>
  <c r="O34" i="7" s="1"/>
  <c r="M33" i="7"/>
  <c r="N33" i="7" s="1"/>
  <c r="O33" i="7" s="1"/>
  <c r="M37" i="7"/>
  <c r="N37" i="7" s="1"/>
  <c r="O37" i="7" s="1"/>
  <c r="M35" i="7"/>
  <c r="N35" i="7" s="1"/>
  <c r="O35" i="7" s="1"/>
  <c r="N26" i="7"/>
  <c r="O26" i="7" s="1"/>
  <c r="M15" i="7"/>
  <c r="N15" i="7" s="1"/>
  <c r="O15" i="7" s="1"/>
  <c r="M18" i="7"/>
  <c r="N18" i="7" s="1"/>
  <c r="O18" i="7" s="1"/>
  <c r="M19" i="7"/>
  <c r="N19" i="7" s="1"/>
  <c r="O19" i="7" s="1"/>
  <c r="F39" i="7"/>
  <c r="M24" i="7"/>
  <c r="N24" i="7" s="1"/>
  <c r="O24" i="7" s="1"/>
  <c r="M25" i="7"/>
  <c r="N25" i="7" s="1"/>
  <c r="O25" i="7" s="1"/>
  <c r="M30" i="7"/>
  <c r="N30" i="7" s="1"/>
  <c r="O30" i="7" s="1"/>
  <c r="M29" i="7"/>
  <c r="N29" i="7" s="1"/>
  <c r="O29" i="7" s="1"/>
  <c r="M23" i="7"/>
  <c r="N23" i="7" s="1"/>
  <c r="O23" i="7" s="1"/>
  <c r="N27" i="7"/>
  <c r="O27" i="7" s="1"/>
  <c r="N28" i="7"/>
  <c r="O28" i="7" s="1"/>
  <c r="N32" i="7"/>
  <c r="O32" i="7" s="1"/>
  <c r="N36" i="7"/>
  <c r="O36" i="7" s="1"/>
  <c r="N22" i="7"/>
  <c r="O22" i="7" s="1"/>
  <c r="N38" i="7"/>
  <c r="O38" i="7" s="1"/>
  <c r="P66" i="1"/>
  <c r="P22" i="1"/>
  <c r="W70" i="1"/>
  <c r="T70" i="1"/>
  <c r="R70" i="1"/>
  <c r="P70" i="1"/>
  <c r="T22" i="1"/>
  <c r="W22" i="1"/>
  <c r="R22" i="1"/>
  <c r="W66" i="1"/>
  <c r="T66" i="1"/>
  <c r="R66" i="1"/>
  <c r="V31" i="7"/>
  <c r="J88" i="1" s="1"/>
  <c r="W80" i="1"/>
  <c r="V30" i="7"/>
  <c r="J84" i="1" s="1"/>
  <c r="S37" i="7"/>
  <c r="W37" i="7" s="1"/>
  <c r="S19" i="7"/>
  <c r="V26" i="7"/>
  <c r="J61" i="1" s="1"/>
  <c r="P84" i="1"/>
  <c r="V35" i="7"/>
  <c r="J105" i="1" s="1"/>
  <c r="T101" i="1"/>
  <c r="V22" i="7"/>
  <c r="J43" i="1" s="1"/>
  <c r="V37" i="7"/>
  <c r="J114" i="1" s="1"/>
  <c r="S25" i="7"/>
  <c r="H57" i="1" s="1"/>
  <c r="K57" i="1" s="1"/>
  <c r="S20" i="7"/>
  <c r="H35" i="1" s="1"/>
  <c r="S27" i="7"/>
  <c r="R101" i="1"/>
  <c r="P101" i="1"/>
  <c r="S22" i="7"/>
  <c r="H43" i="1" s="1"/>
  <c r="V36" i="7"/>
  <c r="J110" i="1" s="1"/>
  <c r="V32" i="7"/>
  <c r="J92" i="1" s="1"/>
  <c r="V28" i="7"/>
  <c r="J76" i="1" s="1"/>
  <c r="V38" i="7"/>
  <c r="J120" i="1" s="1"/>
  <c r="J121" i="1" s="1"/>
  <c r="J122" i="1" s="1"/>
  <c r="V18" i="7"/>
  <c r="R84" i="1"/>
  <c r="S15" i="7"/>
  <c r="V17" i="7"/>
  <c r="J22" i="1" s="1"/>
  <c r="P80" i="1"/>
  <c r="S33" i="7"/>
  <c r="V24" i="7"/>
  <c r="J53" i="1" s="1"/>
  <c r="R80" i="1"/>
  <c r="S23" i="7"/>
  <c r="H49" i="1" s="1"/>
  <c r="S31" i="7"/>
  <c r="V23" i="7"/>
  <c r="J49" i="1" s="1"/>
  <c r="S30" i="7"/>
  <c r="V27" i="7"/>
  <c r="J66" i="1" s="1"/>
  <c r="J71" i="1" s="1"/>
  <c r="S32" i="7"/>
  <c r="H92" i="1" s="1"/>
  <c r="W84" i="1"/>
  <c r="S29" i="7"/>
  <c r="S16" i="7"/>
  <c r="H13" i="1" s="1"/>
  <c r="S26" i="7"/>
  <c r="H61" i="1" s="1"/>
  <c r="K61" i="1" s="1"/>
  <c r="V20" i="7"/>
  <c r="J35" i="1" s="1"/>
  <c r="T84" i="1"/>
  <c r="V19" i="7"/>
  <c r="S34" i="7"/>
  <c r="V34" i="7"/>
  <c r="J101" i="1" s="1"/>
  <c r="V25" i="7"/>
  <c r="J57" i="1" s="1"/>
  <c r="W101" i="1"/>
  <c r="S28" i="7"/>
  <c r="H76" i="1" s="1"/>
  <c r="V33" i="7"/>
  <c r="J97" i="1" s="1"/>
  <c r="S38" i="7"/>
  <c r="H120" i="1" s="1"/>
  <c r="S18" i="7"/>
  <c r="S36" i="7"/>
  <c r="W36" i="7" s="1"/>
  <c r="V29" i="7"/>
  <c r="J80" i="1" s="1"/>
  <c r="T80" i="1"/>
  <c r="V16" i="7"/>
  <c r="J13" i="1" s="1"/>
  <c r="S24" i="7"/>
  <c r="H53" i="1" s="1"/>
  <c r="S35" i="7"/>
  <c r="S17" i="7"/>
  <c r="H22" i="1" s="1"/>
  <c r="S21" i="7"/>
  <c r="H39" i="1" s="1"/>
  <c r="V21" i="7"/>
  <c r="J39" i="1" s="1"/>
  <c r="V15" i="7"/>
  <c r="W88" i="1"/>
  <c r="T61" i="1"/>
  <c r="R120" i="1"/>
  <c r="R121" i="1" s="1"/>
  <c r="R122" i="1" s="1"/>
  <c r="R49" i="1"/>
  <c r="P105" i="1"/>
  <c r="P35" i="1"/>
  <c r="T53" i="1"/>
  <c r="P26" i="1"/>
  <c r="T120" i="1"/>
  <c r="T121" i="1" s="1"/>
  <c r="T122" i="1" s="1"/>
  <c r="R35" i="1"/>
  <c r="T114" i="1"/>
  <c r="R31" i="1"/>
  <c r="W53" i="1"/>
  <c r="R26" i="1"/>
  <c r="W120" i="1"/>
  <c r="W121" i="1" s="1"/>
  <c r="W122" i="1" s="1"/>
  <c r="W43" i="1"/>
  <c r="R76" i="1"/>
  <c r="T92" i="1"/>
  <c r="R9" i="1"/>
  <c r="W105" i="1"/>
  <c r="P120" i="1"/>
  <c r="P121" i="1" s="1"/>
  <c r="P122" i="1" s="1"/>
  <c r="W76" i="1"/>
  <c r="W13" i="1"/>
  <c r="T57" i="1"/>
  <c r="R114" i="1"/>
  <c r="R43" i="1"/>
  <c r="P97" i="1"/>
  <c r="P31" i="1"/>
  <c r="R39" i="1"/>
  <c r="W61" i="1"/>
  <c r="R105" i="1"/>
  <c r="P88" i="1"/>
  <c r="T43" i="1"/>
  <c r="P13" i="1"/>
  <c r="R92" i="1"/>
  <c r="P9" i="1"/>
  <c r="T105" i="1"/>
  <c r="R88" i="1"/>
  <c r="T31" i="1"/>
  <c r="P57" i="1"/>
  <c r="W110" i="1"/>
  <c r="T26" i="1"/>
  <c r="P53" i="1"/>
  <c r="W35" i="1"/>
  <c r="R61" i="1"/>
  <c r="W9" i="1"/>
  <c r="R110" i="1"/>
  <c r="P92" i="1"/>
  <c r="T49" i="1"/>
  <c r="W57" i="1"/>
  <c r="R97" i="1"/>
  <c r="P76" i="1"/>
  <c r="T110" i="1"/>
  <c r="W49" i="1"/>
  <c r="T35" i="1"/>
  <c r="P61" i="1"/>
  <c r="W114" i="1"/>
  <c r="R13" i="1"/>
  <c r="T39" i="1"/>
  <c r="T97" i="1"/>
  <c r="W39" i="1"/>
  <c r="T88" i="1"/>
  <c r="P49" i="1"/>
  <c r="R53" i="1"/>
  <c r="W92" i="1"/>
  <c r="W97" i="1"/>
  <c r="R57" i="1"/>
  <c r="T76" i="1"/>
  <c r="P43" i="1"/>
  <c r="P110" i="1"/>
  <c r="P114" i="1"/>
  <c r="T9" i="1"/>
  <c r="W26" i="1"/>
  <c r="W31" i="1"/>
  <c r="P39" i="1"/>
  <c r="T13" i="1"/>
  <c r="Z120" i="1"/>
  <c r="Z121" i="1" s="1"/>
  <c r="Z122" i="1" s="1"/>
  <c r="Y12" i="1" l="1"/>
  <c r="T12" i="1"/>
  <c r="P12" i="1"/>
  <c r="R12" i="1"/>
  <c r="W12" i="1"/>
  <c r="H12" i="1" s="1"/>
  <c r="Y33" i="1"/>
  <c r="W33" i="1"/>
  <c r="H33" i="1" s="1"/>
  <c r="K33" i="1" s="1"/>
  <c r="T33" i="1"/>
  <c r="R33" i="1"/>
  <c r="P33" i="1"/>
  <c r="Y16" i="1"/>
  <c r="R16" i="1"/>
  <c r="P16" i="1"/>
  <c r="W16" i="1"/>
  <c r="H16" i="1" s="1"/>
  <c r="K16" i="1" s="1"/>
  <c r="T16" i="1"/>
  <c r="Y81" i="1"/>
  <c r="W81" i="1"/>
  <c r="H81" i="1" s="1"/>
  <c r="K81" i="1" s="1"/>
  <c r="T81" i="1"/>
  <c r="P81" i="1"/>
  <c r="R81" i="1"/>
  <c r="Y28" i="1"/>
  <c r="T28" i="1"/>
  <c r="R28" i="1"/>
  <c r="P28" i="1"/>
  <c r="W28" i="1"/>
  <c r="H28" i="1" s="1"/>
  <c r="K28" i="1" s="1"/>
  <c r="P21" i="1"/>
  <c r="T21" i="1"/>
  <c r="R21" i="1"/>
  <c r="W21" i="1"/>
  <c r="H21" i="1" s="1"/>
  <c r="K21" i="1" s="1"/>
  <c r="Y21" i="1"/>
  <c r="Y36" i="1"/>
  <c r="W36" i="1"/>
  <c r="H36" i="1" s="1"/>
  <c r="K36" i="1" s="1"/>
  <c r="R36" i="1"/>
  <c r="P36" i="1"/>
  <c r="T36" i="1"/>
  <c r="Y20" i="1"/>
  <c r="R20" i="1"/>
  <c r="T20" i="1"/>
  <c r="W20" i="1"/>
  <c r="H20" i="1" s="1"/>
  <c r="K20" i="1" s="1"/>
  <c r="P20" i="1"/>
  <c r="T19" i="1"/>
  <c r="W19" i="1"/>
  <c r="H19" i="1" s="1"/>
  <c r="K19" i="1" s="1"/>
  <c r="Y19" i="1"/>
  <c r="R19" i="1"/>
  <c r="P19" i="1"/>
  <c r="R15" i="1"/>
  <c r="T15" i="1"/>
  <c r="Y15" i="1"/>
  <c r="W15" i="1"/>
  <c r="H15" i="1" s="1"/>
  <c r="K15" i="1" s="1"/>
  <c r="P15" i="1"/>
  <c r="R11" i="1"/>
  <c r="T11" i="1"/>
  <c r="Y11" i="1"/>
  <c r="W11" i="1"/>
  <c r="H11" i="1" s="1"/>
  <c r="P11" i="1"/>
  <c r="Y24" i="1"/>
  <c r="P24" i="1"/>
  <c r="R24" i="1"/>
  <c r="W24" i="1"/>
  <c r="H24" i="1" s="1"/>
  <c r="K24" i="1" s="1"/>
  <c r="T24" i="1"/>
  <c r="P25" i="1"/>
  <c r="W25" i="1"/>
  <c r="H25" i="1" s="1"/>
  <c r="K25" i="1" s="1"/>
  <c r="T25" i="1"/>
  <c r="Y25" i="1"/>
  <c r="R25" i="1"/>
  <c r="Y18" i="1"/>
  <c r="R18" i="1"/>
  <c r="W18" i="1"/>
  <c r="H18" i="1" s="1"/>
  <c r="K18" i="1" s="1"/>
  <c r="P18" i="1"/>
  <c r="T18" i="1"/>
  <c r="Y14" i="1"/>
  <c r="W14" i="1"/>
  <c r="H14" i="1" s="1"/>
  <c r="K14" i="1" s="1"/>
  <c r="T14" i="1"/>
  <c r="R14" i="1"/>
  <c r="P14" i="1"/>
  <c r="Y29" i="1"/>
  <c r="W29" i="1"/>
  <c r="H29" i="1" s="1"/>
  <c r="K29" i="1" s="1"/>
  <c r="R29" i="1"/>
  <c r="P29" i="1"/>
  <c r="T29" i="1"/>
  <c r="Y27" i="1"/>
  <c r="R27" i="1"/>
  <c r="T27" i="1"/>
  <c r="P27" i="1"/>
  <c r="W27" i="1"/>
  <c r="H27" i="1" s="1"/>
  <c r="K27" i="1" s="1"/>
  <c r="Y37" i="1"/>
  <c r="T37" i="1"/>
  <c r="R37" i="1"/>
  <c r="P37" i="1"/>
  <c r="W37" i="1"/>
  <c r="H37" i="1" s="1"/>
  <c r="K37" i="1" s="1"/>
  <c r="Y45" i="1"/>
  <c r="R45" i="1"/>
  <c r="P45" i="1"/>
  <c r="W45" i="1"/>
  <c r="H45" i="1" s="1"/>
  <c r="K45" i="1" s="1"/>
  <c r="T45" i="1"/>
  <c r="Y77" i="1"/>
  <c r="W77" i="1"/>
  <c r="H77" i="1" s="1"/>
  <c r="K77" i="1" s="1"/>
  <c r="T77" i="1"/>
  <c r="P77" i="1"/>
  <c r="R77" i="1"/>
  <c r="Y78" i="1"/>
  <c r="R78" i="1"/>
  <c r="T78" i="1"/>
  <c r="P78" i="1"/>
  <c r="W78" i="1"/>
  <c r="H78" i="1" s="1"/>
  <c r="K78" i="1" s="1"/>
  <c r="Y17" i="1"/>
  <c r="P17" i="1"/>
  <c r="R17" i="1"/>
  <c r="W17" i="1"/>
  <c r="H17" i="1" s="1"/>
  <c r="K17" i="1" s="1"/>
  <c r="T17" i="1"/>
  <c r="Y32" i="1"/>
  <c r="R32" i="1"/>
  <c r="W32" i="1"/>
  <c r="H32" i="1" s="1"/>
  <c r="K32" i="1" s="1"/>
  <c r="T32" i="1"/>
  <c r="P32" i="1"/>
  <c r="Y73" i="1"/>
  <c r="R73" i="1"/>
  <c r="P73" i="1"/>
  <c r="T73" i="1"/>
  <c r="W73" i="1"/>
  <c r="H73" i="1" s="1"/>
  <c r="K73" i="1" s="1"/>
  <c r="Y10" i="1"/>
  <c r="P10" i="1"/>
  <c r="T10" i="1"/>
  <c r="W10" i="1"/>
  <c r="H10" i="1" s="1"/>
  <c r="R10" i="1"/>
  <c r="Y23" i="1"/>
  <c r="R23" i="1"/>
  <c r="P23" i="1"/>
  <c r="W23" i="1"/>
  <c r="H23" i="1" s="1"/>
  <c r="K23" i="1" s="1"/>
  <c r="T23" i="1"/>
  <c r="Y30" i="1"/>
  <c r="R30" i="1"/>
  <c r="T30" i="1"/>
  <c r="P30" i="1"/>
  <c r="W30" i="1"/>
  <c r="H30" i="1" s="1"/>
  <c r="K30" i="1" s="1"/>
  <c r="Y85" i="1"/>
  <c r="T85" i="1"/>
  <c r="W85" i="1"/>
  <c r="H85" i="1" s="1"/>
  <c r="K85" i="1" s="1"/>
  <c r="P85" i="1"/>
  <c r="R85" i="1"/>
  <c r="W71" i="1"/>
  <c r="P106" i="1"/>
  <c r="O39" i="7"/>
  <c r="R71" i="1"/>
  <c r="Q66" i="1"/>
  <c r="U66" i="1" s="1"/>
  <c r="V66" i="1" s="1"/>
  <c r="X66" i="1" s="1"/>
  <c r="T71" i="1"/>
  <c r="Q22" i="1"/>
  <c r="U22" i="1" s="1"/>
  <c r="V22" i="1" s="1"/>
  <c r="X22" i="1" s="1"/>
  <c r="Q70" i="1"/>
  <c r="U70" i="1" s="1"/>
  <c r="V70" i="1" s="1"/>
  <c r="X70" i="1" s="1"/>
  <c r="P71" i="1"/>
  <c r="R62" i="1"/>
  <c r="R106" i="1"/>
  <c r="P115" i="1"/>
  <c r="P62" i="1"/>
  <c r="J62" i="1"/>
  <c r="R115" i="1"/>
  <c r="H62" i="1"/>
  <c r="K62" i="1" s="1"/>
  <c r="P93" i="1"/>
  <c r="J93" i="1"/>
  <c r="J115" i="1"/>
  <c r="P44" i="1"/>
  <c r="W44" i="1"/>
  <c r="W93" i="1"/>
  <c r="R44" i="1"/>
  <c r="R93" i="1"/>
  <c r="J106" i="1"/>
  <c r="T44" i="1"/>
  <c r="Z44" i="1" s="1"/>
  <c r="T93" i="1"/>
  <c r="Z93" i="1" s="1"/>
  <c r="W106" i="1"/>
  <c r="T106" i="1"/>
  <c r="Z106" i="1" s="1"/>
  <c r="W62" i="1"/>
  <c r="T115" i="1"/>
  <c r="Z115" i="1" s="1"/>
  <c r="T62" i="1"/>
  <c r="Z62" i="1" s="1"/>
  <c r="W115" i="1"/>
  <c r="K120" i="1"/>
  <c r="L120" i="1" s="1"/>
  <c r="M120" i="1" s="1"/>
  <c r="H121" i="1"/>
  <c r="H66" i="1"/>
  <c r="H88" i="1"/>
  <c r="K88" i="1" s="1"/>
  <c r="J31" i="1"/>
  <c r="H31" i="1"/>
  <c r="J26" i="1"/>
  <c r="K22" i="1"/>
  <c r="L22" i="1" s="1"/>
  <c r="M22" i="1" s="1"/>
  <c r="H26" i="1"/>
  <c r="K26" i="1" s="1"/>
  <c r="Q84" i="1"/>
  <c r="U84" i="1" s="1"/>
  <c r="V84" i="1" s="1"/>
  <c r="X84" i="1" s="1"/>
  <c r="Q80" i="1"/>
  <c r="U80" i="1" s="1"/>
  <c r="V80" i="1" s="1"/>
  <c r="X80" i="1" s="1"/>
  <c r="J9" i="1"/>
  <c r="Q101" i="1"/>
  <c r="U101" i="1" s="1"/>
  <c r="V101" i="1" s="1"/>
  <c r="X101" i="1" s="1"/>
  <c r="H97" i="1"/>
  <c r="H105" i="1"/>
  <c r="W29" i="7"/>
  <c r="X29" i="7" s="1"/>
  <c r="Y29" i="7" s="1"/>
  <c r="H80" i="1"/>
  <c r="K80" i="1" s="1"/>
  <c r="L80" i="1" s="1"/>
  <c r="M80" i="1" s="1"/>
  <c r="W34" i="7"/>
  <c r="X34" i="7" s="1"/>
  <c r="Y34" i="7" s="1"/>
  <c r="H101" i="1"/>
  <c r="K101" i="1" s="1"/>
  <c r="L101" i="1" s="1"/>
  <c r="M101" i="1" s="1"/>
  <c r="W30" i="7"/>
  <c r="X30" i="7" s="1"/>
  <c r="Y30" i="7" s="1"/>
  <c r="H84" i="1"/>
  <c r="K84" i="1" s="1"/>
  <c r="L84" i="1" s="1"/>
  <c r="M84" i="1" s="1"/>
  <c r="T30" i="7"/>
  <c r="T29" i="7"/>
  <c r="H9" i="1"/>
  <c r="T34" i="7"/>
  <c r="Q35" i="1"/>
  <c r="U35" i="1" s="1"/>
  <c r="V35" i="1" s="1"/>
  <c r="X35" i="1" s="1"/>
  <c r="Q57" i="1"/>
  <c r="U57" i="1" s="1"/>
  <c r="V57" i="1" s="1"/>
  <c r="X57" i="1" s="1"/>
  <c r="Q110" i="1"/>
  <c r="U110" i="1" s="1"/>
  <c r="V110" i="1" s="1"/>
  <c r="X110" i="1" s="1"/>
  <c r="Q88" i="1"/>
  <c r="U88" i="1" s="1"/>
  <c r="V88" i="1" s="1"/>
  <c r="X88" i="1" s="1"/>
  <c r="Q122" i="1"/>
  <c r="U122" i="1" s="1"/>
  <c r="V122" i="1" s="1"/>
  <c r="X122" i="1" s="1"/>
  <c r="Q39" i="1"/>
  <c r="U39" i="1" s="1"/>
  <c r="V39" i="1" s="1"/>
  <c r="X39" i="1" s="1"/>
  <c r="Q76" i="1"/>
  <c r="U76" i="1" s="1"/>
  <c r="V76" i="1" s="1"/>
  <c r="X76" i="1" s="1"/>
  <c r="Q114" i="1"/>
  <c r="U114" i="1" s="1"/>
  <c r="V114" i="1" s="1"/>
  <c r="X114" i="1" s="1"/>
  <c r="Q105" i="1"/>
  <c r="U105" i="1" s="1"/>
  <c r="V105" i="1" s="1"/>
  <c r="X105" i="1" s="1"/>
  <c r="Q31" i="1"/>
  <c r="U31" i="1" s="1"/>
  <c r="V31" i="1" s="1"/>
  <c r="X31" i="1" s="1"/>
  <c r="Q26" i="1"/>
  <c r="U26" i="1" s="1"/>
  <c r="V26" i="1" s="1"/>
  <c r="X26" i="1" s="1"/>
  <c r="W38" i="7"/>
  <c r="X38" i="7" s="1"/>
  <c r="Y38" i="7" s="1"/>
  <c r="Q61" i="1"/>
  <c r="U61" i="1" s="1"/>
  <c r="V61" i="1" s="1"/>
  <c r="X61" i="1" s="1"/>
  <c r="Q43" i="1"/>
  <c r="U43" i="1" s="1"/>
  <c r="V43" i="1" s="1"/>
  <c r="X43" i="1" s="1"/>
  <c r="Q9" i="1"/>
  <c r="U9" i="1" s="1"/>
  <c r="V9" i="1" s="1"/>
  <c r="X9" i="1" s="1"/>
  <c r="Q53" i="1"/>
  <c r="U53" i="1" s="1"/>
  <c r="V53" i="1" s="1"/>
  <c r="X53" i="1" s="1"/>
  <c r="Q120" i="1"/>
  <c r="U120" i="1" s="1"/>
  <c r="V120" i="1" s="1"/>
  <c r="X120" i="1" s="1"/>
  <c r="Q49" i="1"/>
  <c r="U49" i="1" s="1"/>
  <c r="V49" i="1" s="1"/>
  <c r="X49" i="1" s="1"/>
  <c r="Q13" i="1"/>
  <c r="U13" i="1" s="1"/>
  <c r="V13" i="1" s="1"/>
  <c r="X13" i="1" s="1"/>
  <c r="Q92" i="1"/>
  <c r="U92" i="1" s="1"/>
  <c r="V92" i="1" s="1"/>
  <c r="X92" i="1" s="1"/>
  <c r="Q97" i="1"/>
  <c r="U97" i="1" s="1"/>
  <c r="V97" i="1" s="1"/>
  <c r="X97" i="1" s="1"/>
  <c r="X37" i="7"/>
  <c r="Y37" i="7" s="1"/>
  <c r="W22" i="7"/>
  <c r="X22" i="7" s="1"/>
  <c r="Y22" i="7" s="1"/>
  <c r="W23" i="7"/>
  <c r="X23" i="7" s="1"/>
  <c r="Y23" i="7" s="1"/>
  <c r="W33" i="7"/>
  <c r="X33" i="7" s="1"/>
  <c r="Y33" i="7" s="1"/>
  <c r="W24" i="7"/>
  <c r="X24" i="7" s="1"/>
  <c r="Y24" i="7" s="1"/>
  <c r="W17" i="7"/>
  <c r="X17" i="7" s="1"/>
  <c r="Y17" i="7" s="1"/>
  <c r="W27" i="7"/>
  <c r="X27" i="7" s="1"/>
  <c r="Y27" i="7" s="1"/>
  <c r="W26" i="7"/>
  <c r="X26" i="7" s="1"/>
  <c r="Y26" i="7" s="1"/>
  <c r="W20" i="7"/>
  <c r="X20" i="7" s="1"/>
  <c r="Y20" i="7" s="1"/>
  <c r="H114" i="1"/>
  <c r="W28" i="7"/>
  <c r="X28" i="7" s="1"/>
  <c r="Y28" i="7" s="1"/>
  <c r="W16" i="7"/>
  <c r="X16" i="7" s="1"/>
  <c r="Y16" i="7" s="1"/>
  <c r="W31" i="7"/>
  <c r="X31" i="7" s="1"/>
  <c r="Y31" i="7" s="1"/>
  <c r="W32" i="7"/>
  <c r="X32" i="7" s="1"/>
  <c r="Y32" i="7" s="1"/>
  <c r="W15" i="7"/>
  <c r="X15" i="7" s="1"/>
  <c r="H110" i="1"/>
  <c r="W35" i="7"/>
  <c r="X35" i="7" s="1"/>
  <c r="Y35" i="7" s="1"/>
  <c r="W25" i="7"/>
  <c r="X25" i="7" s="1"/>
  <c r="Y25" i="7" s="1"/>
  <c r="W19" i="7"/>
  <c r="X19" i="7" s="1"/>
  <c r="Y19" i="7" s="1"/>
  <c r="T15" i="7"/>
  <c r="T20" i="7"/>
  <c r="T24" i="7"/>
  <c r="T31" i="7"/>
  <c r="T32" i="7"/>
  <c r="T25" i="7"/>
  <c r="T22" i="7"/>
  <c r="T17" i="7"/>
  <c r="T36" i="7"/>
  <c r="T19" i="7"/>
  <c r="T18" i="7"/>
  <c r="W18" i="7"/>
  <c r="X18" i="7" s="1"/>
  <c r="Y18" i="7" s="1"/>
  <c r="W21" i="7"/>
  <c r="X21" i="7" s="1"/>
  <c r="Y21" i="7" s="1"/>
  <c r="X36" i="7"/>
  <c r="Y36" i="7" s="1"/>
  <c r="T23" i="7"/>
  <c r="T26" i="7"/>
  <c r="T16" i="7"/>
  <c r="T21" i="7"/>
  <c r="T38" i="7"/>
  <c r="V39" i="7"/>
  <c r="T35" i="7"/>
  <c r="S39" i="7"/>
  <c r="T37" i="7"/>
  <c r="T28" i="7"/>
  <c r="T33" i="7"/>
  <c r="T27" i="7"/>
  <c r="K35" i="1"/>
  <c r="K39" i="1"/>
  <c r="K43" i="1"/>
  <c r="K53" i="1"/>
  <c r="K13" i="1"/>
  <c r="K76" i="1"/>
  <c r="E94" i="1" l="1"/>
  <c r="E95" i="1"/>
  <c r="J10" i="1"/>
  <c r="Q10" i="1"/>
  <c r="U10" i="1" s="1"/>
  <c r="V10" i="1" s="1"/>
  <c r="X10" i="1" s="1"/>
  <c r="J24" i="1"/>
  <c r="L24" i="1" s="1"/>
  <c r="M24" i="1" s="1"/>
  <c r="Q24" i="1"/>
  <c r="U24" i="1" s="1"/>
  <c r="V24" i="1" s="1"/>
  <c r="X24" i="1" s="1"/>
  <c r="Q27" i="1"/>
  <c r="U27" i="1" s="1"/>
  <c r="V27" i="1" s="1"/>
  <c r="X27" i="1" s="1"/>
  <c r="J27" i="1"/>
  <c r="L27" i="1" s="1"/>
  <c r="M27" i="1" s="1"/>
  <c r="J30" i="1"/>
  <c r="L30" i="1" s="1"/>
  <c r="M30" i="1" s="1"/>
  <c r="Q30" i="1"/>
  <c r="U30" i="1" s="1"/>
  <c r="V30" i="1" s="1"/>
  <c r="X30" i="1" s="1"/>
  <c r="J81" i="1"/>
  <c r="L81" i="1" s="1"/>
  <c r="M81" i="1" s="1"/>
  <c r="Q81" i="1"/>
  <c r="U81" i="1" s="1"/>
  <c r="V81" i="1" s="1"/>
  <c r="X81" i="1" s="1"/>
  <c r="J20" i="1"/>
  <c r="L20" i="1" s="1"/>
  <c r="M20" i="1" s="1"/>
  <c r="Q20" i="1"/>
  <c r="U20" i="1" s="1"/>
  <c r="V20" i="1" s="1"/>
  <c r="X20" i="1" s="1"/>
  <c r="Q23" i="1"/>
  <c r="U23" i="1" s="1"/>
  <c r="V23" i="1" s="1"/>
  <c r="X23" i="1" s="1"/>
  <c r="J23" i="1"/>
  <c r="L23" i="1" s="1"/>
  <c r="M23" i="1" s="1"/>
  <c r="J78" i="1"/>
  <c r="L78" i="1" s="1"/>
  <c r="M78" i="1" s="1"/>
  <c r="Q78" i="1"/>
  <c r="U78" i="1" s="1"/>
  <c r="V78" i="1" s="1"/>
  <c r="X78" i="1" s="1"/>
  <c r="J29" i="1"/>
  <c r="L29" i="1" s="1"/>
  <c r="M29" i="1" s="1"/>
  <c r="Q29" i="1"/>
  <c r="U29" i="1" s="1"/>
  <c r="V29" i="1" s="1"/>
  <c r="X29" i="1" s="1"/>
  <c r="J18" i="1"/>
  <c r="L18" i="1" s="1"/>
  <c r="M18" i="1" s="1"/>
  <c r="Q18" i="1"/>
  <c r="U18" i="1" s="1"/>
  <c r="V18" i="1" s="1"/>
  <c r="X18" i="1" s="1"/>
  <c r="Q25" i="1"/>
  <c r="U25" i="1" s="1"/>
  <c r="V25" i="1" s="1"/>
  <c r="X25" i="1" s="1"/>
  <c r="J25" i="1"/>
  <c r="L25" i="1" s="1"/>
  <c r="M25" i="1" s="1"/>
  <c r="Q17" i="1"/>
  <c r="U17" i="1" s="1"/>
  <c r="V17" i="1" s="1"/>
  <c r="X17" i="1" s="1"/>
  <c r="J17" i="1"/>
  <c r="L17" i="1" s="1"/>
  <c r="M17" i="1" s="1"/>
  <c r="J37" i="1"/>
  <c r="L37" i="1" s="1"/>
  <c r="M37" i="1" s="1"/>
  <c r="Q37" i="1"/>
  <c r="U37" i="1" s="1"/>
  <c r="V37" i="1" s="1"/>
  <c r="X37" i="1" s="1"/>
  <c r="J12" i="1"/>
  <c r="Q12" i="1"/>
  <c r="U12" i="1" s="1"/>
  <c r="V12" i="1" s="1"/>
  <c r="X12" i="1" s="1"/>
  <c r="Q14" i="1"/>
  <c r="U14" i="1" s="1"/>
  <c r="V14" i="1" s="1"/>
  <c r="X14" i="1" s="1"/>
  <c r="J14" i="1"/>
  <c r="L14" i="1" s="1"/>
  <c r="M14" i="1" s="1"/>
  <c r="J15" i="1"/>
  <c r="L15" i="1" s="1"/>
  <c r="M15" i="1" s="1"/>
  <c r="Q15" i="1"/>
  <c r="U15" i="1" s="1"/>
  <c r="V15" i="1" s="1"/>
  <c r="X15" i="1" s="1"/>
  <c r="J19" i="1"/>
  <c r="L19" i="1" s="1"/>
  <c r="M19" i="1" s="1"/>
  <c r="Q19" i="1"/>
  <c r="U19" i="1" s="1"/>
  <c r="V19" i="1" s="1"/>
  <c r="X19" i="1" s="1"/>
  <c r="J11" i="1"/>
  <c r="Q11" i="1"/>
  <c r="U11" i="1" s="1"/>
  <c r="V11" i="1" s="1"/>
  <c r="X11" i="1" s="1"/>
  <c r="Q85" i="1"/>
  <c r="U85" i="1" s="1"/>
  <c r="V85" i="1" s="1"/>
  <c r="X85" i="1" s="1"/>
  <c r="J85" i="1"/>
  <c r="L85" i="1" s="1"/>
  <c r="M85" i="1" s="1"/>
  <c r="J32" i="1"/>
  <c r="L32" i="1" s="1"/>
  <c r="M32" i="1" s="1"/>
  <c r="Q32" i="1"/>
  <c r="U32" i="1" s="1"/>
  <c r="V32" i="1" s="1"/>
  <c r="X32" i="1" s="1"/>
  <c r="Q45" i="1"/>
  <c r="U45" i="1" s="1"/>
  <c r="V45" i="1" s="1"/>
  <c r="X45" i="1" s="1"/>
  <c r="J45" i="1"/>
  <c r="L45" i="1" s="1"/>
  <c r="M45" i="1" s="1"/>
  <c r="J21" i="1"/>
  <c r="L21" i="1" s="1"/>
  <c r="M21" i="1" s="1"/>
  <c r="Q21" i="1"/>
  <c r="U21" i="1" s="1"/>
  <c r="V21" i="1" s="1"/>
  <c r="X21" i="1" s="1"/>
  <c r="J16" i="1"/>
  <c r="L16" i="1" s="1"/>
  <c r="M16" i="1" s="1"/>
  <c r="Q16" i="1"/>
  <c r="U16" i="1" s="1"/>
  <c r="V16" i="1" s="1"/>
  <c r="X16" i="1" s="1"/>
  <c r="J28" i="1"/>
  <c r="L28" i="1" s="1"/>
  <c r="M28" i="1" s="1"/>
  <c r="Q28" i="1"/>
  <c r="U28" i="1" s="1"/>
  <c r="V28" i="1" s="1"/>
  <c r="X28" i="1" s="1"/>
  <c r="J73" i="1"/>
  <c r="L73" i="1" s="1"/>
  <c r="M73" i="1" s="1"/>
  <c r="Q73" i="1"/>
  <c r="U73" i="1" s="1"/>
  <c r="V73" i="1" s="1"/>
  <c r="X73" i="1" s="1"/>
  <c r="Q77" i="1"/>
  <c r="U77" i="1" s="1"/>
  <c r="V77" i="1" s="1"/>
  <c r="X77" i="1" s="1"/>
  <c r="J77" i="1"/>
  <c r="L77" i="1" s="1"/>
  <c r="M77" i="1" s="1"/>
  <c r="J36" i="1"/>
  <c r="L36" i="1" s="1"/>
  <c r="M36" i="1" s="1"/>
  <c r="Q36" i="1"/>
  <c r="U36" i="1" s="1"/>
  <c r="V36" i="1" s="1"/>
  <c r="X36" i="1" s="1"/>
  <c r="J33" i="1"/>
  <c r="L33" i="1" s="1"/>
  <c r="M33" i="1" s="1"/>
  <c r="Q33" i="1"/>
  <c r="U33" i="1" s="1"/>
  <c r="V33" i="1" s="1"/>
  <c r="X33" i="1" s="1"/>
  <c r="Q71" i="1"/>
  <c r="U71" i="1" s="1"/>
  <c r="V71" i="1" s="1"/>
  <c r="X71" i="1" s="1"/>
  <c r="Z71" i="1"/>
  <c r="J44" i="1"/>
  <c r="J72" i="1" s="1"/>
  <c r="H93" i="1"/>
  <c r="K93" i="1" s="1"/>
  <c r="K110" i="1"/>
  <c r="H115" i="1"/>
  <c r="K115" i="1" s="1"/>
  <c r="K9" i="1"/>
  <c r="H44" i="1"/>
  <c r="K44" i="1" s="1"/>
  <c r="K97" i="1"/>
  <c r="H106" i="1"/>
  <c r="K106" i="1" s="1"/>
  <c r="K66" i="1"/>
  <c r="L66" i="1" s="1"/>
  <c r="M66" i="1" s="1"/>
  <c r="H71" i="1"/>
  <c r="K71" i="1" s="1"/>
  <c r="K121" i="1"/>
  <c r="H122" i="1"/>
  <c r="K122" i="1" s="1"/>
  <c r="K105" i="1"/>
  <c r="K12" i="1"/>
  <c r="K11" i="1"/>
  <c r="K10" i="1"/>
  <c r="P72" i="1"/>
  <c r="W116" i="1"/>
  <c r="T116" i="1"/>
  <c r="Z116" i="1" s="1"/>
  <c r="T72" i="1"/>
  <c r="Q106" i="1"/>
  <c r="U106" i="1" s="1"/>
  <c r="V106" i="1" s="1"/>
  <c r="X106" i="1" s="1"/>
  <c r="Q44" i="1"/>
  <c r="U44" i="1" s="1"/>
  <c r="V44" i="1" s="1"/>
  <c r="X44" i="1" s="1"/>
  <c r="Q115" i="1"/>
  <c r="U115" i="1" s="1"/>
  <c r="V115" i="1" s="1"/>
  <c r="X115" i="1" s="1"/>
  <c r="Q62" i="1"/>
  <c r="U62" i="1" s="1"/>
  <c r="W72" i="1"/>
  <c r="R72" i="1"/>
  <c r="R116" i="1"/>
  <c r="T39" i="7"/>
  <c r="Q39" i="7"/>
  <c r="Q30" i="7" s="1"/>
  <c r="F84" i="1" s="1"/>
  <c r="N84" i="1" s="1"/>
  <c r="L35" i="1"/>
  <c r="M35" i="1" s="1"/>
  <c r="L39" i="1"/>
  <c r="M39" i="1" s="1"/>
  <c r="J116" i="1"/>
  <c r="W39" i="7"/>
  <c r="X39" i="7"/>
  <c r="Y39" i="7" s="1"/>
  <c r="Y15" i="7"/>
  <c r="K49" i="1"/>
  <c r="K31" i="1"/>
  <c r="K114" i="1"/>
  <c r="K92" i="1"/>
  <c r="P95" i="1" l="1"/>
  <c r="W95" i="1"/>
  <c r="H95" i="1" s="1"/>
  <c r="K95" i="1" s="1"/>
  <c r="T95" i="1"/>
  <c r="R95" i="1"/>
  <c r="Y95" i="1"/>
  <c r="R94" i="1"/>
  <c r="P94" i="1"/>
  <c r="T94" i="1"/>
  <c r="W94" i="1"/>
  <c r="H94" i="1" s="1"/>
  <c r="K94" i="1" s="1"/>
  <c r="Y94" i="1"/>
  <c r="E96" i="1"/>
  <c r="L10" i="1"/>
  <c r="M10" i="1" s="1"/>
  <c r="T123" i="1"/>
  <c r="W123" i="1"/>
  <c r="R123" i="1"/>
  <c r="J123" i="1"/>
  <c r="V62" i="1"/>
  <c r="X62" i="1" s="1"/>
  <c r="L12" i="1"/>
  <c r="M12" i="1" s="1"/>
  <c r="L11" i="1"/>
  <c r="M11" i="1" s="1"/>
  <c r="L115" i="1"/>
  <c r="M115" i="1" s="1"/>
  <c r="H72" i="1"/>
  <c r="H116" i="1"/>
  <c r="U30" i="7"/>
  <c r="Q34" i="7"/>
  <c r="Q29" i="7"/>
  <c r="F80" i="1" s="1"/>
  <c r="N80" i="1" s="1"/>
  <c r="Q72" i="1"/>
  <c r="U72" i="1" s="1"/>
  <c r="V72" i="1" s="1"/>
  <c r="X72" i="1" s="1"/>
  <c r="Q19" i="7"/>
  <c r="Q27" i="7"/>
  <c r="F66" i="1" s="1"/>
  <c r="Q35" i="7"/>
  <c r="F105" i="1" s="1"/>
  <c r="Q16" i="7"/>
  <c r="Q21" i="7"/>
  <c r="Q28" i="7"/>
  <c r="F76" i="1" s="1"/>
  <c r="Q23" i="7"/>
  <c r="Q26" i="7"/>
  <c r="Q24" i="7"/>
  <c r="Q36" i="7"/>
  <c r="Q17" i="7"/>
  <c r="F22" i="1" s="1"/>
  <c r="Q18" i="7"/>
  <c r="Q38" i="7"/>
  <c r="Q32" i="7"/>
  <c r="F92" i="1" s="1"/>
  <c r="N92" i="1" s="1"/>
  <c r="Q33" i="7"/>
  <c r="F97" i="1" s="1"/>
  <c r="Q25" i="7"/>
  <c r="Q22" i="7"/>
  <c r="Q31" i="7"/>
  <c r="Q37" i="7"/>
  <c r="Q15" i="7"/>
  <c r="Q20" i="7"/>
  <c r="P116" i="1"/>
  <c r="Q121" i="1" s="1"/>
  <c r="U121" i="1" s="1"/>
  <c r="V121" i="1" s="1"/>
  <c r="Q93" i="1"/>
  <c r="U93" i="1" s="1"/>
  <c r="V93" i="1" s="1"/>
  <c r="X93" i="1" s="1"/>
  <c r="K72" i="1"/>
  <c r="P96" i="1" l="1"/>
  <c r="R96" i="1"/>
  <c r="T96" i="1"/>
  <c r="Y96" i="1"/>
  <c r="W96" i="1"/>
  <c r="H96" i="1" s="1"/>
  <c r="K96" i="1" s="1"/>
  <c r="E98" i="1"/>
  <c r="Q94" i="1"/>
  <c r="U94" i="1" s="1"/>
  <c r="V94" i="1" s="1"/>
  <c r="X94" i="1" s="1"/>
  <c r="J94" i="1"/>
  <c r="L94" i="1" s="1"/>
  <c r="M94" i="1" s="1"/>
  <c r="J95" i="1"/>
  <c r="L95" i="1" s="1"/>
  <c r="M95" i="1" s="1"/>
  <c r="Q95" i="1"/>
  <c r="U95" i="1" s="1"/>
  <c r="V95" i="1" s="1"/>
  <c r="X95" i="1" s="1"/>
  <c r="H123" i="1"/>
  <c r="I47" i="1" s="1"/>
  <c r="P123" i="1"/>
  <c r="Q123" i="1" s="1"/>
  <c r="U123" i="1" s="1"/>
  <c r="V123" i="1" s="1"/>
  <c r="X123" i="1" s="1"/>
  <c r="N97" i="1"/>
  <c r="N76" i="1"/>
  <c r="F71" i="1"/>
  <c r="N71" i="1" s="1"/>
  <c r="N66" i="1"/>
  <c r="X121" i="1"/>
  <c r="N105" i="1"/>
  <c r="F88" i="1"/>
  <c r="N88" i="1" s="1"/>
  <c r="N22" i="1"/>
  <c r="U34" i="7"/>
  <c r="F101" i="1"/>
  <c r="N101" i="1" s="1"/>
  <c r="R30" i="7"/>
  <c r="R34" i="7"/>
  <c r="U29" i="7"/>
  <c r="R29" i="7"/>
  <c r="R39" i="7"/>
  <c r="F53" i="1"/>
  <c r="N53" i="1" s="1"/>
  <c r="R24" i="7"/>
  <c r="U24" i="7"/>
  <c r="F120" i="1"/>
  <c r="F121" i="1" s="1"/>
  <c r="F122" i="1" s="1"/>
  <c r="R38" i="7"/>
  <c r="U38" i="7"/>
  <c r="F110" i="1"/>
  <c r="U36" i="7"/>
  <c r="R36" i="7"/>
  <c r="F35" i="1"/>
  <c r="N35" i="1" s="1"/>
  <c r="U20" i="7"/>
  <c r="R20" i="7"/>
  <c r="U15" i="7"/>
  <c r="F9" i="1"/>
  <c r="R15" i="7"/>
  <c r="F114" i="1"/>
  <c r="N114" i="1" s="1"/>
  <c r="R37" i="7"/>
  <c r="U37" i="7"/>
  <c r="F49" i="1"/>
  <c r="U23" i="7"/>
  <c r="R23" i="7"/>
  <c r="U31" i="7"/>
  <c r="R31" i="7"/>
  <c r="U28" i="7"/>
  <c r="R28" i="7"/>
  <c r="F43" i="1"/>
  <c r="N43" i="1" s="1"/>
  <c r="R22" i="7"/>
  <c r="U22" i="7"/>
  <c r="F39" i="1"/>
  <c r="N39" i="1" s="1"/>
  <c r="U21" i="7"/>
  <c r="R21" i="7"/>
  <c r="F31" i="1"/>
  <c r="N31" i="1" s="1"/>
  <c r="U19" i="7"/>
  <c r="R19" i="7"/>
  <c r="F26" i="1"/>
  <c r="N26" i="1" s="1"/>
  <c r="U18" i="7"/>
  <c r="R18" i="7"/>
  <c r="R17" i="7"/>
  <c r="U17" i="7"/>
  <c r="F61" i="1"/>
  <c r="N61" i="1" s="1"/>
  <c r="U26" i="7"/>
  <c r="R26" i="7"/>
  <c r="F57" i="1"/>
  <c r="N57" i="1" s="1"/>
  <c r="R25" i="7"/>
  <c r="U25" i="7"/>
  <c r="F13" i="1"/>
  <c r="N13" i="1" s="1"/>
  <c r="R16" i="7"/>
  <c r="U16" i="7"/>
  <c r="U33" i="7"/>
  <c r="R33" i="7"/>
  <c r="U35" i="7"/>
  <c r="R35" i="7"/>
  <c r="U32" i="7"/>
  <c r="R32" i="7"/>
  <c r="U27" i="7"/>
  <c r="R27" i="7"/>
  <c r="Q116" i="1"/>
  <c r="U116" i="1" s="1"/>
  <c r="V116" i="1" s="1"/>
  <c r="X116" i="1" s="1"/>
  <c r="K116" i="1"/>
  <c r="L121" i="1" s="1"/>
  <c r="M121" i="1" s="1"/>
  <c r="Q96" i="1" l="1"/>
  <c r="U96" i="1" s="1"/>
  <c r="V96" i="1" s="1"/>
  <c r="X96" i="1" s="1"/>
  <c r="J96" i="1"/>
  <c r="L96" i="1" s="1"/>
  <c r="M96" i="1" s="1"/>
  <c r="W98" i="1"/>
  <c r="H98" i="1" s="1"/>
  <c r="K98" i="1" s="1"/>
  <c r="R98" i="1"/>
  <c r="T98" i="1"/>
  <c r="Y98" i="1"/>
  <c r="P98" i="1"/>
  <c r="Y71" i="1"/>
  <c r="F93" i="1"/>
  <c r="Y93" i="1" s="1"/>
  <c r="F106" i="1"/>
  <c r="Y106" i="1" s="1"/>
  <c r="N49" i="1"/>
  <c r="F62" i="1"/>
  <c r="Y62" i="1" s="1"/>
  <c r="N9" i="1"/>
  <c r="F44" i="1"/>
  <c r="Y44" i="1" s="1"/>
  <c r="N110" i="1"/>
  <c r="F115" i="1"/>
  <c r="Y115" i="1" s="1"/>
  <c r="I121" i="1"/>
  <c r="I66" i="1"/>
  <c r="I70" i="1"/>
  <c r="I95" i="1"/>
  <c r="I94" i="1"/>
  <c r="I96" i="1"/>
  <c r="I78" i="1"/>
  <c r="I85" i="1"/>
  <c r="I77" i="1"/>
  <c r="I81" i="1"/>
  <c r="I45" i="1"/>
  <c r="I73" i="1"/>
  <c r="I37" i="1"/>
  <c r="I36" i="1"/>
  <c r="I33" i="1"/>
  <c r="I32" i="1"/>
  <c r="I28" i="1"/>
  <c r="I27" i="1"/>
  <c r="I29" i="1"/>
  <c r="I30" i="1"/>
  <c r="I23" i="1"/>
  <c r="I24" i="1"/>
  <c r="I25" i="1"/>
  <c r="I16" i="1"/>
  <c r="I17" i="1"/>
  <c r="I19" i="1"/>
  <c r="I18" i="1"/>
  <c r="I20" i="1"/>
  <c r="I21" i="1"/>
  <c r="I14" i="1"/>
  <c r="I15" i="1"/>
  <c r="I12" i="1"/>
  <c r="I10" i="1"/>
  <c r="I22" i="1"/>
  <c r="I11" i="1"/>
  <c r="I80" i="1"/>
  <c r="I84" i="1"/>
  <c r="I120" i="1"/>
  <c r="I101" i="1"/>
  <c r="N122" i="1"/>
  <c r="N120" i="1"/>
  <c r="K123" i="1"/>
  <c r="U39" i="7"/>
  <c r="I57" i="1"/>
  <c r="I115" i="1"/>
  <c r="I105" i="1"/>
  <c r="I97" i="1"/>
  <c r="I61" i="1"/>
  <c r="I114" i="1"/>
  <c r="I71" i="1"/>
  <c r="I43" i="1"/>
  <c r="I110" i="1"/>
  <c r="I26" i="1"/>
  <c r="I9" i="1"/>
  <c r="I53" i="1"/>
  <c r="I88" i="1"/>
  <c r="I39" i="1"/>
  <c r="I13" i="1"/>
  <c r="I106" i="1"/>
  <c r="I49" i="1"/>
  <c r="I35" i="1"/>
  <c r="I76" i="1"/>
  <c r="I62" i="1"/>
  <c r="I92" i="1"/>
  <c r="I44" i="1"/>
  <c r="I31" i="1"/>
  <c r="I122" i="1"/>
  <c r="I93" i="1"/>
  <c r="I72" i="1"/>
  <c r="I116" i="1"/>
  <c r="E99" i="1" l="1"/>
  <c r="E100" i="1"/>
  <c r="Q98" i="1"/>
  <c r="U98" i="1" s="1"/>
  <c r="V98" i="1" s="1"/>
  <c r="X98" i="1" s="1"/>
  <c r="J98" i="1"/>
  <c r="L98" i="1" s="1"/>
  <c r="M98" i="1" s="1"/>
  <c r="I98" i="1"/>
  <c r="I123" i="1"/>
  <c r="L57" i="1"/>
  <c r="M57" i="1" s="1"/>
  <c r="L13" i="1"/>
  <c r="M13" i="1" s="1"/>
  <c r="L97" i="1"/>
  <c r="M97" i="1" s="1"/>
  <c r="L53" i="1"/>
  <c r="M53" i="1" s="1"/>
  <c r="L31" i="1"/>
  <c r="M31" i="1" s="1"/>
  <c r="L26" i="1"/>
  <c r="M26" i="1" s="1"/>
  <c r="L61" i="1"/>
  <c r="M61" i="1" s="1"/>
  <c r="L43" i="1"/>
  <c r="M43" i="1" s="1"/>
  <c r="T100" i="1" l="1"/>
  <c r="W100" i="1"/>
  <c r="H100" i="1" s="1"/>
  <c r="R100" i="1"/>
  <c r="Y100" i="1"/>
  <c r="P100" i="1"/>
  <c r="Y99" i="1"/>
  <c r="P99" i="1"/>
  <c r="T99" i="1"/>
  <c r="W99" i="1"/>
  <c r="H99" i="1" s="1"/>
  <c r="R99" i="1"/>
  <c r="L114" i="1"/>
  <c r="M114" i="1" s="1"/>
  <c r="L122" i="1"/>
  <c r="M122" i="1" s="1"/>
  <c r="K99" i="1" l="1"/>
  <c r="I99" i="1"/>
  <c r="K100" i="1"/>
  <c r="I100" i="1"/>
  <c r="Q100" i="1"/>
  <c r="U100" i="1" s="1"/>
  <c r="V100" i="1" s="1"/>
  <c r="X100" i="1" s="1"/>
  <c r="J100" i="1"/>
  <c r="Q99" i="1"/>
  <c r="U99" i="1" s="1"/>
  <c r="V99" i="1" s="1"/>
  <c r="X99" i="1" s="1"/>
  <c r="J99" i="1"/>
  <c r="E7" i="1"/>
  <c r="E59" i="1"/>
  <c r="E117" i="1"/>
  <c r="E74" i="1"/>
  <c r="E55" i="1"/>
  <c r="E82" i="1"/>
  <c r="E50" i="1"/>
  <c r="E52" i="1"/>
  <c r="E60" i="1"/>
  <c r="E63" i="1"/>
  <c r="E89" i="1"/>
  <c r="E69" i="1"/>
  <c r="E107" i="1"/>
  <c r="L110" i="1"/>
  <c r="M110" i="1" s="1"/>
  <c r="N115" i="1"/>
  <c r="L88" i="1"/>
  <c r="M88" i="1" s="1"/>
  <c r="L92" i="1"/>
  <c r="M92" i="1" s="1"/>
  <c r="L100" i="1" l="1"/>
  <c r="M100" i="1" s="1"/>
  <c r="L99" i="1"/>
  <c r="M99" i="1" s="1"/>
  <c r="E103" i="1"/>
  <c r="W103" i="1" s="1"/>
  <c r="H103" i="1" s="1"/>
  <c r="E111" i="1"/>
  <c r="E112" i="1"/>
  <c r="E6" i="1"/>
  <c r="W6" i="1" s="1"/>
  <c r="H6" i="1" s="1"/>
  <c r="E8" i="1"/>
  <c r="P8" i="1" s="1"/>
  <c r="E58" i="1"/>
  <c r="P58" i="1" s="1"/>
  <c r="E108" i="1"/>
  <c r="W108" i="1" s="1"/>
  <c r="H108" i="1" s="1"/>
  <c r="E119" i="1"/>
  <c r="P119" i="1" s="1"/>
  <c r="E64" i="1"/>
  <c r="P64" i="1" s="1"/>
  <c r="E38" i="1"/>
  <c r="W38" i="1" s="1"/>
  <c r="H38" i="1" s="1"/>
  <c r="E113" i="1"/>
  <c r="R117" i="1"/>
  <c r="P117" i="1"/>
  <c r="T117" i="1"/>
  <c r="W117" i="1"/>
  <c r="H117" i="1" s="1"/>
  <c r="Y117" i="1"/>
  <c r="P63" i="1"/>
  <c r="R63" i="1"/>
  <c r="W63" i="1"/>
  <c r="H63" i="1" s="1"/>
  <c r="Y63" i="1"/>
  <c r="T63" i="1"/>
  <c r="Y107" i="1"/>
  <c r="W107" i="1"/>
  <c r="H107" i="1" s="1"/>
  <c r="T107" i="1"/>
  <c r="R107" i="1"/>
  <c r="P107" i="1"/>
  <c r="E42" i="1"/>
  <c r="E118" i="1"/>
  <c r="E67" i="1"/>
  <c r="W69" i="1"/>
  <c r="H69" i="1" s="1"/>
  <c r="R69" i="1"/>
  <c r="T69" i="1"/>
  <c r="Y69" i="1"/>
  <c r="P69" i="1"/>
  <c r="Y82" i="1"/>
  <c r="P82" i="1"/>
  <c r="W82" i="1"/>
  <c r="H82" i="1" s="1"/>
  <c r="R82" i="1"/>
  <c r="T82" i="1"/>
  <c r="W55" i="1"/>
  <c r="H55" i="1" s="1"/>
  <c r="P55" i="1"/>
  <c r="R55" i="1"/>
  <c r="Y55" i="1"/>
  <c r="T55" i="1"/>
  <c r="Y60" i="1"/>
  <c r="P60" i="1"/>
  <c r="R60" i="1"/>
  <c r="W60" i="1"/>
  <c r="H60" i="1" s="1"/>
  <c r="T60" i="1"/>
  <c r="E68" i="1"/>
  <c r="E56" i="1"/>
  <c r="E65" i="1"/>
  <c r="E87" i="1"/>
  <c r="P52" i="1"/>
  <c r="Y52" i="1"/>
  <c r="W52" i="1"/>
  <c r="H52" i="1" s="1"/>
  <c r="R52" i="1"/>
  <c r="T52" i="1"/>
  <c r="Y74" i="1"/>
  <c r="T74" i="1"/>
  <c r="R74" i="1"/>
  <c r="W74" i="1"/>
  <c r="H74" i="1" s="1"/>
  <c r="P74" i="1"/>
  <c r="E109" i="1"/>
  <c r="E102" i="1"/>
  <c r="E34" i="1"/>
  <c r="E79" i="1"/>
  <c r="E51" i="1"/>
  <c r="E54" i="1"/>
  <c r="R59" i="1"/>
  <c r="T59" i="1"/>
  <c r="P59" i="1"/>
  <c r="W59" i="1"/>
  <c r="H59" i="1" s="1"/>
  <c r="Y59" i="1"/>
  <c r="Y7" i="1"/>
  <c r="R7" i="1"/>
  <c r="P7" i="1"/>
  <c r="T7" i="1"/>
  <c r="W7" i="1"/>
  <c r="H7" i="1" s="1"/>
  <c r="E41" i="1"/>
  <c r="E86" i="1"/>
  <c r="E90" i="1"/>
  <c r="E104" i="1"/>
  <c r="E46" i="1"/>
  <c r="E75" i="1"/>
  <c r="Y50" i="1"/>
  <c r="W50" i="1"/>
  <c r="H50" i="1" s="1"/>
  <c r="P50" i="1"/>
  <c r="R50" i="1"/>
  <c r="T50" i="1"/>
  <c r="W89" i="1"/>
  <c r="H89" i="1" s="1"/>
  <c r="P89" i="1"/>
  <c r="Y89" i="1"/>
  <c r="R89" i="1"/>
  <c r="T89" i="1"/>
  <c r="E40" i="1"/>
  <c r="E83" i="1"/>
  <c r="E48" i="1"/>
  <c r="E91" i="1"/>
  <c r="N106" i="1"/>
  <c r="N62" i="1"/>
  <c r="N44" i="1"/>
  <c r="L44" i="1"/>
  <c r="M44" i="1" s="1"/>
  <c r="L9" i="1"/>
  <c r="M9" i="1" s="1"/>
  <c r="L76" i="1"/>
  <c r="M76" i="1" s="1"/>
  <c r="L62" i="1"/>
  <c r="M62" i="1" s="1"/>
  <c r="L49" i="1"/>
  <c r="M49" i="1" s="1"/>
  <c r="L106" i="1"/>
  <c r="M106" i="1" s="1"/>
  <c r="L105" i="1"/>
  <c r="M105" i="1" s="1"/>
  <c r="Y6" i="1" l="1"/>
  <c r="T6" i="1"/>
  <c r="R6" i="1"/>
  <c r="J6" i="1" s="1"/>
  <c r="Y103" i="1"/>
  <c r="P103" i="1"/>
  <c r="R103" i="1"/>
  <c r="T58" i="1"/>
  <c r="P6" i="1"/>
  <c r="T103" i="1"/>
  <c r="R64" i="1"/>
  <c r="J64" i="1" s="1"/>
  <c r="Y64" i="1"/>
  <c r="T119" i="1"/>
  <c r="Y108" i="1"/>
  <c r="W119" i="1"/>
  <c r="H119" i="1" s="1"/>
  <c r="I119" i="1" s="1"/>
  <c r="T38" i="1"/>
  <c r="P108" i="1"/>
  <c r="Y38" i="1"/>
  <c r="P38" i="1"/>
  <c r="T64" i="1"/>
  <c r="Y8" i="1"/>
  <c r="R8" i="1"/>
  <c r="J8" i="1" s="1"/>
  <c r="T8" i="1"/>
  <c r="R119" i="1"/>
  <c r="Q119" i="1" s="1"/>
  <c r="U119" i="1" s="1"/>
  <c r="R108" i="1"/>
  <c r="J108" i="1" s="1"/>
  <c r="Y119" i="1"/>
  <c r="T108" i="1"/>
  <c r="W58" i="1"/>
  <c r="H58" i="1" s="1"/>
  <c r="I58" i="1" s="1"/>
  <c r="Y113" i="1"/>
  <c r="P113" i="1"/>
  <c r="T113" i="1"/>
  <c r="W113" i="1"/>
  <c r="H113" i="1" s="1"/>
  <c r="R113" i="1"/>
  <c r="R38" i="1"/>
  <c r="J38" i="1" s="1"/>
  <c r="R58" i="1"/>
  <c r="Q58" i="1" s="1"/>
  <c r="U58" i="1" s="1"/>
  <c r="P112" i="1"/>
  <c r="Y112" i="1"/>
  <c r="W112" i="1"/>
  <c r="H112" i="1" s="1"/>
  <c r="T112" i="1"/>
  <c r="R112" i="1"/>
  <c r="W8" i="1"/>
  <c r="H8" i="1" s="1"/>
  <c r="K8" i="1" s="1"/>
  <c r="Y58" i="1"/>
  <c r="W64" i="1"/>
  <c r="H64" i="1" s="1"/>
  <c r="K64" i="1" s="1"/>
  <c r="Y111" i="1"/>
  <c r="T111" i="1"/>
  <c r="W111" i="1"/>
  <c r="H111" i="1" s="1"/>
  <c r="R111" i="1"/>
  <c r="P111" i="1"/>
  <c r="R109" i="1"/>
  <c r="Y109" i="1"/>
  <c r="W109" i="1"/>
  <c r="H109" i="1" s="1"/>
  <c r="T109" i="1"/>
  <c r="P109" i="1"/>
  <c r="T40" i="1"/>
  <c r="Y40" i="1"/>
  <c r="P40" i="1"/>
  <c r="W40" i="1"/>
  <c r="H40" i="1" s="1"/>
  <c r="R40" i="1"/>
  <c r="R46" i="1"/>
  <c r="P46" i="1"/>
  <c r="Y46" i="1"/>
  <c r="T46" i="1"/>
  <c r="W46" i="1"/>
  <c r="H46" i="1" s="1"/>
  <c r="K52" i="1"/>
  <c r="I52" i="1"/>
  <c r="K82" i="1"/>
  <c r="I82" i="1"/>
  <c r="Q107" i="1"/>
  <c r="U107" i="1" s="1"/>
  <c r="V107" i="1" s="1"/>
  <c r="X107" i="1" s="1"/>
  <c r="J107" i="1"/>
  <c r="K103" i="1"/>
  <c r="I103" i="1"/>
  <c r="P48" i="1"/>
  <c r="W48" i="1"/>
  <c r="H48" i="1" s="1"/>
  <c r="R48" i="1"/>
  <c r="Y48" i="1"/>
  <c r="T48" i="1"/>
  <c r="Y42" i="1"/>
  <c r="R42" i="1"/>
  <c r="P42" i="1"/>
  <c r="W42" i="1"/>
  <c r="H42" i="1" s="1"/>
  <c r="T42" i="1"/>
  <c r="Y83" i="1"/>
  <c r="W83" i="1"/>
  <c r="H83" i="1" s="1"/>
  <c r="R83" i="1"/>
  <c r="T83" i="1"/>
  <c r="P83" i="1"/>
  <c r="P75" i="1"/>
  <c r="Y75" i="1"/>
  <c r="T75" i="1"/>
  <c r="R75" i="1"/>
  <c r="W75" i="1"/>
  <c r="H75" i="1" s="1"/>
  <c r="Q82" i="1"/>
  <c r="U82" i="1" s="1"/>
  <c r="V82" i="1" s="1"/>
  <c r="X82" i="1" s="1"/>
  <c r="J82" i="1"/>
  <c r="K6" i="1"/>
  <c r="I6" i="1"/>
  <c r="Q117" i="1"/>
  <c r="U117" i="1" s="1"/>
  <c r="V117" i="1" s="1"/>
  <c r="X117" i="1" s="1"/>
  <c r="J117" i="1"/>
  <c r="W91" i="1"/>
  <c r="H91" i="1" s="1"/>
  <c r="T91" i="1"/>
  <c r="R91" i="1"/>
  <c r="Y91" i="1"/>
  <c r="P91" i="1"/>
  <c r="K55" i="1"/>
  <c r="I55" i="1"/>
  <c r="T118" i="1"/>
  <c r="P118" i="1"/>
  <c r="W118" i="1"/>
  <c r="H118" i="1" s="1"/>
  <c r="R118" i="1"/>
  <c r="Y118" i="1"/>
  <c r="K108" i="1"/>
  <c r="I108" i="1"/>
  <c r="R104" i="1"/>
  <c r="T104" i="1"/>
  <c r="W104" i="1"/>
  <c r="H104" i="1" s="1"/>
  <c r="P104" i="1"/>
  <c r="Y104" i="1"/>
  <c r="Y90" i="1"/>
  <c r="T90" i="1"/>
  <c r="W90" i="1"/>
  <c r="H90" i="1" s="1"/>
  <c r="R90" i="1"/>
  <c r="P90" i="1"/>
  <c r="K107" i="1"/>
  <c r="I107" i="1"/>
  <c r="R54" i="1"/>
  <c r="P54" i="1"/>
  <c r="W54" i="1"/>
  <c r="H54" i="1" s="1"/>
  <c r="Y54" i="1"/>
  <c r="T54" i="1"/>
  <c r="Y68" i="1"/>
  <c r="R68" i="1"/>
  <c r="T68" i="1"/>
  <c r="P68" i="1"/>
  <c r="W68" i="1"/>
  <c r="H68" i="1" s="1"/>
  <c r="Q69" i="1"/>
  <c r="U69" i="1" s="1"/>
  <c r="V69" i="1" s="1"/>
  <c r="X69" i="1" s="1"/>
  <c r="J69" i="1"/>
  <c r="J74" i="1"/>
  <c r="Q74" i="1"/>
  <c r="U74" i="1" s="1"/>
  <c r="V74" i="1" s="1"/>
  <c r="X74" i="1" s="1"/>
  <c r="Q55" i="1"/>
  <c r="U55" i="1" s="1"/>
  <c r="V55" i="1" s="1"/>
  <c r="X55" i="1" s="1"/>
  <c r="J55" i="1"/>
  <c r="Q63" i="1"/>
  <c r="U63" i="1" s="1"/>
  <c r="V63" i="1" s="1"/>
  <c r="X63" i="1" s="1"/>
  <c r="J63" i="1"/>
  <c r="J7" i="1"/>
  <c r="Q7" i="1"/>
  <c r="U7" i="1" s="1"/>
  <c r="V7" i="1" s="1"/>
  <c r="X7" i="1" s="1"/>
  <c r="T67" i="1"/>
  <c r="Y67" i="1"/>
  <c r="R67" i="1"/>
  <c r="P67" i="1"/>
  <c r="W67" i="1"/>
  <c r="H67" i="1" s="1"/>
  <c r="Q60" i="1"/>
  <c r="U60" i="1" s="1"/>
  <c r="V60" i="1" s="1"/>
  <c r="X60" i="1" s="1"/>
  <c r="J60" i="1"/>
  <c r="K59" i="1"/>
  <c r="I59" i="1"/>
  <c r="J52" i="1"/>
  <c r="Q52" i="1"/>
  <c r="U52" i="1" s="1"/>
  <c r="V52" i="1" s="1"/>
  <c r="X52" i="1" s="1"/>
  <c r="J89" i="1"/>
  <c r="Q89" i="1"/>
  <c r="U89" i="1" s="1"/>
  <c r="V89" i="1" s="1"/>
  <c r="X89" i="1" s="1"/>
  <c r="Q59" i="1"/>
  <c r="U59" i="1" s="1"/>
  <c r="V59" i="1" s="1"/>
  <c r="X59" i="1" s="1"/>
  <c r="J59" i="1"/>
  <c r="T86" i="1"/>
  <c r="W86" i="1"/>
  <c r="H86" i="1" s="1"/>
  <c r="R86" i="1"/>
  <c r="Y86" i="1"/>
  <c r="P86" i="1"/>
  <c r="K38" i="1"/>
  <c r="I38" i="1"/>
  <c r="W87" i="1"/>
  <c r="H87" i="1" s="1"/>
  <c r="R87" i="1"/>
  <c r="P87" i="1"/>
  <c r="T87" i="1"/>
  <c r="Y87" i="1"/>
  <c r="K89" i="1"/>
  <c r="I89" i="1"/>
  <c r="K7" i="1"/>
  <c r="I7" i="1"/>
  <c r="Y56" i="1"/>
  <c r="W56" i="1"/>
  <c r="H56" i="1" s="1"/>
  <c r="T56" i="1"/>
  <c r="P56" i="1"/>
  <c r="R56" i="1"/>
  <c r="K74" i="1"/>
  <c r="I74" i="1"/>
  <c r="K63" i="1"/>
  <c r="I63" i="1"/>
  <c r="Q50" i="1"/>
  <c r="U50" i="1" s="1"/>
  <c r="V50" i="1" s="1"/>
  <c r="X50" i="1" s="1"/>
  <c r="J50" i="1"/>
  <c r="R51" i="1"/>
  <c r="P51" i="1"/>
  <c r="W51" i="1"/>
  <c r="H51" i="1" s="1"/>
  <c r="Y51" i="1"/>
  <c r="T51" i="1"/>
  <c r="K69" i="1"/>
  <c r="I69" i="1"/>
  <c r="Y79" i="1"/>
  <c r="T79" i="1"/>
  <c r="W79" i="1"/>
  <c r="H79" i="1" s="1"/>
  <c r="P79" i="1"/>
  <c r="R79" i="1"/>
  <c r="K60" i="1"/>
  <c r="I60" i="1"/>
  <c r="K50" i="1"/>
  <c r="I50" i="1"/>
  <c r="P34" i="1"/>
  <c r="Y34" i="1"/>
  <c r="T34" i="1"/>
  <c r="R34" i="1"/>
  <c r="W34" i="1"/>
  <c r="H34" i="1" s="1"/>
  <c r="W102" i="1"/>
  <c r="H102" i="1" s="1"/>
  <c r="T102" i="1"/>
  <c r="Y102" i="1"/>
  <c r="R102" i="1"/>
  <c r="P102" i="1"/>
  <c r="K117" i="1"/>
  <c r="I117" i="1"/>
  <c r="Y41" i="1"/>
  <c r="W41" i="1"/>
  <c r="H41" i="1" s="1"/>
  <c r="P41" i="1"/>
  <c r="T41" i="1"/>
  <c r="R41" i="1"/>
  <c r="W65" i="1"/>
  <c r="H65" i="1" s="1"/>
  <c r="R65" i="1"/>
  <c r="P65" i="1"/>
  <c r="Y65" i="1"/>
  <c r="T65" i="1"/>
  <c r="N93" i="1"/>
  <c r="L71" i="1"/>
  <c r="M71" i="1" s="1"/>
  <c r="L116" i="1"/>
  <c r="M116" i="1" s="1"/>
  <c r="L93" i="1"/>
  <c r="M93" i="1" s="1"/>
  <c r="F72" i="1"/>
  <c r="Q6" i="1" l="1"/>
  <c r="U6" i="1" s="1"/>
  <c r="V6" i="1" s="1"/>
  <c r="X6" i="1" s="1"/>
  <c r="Q103" i="1"/>
  <c r="U103" i="1" s="1"/>
  <c r="V103" i="1" s="1"/>
  <c r="X103" i="1" s="1"/>
  <c r="J103" i="1"/>
  <c r="L103" i="1" s="1"/>
  <c r="M103" i="1" s="1"/>
  <c r="Q108" i="1"/>
  <c r="U108" i="1" s="1"/>
  <c r="V108" i="1" s="1"/>
  <c r="X108" i="1" s="1"/>
  <c r="K58" i="1"/>
  <c r="L7" i="1"/>
  <c r="M7" i="1" s="1"/>
  <c r="L63" i="1"/>
  <c r="M63" i="1" s="1"/>
  <c r="J119" i="1"/>
  <c r="L8" i="1"/>
  <c r="M8" i="1" s="1"/>
  <c r="Q64" i="1"/>
  <c r="U64" i="1" s="1"/>
  <c r="V64" i="1" s="1"/>
  <c r="X64" i="1" s="1"/>
  <c r="I8" i="1"/>
  <c r="K119" i="1"/>
  <c r="L108" i="1"/>
  <c r="M108" i="1" s="1"/>
  <c r="V119" i="1"/>
  <c r="X119" i="1" s="1"/>
  <c r="Q8" i="1"/>
  <c r="U8" i="1" s="1"/>
  <c r="V8" i="1" s="1"/>
  <c r="X8" i="1" s="1"/>
  <c r="Q38" i="1"/>
  <c r="U38" i="1" s="1"/>
  <c r="V38" i="1" s="1"/>
  <c r="X38" i="1" s="1"/>
  <c r="L50" i="1"/>
  <c r="M50" i="1" s="1"/>
  <c r="L82" i="1"/>
  <c r="M82" i="1" s="1"/>
  <c r="L107" i="1"/>
  <c r="M107" i="1" s="1"/>
  <c r="V58" i="1"/>
  <c r="X58" i="1" s="1"/>
  <c r="Q113" i="1"/>
  <c r="U113" i="1" s="1"/>
  <c r="V113" i="1" s="1"/>
  <c r="X113" i="1" s="1"/>
  <c r="J113" i="1"/>
  <c r="K113" i="1"/>
  <c r="I113" i="1"/>
  <c r="Q112" i="1"/>
  <c r="U112" i="1" s="1"/>
  <c r="V112" i="1" s="1"/>
  <c r="X112" i="1" s="1"/>
  <c r="J112" i="1"/>
  <c r="L89" i="1"/>
  <c r="M89" i="1" s="1"/>
  <c r="L69" i="1"/>
  <c r="M69" i="1" s="1"/>
  <c r="J58" i="1"/>
  <c r="Q111" i="1"/>
  <c r="U111" i="1" s="1"/>
  <c r="V111" i="1" s="1"/>
  <c r="X111" i="1" s="1"/>
  <c r="J111" i="1"/>
  <c r="K111" i="1"/>
  <c r="I111" i="1"/>
  <c r="K112" i="1"/>
  <c r="I112" i="1"/>
  <c r="L52" i="1"/>
  <c r="M52" i="1" s="1"/>
  <c r="I64" i="1"/>
  <c r="K104" i="1"/>
  <c r="I104" i="1"/>
  <c r="K86" i="1"/>
  <c r="I86" i="1"/>
  <c r="L60" i="1"/>
  <c r="M60" i="1" s="1"/>
  <c r="J75" i="1"/>
  <c r="Q75" i="1"/>
  <c r="U75" i="1" s="1"/>
  <c r="V75" i="1" s="1"/>
  <c r="X75" i="1" s="1"/>
  <c r="J34" i="1"/>
  <c r="Q34" i="1"/>
  <c r="U34" i="1" s="1"/>
  <c r="V34" i="1" s="1"/>
  <c r="X34" i="1" s="1"/>
  <c r="L64" i="1"/>
  <c r="M64" i="1" s="1"/>
  <c r="L59" i="1"/>
  <c r="M59" i="1" s="1"/>
  <c r="K54" i="1"/>
  <c r="I54" i="1"/>
  <c r="K91" i="1"/>
  <c r="I91" i="1"/>
  <c r="K42" i="1"/>
  <c r="I42" i="1"/>
  <c r="L6" i="1"/>
  <c r="M6" i="1" s="1"/>
  <c r="J42" i="1"/>
  <c r="Q42" i="1"/>
  <c r="U42" i="1" s="1"/>
  <c r="V42" i="1" s="1"/>
  <c r="X42" i="1" s="1"/>
  <c r="K41" i="1"/>
  <c r="I41" i="1"/>
  <c r="L55" i="1"/>
  <c r="M55" i="1" s="1"/>
  <c r="L117" i="1"/>
  <c r="M117" i="1" s="1"/>
  <c r="K102" i="1"/>
  <c r="I102" i="1"/>
  <c r="J41" i="1"/>
  <c r="Q41" i="1"/>
  <c r="U41" i="1" s="1"/>
  <c r="V41" i="1" s="1"/>
  <c r="X41" i="1" s="1"/>
  <c r="L38" i="1"/>
  <c r="M38" i="1" s="1"/>
  <c r="K40" i="1"/>
  <c r="I40" i="1"/>
  <c r="Q104" i="1"/>
  <c r="U104" i="1" s="1"/>
  <c r="V104" i="1" s="1"/>
  <c r="X104" i="1" s="1"/>
  <c r="J104" i="1"/>
  <c r="K67" i="1"/>
  <c r="I67" i="1"/>
  <c r="L74" i="1"/>
  <c r="M74" i="1" s="1"/>
  <c r="Q54" i="1"/>
  <c r="U54" i="1" s="1"/>
  <c r="V54" i="1" s="1"/>
  <c r="X54" i="1" s="1"/>
  <c r="J54" i="1"/>
  <c r="Q90" i="1"/>
  <c r="U90" i="1" s="1"/>
  <c r="V90" i="1" s="1"/>
  <c r="X90" i="1" s="1"/>
  <c r="J90" i="1"/>
  <c r="J118" i="1"/>
  <c r="Q118" i="1"/>
  <c r="U118" i="1" s="1"/>
  <c r="V118" i="1" s="1"/>
  <c r="X118" i="1" s="1"/>
  <c r="Q48" i="1"/>
  <c r="U48" i="1" s="1"/>
  <c r="V48" i="1" s="1"/>
  <c r="X48" i="1" s="1"/>
  <c r="J48" i="1"/>
  <c r="J40" i="1"/>
  <c r="Q40" i="1"/>
  <c r="U40" i="1" s="1"/>
  <c r="V40" i="1" s="1"/>
  <c r="X40" i="1" s="1"/>
  <c r="K75" i="1"/>
  <c r="I75" i="1"/>
  <c r="K34" i="1"/>
  <c r="I34" i="1"/>
  <c r="Q56" i="1"/>
  <c r="U56" i="1" s="1"/>
  <c r="V56" i="1" s="1"/>
  <c r="X56" i="1" s="1"/>
  <c r="J56" i="1"/>
  <c r="Q87" i="1"/>
  <c r="U87" i="1" s="1"/>
  <c r="V87" i="1" s="1"/>
  <c r="X87" i="1" s="1"/>
  <c r="J87" i="1"/>
  <c r="K90" i="1"/>
  <c r="I90" i="1"/>
  <c r="K118" i="1"/>
  <c r="I118" i="1"/>
  <c r="K48" i="1"/>
  <c r="I48" i="1"/>
  <c r="K46" i="1"/>
  <c r="I46" i="1"/>
  <c r="K109" i="1"/>
  <c r="I109" i="1"/>
  <c r="Q51" i="1"/>
  <c r="U51" i="1" s="1"/>
  <c r="V51" i="1" s="1"/>
  <c r="X51" i="1" s="1"/>
  <c r="J51" i="1"/>
  <c r="Q68" i="1"/>
  <c r="U68" i="1" s="1"/>
  <c r="V68" i="1" s="1"/>
  <c r="X68" i="1" s="1"/>
  <c r="J68" i="1"/>
  <c r="K79" i="1"/>
  <c r="I79" i="1"/>
  <c r="J102" i="1"/>
  <c r="Q102" i="1"/>
  <c r="U102" i="1" s="1"/>
  <c r="V102" i="1" s="1"/>
  <c r="X102" i="1" s="1"/>
  <c r="K87" i="1"/>
  <c r="I87" i="1"/>
  <c r="Q67" i="1"/>
  <c r="U67" i="1" s="1"/>
  <c r="V67" i="1" s="1"/>
  <c r="X67" i="1" s="1"/>
  <c r="J67" i="1"/>
  <c r="Q83" i="1"/>
  <c r="U83" i="1" s="1"/>
  <c r="V83" i="1" s="1"/>
  <c r="X83" i="1" s="1"/>
  <c r="J83" i="1"/>
  <c r="K56" i="1"/>
  <c r="I56" i="1"/>
  <c r="Q79" i="1"/>
  <c r="U79" i="1" s="1"/>
  <c r="V79" i="1" s="1"/>
  <c r="X79" i="1" s="1"/>
  <c r="J79" i="1"/>
  <c r="J46" i="1"/>
  <c r="Q46" i="1"/>
  <c r="U46" i="1" s="1"/>
  <c r="V46" i="1" s="1"/>
  <c r="X46" i="1" s="1"/>
  <c r="J86" i="1"/>
  <c r="Q86" i="1"/>
  <c r="U86" i="1" s="1"/>
  <c r="V86" i="1" s="1"/>
  <c r="X86" i="1" s="1"/>
  <c r="J91" i="1"/>
  <c r="Q91" i="1"/>
  <c r="U91" i="1" s="1"/>
  <c r="V91" i="1" s="1"/>
  <c r="X91" i="1" s="1"/>
  <c r="Q65" i="1"/>
  <c r="U65" i="1" s="1"/>
  <c r="V65" i="1" s="1"/>
  <c r="X65" i="1" s="1"/>
  <c r="J65" i="1"/>
  <c r="K51" i="1"/>
  <c r="I51" i="1"/>
  <c r="K65" i="1"/>
  <c r="I65" i="1"/>
  <c r="K68" i="1"/>
  <c r="I68" i="1"/>
  <c r="K83" i="1"/>
  <c r="I83" i="1"/>
  <c r="J109" i="1"/>
  <c r="Q109" i="1"/>
  <c r="U109" i="1" s="1"/>
  <c r="V109" i="1" s="1"/>
  <c r="X109" i="1" s="1"/>
  <c r="N72" i="1"/>
  <c r="Y72" i="1"/>
  <c r="F116" i="1"/>
  <c r="Y116" i="1" s="1"/>
  <c r="L72" i="1"/>
  <c r="L119" i="1" l="1"/>
  <c r="M119" i="1" s="1"/>
  <c r="L109" i="1"/>
  <c r="M109" i="1" s="1"/>
  <c r="L79" i="1"/>
  <c r="M79" i="1" s="1"/>
  <c r="L58" i="1"/>
  <c r="M58" i="1" s="1"/>
  <c r="L91" i="1"/>
  <c r="M91" i="1" s="1"/>
  <c r="L112" i="1"/>
  <c r="M112" i="1" s="1"/>
  <c r="L113" i="1"/>
  <c r="M113" i="1" s="1"/>
  <c r="L111" i="1"/>
  <c r="M111" i="1" s="1"/>
  <c r="L40" i="1"/>
  <c r="M40" i="1" s="1"/>
  <c r="L83" i="1"/>
  <c r="M83" i="1" s="1"/>
  <c r="L42" i="1"/>
  <c r="M42" i="1" s="1"/>
  <c r="L68" i="1"/>
  <c r="M68" i="1" s="1"/>
  <c r="L48" i="1"/>
  <c r="M48" i="1" s="1"/>
  <c r="L87" i="1"/>
  <c r="M87" i="1" s="1"/>
  <c r="L75" i="1"/>
  <c r="M75" i="1" s="1"/>
  <c r="L34" i="1"/>
  <c r="M34" i="1" s="1"/>
  <c r="L65" i="1"/>
  <c r="M65" i="1" s="1"/>
  <c r="L118" i="1"/>
  <c r="M118" i="1" s="1"/>
  <c r="L46" i="1"/>
  <c r="M46" i="1" s="1"/>
  <c r="L102" i="1"/>
  <c r="M102" i="1" s="1"/>
  <c r="L67" i="1"/>
  <c r="M67" i="1" s="1"/>
  <c r="L56" i="1"/>
  <c r="M56" i="1" s="1"/>
  <c r="L90" i="1"/>
  <c r="M90" i="1" s="1"/>
  <c r="L104" i="1"/>
  <c r="M104" i="1" s="1"/>
  <c r="L51" i="1"/>
  <c r="M51" i="1" s="1"/>
  <c r="L41" i="1"/>
  <c r="M41" i="1" s="1"/>
  <c r="L86" i="1"/>
  <c r="M86" i="1" s="1"/>
  <c r="L54" i="1"/>
  <c r="M54" i="1" s="1"/>
  <c r="N121" i="1"/>
  <c r="F123" i="1"/>
  <c r="Y123" i="1" s="1"/>
  <c r="N116" i="1"/>
  <c r="N123" i="1" s="1"/>
  <c r="L123" i="1"/>
  <c r="M123" i="1" s="1"/>
  <c r="M72" i="1"/>
  <c r="G70" i="1" l="1"/>
  <c r="G121" i="1"/>
  <c r="G66" i="1"/>
  <c r="G22" i="1"/>
  <c r="G120" i="1"/>
  <c r="G101" i="1"/>
  <c r="G93" i="1"/>
  <c r="G53" i="1"/>
  <c r="G115" i="1"/>
  <c r="G76" i="1"/>
  <c r="G88" i="1"/>
  <c r="G84" i="1"/>
  <c r="G31" i="1"/>
  <c r="G9" i="1"/>
  <c r="G61" i="1"/>
  <c r="G49" i="1"/>
  <c r="G13" i="1"/>
  <c r="G110" i="1"/>
  <c r="G122" i="1"/>
  <c r="G39" i="1"/>
  <c r="G43" i="1"/>
  <c r="G71" i="1"/>
  <c r="G116" i="1"/>
  <c r="G44" i="1"/>
  <c r="G92" i="1"/>
  <c r="G72" i="1"/>
  <c r="G105" i="1"/>
  <c r="G97" i="1"/>
  <c r="G26" i="1"/>
  <c r="G57" i="1"/>
  <c r="G114" i="1"/>
  <c r="G35" i="1"/>
  <c r="G80" i="1"/>
  <c r="G106" i="1"/>
  <c r="G62" i="1"/>
  <c r="Z72" i="1"/>
  <c r="Z123" i="1" s="1"/>
  <c r="G123" i="1" l="1"/>
</calcChain>
</file>

<file path=xl/sharedStrings.xml><?xml version="1.0" encoding="utf-8"?>
<sst xmlns="http://schemas.openxmlformats.org/spreadsheetml/2006/main" count="880" uniqueCount="307">
  <si>
    <t>AA</t>
  </si>
  <si>
    <t>AA_Alloc</t>
  </si>
  <si>
    <t>Managed</t>
  </si>
  <si>
    <t>Route_Alloc</t>
  </si>
  <si>
    <t>Category</t>
  </si>
  <si>
    <t>Inst.Alloc</t>
  </si>
  <si>
    <t>CatAlloc</t>
  </si>
  <si>
    <t>RouteAlloc</t>
  </si>
  <si>
    <t>Equity</t>
  </si>
  <si>
    <t>Self</t>
  </si>
  <si>
    <t>Debt</t>
  </si>
  <si>
    <t>Commodity</t>
  </si>
  <si>
    <t>MF International</t>
  </si>
  <si>
    <t>MF Blue Chip</t>
  </si>
  <si>
    <t>MF Mid Cap</t>
  </si>
  <si>
    <t>MF Small Cap</t>
  </si>
  <si>
    <t>MF Sectoral</t>
  </si>
  <si>
    <t>MODEL ASSET ALLOCATION</t>
  </si>
  <si>
    <t>Large Cap</t>
  </si>
  <si>
    <t>Mid Cap</t>
  </si>
  <si>
    <t>Small Cap</t>
  </si>
  <si>
    <t>Micro Cap</t>
  </si>
  <si>
    <t>CMP</t>
  </si>
  <si>
    <t>Gain/Loss</t>
  </si>
  <si>
    <t>CMV</t>
  </si>
  <si>
    <t>Managed Funds</t>
  </si>
  <si>
    <t>Core Direct</t>
  </si>
  <si>
    <t>Short Term</t>
  </si>
  <si>
    <t>Mid Term</t>
  </si>
  <si>
    <t>Long Term</t>
  </si>
  <si>
    <t>Credit Risk</t>
  </si>
  <si>
    <t>Mutual Funds</t>
  </si>
  <si>
    <t>Venture Debt</t>
  </si>
  <si>
    <t>Dynamic</t>
  </si>
  <si>
    <t>G-Secs / Bonds / Corp FDs</t>
  </si>
  <si>
    <t>Positional</t>
  </si>
  <si>
    <t>Gold ETF</t>
  </si>
  <si>
    <t>Investor Account</t>
  </si>
  <si>
    <t>ISIN Code</t>
  </si>
  <si>
    <t>Instrument Name</t>
  </si>
  <si>
    <t>Holding Date</t>
  </si>
  <si>
    <t>Quantity</t>
  </si>
  <si>
    <t>ACP</t>
  </si>
  <si>
    <t>Average Cost</t>
  </si>
  <si>
    <t>INF846K01EH3</t>
  </si>
  <si>
    <t>Axis Midcap Fund - Growth - Direct Plan</t>
  </si>
  <si>
    <t>INF846K01K35</t>
  </si>
  <si>
    <t>Axis Small Cap Fund - Growth - Direct Plan</t>
  </si>
  <si>
    <t>INF200K01RV6</t>
  </si>
  <si>
    <t>SBI Technology Opportunities Fund - Growth - Direct Plan</t>
  </si>
  <si>
    <t>INF209K01BT5</t>
  </si>
  <si>
    <t>Aditya Birla Sun Life Equity Hybrid '95 Fund - Growth</t>
  </si>
  <si>
    <t>INF209K01BR9</t>
  </si>
  <si>
    <t>Aditya Birla Sun Life Frontline Equity Fund-Growth</t>
  </si>
  <si>
    <t>INF846K01EI1</t>
  </si>
  <si>
    <t>Axis Short Term Fund - Growth - Direct Plan</t>
  </si>
  <si>
    <t>INF846K01PO5</t>
  </si>
  <si>
    <t>Axis Credit Risk Fund - Regular Plan - Growth</t>
  </si>
  <si>
    <t>INF846K01859</t>
  </si>
  <si>
    <t>Axis Midcap Fund - Regular Plan - Growth</t>
  </si>
  <si>
    <t>INF846K01644</t>
  </si>
  <si>
    <t>Axis Short Term Fund - Regular Plan - Growth</t>
  </si>
  <si>
    <t>INF846K01K01</t>
  </si>
  <si>
    <t>Axis Small Cap Fund - Regular Plan - Growth</t>
  </si>
  <si>
    <t>INF846K01DP8</t>
  </si>
  <si>
    <t>Axis Bluechip Fund - Growth - Direct Plan</t>
  </si>
  <si>
    <t>Edelweiss Overnight Fund - Unclaimed Redemption Plan - Upto 3 years</t>
  </si>
  <si>
    <t>INF179K01830</t>
  </si>
  <si>
    <t>HDFC Balanced Advantage Fund - Growth</t>
  </si>
  <si>
    <t>INF109K01BL4</t>
  </si>
  <si>
    <t>ICICI Prudential Bluechip Fund - Growth</t>
  </si>
  <si>
    <t>INF109K01V00</t>
  </si>
  <si>
    <t>ICICI Prudential Credit Risk Fund - Growth - Direct Plan</t>
  </si>
  <si>
    <t>INF109K01AF8</t>
  </si>
  <si>
    <t>ICICI Prudential Value Discovery Fund - Growth</t>
  </si>
  <si>
    <t>INF174K01336</t>
  </si>
  <si>
    <t>Kotak Flexicap Fund - Growth</t>
  </si>
  <si>
    <t>INF247L01718</t>
  </si>
  <si>
    <t>Motilal Oswal Nasdaq 100 Fund of Fund - Growth - Direct Plan</t>
  </si>
  <si>
    <t>INF204K01372</t>
  </si>
  <si>
    <t>NIPPON INDIA VISION FUND - IDCW Option</t>
  </si>
  <si>
    <t>INF204KB1YQ1</t>
  </si>
  <si>
    <t>Nippon India Nivesh Lakshya Fund - Growth - Direct Plan</t>
  </si>
  <si>
    <t>INF879O01027</t>
  </si>
  <si>
    <t>Parag Parikh Flexi Cap Fund - Growth - Direct Plan</t>
  </si>
  <si>
    <t>INF966L01176</t>
  </si>
  <si>
    <t>Quant Mid Cap Fund - Growth</t>
  </si>
  <si>
    <t>INF200K01VS4</t>
  </si>
  <si>
    <t>SBI Technology Opportunities Fund - Regular Plan - Growth</t>
  </si>
  <si>
    <t>INF200K01CU0</t>
  </si>
  <si>
    <t>SBI Infrastructure Fund - Regular Plan - Income Distribution cum Capital Withdrawal Option (IDCW)</t>
  </si>
  <si>
    <t>BHARAT Bond ETF - April 2023 - Growth</t>
  </si>
  <si>
    <t xml:space="preserve">MANXT50ETF </t>
  </si>
  <si>
    <t>ICICI Prudential Nifty 50 ETF</t>
  </si>
  <si>
    <t>HDFC Bank Ltd.</t>
  </si>
  <si>
    <t>Oil and Natural Gas Corporation Ltd.</t>
  </si>
  <si>
    <t>Petronet LNG Ltd</t>
  </si>
  <si>
    <t>REC Limited</t>
  </si>
  <si>
    <t>Tata Consultancy Services Ltd</t>
  </si>
  <si>
    <t>BHARAT Bond ETF - April 2025</t>
  </si>
  <si>
    <t>Equity-Managed-Mutual Funds-Large Cap</t>
  </si>
  <si>
    <t>Equity-Managed-Mutual Funds-Mid Cap</t>
  </si>
  <si>
    <t>Equity-Managed-Mutual Funds-Small Cap</t>
  </si>
  <si>
    <t>Equity-Managed-ETF-Large Cap</t>
  </si>
  <si>
    <t>ETF Large Cap</t>
  </si>
  <si>
    <t>Equity-Managed-Mutual Funds-International</t>
  </si>
  <si>
    <t>Equity-Self-Listed Stocks-Large Cap</t>
  </si>
  <si>
    <t>Equity-Self-Listed Stocks-Mid Cap</t>
  </si>
  <si>
    <t>Equity-Self-Listed Stocks-Small Cap</t>
  </si>
  <si>
    <t>Equity-Self-Listed Stocks-Micro Cap</t>
  </si>
  <si>
    <t>Equity-Self-Listed Stocks-Tactical</t>
  </si>
  <si>
    <t>Debt-Managed-Mutual Funds-Short Term</t>
  </si>
  <si>
    <t>Debt-Managed-Mutual Funds-Dynamic</t>
  </si>
  <si>
    <t>Debt-Managed-Mutual Funds-Credit Risk</t>
  </si>
  <si>
    <t>Debt-Self-Bonds-Mid Term</t>
  </si>
  <si>
    <t>Debt-Self-Bonds-Long Term</t>
  </si>
  <si>
    <t>Debt-Self-Venture-Short Term</t>
  </si>
  <si>
    <t>Debt-Self-Venture-Mid Term</t>
  </si>
  <si>
    <t>Commodity-Managed-ETF-Gold</t>
  </si>
  <si>
    <t>Key</t>
  </si>
  <si>
    <t>MF Thematic</t>
  </si>
  <si>
    <t>Equity-Managed-Mutual Funds-Sectoral</t>
  </si>
  <si>
    <t>Equity-Managed-Mutual Funds-Thematic</t>
  </si>
  <si>
    <t>MF Flexicap</t>
  </si>
  <si>
    <t>Equity-Managed-Mutual Funds-Flexicap</t>
  </si>
  <si>
    <t>Categ_Alloc</t>
  </si>
  <si>
    <t>AA Key</t>
  </si>
  <si>
    <t>Step 1</t>
  </si>
  <si>
    <t>Create a Model Portfolio</t>
  </si>
  <si>
    <t>Step 2</t>
  </si>
  <si>
    <t>Allocate the holdings to above asset classes / key</t>
  </si>
  <si>
    <t>Step 3</t>
  </si>
  <si>
    <t>Rescommend Changes</t>
  </si>
  <si>
    <t>Step 4</t>
  </si>
  <si>
    <t>Take an output and push to the client</t>
  </si>
  <si>
    <t>Initial</t>
  </si>
  <si>
    <t>Ongoing</t>
  </si>
  <si>
    <t>Update PF Holdings of Client</t>
  </si>
  <si>
    <t>Instrument Category</t>
  </si>
  <si>
    <t>HDFC Bank</t>
  </si>
  <si>
    <t>Asset Class</t>
  </si>
  <si>
    <t>View</t>
  </si>
  <si>
    <t>Actuals</t>
  </si>
  <si>
    <t>Target</t>
  </si>
  <si>
    <t>Tactical Direct</t>
  </si>
  <si>
    <t>Route</t>
  </si>
  <si>
    <t>Managed Debt</t>
  </si>
  <si>
    <t>Direct Debt</t>
  </si>
  <si>
    <t>Managed Commodity</t>
  </si>
  <si>
    <t>Grand Total</t>
  </si>
  <si>
    <t>Avg Cost</t>
  </si>
  <si>
    <t>Current Value</t>
  </si>
  <si>
    <t xml:space="preserve"> Gain/Loss</t>
  </si>
  <si>
    <t xml:space="preserve">  Gain/Loss%</t>
  </si>
  <si>
    <t>Actual %</t>
  </si>
  <si>
    <t>Actual INR</t>
  </si>
  <si>
    <t>Target INR</t>
  </si>
  <si>
    <t>Target %</t>
  </si>
  <si>
    <t>Add/(Reduce)</t>
  </si>
  <si>
    <t>Cost INR</t>
  </si>
  <si>
    <t>Actual</t>
  </si>
  <si>
    <t>Gain/Loss %</t>
  </si>
  <si>
    <t>Current Value INR</t>
  </si>
  <si>
    <t>Gain/(Loss)</t>
  </si>
  <si>
    <t>Gain/(Loss) %</t>
  </si>
  <si>
    <t>Bharat Bond ETF - April 2023</t>
  </si>
  <si>
    <t>Mirae Asset Nifty Next 50 ETF</t>
  </si>
  <si>
    <t>ONGC Limited</t>
  </si>
  <si>
    <t>Petronet LNG</t>
  </si>
  <si>
    <t>Power Finance Corporation</t>
  </si>
  <si>
    <t>Tata Consultancy Services</t>
  </si>
  <si>
    <t>Aditya Birla Sun Life Equity Hybrid'95 Fund - Regular Plan-Growth</t>
  </si>
  <si>
    <t>Axis Bluechip Fund - Direct Plan - Growth</t>
  </si>
  <si>
    <t>Axis Midcap Fund - Direct Plan - Growth</t>
  </si>
  <si>
    <t>Axis Midcap Fund - Growth</t>
  </si>
  <si>
    <t>Axis Small Cap Fund - Direct Plan - Growth</t>
  </si>
  <si>
    <t>HDFC Balanced Advantage Fund - Growth Option</t>
  </si>
  <si>
    <t>ICICI Prudential Value Discovery Fund - Regular Plan - Growth</t>
  </si>
  <si>
    <t>Motilal Oswal Nasdaq 100 Fund of Fund- Direct Plan Growth</t>
  </si>
  <si>
    <t>Parag Parikh Flexi Cap Fund - Direct Plan - Growth</t>
  </si>
  <si>
    <t>Quant Mid Cap Fund-Growth</t>
  </si>
  <si>
    <t>SBI TECHNOLOGY OPPORTUNITIES FUND - DIRECT PLAN - GROWTH</t>
  </si>
  <si>
    <t>SBI TECHNOLOGY OPPORTUNITIES FUND - REGULAR PLAN - GROWTH</t>
  </si>
  <si>
    <t>Axis Short Term Fund - Direct Plan - Growth Option</t>
  </si>
  <si>
    <t>Axis Short Term Fund - Growth Option</t>
  </si>
  <si>
    <t>ICICI Prudential Credit Risk Fund - Direct Plan - Growth</t>
  </si>
  <si>
    <t>Nippon India Nivesh Lakshya Fund- Direct Plan- Growth Option</t>
  </si>
  <si>
    <t>REC Ltd</t>
  </si>
  <si>
    <t>Month</t>
  </si>
  <si>
    <t>Dec-2023</t>
  </si>
  <si>
    <t>As of today</t>
  </si>
  <si>
    <t>Opening</t>
  </si>
  <si>
    <t>Period</t>
  </si>
  <si>
    <t>As of Date</t>
  </si>
  <si>
    <t>Add/(Exit)</t>
  </si>
  <si>
    <t>Opg MV</t>
  </si>
  <si>
    <t>Returns</t>
  </si>
  <si>
    <t>Returns %</t>
  </si>
  <si>
    <t>Benchmark</t>
  </si>
  <si>
    <t>S&amp;P 500</t>
  </si>
  <si>
    <t>NSE 100</t>
  </si>
  <si>
    <t>NSE Mid Cap</t>
  </si>
  <si>
    <t>NSE Small Cap</t>
  </si>
  <si>
    <t>NSE 500</t>
  </si>
  <si>
    <t>GOLD</t>
  </si>
  <si>
    <t>YTD Return %</t>
  </si>
  <si>
    <t>BM</t>
  </si>
  <si>
    <t>TAA @ B-Ret %</t>
  </si>
  <si>
    <t>B-Ret %</t>
  </si>
  <si>
    <t>SBI FD 1Y</t>
  </si>
  <si>
    <t>SBI FD 5-10Y</t>
  </si>
  <si>
    <t>SBI FD 3-5Y</t>
  </si>
  <si>
    <t>Tactical</t>
  </si>
  <si>
    <t>Dabur India</t>
  </si>
  <si>
    <t>Nippon India ETF Nifty Midcap 150</t>
  </si>
  <si>
    <t>SBI-ETF Nifty Next 50</t>
  </si>
  <si>
    <t>Aditya Birla Sun Life ELSS Tax Saver Fund - Growth - Direct Plan</t>
  </si>
  <si>
    <t>Axis ELSS Tax Saver Fund - Direct Plan - Growth Option</t>
  </si>
  <si>
    <t>Axis Quant Fund - Direct Plan - Growth</t>
  </si>
  <si>
    <t>BANDHAN Tax Advantage (ELSS) Fund-Direct Plan-Growth</t>
  </si>
  <si>
    <t>ICICI Prudential Bluechip Fund - Direct Plan - Growth</t>
  </si>
  <si>
    <t>ICICI Prudential Technology Fund - Direct Plan -  Growth</t>
  </si>
  <si>
    <t>Invesco India ELSS Tax Saver Fund - Direct Plan - Growth</t>
  </si>
  <si>
    <t>Motilal Oswal Nifty Bank Index Fund - Direct Plan</t>
  </si>
  <si>
    <t>Nippon India Large Cap Fund - Direct Plan Growth Plan - Growth Option</t>
  </si>
  <si>
    <t>Nippon India Small Cap Fund - Direct Plan Growth Plan - Growth Option</t>
  </si>
  <si>
    <t>Quant Momentum Fund - Direct Plan - Growth</t>
  </si>
  <si>
    <t>Quant Small Cap Fund-Growth Option-Direct Plan</t>
  </si>
  <si>
    <t>SBI BLUE CHIP FUND-DIRECT PLAN -GROWTH</t>
  </si>
  <si>
    <t>SBI Long Term Advantage Fund - Series IV - Direct Plan - Growth</t>
  </si>
  <si>
    <t>SBI Magnum MIDCAP FUND - DIRECT PLAN - GROWTH</t>
  </si>
  <si>
    <t>SBI Small Cap - Direct Plan - Growth</t>
  </si>
  <si>
    <t>Tata Nifty 50 Index Fund -Direct Plan</t>
  </si>
  <si>
    <t>Axis Liquid Fund - Growth Option</t>
  </si>
  <si>
    <t>BANDHAN Government Securities Fund - Constant Maturity Plan -Direct Plan-Growth</t>
  </si>
  <si>
    <t>HDFC Nifty G-Sec Dec 2026 Index Fund - Growth Option</t>
  </si>
  <si>
    <t>HDFC Nifty G-Sec July 2031 Index Fund - Growth Option</t>
  </si>
  <si>
    <t>Kotak Banking and PSU Debt Direct - Growth</t>
  </si>
  <si>
    <t>Edelweiss Financial Services NCD 27/04/2026 (ISIN INE532F07DU2)</t>
  </si>
  <si>
    <t>Indiabulls Housing Finance NCD ZX 28/12/2025 (ISIN INE148I07NL9)</t>
  </si>
  <si>
    <t>L&amp;T Finance NCD NO 9% 15/04/2024 (ISIN INE027E07AF3)</t>
  </si>
  <si>
    <t>Muthoot Finance NCD 7.6% 23/12/2025 (ISIN INE414G07HD8)</t>
  </si>
  <si>
    <t>Shriram Transport Finance Company NCD Z2 06/02/2024 (ISIN INE721A07OS3)</t>
  </si>
  <si>
    <t>GRIP-LF-RECUR</t>
  </si>
  <si>
    <t>Shriram Transport Finance CUM36M</t>
  </si>
  <si>
    <t>Debt-Managed-Mutual Funds-Mid Term</t>
  </si>
  <si>
    <t>Debt-Managed-Mutual Funds-Long Term</t>
  </si>
  <si>
    <t>Debt-Self-Bonds-Short Term</t>
  </si>
  <si>
    <t>Gold</t>
  </si>
  <si>
    <t>Rebalance</t>
  </si>
  <si>
    <t>Rank</t>
  </si>
  <si>
    <t>Insttrument Name</t>
  </si>
  <si>
    <t>Sort Key</t>
  </si>
  <si>
    <t>Investor</t>
  </si>
  <si>
    <t>Equity-Self-Listed Stocks-Tactical F&amp;O</t>
  </si>
  <si>
    <t>Tactical F&amp;O</t>
  </si>
  <si>
    <t>Hold</t>
  </si>
  <si>
    <t>AA Alloc</t>
  </si>
  <si>
    <t>Eq-MF</t>
  </si>
  <si>
    <t>Eq-Self</t>
  </si>
  <si>
    <t>Db-MF</t>
  </si>
  <si>
    <t>Db-Self</t>
  </si>
  <si>
    <t>Co-MF</t>
  </si>
  <si>
    <t>Eq-MF-MF</t>
  </si>
  <si>
    <t>Eq-Self-Dir</t>
  </si>
  <si>
    <t>Eq-Self-Tac</t>
  </si>
  <si>
    <t>Db-Self-Bnd</t>
  </si>
  <si>
    <t>Db-Self-VD</t>
  </si>
  <si>
    <t>Co-MF-MF</t>
  </si>
  <si>
    <t>%</t>
  </si>
  <si>
    <t>Db-MF-MF</t>
  </si>
  <si>
    <t>ICICI Prudential Nifty 50 Index Fund - Direct Plan Cumulative Option</t>
  </si>
  <si>
    <t>ICICI Prudential Nifty Next 50 Index Fund - Direct Plan - Growth</t>
  </si>
  <si>
    <t>ICICI Prudential All Seasons Bond Fund - Direct Plan - Growth</t>
  </si>
  <si>
    <t>SN001</t>
  </si>
  <si>
    <t>AAA @ B-Ret %</t>
  </si>
  <si>
    <t>Asian Paints</t>
  </si>
  <si>
    <t>Natco Pharma</t>
  </si>
  <si>
    <t>Exit</t>
  </si>
  <si>
    <t>Recommendation</t>
  </si>
  <si>
    <t>Partial Exit</t>
  </si>
  <si>
    <t>Add</t>
  </si>
  <si>
    <t>Reduce</t>
  </si>
  <si>
    <t>Amount</t>
  </si>
  <si>
    <t>SIPs</t>
  </si>
  <si>
    <t>Add New SIP</t>
  </si>
  <si>
    <t>Exit / to Quant SmallCap</t>
  </si>
  <si>
    <t>PORTFOLIO / DETAIL</t>
  </si>
  <si>
    <t>Cipla Limited</t>
  </si>
  <si>
    <t>Narayana Hrudayalaya</t>
  </si>
  <si>
    <t>Supriya Lifescience</t>
  </si>
  <si>
    <t>Axis Liquid Fund - Direct Plan - Growth Option</t>
  </si>
  <si>
    <t>ICICI Prudential Corporate Bond Fund - Direct Plan - Growth</t>
  </si>
  <si>
    <t>GRIP-SDI InvoiceX-A1-250</t>
  </si>
  <si>
    <t>2024 YTD / 10th Aug</t>
  </si>
  <si>
    <t>Reliance</t>
  </si>
  <si>
    <t>1st Apr 2024</t>
  </si>
  <si>
    <t>Units/Nos</t>
  </si>
  <si>
    <t>Buy Price</t>
  </si>
  <si>
    <t>ISIN-1</t>
  </si>
  <si>
    <t>2nd Apr 2024</t>
  </si>
  <si>
    <t>Buy Value</t>
  </si>
  <si>
    <t>NSE API</t>
  </si>
  <si>
    <t>3rd Apr 2024</t>
  </si>
  <si>
    <t>Gain</t>
  </si>
  <si>
    <t>MF</t>
  </si>
  <si>
    <t>Stks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</si>
</sst>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₹&quot;\ #,##0.00;[Red]&quot;₹&quot;\ \-#,##0.00"/>
    <numFmt numFmtId="43" formatCode="_ * #,##0.00_ ;_ * \-#,##0.00_ ;_ * &quot;-&quot;??_ ;_ @_ "/>
    <numFmt numFmtId="164" formatCode="0.0%"/>
    <numFmt numFmtId="165" formatCode="_ * #,##0_ ;_ * \-#,##0_ ;_ * &quot;-&quot;??_ ;_ @_ "/>
  </numFmts>
  <fonts count="1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u/>
      <sz val="12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i/>
      <sz val="10"/>
      <color theme="1"/>
      <name val="Arial"/>
      <family val="2"/>
    </font>
    <font>
      <sz val="10"/>
      <color rgb="FF00B0F0"/>
      <name val="Arial"/>
      <family val="2"/>
    </font>
    <font>
      <sz val="10"/>
      <color rgb="FFFF0000"/>
      <name val="Arial"/>
      <family val="2"/>
    </font>
    <font>
      <i/>
      <u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i/>
      <sz val="10"/>
      <color rgb="FF0070C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4">
    <xf numFmtId="0" fontId="0" fillId="0" borderId="0" xfId="0"/>
    <xf numFmtId="0" fontId="2" fillId="0" borderId="0" xfId="0" applyFont="1"/>
    <xf numFmtId="0" fontId="4" fillId="3" borderId="1" xfId="0" applyFont="1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center"/>
    </xf>
    <xf numFmtId="0" fontId="0" fillId="5" borderId="1" xfId="0" applyFill="1" applyBorder="1"/>
    <xf numFmtId="164" fontId="0" fillId="5" borderId="1" xfId="1" applyNumberFormat="1" applyFont="1" applyFill="1" applyBorder="1" applyAlignment="1">
      <alignment horizontal="center"/>
    </xf>
    <xf numFmtId="0" fontId="0" fillId="6" borderId="1" xfId="0" applyFill="1" applyBorder="1"/>
    <xf numFmtId="164" fontId="0" fillId="6" borderId="1" xfId="1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9" fontId="0" fillId="7" borderId="1" xfId="0" applyNumberFormat="1" applyFill="1" applyBorder="1" applyAlignment="1">
      <alignment horizontal="center" vertical="center"/>
    </xf>
    <xf numFmtId="0" fontId="0" fillId="7" borderId="1" xfId="0" applyFill="1" applyBorder="1"/>
    <xf numFmtId="164" fontId="0" fillId="7" borderId="1" xfId="1" applyNumberFormat="1" applyFont="1" applyFill="1" applyBorder="1" applyAlignment="1">
      <alignment horizontal="center"/>
    </xf>
    <xf numFmtId="9" fontId="3" fillId="2" borderId="4" xfId="1" applyFont="1" applyFill="1" applyBorder="1" applyAlignment="1">
      <alignment horizontal="center"/>
    </xf>
    <xf numFmtId="0" fontId="6" fillId="0" borderId="0" xfId="0" applyFont="1"/>
    <xf numFmtId="0" fontId="3" fillId="0" borderId="0" xfId="0" applyFont="1"/>
    <xf numFmtId="9" fontId="7" fillId="4" borderId="1" xfId="1" applyFont="1" applyFill="1" applyBorder="1" applyAlignment="1">
      <alignment horizontal="center"/>
    </xf>
    <xf numFmtId="9" fontId="7" fillId="5" borderId="1" xfId="1" applyFont="1" applyFill="1" applyBorder="1" applyAlignment="1">
      <alignment horizontal="center"/>
    </xf>
    <xf numFmtId="0" fontId="5" fillId="5" borderId="1" xfId="0" applyFont="1" applyFill="1" applyBorder="1"/>
    <xf numFmtId="0" fontId="8" fillId="5" borderId="1" xfId="0" applyFont="1" applyFill="1" applyBorder="1"/>
    <xf numFmtId="0" fontId="0" fillId="8" borderId="1" xfId="0" applyFill="1" applyBorder="1"/>
    <xf numFmtId="9" fontId="7" fillId="8" borderId="1" xfId="1" applyFont="1" applyFill="1" applyBorder="1" applyAlignment="1">
      <alignment horizontal="center"/>
    </xf>
    <xf numFmtId="164" fontId="0" fillId="8" borderId="1" xfId="1" applyNumberFormat="1" applyFont="1" applyFill="1" applyBorder="1" applyAlignment="1">
      <alignment horizontal="center"/>
    </xf>
    <xf numFmtId="9" fontId="7" fillId="6" borderId="1" xfId="1" applyFont="1" applyFill="1" applyBorder="1" applyAlignment="1">
      <alignment horizontal="center"/>
    </xf>
    <xf numFmtId="9" fontId="7" fillId="7" borderId="1" xfId="0" applyNumberFormat="1" applyFont="1" applyFill="1" applyBorder="1" applyAlignment="1">
      <alignment horizontal="center" vertical="center"/>
    </xf>
    <xf numFmtId="0" fontId="9" fillId="0" borderId="0" xfId="0" applyFont="1"/>
    <xf numFmtId="9" fontId="6" fillId="0" borderId="0" xfId="0" applyNumberFormat="1" applyFont="1" applyAlignment="1">
      <alignment horizontal="center"/>
    </xf>
    <xf numFmtId="0" fontId="0" fillId="8" borderId="2" xfId="0" applyFill="1" applyBorder="1" applyAlignment="1">
      <alignment horizontal="center" vertical="center"/>
    </xf>
    <xf numFmtId="9" fontId="0" fillId="8" borderId="2" xfId="1" applyFont="1" applyFill="1" applyBorder="1" applyAlignment="1">
      <alignment horizontal="center" vertical="center"/>
    </xf>
    <xf numFmtId="0" fontId="0" fillId="0" borderId="1" xfId="0" applyBorder="1"/>
    <xf numFmtId="14" fontId="0" fillId="0" borderId="0" xfId="0" applyNumberFormat="1"/>
    <xf numFmtId="8" fontId="0" fillId="0" borderId="0" xfId="0" applyNumberFormat="1"/>
    <xf numFmtId="165" fontId="0" fillId="2" borderId="0" xfId="2" applyNumberFormat="1" applyFont="1" applyFill="1"/>
    <xf numFmtId="165" fontId="0" fillId="4" borderId="1" xfId="2" applyNumberFormat="1" applyFont="1" applyFill="1" applyBorder="1"/>
    <xf numFmtId="165" fontId="0" fillId="5" borderId="1" xfId="2" applyNumberFormat="1" applyFont="1" applyFill="1" applyBorder="1"/>
    <xf numFmtId="165" fontId="5" fillId="5" borderId="1" xfId="2" applyNumberFormat="1" applyFont="1" applyFill="1" applyBorder="1"/>
    <xf numFmtId="165" fontId="8" fillId="5" borderId="1" xfId="2" applyNumberFormat="1" applyFont="1" applyFill="1" applyBorder="1"/>
    <xf numFmtId="165" fontId="0" fillId="8" borderId="1" xfId="2" applyNumberFormat="1" applyFont="1" applyFill="1" applyBorder="1"/>
    <xf numFmtId="165" fontId="0" fillId="6" borderId="1" xfId="2" applyNumberFormat="1" applyFont="1" applyFill="1" applyBorder="1"/>
    <xf numFmtId="165" fontId="0" fillId="7" borderId="1" xfId="2" applyNumberFormat="1" applyFont="1" applyFill="1" applyBorder="1"/>
    <xf numFmtId="0" fontId="4" fillId="3" borderId="0" xfId="0" applyFont="1" applyFill="1" applyAlignment="1">
      <alignment horizontal="center"/>
    </xf>
    <xf numFmtId="9" fontId="0" fillId="0" borderId="2" xfId="1" applyFont="1" applyBorder="1" applyAlignment="1">
      <alignment horizontal="center" vertical="center"/>
    </xf>
    <xf numFmtId="3" fontId="0" fillId="0" borderId="0" xfId="0" applyNumberFormat="1"/>
    <xf numFmtId="0" fontId="0" fillId="0" borderId="0" xfId="0" pivotButton="1"/>
    <xf numFmtId="9" fontId="0" fillId="0" borderId="0" xfId="0" applyNumberFormat="1"/>
    <xf numFmtId="9" fontId="0" fillId="2" borderId="0" xfId="1" applyFont="1" applyFill="1" applyAlignment="1">
      <alignment horizontal="center"/>
    </xf>
    <xf numFmtId="164" fontId="5" fillId="5" borderId="1" xfId="1" applyNumberFormat="1" applyFont="1" applyFill="1" applyBorder="1" applyAlignment="1">
      <alignment horizontal="center"/>
    </xf>
    <xf numFmtId="164" fontId="8" fillId="5" borderId="1" xfId="1" applyNumberFormat="1" applyFont="1" applyFill="1" applyBorder="1" applyAlignment="1">
      <alignment horizontal="center"/>
    </xf>
    <xf numFmtId="0" fontId="10" fillId="2" borderId="0" xfId="0" applyFont="1" applyFill="1"/>
    <xf numFmtId="0" fontId="3" fillId="9" borderId="0" xfId="0" applyFont="1" applyFill="1"/>
    <xf numFmtId="0" fontId="10" fillId="9" borderId="0" xfId="0" applyFont="1" applyFill="1"/>
    <xf numFmtId="165" fontId="0" fillId="0" borderId="2" xfId="0" applyNumberFormat="1" applyBorder="1" applyAlignment="1">
      <alignment vertical="center"/>
    </xf>
    <xf numFmtId="165" fontId="0" fillId="0" borderId="2" xfId="0" applyNumberFormat="1" applyBorder="1" applyAlignment="1">
      <alignment horizontal="center" vertical="center"/>
    </xf>
    <xf numFmtId="165" fontId="3" fillId="10" borderId="2" xfId="0" applyNumberFormat="1" applyFont="1" applyFill="1" applyBorder="1" applyAlignment="1">
      <alignment vertical="center"/>
    </xf>
    <xf numFmtId="0" fontId="0" fillId="0" borderId="2" xfId="0" applyBorder="1" applyAlignment="1">
      <alignment horizontal="left" vertical="center" indent="2"/>
    </xf>
    <xf numFmtId="0" fontId="0" fillId="11" borderId="2" xfId="0" applyFill="1" applyBorder="1" applyAlignment="1">
      <alignment horizontal="left" vertical="center" indent="1"/>
    </xf>
    <xf numFmtId="165" fontId="0" fillId="11" borderId="2" xfId="0" applyNumberFormat="1" applyFill="1" applyBorder="1" applyAlignment="1">
      <alignment vertical="center"/>
    </xf>
    <xf numFmtId="9" fontId="0" fillId="11" borderId="2" xfId="1" applyFont="1" applyFill="1" applyBorder="1" applyAlignment="1">
      <alignment horizontal="center" vertical="center"/>
    </xf>
    <xf numFmtId="165" fontId="0" fillId="11" borderId="2" xfId="0" applyNumberFormat="1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165" fontId="0" fillId="0" borderId="2" xfId="0" applyNumberFormat="1" applyBorder="1" applyAlignment="1">
      <alignment horizontal="left" vertical="center" indent="2"/>
    </xf>
    <xf numFmtId="0" fontId="3" fillId="10" borderId="2" xfId="0" applyFont="1" applyFill="1" applyBorder="1" applyAlignment="1">
      <alignment horizontal="left" vertical="center"/>
    </xf>
    <xf numFmtId="165" fontId="3" fillId="10" borderId="2" xfId="0" applyNumberFormat="1" applyFont="1" applyFill="1" applyBorder="1" applyAlignment="1">
      <alignment horizontal="center" vertical="center"/>
    </xf>
    <xf numFmtId="9" fontId="3" fillId="10" borderId="2" xfId="1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left" vertical="center"/>
    </xf>
    <xf numFmtId="165" fontId="3" fillId="10" borderId="1" xfId="0" applyNumberFormat="1" applyFont="1" applyFill="1" applyBorder="1" applyAlignment="1">
      <alignment horizontal="center" vertical="center"/>
    </xf>
    <xf numFmtId="9" fontId="3" fillId="10" borderId="1" xfId="1" applyFont="1" applyFill="1" applyBorder="1" applyAlignment="1">
      <alignment horizontal="center" vertical="center"/>
    </xf>
    <xf numFmtId="165" fontId="4" fillId="12" borderId="1" xfId="0" applyNumberFormat="1" applyFont="1" applyFill="1" applyBorder="1"/>
    <xf numFmtId="9" fontId="4" fillId="12" borderId="1" xfId="1" applyFont="1" applyFill="1" applyBorder="1" applyAlignment="1">
      <alignment horizontal="center"/>
    </xf>
    <xf numFmtId="9" fontId="0" fillId="4" borderId="1" xfId="1" applyFont="1" applyFill="1" applyBorder="1" applyAlignment="1">
      <alignment horizontal="right"/>
    </xf>
    <xf numFmtId="9" fontId="0" fillId="5" borderId="1" xfId="1" applyFont="1" applyFill="1" applyBorder="1" applyAlignment="1">
      <alignment horizontal="right"/>
    </xf>
    <xf numFmtId="9" fontId="5" fillId="5" borderId="1" xfId="1" applyFont="1" applyFill="1" applyBorder="1" applyAlignment="1">
      <alignment horizontal="right"/>
    </xf>
    <xf numFmtId="9" fontId="8" fillId="5" borderId="1" xfId="1" applyFont="1" applyFill="1" applyBorder="1" applyAlignment="1">
      <alignment horizontal="right"/>
    </xf>
    <xf numFmtId="9" fontId="0" fillId="8" borderId="1" xfId="1" applyFont="1" applyFill="1" applyBorder="1" applyAlignment="1">
      <alignment horizontal="right"/>
    </xf>
    <xf numFmtId="9" fontId="0" fillId="6" borderId="1" xfId="1" applyFont="1" applyFill="1" applyBorder="1" applyAlignment="1">
      <alignment horizontal="right"/>
    </xf>
    <xf numFmtId="9" fontId="0" fillId="7" borderId="1" xfId="1" applyFont="1" applyFill="1" applyBorder="1" applyAlignment="1">
      <alignment horizontal="right"/>
    </xf>
    <xf numFmtId="9" fontId="0" fillId="2" borderId="0" xfId="1" applyFont="1" applyFill="1" applyAlignment="1">
      <alignment horizontal="right"/>
    </xf>
    <xf numFmtId="0" fontId="0" fillId="2" borderId="0" xfId="0" applyFill="1"/>
    <xf numFmtId="0" fontId="0" fillId="0" borderId="0" xfId="0" quotePrefix="1"/>
    <xf numFmtId="0" fontId="0" fillId="0" borderId="0" xfId="0" applyAlignment="1">
      <alignment horizontal="center"/>
    </xf>
    <xf numFmtId="164" fontId="3" fillId="10" borderId="2" xfId="1" applyNumberFormat="1" applyFont="1" applyFill="1" applyBorder="1" applyAlignment="1">
      <alignment vertical="center"/>
    </xf>
    <xf numFmtId="164" fontId="0" fillId="11" borderId="2" xfId="1" applyNumberFormat="1" applyFont="1" applyFill="1" applyBorder="1" applyAlignment="1">
      <alignment horizontal="right" vertical="center"/>
    </xf>
    <xf numFmtId="164" fontId="0" fillId="0" borderId="2" xfId="1" applyNumberFormat="1" applyFont="1" applyBorder="1" applyAlignment="1">
      <alignment horizontal="right" vertical="center"/>
    </xf>
    <xf numFmtId="164" fontId="3" fillId="10" borderId="2" xfId="1" applyNumberFormat="1" applyFont="1" applyFill="1" applyBorder="1" applyAlignment="1">
      <alignment horizontal="right" vertical="center"/>
    </xf>
    <xf numFmtId="164" fontId="3" fillId="10" borderId="1" xfId="1" applyNumberFormat="1" applyFont="1" applyFill="1" applyBorder="1" applyAlignment="1">
      <alignment horizontal="right" vertical="center"/>
    </xf>
    <xf numFmtId="14" fontId="4" fillId="3" borderId="0" xfId="0" applyNumberFormat="1" applyFont="1" applyFill="1" applyAlignment="1">
      <alignment horizontal="center"/>
    </xf>
    <xf numFmtId="1" fontId="0" fillId="0" borderId="0" xfId="0" applyNumberFormat="1"/>
    <xf numFmtId="164" fontId="0" fillId="0" borderId="0" xfId="1" applyNumberFormat="1" applyFont="1"/>
    <xf numFmtId="164" fontId="4" fillId="12" borderId="1" xfId="1" applyNumberFormat="1" applyFont="1" applyFill="1" applyBorder="1" applyAlignment="1">
      <alignment horizontal="right"/>
    </xf>
    <xf numFmtId="0" fontId="0" fillId="13" borderId="0" xfId="0" applyFill="1" applyAlignment="1">
      <alignment horizontal="center"/>
    </xf>
    <xf numFmtId="0" fontId="12" fillId="0" borderId="0" xfId="0" applyFont="1"/>
    <xf numFmtId="165" fontId="12" fillId="0" borderId="2" xfId="0" applyNumberFormat="1" applyFont="1" applyBorder="1" applyAlignment="1">
      <alignment vertical="center"/>
    </xf>
    <xf numFmtId="9" fontId="12" fillId="0" borderId="2" xfId="1" applyFont="1" applyBorder="1" applyAlignment="1">
      <alignment horizontal="center" vertical="center"/>
    </xf>
    <xf numFmtId="165" fontId="12" fillId="0" borderId="2" xfId="0" applyNumberFormat="1" applyFont="1" applyBorder="1" applyAlignment="1">
      <alignment horizontal="center" vertical="center"/>
    </xf>
    <xf numFmtId="164" fontId="12" fillId="0" borderId="2" xfId="1" applyNumberFormat="1" applyFont="1" applyBorder="1" applyAlignment="1">
      <alignment horizontal="right" vertical="center"/>
    </xf>
    <xf numFmtId="0" fontId="12" fillId="0" borderId="2" xfId="0" applyFont="1" applyBorder="1" applyAlignment="1">
      <alignment horizontal="left" vertical="center" indent="3"/>
    </xf>
    <xf numFmtId="0" fontId="0" fillId="0" borderId="1" xfId="0" applyBorder="1" applyAlignment="1">
      <alignment horizontal="left" vertical="center" indent="2"/>
    </xf>
    <xf numFmtId="0" fontId="0" fillId="11" borderId="1" xfId="0" applyFill="1" applyBorder="1" applyAlignment="1">
      <alignment horizontal="left" vertical="center" indent="1"/>
    </xf>
    <xf numFmtId="165" fontId="0" fillId="0" borderId="0" xfId="2" applyNumberFormat="1" applyFont="1"/>
    <xf numFmtId="9" fontId="0" fillId="0" borderId="2" xfId="1" applyFont="1" applyFill="1" applyBorder="1" applyAlignment="1">
      <alignment horizontal="center" vertical="center"/>
    </xf>
    <xf numFmtId="164" fontId="0" fillId="0" borderId="2" xfId="1" applyNumberFormat="1" applyFont="1" applyFill="1" applyBorder="1" applyAlignment="1">
      <alignment horizontal="right" vertical="center"/>
    </xf>
    <xf numFmtId="9" fontId="12" fillId="0" borderId="2" xfId="1" applyFont="1" applyFill="1" applyBorder="1" applyAlignment="1">
      <alignment horizontal="center" vertical="center"/>
    </xf>
    <xf numFmtId="164" fontId="12" fillId="0" borderId="2" xfId="1" applyNumberFormat="1" applyFont="1" applyFill="1" applyBorder="1" applyAlignment="1">
      <alignment horizontal="right" vertical="center"/>
    </xf>
    <xf numFmtId="0" fontId="0" fillId="14" borderId="0" xfId="0" applyFill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0" fillId="0" borderId="1" xfId="0" applyBorder="1" applyAlignment="1">
      <alignment horizontal="center"/>
    </xf>
    <xf numFmtId="3" fontId="12" fillId="0" borderId="1" xfId="0" applyNumberFormat="1" applyFont="1" applyBorder="1"/>
    <xf numFmtId="165" fontId="12" fillId="0" borderId="1" xfId="0" applyNumberFormat="1" applyFont="1" applyBorder="1"/>
    <xf numFmtId="0" fontId="0" fillId="15" borderId="0" xfId="0" applyFill="1"/>
    <xf numFmtId="0" fontId="12" fillId="15" borderId="0" xfId="0" applyFont="1" applyFill="1"/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9" fontId="0" fillId="4" borderId="2" xfId="1" applyFont="1" applyFill="1" applyBorder="1" applyAlignment="1">
      <alignment horizontal="center" vertical="center"/>
    </xf>
    <xf numFmtId="9" fontId="0" fillId="4" borderId="3" xfId="1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9" fontId="0" fillId="5" borderId="2" xfId="0" applyNumberFormat="1" applyFill="1" applyBorder="1" applyAlignment="1">
      <alignment horizontal="center" vertical="center"/>
    </xf>
    <xf numFmtId="9" fontId="0" fillId="5" borderId="3" xfId="0" applyNumberFormat="1" applyFill="1" applyBorder="1" applyAlignment="1">
      <alignment horizontal="center" vertical="center"/>
    </xf>
    <xf numFmtId="9" fontId="0" fillId="5" borderId="2" xfId="1" applyFont="1" applyFill="1" applyBorder="1" applyAlignment="1">
      <alignment horizontal="center" vertical="center"/>
    </xf>
    <xf numFmtId="9" fontId="0" fillId="5" borderId="3" xfId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9" fontId="0" fillId="8" borderId="2" xfId="1" applyFont="1" applyFill="1" applyBorder="1" applyAlignment="1">
      <alignment horizontal="center" vertical="center"/>
    </xf>
    <xf numFmtId="9" fontId="0" fillId="8" borderId="3" xfId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9" fontId="0" fillId="6" borderId="2" xfId="0" applyNumberFormat="1" applyFill="1" applyBorder="1" applyAlignment="1">
      <alignment horizontal="center" vertical="center"/>
    </xf>
    <xf numFmtId="9" fontId="0" fillId="6" borderId="3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Equity - Target vs Actual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Target</c:v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D18-403D-AD6C-AB7C503D5B3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0D18-403D-AD6C-AB7C503D5B3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0D18-403D-AD6C-AB7C503D5B3D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('AA Status'!$E$44,'AA Status'!$E$62,'AA Status'!$E$71)</c:f>
              <c:strCache>
                <c:ptCount val="3"/>
                <c:pt idx="0">
                  <c:v>Mutual Funds</c:v>
                </c:pt>
                <c:pt idx="1">
                  <c:v>Core Direct</c:v>
                </c:pt>
                <c:pt idx="2">
                  <c:v>Tactical</c:v>
                </c:pt>
              </c:strCache>
            </c:strRef>
          </c:cat>
          <c:val>
            <c:numRef>
              <c:f>('AA Status'!$F$44,'AA Status'!$F$62,'AA Status'!$F$71)</c:f>
              <c:numCache>
                <c:formatCode>_ * #,##0_ ;_ * \-#,##0_ ;_ * "-"??_ ;_ @_ </c:formatCode>
                <c:ptCount val="3"/>
                <c:pt idx="0">
                  <c:v>482784.73875000002</c:v>
                </c:pt>
                <c:pt idx="1">
                  <c:v>53642.748749999999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D18-403D-AD6C-AB7C503D5B3D}"/>
            </c:ext>
          </c:extLst>
        </c:ser>
        <c:ser>
          <c:idx val="1"/>
          <c:order val="1"/>
          <c:tx>
            <c:v>Actual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('AA Status'!$E$44,'AA Status'!$E$62,'AA Status'!$E$71)</c:f>
              <c:strCache>
                <c:ptCount val="3"/>
                <c:pt idx="0">
                  <c:v>Mutual Funds</c:v>
                </c:pt>
                <c:pt idx="1">
                  <c:v>Core Direct</c:v>
                </c:pt>
                <c:pt idx="2">
                  <c:v>Tactical</c:v>
                </c:pt>
              </c:strCache>
            </c:strRef>
          </c:cat>
          <c:val>
            <c:numRef>
              <c:f>('AA Status'!$H$44,'AA Status'!$H$62,'AA Status'!$H$71)</c:f>
              <c:numCache>
                <c:formatCode>_ * #,##0_ ;_ * \-#,##0_ ;_ * "-"??_ ;_ @_ </c:formatCode>
                <c:ptCount val="3"/>
                <c:pt idx="0">
                  <c:v>548393.71000000008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D18-403D-AD6C-AB7C503D5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27717632"/>
        <c:axId val="227719072"/>
      </c:barChart>
      <c:valAx>
        <c:axId val="227719072"/>
        <c:scaling>
          <c:orientation val="minMax"/>
        </c:scaling>
        <c:delete val="1"/>
        <c:axPos val="t"/>
        <c:numFmt formatCode="_ * #,##0_ ;_ * \-#,##0_ ;_ * &quot;-&quot;??_ ;_ @_ " sourceLinked="1"/>
        <c:majorTickMark val="out"/>
        <c:minorTickMark val="none"/>
        <c:tickLblPos val="nextTo"/>
        <c:crossAx val="227717632"/>
        <c:crosses val="autoZero"/>
        <c:crossBetween val="between"/>
      </c:valAx>
      <c:catAx>
        <c:axId val="22771763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2277190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0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Target AA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1A-48BE-9B78-7744B5DBD571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1A-48BE-9B78-7744B5DBD571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1A-48BE-9B78-7744B5DBD57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('AA Status'!$E$72,'AA Status'!$E$116,'AA Status'!$E$122)</c:f>
              <c:strCache>
                <c:ptCount val="3"/>
                <c:pt idx="0">
                  <c:v>Equity</c:v>
                </c:pt>
                <c:pt idx="1">
                  <c:v>Debt</c:v>
                </c:pt>
                <c:pt idx="2">
                  <c:v>Commodity</c:v>
                </c:pt>
              </c:strCache>
            </c:strRef>
          </c:cat>
          <c:val>
            <c:numRef>
              <c:f>('AA Status'!$F$72,'AA Status'!$F$116,'AA Status'!$F$122)</c:f>
              <c:numCache>
                <c:formatCode>_ * #,##0_ ;_ * \-#,##0_ ;_ * "-"??_ ;_ @_ </c:formatCode>
                <c:ptCount val="3"/>
                <c:pt idx="0">
                  <c:v>536427.48750000005</c:v>
                </c:pt>
                <c:pt idx="1">
                  <c:v>143047.33000000002</c:v>
                </c:pt>
                <c:pt idx="2">
                  <c:v>35761.832500000004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F1-496D-840C-A91F1E7AF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Actual</a:t>
            </a:r>
            <a:r>
              <a:rPr lang="en-US" b="1" baseline="0"/>
              <a:t> </a:t>
            </a:r>
            <a:r>
              <a:rPr lang="en-US" b="1"/>
              <a:t>AA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3F-495A-896D-0D279DD59B42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3F-495A-896D-0D279DD59B42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03F-495A-896D-0D279DD59B42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('AA Status'!$E$72,'AA Status'!$E$116)</c:f>
              <c:strCache>
                <c:ptCount val="2"/>
                <c:pt idx="0">
                  <c:v>Equity</c:v>
                </c:pt>
                <c:pt idx="1">
                  <c:v>Debt</c:v>
                </c:pt>
              </c:strCache>
            </c:strRef>
          </c:cat>
          <c:val>
            <c:numRef>
              <c:f>('AA Status'!$H$72,'AA Status'!$H$116)</c:f>
              <c:numCache>
                <c:formatCode>_ * #,##0_ ;_ * \-#,##0_ ;_ * "-"??_ ;_ @_ </c:formatCode>
                <c:ptCount val="2"/>
                <c:pt idx="0">
                  <c:v>548393.71000000008</c:v>
                </c:pt>
                <c:pt idx="1">
                  <c:v>166842.94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3F-495A-896D-0D279DD59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Debt - Target vs Actual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Target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('AA Status'!$E$93,'AA Status'!$E$106,'AA Status'!$E$115)</c:f>
              <c:strCache>
                <c:ptCount val="3"/>
                <c:pt idx="0">
                  <c:v>Mutual Funds</c:v>
                </c:pt>
                <c:pt idx="1">
                  <c:v>Direct Debt</c:v>
                </c:pt>
                <c:pt idx="2">
                  <c:v>Venture Debt</c:v>
                </c:pt>
              </c:strCache>
            </c:strRef>
          </c:cat>
          <c:val>
            <c:numRef>
              <c:f>('AA Status'!$F$93,'AA Status'!$F$106,'AA Status'!$F$115)</c:f>
              <c:numCache>
                <c:formatCode>_ * #,##0_ ;_ * \-#,##0_ ;_ * "-"??_ ;_ @_ </c:formatCode>
                <c:ptCount val="3"/>
                <c:pt idx="0">
                  <c:v>85828.398000000001</c:v>
                </c:pt>
                <c:pt idx="1">
                  <c:v>17165.679600000003</c:v>
                </c:pt>
                <c:pt idx="2">
                  <c:v>40053.252399999998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735-49D8-BB59-FE30AEE65022}"/>
            </c:ext>
          </c:extLst>
        </c:ser>
        <c:ser>
          <c:idx val="1"/>
          <c:order val="1"/>
          <c:tx>
            <c:v>Actual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('AA Status'!$E$93,'AA Status'!$E$106,'AA Status'!$E$115)</c:f>
              <c:strCache>
                <c:ptCount val="3"/>
                <c:pt idx="0">
                  <c:v>Mutual Funds</c:v>
                </c:pt>
                <c:pt idx="1">
                  <c:v>Direct Debt</c:v>
                </c:pt>
                <c:pt idx="2">
                  <c:v>Venture Debt</c:v>
                </c:pt>
              </c:strCache>
            </c:strRef>
          </c:cat>
          <c:val>
            <c:numRef>
              <c:f>('AA Status'!$H$93,'AA Status'!$H$106,'AA Status'!$H$115)</c:f>
              <c:numCache>
                <c:formatCode>_ * #,##0_ ;_ * \-#,##0_ ;_ * "-"??_ ;_ @_ </c:formatCode>
                <c:ptCount val="3"/>
                <c:pt idx="0">
                  <c:v>166842.94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35-49D8-BB59-FE30AEE65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27717632"/>
        <c:axId val="227719072"/>
      </c:barChart>
      <c:valAx>
        <c:axId val="227719072"/>
        <c:scaling>
          <c:orientation val="minMax"/>
        </c:scaling>
        <c:delete val="1"/>
        <c:axPos val="t"/>
        <c:numFmt formatCode="_ * #,##0_ ;_ * \-#,##0_ ;_ * &quot;-&quot;??_ ;_ @_ " sourceLinked="1"/>
        <c:majorTickMark val="out"/>
        <c:minorTickMark val="none"/>
        <c:tickLblPos val="nextTo"/>
        <c:crossAx val="227717632"/>
        <c:crosses val="autoZero"/>
        <c:crossBetween val="between"/>
      </c:valAx>
      <c:catAx>
        <c:axId val="22771763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2277190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0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Equity - Target vs Actual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Target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('AA Status'!$E$72,'AA Status'!$E$116,'AA Status'!$E$122)</c:f>
              <c:strCache>
                <c:ptCount val="3"/>
                <c:pt idx="0">
                  <c:v>Equity</c:v>
                </c:pt>
                <c:pt idx="1">
                  <c:v>Debt</c:v>
                </c:pt>
                <c:pt idx="2">
                  <c:v>Commodity</c:v>
                </c:pt>
              </c:strCache>
            </c:strRef>
          </c:cat>
          <c:val>
            <c:numRef>
              <c:f>('AA Status'!$F$72,'AA Status'!$F$116,'AA Status'!$F$122)</c:f>
              <c:numCache>
                <c:formatCode>_ * #,##0_ ;_ * \-#,##0_ ;_ * "-"??_ ;_ @_ </c:formatCode>
                <c:ptCount val="3"/>
                <c:pt idx="0">
                  <c:v>536427.48750000005</c:v>
                </c:pt>
                <c:pt idx="1">
                  <c:v>143047.33000000002</c:v>
                </c:pt>
                <c:pt idx="2">
                  <c:v>35761.832500000004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130-4BFE-97BE-EBD344171721}"/>
            </c:ext>
          </c:extLst>
        </c:ser>
        <c:ser>
          <c:idx val="1"/>
          <c:order val="1"/>
          <c:tx>
            <c:v>Actual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('AA Status'!$E$72,'AA Status'!$E$116,'AA Status'!$E$122)</c:f>
              <c:strCache>
                <c:ptCount val="3"/>
                <c:pt idx="0">
                  <c:v>Equity</c:v>
                </c:pt>
                <c:pt idx="1">
                  <c:v>Debt</c:v>
                </c:pt>
                <c:pt idx="2">
                  <c:v>Commodity</c:v>
                </c:pt>
              </c:strCache>
            </c:strRef>
          </c:cat>
          <c:val>
            <c:numRef>
              <c:f>('AA Status'!$H$72,'AA Status'!$H$116,'AA Status'!$H$122)</c:f>
              <c:numCache>
                <c:formatCode>_ * #,##0_ ;_ * \-#,##0_ ;_ * "-"??_ ;_ @_ </c:formatCode>
                <c:ptCount val="3"/>
                <c:pt idx="0">
                  <c:v>548393.71000000008</c:v>
                </c:pt>
                <c:pt idx="1">
                  <c:v>166842.94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30-4BFE-97BE-EBD344171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27717632"/>
        <c:axId val="227719072"/>
      </c:barChart>
      <c:valAx>
        <c:axId val="227719072"/>
        <c:scaling>
          <c:orientation val="minMax"/>
        </c:scaling>
        <c:delete val="1"/>
        <c:axPos val="t"/>
        <c:numFmt formatCode="_ * #,##0_ ;_ * \-#,##0_ ;_ * &quot;-&quot;??_ ;_ @_ " sourceLinked="1"/>
        <c:majorTickMark val="out"/>
        <c:minorTickMark val="none"/>
        <c:tickLblPos val="nextTo"/>
        <c:crossAx val="227717632"/>
        <c:crosses val="autoZero"/>
        <c:crossBetween val="between"/>
      </c:valAx>
      <c:catAx>
        <c:axId val="22771763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2277190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Portfolio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'AA Status'!$AD$13:$AE$26</c:f>
            </c:multiLvlStrRef>
          </c:cat>
          <c:val>
            <c:numRef>
              <c:f>'AA Status'!$AJ$13:$AJ$26</c:f>
            </c:numRef>
          </c:val>
          <c:smooth val="0"/>
          <c:extLst>
            <c:ext xmlns:c16="http://schemas.microsoft.com/office/drawing/2014/chart" uri="{C3380CC4-5D6E-409C-BE32-E72D297353CC}">
              <c16:uniqueId val="{00000000-5BFD-4A7C-8B7A-D97592E8A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119088"/>
        <c:axId val="258129168"/>
      </c:lineChart>
      <c:catAx>
        <c:axId val="25811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129168"/>
        <c:crosses val="autoZero"/>
        <c:auto val="1"/>
        <c:lblAlgn val="ctr"/>
        <c:lblOffset val="100"/>
        <c:noMultiLvlLbl val="0"/>
      </c:catAx>
      <c:valAx>
        <c:axId val="25812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11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110067</xdr:colOff>
      <xdr:row>123</xdr:row>
      <xdr:rowOff>127323</xdr:rowOff>
    </xdr:from>
    <xdr:to>
      <xdr:col>26</xdr:col>
      <xdr:colOff>0</xdr:colOff>
      <xdr:row>148</xdr:row>
      <xdr:rowOff>160623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9CE72F78-B8F9-D372-CD72-735C7F3E32A2}"/>
            </a:ext>
          </a:extLst>
        </xdr:cNvPr>
        <xdr:cNvGrpSpPr/>
      </xdr:nvGrpSpPr>
      <xdr:grpSpPr>
        <a:xfrm>
          <a:off x="224367" y="1727523"/>
          <a:ext cx="17168283" cy="4319550"/>
          <a:chOff x="321734" y="2845123"/>
          <a:chExt cx="14554200" cy="4097300"/>
        </a:xfrm>
      </xdr:grpSpPr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8DAA89A9-5C58-1939-CA8B-29FD29CDA2C5}"/>
              </a:ext>
            </a:extLst>
          </xdr:cNvPr>
          <xdr:cNvGrpSpPr/>
        </xdr:nvGrpSpPr>
        <xdr:grpSpPr>
          <a:xfrm>
            <a:off x="321734" y="2845123"/>
            <a:ext cx="14554200" cy="4097300"/>
            <a:chOff x="473811" y="2844800"/>
            <a:chExt cx="14503722" cy="4058650"/>
          </a:xfrm>
          <a:solidFill>
            <a:schemeClr val="bg1">
              <a:lumMod val="85000"/>
            </a:schemeClr>
          </a:solidFill>
        </xdr:grpSpPr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A16788D-5224-CD7E-4623-A8DB587638DC}"/>
                </a:ext>
              </a:extLst>
            </xdr:cNvPr>
            <xdr:cNvGraphicFramePr/>
          </xdr:nvGraphicFramePr>
          <xdr:xfrm>
            <a:off x="6773332" y="2869961"/>
            <a:ext cx="4055533" cy="183638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56D9F92-83A1-4AB0-925F-F5A1031DB886}"/>
                </a:ext>
              </a:extLst>
            </xdr:cNvPr>
            <xdr:cNvGraphicFramePr>
              <a:graphicFrameLocks/>
            </xdr:cNvGraphicFramePr>
          </xdr:nvGraphicFramePr>
          <xdr:xfrm>
            <a:off x="473811" y="4714816"/>
            <a:ext cx="3081868" cy="218863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BE1D8298-09DA-43E5-BE4E-B671393B64C1}"/>
                </a:ext>
              </a:extLst>
            </xdr:cNvPr>
            <xdr:cNvGraphicFramePr>
              <a:graphicFrameLocks/>
            </xdr:cNvGraphicFramePr>
          </xdr:nvGraphicFramePr>
          <xdr:xfrm>
            <a:off x="3606683" y="4706350"/>
            <a:ext cx="3081868" cy="218863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15D4773B-06AE-486E-AC16-2BD536F644CC}"/>
                </a:ext>
              </a:extLst>
            </xdr:cNvPr>
            <xdr:cNvGraphicFramePr>
              <a:graphicFrameLocks/>
            </xdr:cNvGraphicFramePr>
          </xdr:nvGraphicFramePr>
          <xdr:xfrm>
            <a:off x="10922000" y="2844800"/>
            <a:ext cx="4055533" cy="181961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</xdr:grpSp>
      <xdr:graphicFrame macro="">
        <xdr:nvGraphicFramePr>
          <xdr:cNvPr id="8" name="Chart 7">
            <a:extLst>
              <a:ext uri="{FF2B5EF4-FFF2-40B4-BE49-F238E27FC236}">
                <a16:creationId xmlns:a16="http://schemas.microsoft.com/office/drawing/2014/main" id="{7960CFE2-AB97-44F4-A39A-F16B6F980863}"/>
              </a:ext>
            </a:extLst>
          </xdr:cNvPr>
          <xdr:cNvGraphicFramePr>
            <a:graphicFrameLocks/>
          </xdr:cNvGraphicFramePr>
        </xdr:nvGraphicFramePr>
        <xdr:xfrm>
          <a:off x="364067" y="2853267"/>
          <a:ext cx="6197599" cy="184573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  <xdr:twoCellAnchor>
    <xdr:from>
      <xdr:col>30</xdr:col>
      <xdr:colOff>461963</xdr:colOff>
      <xdr:row>43</xdr:row>
      <xdr:rowOff>42863</xdr:rowOff>
    </xdr:from>
    <xdr:to>
      <xdr:col>36</xdr:col>
      <xdr:colOff>481013</xdr:colOff>
      <xdr:row>96</xdr:row>
      <xdr:rowOff>42863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A9CEB1-798F-5DB4-5C05-230397F38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van Manchiraju" refreshedDate="45554.741983796295" createdVersion="8" refreshedVersion="8" minRefreshableVersion="3" recordCount="20" xr:uid="{41BAC8F1-5358-4332-8B12-3A27F8321AE1}">
  <cacheSource type="worksheet">
    <worksheetSource ref="A1:S21" sheet="PF Holdings_diff dates"/>
  </cacheSource>
  <cacheFields count="21">
    <cacheField name="AA Key" numFmtId="8">
      <sharedItems count="19">
        <s v="Equity-Managed-Mutual Funds-Mid Cap"/>
        <s v="Equity-Managed-Mutual Funds-Small Cap"/>
        <s v="Equity-Managed-Mutual Funds-Large Cap"/>
        <s v="Equity-Managed-Mutual Funds-International"/>
        <s v="Equity-Managed-Mutual Funds-Sectoral"/>
        <s v="Debt-Managed-Mutual Funds-Dynamic"/>
        <s v="Debt-Managed-Mutual Funds-Credit Risk"/>
        <s v="Debt-Managed-Mutual Funds-Short Term" u="1"/>
        <s v="Equity-Self-Listed Stocks-Large Cap" u="1"/>
        <s v="Equity-Managed-ETF-Large Cap" u="1"/>
        <s v="Equity-Managed-Mutual Funds-Thematic" u="1"/>
        <s v="Equity-Managed-Mutual Funds-Flexicap" u="1"/>
        <s v="Debt-Managed-Mutual Funds-Mid Term" u="1"/>
        <s v="Debt-Managed-Mutual Funds-Long Term" u="1"/>
        <s v="Debt-Self-Bonds-Mid Term" u="1"/>
        <s v="Debt-Self-Bonds-Short Term" u="1"/>
        <s v="Debt-Self-Venture-Mid Term" u="1"/>
        <s v="Equity-Self-Listed Stocks-Small Cap" u="1"/>
        <s v="Debt-Self-Venture-Short Term" u="1"/>
      </sharedItems>
    </cacheField>
    <cacheField name="Asset Class" numFmtId="0">
      <sharedItems containsBlank="1" count="4">
        <s v="Equity"/>
        <s v="Debt"/>
        <m u="1"/>
        <s v="Commodity" u="1"/>
      </sharedItems>
    </cacheField>
    <cacheField name="Route" numFmtId="0">
      <sharedItems/>
    </cacheField>
    <cacheField name="Category" numFmtId="0">
      <sharedItems containsBlank="1" count="8">
        <s v="Mutual Funds"/>
        <s v="Managed Debt"/>
        <s v="Core Direct" u="1"/>
        <s v="Direct Debt" u="1"/>
        <s v="Venture Debt" u="1"/>
        <m u="1"/>
        <s v="Tactical Direct" u="1"/>
        <s v="Managed Commodity" u="1"/>
      </sharedItems>
    </cacheField>
    <cacheField name="Instrument Category" numFmtId="0">
      <sharedItems containsBlank="1" count="20">
        <s v="MF Mid Cap"/>
        <s v="MF Small Cap"/>
        <s v="MF Blue Chip"/>
        <s v="MF International"/>
        <s v="MF Sectoral"/>
        <s v="Dynamic"/>
        <s v="Credit Risk"/>
        <s v="Short Term" u="1"/>
        <s v="Large Cap" u="1"/>
        <s v="ETF Large Cap" u="1"/>
        <s v="MF Thematic" u="1"/>
        <s v="MF Flexicap" u="1"/>
        <s v="Mid Term" u="1"/>
        <s v="Long Term" u="1"/>
        <s v="Small Cap" u="1"/>
        <m u="1"/>
        <s v="Mid Cap" u="1"/>
        <s v="Micro Cap" u="1"/>
        <s v="Positional" u="1"/>
        <s v="Gold ETF" u="1"/>
      </sharedItems>
    </cacheField>
    <cacheField name="View" numFmtId="0">
      <sharedItems/>
    </cacheField>
    <cacheField name="Investor Account" numFmtId="0">
      <sharedItems count="5">
        <s v="SN001"/>
        <s v="JI001" u="1"/>
        <s v="SRN001" u="1"/>
        <s v="JI001 Consol" u="1"/>
        <s v="SRN001 Consol" u="1"/>
      </sharedItems>
    </cacheField>
    <cacheField name="ISIN Code" numFmtId="0">
      <sharedItems containsNonDate="0" containsString="0" containsBlank="1"/>
    </cacheField>
    <cacheField name="Instrument Name" numFmtId="0">
      <sharedItems containsBlank="1" count="101">
        <s v="Axis Midcap Fund - Direct Plan - Growth"/>
        <s v="Axis Small Cap Fund - Direct Plan - Growth"/>
        <s v="ICICI Prudential Nifty 50 Index Fund - Direct Plan Cumulative Option"/>
        <s v="ICICI Prudential Nifty Next 50 Index Fund - Direct Plan - Growth"/>
        <s v="Motilal Oswal Nasdaq 100 Fund of Fund- Direct Plan Growth"/>
        <s v="SBI TECHNOLOGY OPPORTUNITIES FUND - DIRECT PLAN - GROWTH"/>
        <s v="ICICI Prudential All Seasons Bond Fund - Direct Plan - Growth"/>
        <s v="ICICI Prudential Credit Risk Fund - Direct Plan - Growth"/>
        <s v="Bharat Bond ETF - April 2023" u="1"/>
        <s v="Bharat Bond ETF - April 2025" u="1"/>
        <s v="HDFC Bank" u="1"/>
        <s v="ICICI Prudential Nifty 50 ETF" u="1"/>
        <s v="Mirae Asset Nifty Next 50 ETF" u="1"/>
        <s v="ONGC Limited" u="1"/>
        <s v="Petronet LNG" u="1"/>
        <s v="Power Finance Corporation" u="1"/>
        <s v="REC Ltd" u="1"/>
        <s v="Tata Consultancy Services" u="1"/>
        <s v="Aditya Birla Sun Life Equity Hybrid'95 Fund - Regular Plan-Growth" u="1"/>
        <s v="Aditya Birla Sun Life Frontline Equity Fund-Growth" u="1"/>
        <s v="Axis Bluechip Fund - Direct Plan - Growth" u="1"/>
        <s v="Axis Midcap Fund - Growth" u="1"/>
        <s v="Axis Small Cap Fund - Regular Plan - Growth" u="1"/>
        <s v="HDFC Balanced Advantage Fund - Growth Option" u="1"/>
        <s v="ICICI Prudential Bluechip Fund - Growth" u="1"/>
        <s v="ICICI Prudential Value Discovery Fund - Regular Plan - Growth" u="1"/>
        <s v="Kotak Flexicap Fund - Growth" u="1"/>
        <s v="NIPPON INDIA VISION FUND - IDCW Option" u="1"/>
        <s v="Parag Parikh Flexi Cap Fund - Direct Plan - Growth" u="1"/>
        <s v="Quant Mid Cap Fund-Growth" u="1"/>
        <s v="SBI Infrastructure Fund - Regular Plan - Income Distribution cum Capital Withdrawal Option (IDCW)" u="1"/>
        <s v="SBI TECHNOLOGY OPPORTUNITIES FUND - REGULAR PLAN - GROWTH" u="1"/>
        <s v="Axis Credit Risk Fund - Regular Plan - Growth" u="1"/>
        <s v="Axis Short Term Fund - Direct Plan - Growth Option" u="1"/>
        <s v="Axis Short Term Fund - Growth Option" u="1"/>
        <s v="Edelweiss Overnight Fund - Unclaimed Redemption Plan - Upto 3 years" u="1"/>
        <s v="Nippon India Nivesh Lakshya Fund- Direct Plan- Growth Option" u="1"/>
        <s v="Dabur India" u="1"/>
        <s v="Nippon India ETF Nifty Midcap 150" u="1"/>
        <s v="SBI-ETF Nifty Next 50" u="1"/>
        <s v="Aditya Birla Sun Life ELSS Tax Saver Fund - Growth - Direct Plan" u="1"/>
        <s v="Axis ELSS Tax Saver Fund - Direct Plan - Growth Option" u="1"/>
        <s v="Axis Quant Fund - Direct Plan - Growth" u="1"/>
        <s v="BANDHAN Tax Advantage (ELSS) Fund-Direct Plan-Growth" u="1"/>
        <s v="ICICI Prudential Bluechip Fund - Direct Plan - Growth" u="1"/>
        <s v="ICICI Prudential Technology Fund - Direct Plan -  Growth" u="1"/>
        <s v="Invesco India ELSS Tax Saver Fund - Direct Plan - Growth" u="1"/>
        <s v="Motilal Oswal Nifty Bank Index Fund - Direct Plan" u="1"/>
        <s v="Nippon India Large Cap Fund - Direct Plan Growth Plan - Growth Option" u="1"/>
        <s v="Nippon India Small Cap Fund - Direct Plan Growth Plan - Growth Option" u="1"/>
        <s v="Quant Momentum Fund - Direct Plan - Growth" u="1"/>
        <s v="Quant Small Cap Fund-Growth Option-Direct Plan" u="1"/>
        <s v="SBI BLUE CHIP FUND-DIRECT PLAN -GROWTH" u="1"/>
        <s v="SBI Long Term Advantage Fund - Series IV - Direct Plan - Growth" u="1"/>
        <s v="SBI Magnum MIDCAP FUND - DIRECT PLAN - GROWTH" u="1"/>
        <s v="SBI Small Cap - Direct Plan - Growth" u="1"/>
        <s v="Tata Nifty 50 Index Fund -Direct Plan" u="1"/>
        <s v="Axis Liquid Fund - Growth Option" u="1"/>
        <s v="BANDHAN Government Securities Fund - Constant Maturity Plan -Direct Plan-Growth" u="1"/>
        <s v="HDFC Nifty G-Sec Dec 2026 Index Fund - Growth Option" u="1"/>
        <s v="HDFC Nifty G-Sec July 2031 Index Fund - Growth Option" u="1"/>
        <s v="Kotak Banking and PSU Debt Direct - Growth" u="1"/>
        <s v="Edelweiss Financial Services NCD 27/04/2026 (ISIN INE532F07DU2)" u="1"/>
        <s v="Indiabulls Housing Finance NCD ZX 28/12/2025 (ISIN INE148I07NL9)" u="1"/>
        <s v="L&amp;T Finance NCD NO 9% 15/04/2024 (ISIN INE027E07AF3)" u="1"/>
        <s v="Muthoot Finance NCD 7.6% 23/12/2025 (ISIN INE414G07HD8)" u="1"/>
        <s v="Shriram Transport Finance Company NCD Z2 06/02/2024 (ISIN INE721A07OS3)" u="1"/>
        <s v="GRIP-LF-RECUR" u="1"/>
        <s v="Shriram Transport Finance CUM36M" u="1"/>
        <s v="Asian Paints" u="1"/>
        <s v="Cipla Limited" u="1"/>
        <s v="Narayana Hrudayalaya" u="1"/>
        <s v="Natco Pharma" u="1"/>
        <s v="Supriya Lifescience" u="1"/>
        <s v="Axis Liquid Fund - Direct Plan - Growth Option" u="1"/>
        <s v="ICICI Prudential Corporate Bond Fund - Direct Plan - Growth" u="1"/>
        <s v="GRIP-SDI InvoiceX-A1-250" u="1"/>
        <s v="Aditya Birla Sun Life Equity Hybrid '95 Fund - Growth" u="1"/>
        <s v="Axis Small Cap Fund - Growth - Direct Plan" u="1"/>
        <s v="Axis Midcap Fund - Growth - Direct Plan" u="1"/>
        <s v="Axis Short Term Fund - Growth - Direct Plan" u="1"/>
        <s v="Axis Midcap Fund - Regular Plan - Growth" u="1"/>
        <s v="Axis Short Term Fund - Regular Plan - Growth" u="1"/>
        <s v="Axis Bluechip Fund - Growth - Direct Plan" u="1"/>
        <s v="HDFC Balanced Advantage Fund - Growth" u="1"/>
        <s v="ICICI Prudential Credit Risk Fund - Growth - Direct Plan" u="1"/>
        <s v="ICICI Prudential Value Discovery Fund - Growth" u="1"/>
        <s v="Motilal Oswal Nasdaq 100 Fund of Fund - Growth - Direct Plan" u="1"/>
        <s v="Nippon India Nivesh Lakshya Fund - Growth - Direct Plan" u="1"/>
        <s v="Parag Parikh Flexi Cap Fund - Growth - Direct Plan" u="1"/>
        <s v="Quant Mid Cap Fund - Growth" u="1"/>
        <s v="SBI Technology Opportunities Fund - Growth - Direct Plan" u="1"/>
        <s v="BHARAT Bond ETF - April 2023 - Growth" u="1"/>
        <s v="MANXT50ETF " u="1"/>
        <s v="HDFC Bank Ltd." u="1"/>
        <s v="Oil and Natural Gas Corporation Ltd." u="1"/>
        <s v="Petronet LNG Ltd" u="1"/>
        <s v="REC Limited" u="1"/>
        <s v="Tata Consultancy Services Ltd" u="1"/>
        <s v="Target" u="1"/>
        <m u="1"/>
      </sharedItems>
    </cacheField>
    <cacheField name="Holding Date" numFmtId="14">
      <sharedItems containsSemiMixedTypes="0" containsNonDate="0" containsDate="1" containsString="0" minDate="2023-12-31T00:00:00" maxDate="2024-08-11T00:00:00"/>
    </cacheField>
    <cacheField name="Quantity" numFmtId="0">
      <sharedItems containsSemiMixedTypes="0" containsString="0" containsNumber="1" minValue="70.141999999999996" maxValue="3278.3629999999998"/>
    </cacheField>
    <cacheField name="ACP" numFmtId="0">
      <sharedItems containsSemiMixedTypes="0" containsString="0" containsNumber="1" minValue="25.23" maxValue="182.28"/>
    </cacheField>
    <cacheField name="CMP" numFmtId="0">
      <sharedItems containsSemiMixedTypes="0" containsString="0" containsNumber="1" minValue="29.164200000000001" maxValue="252.93879999999999"/>
    </cacheField>
    <cacheField name="Average Cost" numFmtId="0">
      <sharedItems containsSemiMixedTypes="0" containsString="0" containsNumber="1" minValue="5000" maxValue="100000"/>
    </cacheField>
    <cacheField name="CMV" numFmtId="0">
      <sharedItems containsSemiMixedTypes="0" containsString="0" containsNumber="1" minValue="6814.3" maxValue="171525.83"/>
    </cacheField>
    <cacheField name="Month" numFmtId="0">
      <sharedItems/>
    </cacheField>
    <cacheField name="Period" numFmtId="0">
      <sharedItems count="2">
        <s v="Opening"/>
        <s v="As of today"/>
      </sharedItems>
    </cacheField>
    <cacheField name="Benchmark" numFmtId="0">
      <sharedItems/>
    </cacheField>
    <cacheField name="B-Ret %" numFmtId="164">
      <sharedItems containsSemiMixedTypes="0" containsString="0" containsNumber="1" minValue="4.0130136986301371E-2" maxValue="0.23856649294372545"/>
    </cacheField>
    <cacheField name="Gain/Loss" numFmtId="0" formula=" (CMV-'Average Cost')" databaseField="0"/>
    <cacheField name="Gain/Loss%" numFmtId="0" formula="'Gain/Loss'/'Average Cost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s v="Managed"/>
    <x v="0"/>
    <x v="0"/>
    <s v="Actuals"/>
    <x v="0"/>
    <m/>
    <x v="0"/>
    <d v="2023-12-31T00:00:00"/>
    <n v="556.33000000000004"/>
    <n v="80.89"/>
    <n v="98.51"/>
    <n v="45000"/>
    <n v="54804.07"/>
    <s v="Dec-2023"/>
    <x v="0"/>
    <s v="NSE Mid Cap"/>
    <n v="0.23856649294372545"/>
  </r>
  <r>
    <x v="1"/>
    <x v="0"/>
    <s v="Managed"/>
    <x v="0"/>
    <x v="1"/>
    <s v="Actuals"/>
    <x v="0"/>
    <m/>
    <x v="1"/>
    <d v="2023-12-31T00:00:00"/>
    <n v="1480.9690000000001"/>
    <n v="67.52"/>
    <n v="97.15"/>
    <n v="100000"/>
    <n v="143876.14000000001"/>
    <s v="Dec-2023"/>
    <x v="0"/>
    <s v="NSE Small Cap"/>
    <n v="0.23466989530660198"/>
  </r>
  <r>
    <x v="1"/>
    <x v="0"/>
    <s v="Managed"/>
    <x v="0"/>
    <x v="1"/>
    <s v="Actuals"/>
    <x v="0"/>
    <m/>
    <x v="1"/>
    <d v="2023-12-31T00:00:00"/>
    <n v="70.141999999999996"/>
    <n v="71.28"/>
    <n v="97.15"/>
    <n v="5000"/>
    <n v="6814.3"/>
    <s v="Dec-2023"/>
    <x v="0"/>
    <s v="NSE Small Cap"/>
    <n v="0.23466989530660198"/>
  </r>
  <r>
    <x v="2"/>
    <x v="0"/>
    <s v="Managed"/>
    <x v="0"/>
    <x v="2"/>
    <s v="Actuals"/>
    <x v="0"/>
    <m/>
    <x v="2"/>
    <d v="2023-12-31T00:00:00"/>
    <n v="213.334"/>
    <n v="178.12"/>
    <n v="224.08160000000001"/>
    <n v="38000"/>
    <n v="47804.22"/>
    <s v="Dec-2023"/>
    <x v="0"/>
    <s v="NSE 100"/>
    <n v="0.15995255257995344"/>
  </r>
  <r>
    <x v="2"/>
    <x v="0"/>
    <s v="Managed"/>
    <x v="0"/>
    <x v="2"/>
    <s v="Actuals"/>
    <x v="0"/>
    <m/>
    <x v="2"/>
    <d v="2023-12-31T00:00:00"/>
    <n v="411.46499999999997"/>
    <n v="182.28"/>
    <n v="224.08160000000001"/>
    <n v="75000"/>
    <n v="92201.74"/>
    <s v="Dec-2023"/>
    <x v="0"/>
    <s v="NSE 100"/>
    <n v="0.15995255257995344"/>
  </r>
  <r>
    <x v="2"/>
    <x v="0"/>
    <s v="Managed"/>
    <x v="0"/>
    <x v="2"/>
    <s v="Actuals"/>
    <x v="0"/>
    <m/>
    <x v="3"/>
    <d v="2023-12-31T00:00:00"/>
    <n v="748.94100000000003"/>
    <n v="40.06"/>
    <n v="49.202100000000002"/>
    <n v="30000"/>
    <n v="36849.47"/>
    <s v="Dec-2023"/>
    <x v="0"/>
    <s v="NSE 100"/>
    <n v="0.15995255257995344"/>
  </r>
  <r>
    <x v="3"/>
    <x v="0"/>
    <s v="Managed"/>
    <x v="0"/>
    <x v="3"/>
    <s v="Actuals"/>
    <x v="0"/>
    <m/>
    <x v="4"/>
    <d v="2023-12-31T00:00:00"/>
    <n v="1981.4169999999999"/>
    <n v="25.23"/>
    <n v="29.164200000000001"/>
    <n v="50000"/>
    <n v="57786.44"/>
    <s v="Dec-2023"/>
    <x v="0"/>
    <s v="S&amp;P 500"/>
    <n v="0.12674678473539958"/>
  </r>
  <r>
    <x v="4"/>
    <x v="0"/>
    <s v="Managed"/>
    <x v="0"/>
    <x v="4"/>
    <s v="Actuals"/>
    <x v="0"/>
    <m/>
    <x v="5"/>
    <d v="2023-12-31T00:00:00"/>
    <n v="116.342"/>
    <n v="171.91"/>
    <n v="194.0975"/>
    <n v="20000"/>
    <n v="22581.69"/>
    <s v="Dec-2023"/>
    <x v="0"/>
    <s v="NSE 500"/>
    <n v="0.17988573781460704"/>
  </r>
  <r>
    <x v="5"/>
    <x v="1"/>
    <s v="Managed"/>
    <x v="1"/>
    <x v="5"/>
    <s v="Actuals"/>
    <x v="0"/>
    <m/>
    <x v="6"/>
    <d v="2023-12-31T00:00:00"/>
    <n v="3278.3629999999998"/>
    <n v="30.5"/>
    <n v="34.885199999999998"/>
    <n v="100000"/>
    <n v="114366.35"/>
    <s v="Dec-2023"/>
    <x v="0"/>
    <s v="SBI FD 3-5Y"/>
    <n v="4.0130136986301371E-2"/>
  </r>
  <r>
    <x v="6"/>
    <x v="1"/>
    <s v="Managed"/>
    <x v="1"/>
    <x v="6"/>
    <s v="Actuals"/>
    <x v="0"/>
    <m/>
    <x v="7"/>
    <d v="2023-12-31T00:00:00"/>
    <n v="1428.59"/>
    <n v="26.57"/>
    <n v="30.493300000000001"/>
    <n v="37953.81"/>
    <n v="43562.42"/>
    <s v="Dec-2023"/>
    <x v="0"/>
    <s v="SBI FD 3-5Y"/>
    <n v="4.0130136986301371E-2"/>
  </r>
  <r>
    <x v="0"/>
    <x v="0"/>
    <s v="Managed"/>
    <x v="0"/>
    <x v="0"/>
    <s v="Actuals"/>
    <x v="0"/>
    <m/>
    <x v="0"/>
    <d v="2024-08-10T00:00:00"/>
    <n v="556.33000000000004"/>
    <n v="80.89"/>
    <n v="125.23"/>
    <n v="45000"/>
    <n v="69669.210000000006"/>
    <s v="As of today"/>
    <x v="1"/>
    <s v="NSE Mid Cap"/>
    <n v="0.23856649294372545"/>
  </r>
  <r>
    <x v="1"/>
    <x v="0"/>
    <s v="Managed"/>
    <x v="0"/>
    <x v="1"/>
    <s v="Actuals"/>
    <x v="0"/>
    <m/>
    <x v="1"/>
    <d v="2024-08-10T00:00:00"/>
    <n v="1480.9690000000001"/>
    <n v="67.52"/>
    <n v="115.82"/>
    <n v="100000"/>
    <n v="171525.83"/>
    <s v="As of today"/>
    <x v="1"/>
    <s v="NSE Small Cap"/>
    <n v="0.23466989530660198"/>
  </r>
  <r>
    <x v="1"/>
    <x v="0"/>
    <s v="Managed"/>
    <x v="0"/>
    <x v="1"/>
    <s v="Actuals"/>
    <x v="0"/>
    <m/>
    <x v="1"/>
    <d v="2024-08-10T00:00:00"/>
    <n v="70.141999999999996"/>
    <n v="71.28"/>
    <n v="115.82"/>
    <n v="5000"/>
    <n v="8123.85"/>
    <s v="As of today"/>
    <x v="1"/>
    <s v="NSE Small Cap"/>
    <n v="0.23466989530660198"/>
  </r>
  <r>
    <x v="2"/>
    <x v="0"/>
    <s v="Managed"/>
    <x v="0"/>
    <x v="2"/>
    <s v="Actuals"/>
    <x v="0"/>
    <m/>
    <x v="2"/>
    <d v="2024-08-10T00:00:00"/>
    <n v="213.334"/>
    <n v="178.12"/>
    <n v="252.93879999999999"/>
    <n v="38000"/>
    <n v="53960.45"/>
    <s v="As of today"/>
    <x v="1"/>
    <s v="NSE 100"/>
    <n v="0.15995255257995344"/>
  </r>
  <r>
    <x v="2"/>
    <x v="0"/>
    <s v="Managed"/>
    <x v="0"/>
    <x v="2"/>
    <s v="Actuals"/>
    <x v="0"/>
    <m/>
    <x v="2"/>
    <d v="2024-08-10T00:00:00"/>
    <n v="411.46499999999997"/>
    <n v="182.28"/>
    <n v="252.93879999999999"/>
    <n v="75000"/>
    <n v="104075.46"/>
    <s v="As of today"/>
    <x v="1"/>
    <s v="NSE 100"/>
    <n v="0.15995255257995344"/>
  </r>
  <r>
    <x v="2"/>
    <x v="0"/>
    <s v="Managed"/>
    <x v="0"/>
    <x v="2"/>
    <s v="Actuals"/>
    <x v="0"/>
    <m/>
    <x v="3"/>
    <d v="2024-08-10T00:00:00"/>
    <n v="748.94100000000003"/>
    <n v="40.06"/>
    <n v="67.211299999999994"/>
    <n v="30000"/>
    <n v="50337.3"/>
    <s v="As of today"/>
    <x v="1"/>
    <s v="NSE 100"/>
    <n v="0.15995255257995344"/>
  </r>
  <r>
    <x v="3"/>
    <x v="0"/>
    <s v="Managed"/>
    <x v="0"/>
    <x v="3"/>
    <s v="Actuals"/>
    <x v="0"/>
    <m/>
    <x v="4"/>
    <d v="2024-08-10T00:00:00"/>
    <n v="1981.4169999999999"/>
    <n v="25.23"/>
    <n v="32.449100000000001"/>
    <n v="50000"/>
    <n v="64295.199999999997"/>
    <s v="As of today"/>
    <x v="1"/>
    <s v="S&amp;P 500"/>
    <n v="0.12674678473539958"/>
  </r>
  <r>
    <x v="4"/>
    <x v="0"/>
    <s v="Managed"/>
    <x v="0"/>
    <x v="4"/>
    <s v="Actuals"/>
    <x v="0"/>
    <m/>
    <x v="5"/>
    <d v="2024-08-10T00:00:00"/>
    <n v="116.342"/>
    <n v="171.91"/>
    <n v="226.97229999999999"/>
    <n v="20000"/>
    <n v="26406.41"/>
    <s v="As of today"/>
    <x v="1"/>
    <s v="NSE 500"/>
    <n v="0.17988573781460704"/>
  </r>
  <r>
    <x v="5"/>
    <x v="1"/>
    <s v="Managed"/>
    <x v="1"/>
    <x v="5"/>
    <s v="Actuals"/>
    <x v="0"/>
    <m/>
    <x v="6"/>
    <d v="2024-08-10T00:00:00"/>
    <n v="3278.3629999999998"/>
    <n v="30.5"/>
    <n v="36.819699999999997"/>
    <n v="100000"/>
    <n v="120708.34"/>
    <s v="As of today"/>
    <x v="1"/>
    <s v="SBI FD 3-5Y"/>
    <n v="4.0130136986301371E-2"/>
  </r>
  <r>
    <x v="6"/>
    <x v="1"/>
    <s v="Managed"/>
    <x v="1"/>
    <x v="6"/>
    <s v="Actuals"/>
    <x v="0"/>
    <m/>
    <x v="7"/>
    <d v="2024-08-10T00:00:00"/>
    <n v="1428.59"/>
    <n v="26.57"/>
    <n v="32.293799999999997"/>
    <n v="37953.81"/>
    <n v="46134.6"/>
    <s v="As of today"/>
    <x v="1"/>
    <s v="SBI FD 3-5Y"/>
    <n v="4.0130136986301371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75C1F2-AE43-4C73-A6A4-054243890662}" name="PivotTable1" cacheId="31" applyNumberFormats="0" applyBorderFormats="0" applyFontFormats="0" applyPatternFormats="0" applyAlignmentFormats="0" applyWidthHeightFormats="1" dataCaption="Values" updatedVersion="8" minRefreshableVersion="3" asteriskTotals="1" useAutoFormatting="1" itemPrintTitles="1" createdVersion="8" indent="0" compact="0" compactData="0" multipleFieldFilters="0">
  <location ref="A4:I13" firstHeaderRow="0" firstDataRow="1" firstDataCol="5" rowPageCount="2" colPageCount="1"/>
  <pivotFields count="21">
    <pivotField axis="axisRow" compact="0" outline="0" subtotalTop="0" showAll="0" defaultSubtotal="0">
      <items count="19">
        <item x="6"/>
        <item x="5"/>
        <item m="1" x="13"/>
        <item m="1" x="12"/>
        <item m="1" x="7"/>
        <item m="1" x="14"/>
        <item m="1" x="15"/>
        <item m="1" x="16"/>
        <item m="1" x="11"/>
        <item x="3"/>
        <item x="2"/>
        <item x="0"/>
        <item x="4"/>
        <item x="1"/>
        <item m="1" x="10"/>
        <item m="1" x="8"/>
        <item m="1" x="9"/>
        <item m="1" x="17"/>
        <item m="1" x="1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4">
        <item x="0"/>
        <item x="1"/>
        <item m="1" x="3"/>
        <item m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8">
        <item x="0"/>
        <item m="1" x="2"/>
        <item x="1"/>
        <item m="1" x="3"/>
        <item m="1" x="7"/>
        <item m="1" x="6"/>
        <item m="1" x="4"/>
        <item m="1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20">
        <item m="1" x="7"/>
        <item x="5"/>
        <item x="6"/>
        <item m="1" x="9"/>
        <item m="1" x="19"/>
        <item m="1" x="8"/>
        <item m="1" x="12"/>
        <item m="1" x="13"/>
        <item x="3"/>
        <item x="2"/>
        <item x="0"/>
        <item x="1"/>
        <item m="1" x="11"/>
        <item x="4"/>
        <item m="1" x="10"/>
        <item m="1" x="16"/>
        <item m="1" x="14"/>
        <item m="1" x="17"/>
        <item m="1" x="18"/>
        <item m="1"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showAll="0">
      <items count="6">
        <item m="1" x="3"/>
        <item m="1" x="4"/>
        <item m="1" x="1"/>
        <item m="1" x="2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sortType="descending">
      <items count="102">
        <item m="1" x="99"/>
        <item m="1" x="77"/>
        <item m="1" x="19"/>
        <item m="1" x="83"/>
        <item m="1" x="32"/>
        <item m="1" x="79"/>
        <item m="1" x="81"/>
        <item m="1" x="80"/>
        <item m="1" x="82"/>
        <item m="1" x="78"/>
        <item m="1" x="22"/>
        <item m="1" x="92"/>
        <item m="1" x="9"/>
        <item m="1" x="35"/>
        <item m="1" x="84"/>
        <item m="1" x="94"/>
        <item m="1" x="24"/>
        <item m="1" x="85"/>
        <item m="1" x="11"/>
        <item m="1" x="86"/>
        <item m="1" x="26"/>
        <item m="1" x="93"/>
        <item m="1" x="87"/>
        <item m="1" x="88"/>
        <item m="1" x="27"/>
        <item m="1" x="95"/>
        <item m="1" x="89"/>
        <item m="1" x="96"/>
        <item m="1" x="90"/>
        <item m="1" x="97"/>
        <item m="1" x="30"/>
        <item m="1" x="91"/>
        <item m="1" x="31"/>
        <item m="1" x="98"/>
        <item m="1" x="100"/>
        <item m="1" x="8"/>
        <item m="1" x="10"/>
        <item m="1" x="12"/>
        <item m="1" x="13"/>
        <item m="1" x="14"/>
        <item m="1" x="15"/>
        <item m="1" x="16"/>
        <item m="1" x="17"/>
        <item m="1" x="18"/>
        <item m="1" x="20"/>
        <item x="0"/>
        <item m="1" x="21"/>
        <item x="1"/>
        <item m="1" x="23"/>
        <item m="1" x="25"/>
        <item x="4"/>
        <item m="1" x="28"/>
        <item m="1" x="29"/>
        <item x="5"/>
        <item m="1" x="33"/>
        <item m="1" x="34"/>
        <item x="7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x="2"/>
        <item x="3"/>
        <item x="6"/>
        <item m="1" x="69"/>
        <item m="1" x="70"/>
        <item m="1" x="71"/>
        <item m="1" x="72"/>
        <item m="1" x="73"/>
        <item m="1" x="74"/>
        <item m="1" x="75"/>
        <item m="1" x="76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showAll="0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1"/>
    <field x="3"/>
    <field x="4"/>
    <field x="0"/>
    <field x="8"/>
  </rowFields>
  <rowItems count="9">
    <i>
      <x/>
      <x/>
      <x v="8"/>
      <x v="9"/>
      <x v="50"/>
    </i>
    <i r="2">
      <x v="9"/>
      <x v="10"/>
      <x v="90"/>
    </i>
    <i r="4">
      <x v="91"/>
    </i>
    <i r="2">
      <x v="10"/>
      <x v="11"/>
      <x v="45"/>
    </i>
    <i r="2">
      <x v="11"/>
      <x v="13"/>
      <x v="47"/>
    </i>
    <i r="2">
      <x v="13"/>
      <x v="12"/>
      <x v="53"/>
    </i>
    <i>
      <x v="1"/>
      <x v="2"/>
      <x v="1"/>
      <x v="1"/>
      <x v="92"/>
    </i>
    <i r="2">
      <x v="2"/>
      <x/>
      <x v="5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6" item="4" hier="-1"/>
    <pageField fld="16" item="0" hier="-1"/>
  </pageFields>
  <dataFields count="4">
    <dataField name="Avg Cost" fld="13" baseField="8" baseItem="16" numFmtId="3"/>
    <dataField name="Current Value" fld="14" baseField="8" baseItem="1" numFmtId="3"/>
    <dataField name=" Gain/Loss" fld="19" baseField="8" baseItem="1" numFmtId="3"/>
    <dataField name="  Gain/Loss%" fld="20" baseField="8" baseItem="1" numFmtId="9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17313-CC07-453E-963D-8619882CD4E0}">
  <sheetPr>
    <tabColor rgb="FF92D050"/>
    <pageSetUpPr fitToPage="1"/>
  </sheetPr>
  <dimension ref="B1:AL123"/>
  <sheetViews>
    <sheetView showGridLines="0" tabSelected="1" zoomScale="80" zoomScaleNormal="80" workbookViewId="0">
      <selection activeCell="Q144" sqref="Q144"/>
    </sheetView>
  </sheetViews>
  <sheetFormatPr defaultRowHeight="13.2" outlineLevelRow="3" outlineLevelCol="1" x14ac:dyDescent="0.25"/>
  <cols>
    <col min="1" max="1" width="1.6640625" customWidth="1"/>
    <col min="2" max="2" width="10.6640625" hidden="1" customWidth="1"/>
    <col min="3" max="3" width="2.6640625" hidden="1" customWidth="1"/>
    <col min="4" max="4" width="12.44140625" hidden="1" customWidth="1"/>
    <col min="5" max="5" width="23.5546875" customWidth="1"/>
    <col min="6" max="6" width="16.6640625" customWidth="1"/>
    <col min="7" max="7" width="11.109375" customWidth="1"/>
    <col min="8" max="8" width="11.6640625" customWidth="1"/>
    <col min="9" max="9" width="9.6640625" customWidth="1"/>
    <col min="10" max="10" width="11.5546875" customWidth="1" outlineLevel="1"/>
    <col min="11" max="11" width="13.88671875" customWidth="1" outlineLevel="1"/>
    <col min="12" max="12" width="11.6640625" customWidth="1" outlineLevel="1"/>
    <col min="13" max="13" width="12.109375" customWidth="1" outlineLevel="1"/>
    <col min="14" max="14" width="10.88671875" customWidth="1" outlineLevel="1"/>
    <col min="15" max="15" width="1.6640625" customWidth="1"/>
    <col min="16" max="18" width="10.88671875" customWidth="1" outlineLevel="1"/>
    <col min="19" max="19" width="2" customWidth="1"/>
    <col min="20" max="20" width="10.88671875" customWidth="1" outlineLevel="1"/>
    <col min="21" max="21" width="9.44140625" customWidth="1" outlineLevel="1"/>
    <col min="22" max="22" width="11" customWidth="1" outlineLevel="1"/>
    <col min="23" max="23" width="12.33203125" customWidth="1" outlineLevel="1"/>
    <col min="24" max="24" width="10.88671875" customWidth="1" outlineLevel="1"/>
    <col min="25" max="25" width="13.88671875" customWidth="1"/>
    <col min="26" max="26" width="14.6640625" customWidth="1"/>
    <col min="27" max="27" width="22.5546875" bestFit="1" customWidth="1"/>
    <col min="28" max="28" width="10.88671875" bestFit="1" customWidth="1"/>
    <col min="31" max="31" width="16.109375" customWidth="1"/>
    <col min="33" max="35" width="10.88671875" customWidth="1"/>
  </cols>
  <sheetData>
    <row r="1" spans="2:38" ht="15.6" x14ac:dyDescent="0.3">
      <c r="E1" s="1" t="s">
        <v>287</v>
      </c>
      <c r="G1" s="105" t="s">
        <v>274</v>
      </c>
    </row>
    <row r="2" spans="2:38" ht="15.6" x14ac:dyDescent="0.3">
      <c r="E2" s="1"/>
    </row>
    <row r="3" spans="2:38" x14ac:dyDescent="0.25">
      <c r="G3" s="17"/>
      <c r="I3" s="17"/>
      <c r="P3" s="81" t="s">
        <v>191</v>
      </c>
      <c r="Q3" s="81" t="s">
        <v>194</v>
      </c>
      <c r="R3" s="81" t="s">
        <v>190</v>
      </c>
      <c r="T3" s="81" t="s">
        <v>191</v>
      </c>
      <c r="U3" s="81" t="s">
        <v>194</v>
      </c>
      <c r="V3" s="81" t="s">
        <v>196</v>
      </c>
      <c r="W3" s="81" t="s">
        <v>190</v>
      </c>
      <c r="X3" s="81" t="s">
        <v>196</v>
      </c>
      <c r="Y3" s="81" t="s">
        <v>206</v>
      </c>
    </row>
    <row r="4" spans="2:38" x14ac:dyDescent="0.25">
      <c r="G4" s="17"/>
      <c r="I4" s="17"/>
      <c r="P4" s="81"/>
      <c r="Q4" s="81"/>
      <c r="R4" s="81"/>
      <c r="T4" s="115" t="s">
        <v>294</v>
      </c>
      <c r="U4" s="116"/>
      <c r="V4" s="116"/>
      <c r="W4" s="116"/>
      <c r="X4" s="116"/>
      <c r="Y4" s="116"/>
      <c r="Z4" s="116"/>
      <c r="AI4" t="s">
        <v>302</v>
      </c>
    </row>
    <row r="5" spans="2:38" x14ac:dyDescent="0.25">
      <c r="E5" s="2" t="s">
        <v>0</v>
      </c>
      <c r="F5" s="2" t="s">
        <v>143</v>
      </c>
      <c r="G5" s="2" t="s">
        <v>157</v>
      </c>
      <c r="H5" s="2" t="s">
        <v>160</v>
      </c>
      <c r="I5" s="2" t="s">
        <v>154</v>
      </c>
      <c r="J5" s="2" t="s">
        <v>150</v>
      </c>
      <c r="K5" s="2" t="s">
        <v>151</v>
      </c>
      <c r="L5" s="2" t="s">
        <v>23</v>
      </c>
      <c r="M5" s="2" t="s">
        <v>161</v>
      </c>
      <c r="N5" s="2" t="s">
        <v>249</v>
      </c>
      <c r="P5" s="2" t="s">
        <v>191</v>
      </c>
      <c r="Q5" s="2" t="s">
        <v>194</v>
      </c>
      <c r="R5" s="2" t="s">
        <v>193</v>
      </c>
      <c r="T5" s="2" t="s">
        <v>195</v>
      </c>
      <c r="U5" s="2" t="s">
        <v>194</v>
      </c>
      <c r="V5" s="2" t="s">
        <v>196</v>
      </c>
      <c r="W5" s="2" t="s">
        <v>190</v>
      </c>
      <c r="X5" s="2" t="s">
        <v>197</v>
      </c>
      <c r="Y5" s="2" t="s">
        <v>207</v>
      </c>
      <c r="Z5" s="2" t="s">
        <v>275</v>
      </c>
      <c r="AA5" s="107" t="s">
        <v>279</v>
      </c>
      <c r="AB5" s="106" t="s">
        <v>283</v>
      </c>
    </row>
    <row r="6" spans="2:38" s="92" customFormat="1" hidden="1" outlineLevel="3" x14ac:dyDescent="0.25">
      <c r="B6" s="92" t="str">
        <f>$G$1&amp;C6&amp;D6</f>
        <v>SN0011Equity-Managed-Mutual Funds-International</v>
      </c>
      <c r="C6" s="92">
        <v>1</v>
      </c>
      <c r="D6" s="92" t="str">
        <f>D9</f>
        <v>Equity-Managed-Mutual Funds-International</v>
      </c>
      <c r="E6" s="97" t="str">
        <f>IFERROR(VLOOKUP(B6,Sort!$A:$F,5,0),"-")</f>
        <v>Motilal Oswal Nasdaq 100 Fund of Fund- Direct Plan Growth</v>
      </c>
      <c r="F6" s="93">
        <v>0</v>
      </c>
      <c r="G6" s="94"/>
      <c r="H6" s="93">
        <f>W6</f>
        <v>64295.199999999997</v>
      </c>
      <c r="I6" s="94">
        <f t="shared" ref="I6:I37" si="0">H6/H$123</f>
        <v>8.9893603746396364E-2</v>
      </c>
      <c r="J6" s="95">
        <f>R6</f>
        <v>50000</v>
      </c>
      <c r="K6" s="93">
        <f t="shared" ref="K6:K8" si="1">H6</f>
        <v>64295.199999999997</v>
      </c>
      <c r="L6" s="93">
        <f t="shared" ref="L6:L113" si="2">K6-J6</f>
        <v>14295.199999999997</v>
      </c>
      <c r="M6" s="94">
        <f>IFERROR(L6/J6,"-")</f>
        <v>0.28590399999999994</v>
      </c>
      <c r="N6" s="95"/>
      <c r="P6" s="93">
        <f>SUMIFS('PF Holdings_diff dates'!$N:$N,'PF Holdings_diff dates'!$I:$I,$E6,'PF Holdings_diff dates'!$G:$G,$G$1,'PF Holdings_diff dates'!$Q:$Q,P$3)</f>
        <v>50000</v>
      </c>
      <c r="Q6" s="93">
        <f t="shared" ref="Q6:Q123" si="3">R6-P6</f>
        <v>0</v>
      </c>
      <c r="R6" s="93">
        <f>SUMIFS('PF Holdings_diff dates'!$N:$N,'PF Holdings_diff dates'!$I:$I,$E6,'PF Holdings_diff dates'!$G:$G,$G$1,'PF Holdings_diff dates'!$Q:$Q,R$3)</f>
        <v>50000</v>
      </c>
      <c r="T6" s="93">
        <f>SUMIFS('PF Holdings_diff dates'!$O:$O,'PF Holdings_diff dates'!$I:$I,$E6,'PF Holdings_diff dates'!$G:$G,$G$1,'PF Holdings_diff dates'!$Q:$Q,T$3)</f>
        <v>57786.44</v>
      </c>
      <c r="U6" s="93">
        <f t="shared" ref="U6:U123" si="4">Q6</f>
        <v>0</v>
      </c>
      <c r="V6" s="93">
        <f t="shared" ref="V6:V123" si="5">W6-(T6+U6)</f>
        <v>6508.7599999999948</v>
      </c>
      <c r="W6" s="93">
        <f>SUMIFS('PF Holdings_diff dates'!$O:$O,'PF Holdings_diff dates'!$I:$I,$E6,'PF Holdings_diff dates'!$G:$G,$G$1,'PF Holdings_diff dates'!$Q:$Q,W$3)</f>
        <v>64295.199999999997</v>
      </c>
      <c r="X6" s="96">
        <f>IFERROR((V6/(T6+U6)),"-")</f>
        <v>0.11263472883949928</v>
      </c>
      <c r="Y6" s="96">
        <f>IF(E6="-","-",VLOOKUP(D6,'Category level Benchmark and tr'!$A:$G,7,0))</f>
        <v>0.12674678473539958</v>
      </c>
      <c r="Z6" s="96"/>
      <c r="AA6" s="108" t="s">
        <v>256</v>
      </c>
      <c r="AB6" s="109"/>
    </row>
    <row r="7" spans="2:38" s="92" customFormat="1" hidden="1" outlineLevel="3" x14ac:dyDescent="0.25">
      <c r="B7" s="92" t="str">
        <f t="shared" ref="B7:B8" si="6">$G$1&amp;C7&amp;D7</f>
        <v>SN0012Equity-Managed-Mutual Funds-International</v>
      </c>
      <c r="C7" s="92">
        <f>C6+1</f>
        <v>2</v>
      </c>
      <c r="D7" s="92" t="str">
        <f>D6</f>
        <v>Equity-Managed-Mutual Funds-International</v>
      </c>
      <c r="E7" s="97" t="str">
        <f>IFERROR(VLOOKUP(B7,Sort!$A:$F,5,0),"-")</f>
        <v>-</v>
      </c>
      <c r="F7" s="93">
        <v>0</v>
      </c>
      <c r="G7" s="94"/>
      <c r="H7" s="93">
        <f t="shared" ref="H7:H8" si="7">W7</f>
        <v>0</v>
      </c>
      <c r="I7" s="94">
        <f t="shared" si="0"/>
        <v>0</v>
      </c>
      <c r="J7" s="95">
        <f t="shared" ref="J7:J8" si="8">R7</f>
        <v>0</v>
      </c>
      <c r="K7" s="93">
        <f t="shared" si="1"/>
        <v>0</v>
      </c>
      <c r="L7" s="93">
        <f t="shared" si="2"/>
        <v>0</v>
      </c>
      <c r="M7" s="94" t="str">
        <f>IFERROR(L7/J7,"-")</f>
        <v>-</v>
      </c>
      <c r="N7" s="95"/>
      <c r="P7" s="93">
        <f>SUMIFS('PF Holdings_diff dates'!$N:$N,'PF Holdings_diff dates'!$I:$I,$E7,'PF Holdings_diff dates'!$G:$G,$G$1,'PF Holdings_diff dates'!$Q:$Q,P$3)</f>
        <v>0</v>
      </c>
      <c r="Q7" s="93">
        <f t="shared" si="3"/>
        <v>0</v>
      </c>
      <c r="R7" s="93">
        <f>SUMIFS('PF Holdings_diff dates'!$N:$N,'PF Holdings_diff dates'!$I:$I,$E7,'PF Holdings_diff dates'!$G:$G,$G$1,'PF Holdings_diff dates'!$Q:$Q,R$3)</f>
        <v>0</v>
      </c>
      <c r="T7" s="93">
        <f>SUMIFS('PF Holdings_diff dates'!$O:$O,'PF Holdings_diff dates'!$I:$I,$E7,'PF Holdings_diff dates'!$G:$G,$G$1,'PF Holdings_diff dates'!$Q:$Q,T$3)</f>
        <v>0</v>
      </c>
      <c r="U7" s="93">
        <f t="shared" si="4"/>
        <v>0</v>
      </c>
      <c r="V7" s="93">
        <f t="shared" si="5"/>
        <v>0</v>
      </c>
      <c r="W7" s="93">
        <f>SUMIFS('PF Holdings_diff dates'!$O:$O,'PF Holdings_diff dates'!$I:$I,$E7,'PF Holdings_diff dates'!$G:$G,$G$1,'PF Holdings_diff dates'!$Q:$Q,W$3)</f>
        <v>0</v>
      </c>
      <c r="X7" s="96" t="str">
        <f t="shared" ref="X7:X8" si="9">IFERROR((V7/(T7+U7)),"-")</f>
        <v>-</v>
      </c>
      <c r="Y7" s="96" t="str">
        <f>IF(E7="-","-",VLOOKUP(D7,'Category level Benchmark and tr'!$A:$G,7,0))</f>
        <v>-</v>
      </c>
      <c r="Z7" s="96"/>
      <c r="AA7" s="108"/>
      <c r="AB7" s="109"/>
    </row>
    <row r="8" spans="2:38" s="92" customFormat="1" hidden="1" outlineLevel="3" x14ac:dyDescent="0.25">
      <c r="B8" s="92" t="str">
        <f t="shared" si="6"/>
        <v>SN0013Equity-Managed-Mutual Funds-International</v>
      </c>
      <c r="C8" s="92">
        <f>C7+1</f>
        <v>3</v>
      </c>
      <c r="D8" s="92" t="str">
        <f>D7</f>
        <v>Equity-Managed-Mutual Funds-International</v>
      </c>
      <c r="E8" s="97" t="str">
        <f>IFERROR(VLOOKUP(B8,Sort!$A:$F,5,0),"-")</f>
        <v>-</v>
      </c>
      <c r="F8" s="93">
        <v>0</v>
      </c>
      <c r="G8" s="94"/>
      <c r="H8" s="93">
        <f t="shared" si="7"/>
        <v>0</v>
      </c>
      <c r="I8" s="94">
        <f t="shared" si="0"/>
        <v>0</v>
      </c>
      <c r="J8" s="95">
        <f t="shared" si="8"/>
        <v>0</v>
      </c>
      <c r="K8" s="93">
        <f t="shared" si="1"/>
        <v>0</v>
      </c>
      <c r="L8" s="93">
        <f t="shared" si="2"/>
        <v>0</v>
      </c>
      <c r="M8" s="94" t="str">
        <f>IFERROR(L8/J8,"-")</f>
        <v>-</v>
      </c>
      <c r="N8" s="95"/>
      <c r="P8" s="93">
        <f>SUMIFS('PF Holdings_diff dates'!$N:$N,'PF Holdings_diff dates'!$I:$I,$E8,'PF Holdings_diff dates'!$G:$G,$G$1,'PF Holdings_diff dates'!$Q:$Q,P$3)</f>
        <v>0</v>
      </c>
      <c r="Q8" s="93">
        <f t="shared" si="3"/>
        <v>0</v>
      </c>
      <c r="R8" s="93">
        <f>SUMIFS('PF Holdings_diff dates'!$N:$N,'PF Holdings_diff dates'!$I:$I,$E8,'PF Holdings_diff dates'!$G:$G,$G$1,'PF Holdings_diff dates'!$Q:$Q,R$3)</f>
        <v>0</v>
      </c>
      <c r="T8" s="93">
        <f>SUMIFS('PF Holdings_diff dates'!$O:$O,'PF Holdings_diff dates'!$I:$I,$E8,'PF Holdings_diff dates'!$G:$G,$G$1,'PF Holdings_diff dates'!$Q:$Q,T$3)</f>
        <v>0</v>
      </c>
      <c r="U8" s="93">
        <f t="shared" si="4"/>
        <v>0</v>
      </c>
      <c r="V8" s="93">
        <f t="shared" si="5"/>
        <v>0</v>
      </c>
      <c r="W8" s="93">
        <f>SUMIFS('PF Holdings_diff dates'!$O:$O,'PF Holdings_diff dates'!$I:$I,$E8,'PF Holdings_diff dates'!$G:$G,$G$1,'PF Holdings_diff dates'!$Q:$Q,W$3)</f>
        <v>0</v>
      </c>
      <c r="X8" s="96" t="str">
        <f t="shared" si="9"/>
        <v>-</v>
      </c>
      <c r="Y8" s="96" t="str">
        <f>IF(E8="-","-",VLOOKUP(D8,'Category level Benchmark and tr'!$A:$G,7,0))</f>
        <v>-</v>
      </c>
      <c r="Z8" s="96"/>
      <c r="AA8" s="108"/>
      <c r="AB8" s="109"/>
    </row>
    <row r="9" spans="2:38" hidden="1" outlineLevel="2" x14ac:dyDescent="0.25">
      <c r="D9" t="s">
        <v>105</v>
      </c>
      <c r="E9" s="56" t="s">
        <v>12</v>
      </c>
      <c r="F9" s="53">
        <f>'AA Decision View'!Q15</f>
        <v>48278.473875000003</v>
      </c>
      <c r="G9" s="101">
        <f>F9/F$123</f>
        <v>6.7499999999999991E-2</v>
      </c>
      <c r="H9" s="53">
        <f>'AA Decision View'!S15</f>
        <v>64295.199999999997</v>
      </c>
      <c r="I9" s="101">
        <f t="shared" si="0"/>
        <v>8.9893603746396364E-2</v>
      </c>
      <c r="J9" s="54">
        <f>'AA Decision View'!V15</f>
        <v>50000</v>
      </c>
      <c r="K9" s="53">
        <f>H9</f>
        <v>64295.199999999997</v>
      </c>
      <c r="L9" s="53">
        <f>K9-J9</f>
        <v>14295.199999999997</v>
      </c>
      <c r="M9" s="101">
        <f>IFERROR(L9/J9,"n/a")</f>
        <v>0.28590399999999994</v>
      </c>
      <c r="N9" s="54">
        <f>F9-K9</f>
        <v>-16016.726124999994</v>
      </c>
      <c r="P9" s="53">
        <f>SUMIFS('PF Holdings_diff dates'!$N:$N,'PF Holdings_diff dates'!$A:$A,$D9,'PF Holdings_diff dates'!$G:$G,$G$1,'PF Holdings_diff dates'!$Q:$Q,P$3)</f>
        <v>50000</v>
      </c>
      <c r="Q9" s="53">
        <f>R9-P9</f>
        <v>0</v>
      </c>
      <c r="R9" s="53">
        <f>SUMIFS('PF Holdings_diff dates'!$N:$N,'PF Holdings_diff dates'!$A:$A,$D9,'PF Holdings_diff dates'!$G:$G,$G$1,'PF Holdings_diff dates'!$Q:$Q,R$3)</f>
        <v>50000</v>
      </c>
      <c r="T9" s="53">
        <f>SUMIFS('PF Holdings_diff dates'!$O:$O,'PF Holdings_diff dates'!$A:$A,$D9,'PF Holdings_diff dates'!$G:$G,$G$1,'PF Holdings_diff dates'!$Q:$Q,T$3)</f>
        <v>57786.44</v>
      </c>
      <c r="U9" s="53">
        <f>Q9</f>
        <v>0</v>
      </c>
      <c r="V9" s="53">
        <f>W9-(T9+U9)</f>
        <v>6508.7599999999948</v>
      </c>
      <c r="W9" s="53">
        <f>SUMIFS('PF Holdings_diff dates'!$O:$O,'PF Holdings_diff dates'!$A:$A,$D9,'PF Holdings_diff dates'!$G:$G,$G$1,'PF Holdings_diff dates'!$Q:$Q,W$3)</f>
        <v>64295.199999999997</v>
      </c>
      <c r="X9" s="102">
        <f>IFERROR((V9/(T9+U9)),"n/a")</f>
        <v>0.11263472883949928</v>
      </c>
      <c r="Y9" s="102">
        <f>IFERROR(VLOOKUP(D9,'Category level Benchmark and tr'!$A:$G,7,0),0)</f>
        <v>0.12674678473539958</v>
      </c>
      <c r="Z9" s="84">
        <f>Y9</f>
        <v>0.12674678473539958</v>
      </c>
      <c r="AA9" s="110"/>
      <c r="AB9" s="31"/>
      <c r="AF9" t="s">
        <v>297</v>
      </c>
      <c r="AG9" t="s">
        <v>298</v>
      </c>
      <c r="AH9" t="s">
        <v>301</v>
      </c>
      <c r="AI9" t="s">
        <v>22</v>
      </c>
      <c r="AJ9" t="s">
        <v>24</v>
      </c>
      <c r="AK9" t="s">
        <v>304</v>
      </c>
      <c r="AL9" t="s">
        <v>4</v>
      </c>
    </row>
    <row r="10" spans="2:38" s="92" customFormat="1" hidden="1" outlineLevel="3" x14ac:dyDescent="0.25">
      <c r="B10" s="92" t="str">
        <f>$G$1&amp;C10&amp;D10</f>
        <v>SN0011Equity-Managed-ETF-Large Cap</v>
      </c>
      <c r="C10" s="92">
        <v>1</v>
      </c>
      <c r="D10" s="92" t="str">
        <f>D13</f>
        <v>Equity-Managed-ETF-Large Cap</v>
      </c>
      <c r="E10" s="97" t="str">
        <f>IFERROR(VLOOKUP(B10,Sort!$A:$F,5,0),"-")</f>
        <v>-</v>
      </c>
      <c r="F10" s="93">
        <v>0</v>
      </c>
      <c r="G10" s="103"/>
      <c r="H10" s="93">
        <f>W10</f>
        <v>0</v>
      </c>
      <c r="I10" s="103">
        <f t="shared" si="0"/>
        <v>0</v>
      </c>
      <c r="J10" s="95">
        <f>R10</f>
        <v>0</v>
      </c>
      <c r="K10" s="93">
        <f t="shared" ref="K10" si="10">H10</f>
        <v>0</v>
      </c>
      <c r="L10" s="93">
        <f t="shared" ref="L10" si="11">K10-J10</f>
        <v>0</v>
      </c>
      <c r="M10" s="103" t="str">
        <f t="shared" ref="M10" si="12">IFERROR(L10/J10,"n/a")</f>
        <v>n/a</v>
      </c>
      <c r="N10" s="95"/>
      <c r="P10" s="93">
        <f>SUMIFS('PF Holdings_diff dates'!$N:$N,'PF Holdings_diff dates'!$I:$I,$E10,'PF Holdings_diff dates'!$G:$G,$G$1,'PF Holdings_diff dates'!$Q:$Q,P$3)</f>
        <v>0</v>
      </c>
      <c r="Q10" s="93">
        <f t="shared" si="3"/>
        <v>0</v>
      </c>
      <c r="R10" s="93">
        <f>SUMIFS('PF Holdings_diff dates'!$N:$N,'PF Holdings_diff dates'!$I:$I,$E10,'PF Holdings_diff dates'!$G:$G,$G$1,'PF Holdings_diff dates'!$Q:$Q,R$3)</f>
        <v>0</v>
      </c>
      <c r="T10" s="93">
        <f>SUMIFS('PF Holdings_diff dates'!$O:$O,'PF Holdings_diff dates'!$I:$I,$E10,'PF Holdings_diff dates'!$G:$G,$G$1,'PF Holdings_diff dates'!$Q:$Q,T$3)</f>
        <v>0</v>
      </c>
      <c r="U10" s="93">
        <f t="shared" ref="U10" si="13">Q10</f>
        <v>0</v>
      </c>
      <c r="V10" s="93">
        <f t="shared" ref="V10" si="14">W10-(T10+U10)</f>
        <v>0</v>
      </c>
      <c r="W10" s="93">
        <f>SUMIFS('PF Holdings_diff dates'!$O:$O,'PF Holdings_diff dates'!$I:$I,$E10,'PF Holdings_diff dates'!$G:$G,$G$1,'PF Holdings_diff dates'!$Q:$Q,W$3)</f>
        <v>0</v>
      </c>
      <c r="X10" s="104" t="str">
        <f>IFERROR((V10/(T10+U10)),"-")</f>
        <v>-</v>
      </c>
      <c r="Y10" s="104" t="str">
        <f>IF(E10="-","-",VLOOKUP(D10,'Category level Benchmark and tr'!$A:$G,7,0))</f>
        <v>-</v>
      </c>
      <c r="Z10" s="96"/>
      <c r="AA10" s="108" t="s">
        <v>256</v>
      </c>
      <c r="AB10" s="109"/>
    </row>
    <row r="11" spans="2:38" s="92" customFormat="1" hidden="1" outlineLevel="3" x14ac:dyDescent="0.25">
      <c r="B11" s="92" t="str">
        <f t="shared" ref="B11:B12" si="15">$G$1&amp;C11&amp;D11</f>
        <v>SN0012Equity-Managed-ETF-Large Cap</v>
      </c>
      <c r="C11" s="92">
        <f>C10+1</f>
        <v>2</v>
      </c>
      <c r="D11" s="92" t="str">
        <f>D10</f>
        <v>Equity-Managed-ETF-Large Cap</v>
      </c>
      <c r="E11" s="97" t="str">
        <f>IFERROR(VLOOKUP(B11,Sort!$A:$F,5,0),"-")</f>
        <v>-</v>
      </c>
      <c r="F11" s="93">
        <v>0</v>
      </c>
      <c r="G11" s="103"/>
      <c r="H11" s="93">
        <f t="shared" ref="H11:H12" si="16">W11</f>
        <v>0</v>
      </c>
      <c r="I11" s="103">
        <f t="shared" si="0"/>
        <v>0</v>
      </c>
      <c r="J11" s="95">
        <f t="shared" ref="J11:J12" si="17">R11</f>
        <v>0</v>
      </c>
      <c r="K11" s="93">
        <f t="shared" ref="K11" si="18">H11</f>
        <v>0</v>
      </c>
      <c r="L11" s="93">
        <f t="shared" ref="L11" si="19">K11-J11</f>
        <v>0</v>
      </c>
      <c r="M11" s="103" t="str">
        <f t="shared" ref="M11" si="20">IFERROR(L11/J11,"n/a")</f>
        <v>n/a</v>
      </c>
      <c r="N11" s="95"/>
      <c r="P11" s="93">
        <f>SUMIFS('PF Holdings_diff dates'!$N:$N,'PF Holdings_diff dates'!$I:$I,$E11,'PF Holdings_diff dates'!$G:$G,$G$1,'PF Holdings_diff dates'!$Q:$Q,P$3)</f>
        <v>0</v>
      </c>
      <c r="Q11" s="93">
        <f t="shared" si="3"/>
        <v>0</v>
      </c>
      <c r="R11" s="93">
        <f>SUMIFS('PF Holdings_diff dates'!$N:$N,'PF Holdings_diff dates'!$I:$I,$E11,'PF Holdings_diff dates'!$G:$G,$G$1,'PF Holdings_diff dates'!$Q:$Q,R$3)</f>
        <v>0</v>
      </c>
      <c r="T11" s="93">
        <f>SUMIFS('PF Holdings_diff dates'!$O:$O,'PF Holdings_diff dates'!$I:$I,$E11,'PF Holdings_diff dates'!$G:$G,$G$1,'PF Holdings_diff dates'!$Q:$Q,T$3)</f>
        <v>0</v>
      </c>
      <c r="U11" s="93">
        <f t="shared" ref="U11" si="21">Q11</f>
        <v>0</v>
      </c>
      <c r="V11" s="93">
        <f t="shared" ref="V11" si="22">W11-(T11+U11)</f>
        <v>0</v>
      </c>
      <c r="W11" s="93">
        <f>SUMIFS('PF Holdings_diff dates'!$O:$O,'PF Holdings_diff dates'!$I:$I,$E11,'PF Holdings_diff dates'!$G:$G,$G$1,'PF Holdings_diff dates'!$Q:$Q,W$3)</f>
        <v>0</v>
      </c>
      <c r="X11" s="104" t="str">
        <f t="shared" ref="X11:X12" si="23">IFERROR((V11/(T11+U11)),"-")</f>
        <v>-</v>
      </c>
      <c r="Y11" s="104" t="str">
        <f>IF(E11="-","-",VLOOKUP(D11,'Category level Benchmark and tr'!$A:$G,7,0))</f>
        <v>-</v>
      </c>
      <c r="Z11" s="96"/>
      <c r="AA11" s="108" t="s">
        <v>256</v>
      </c>
      <c r="AB11" s="111"/>
    </row>
    <row r="12" spans="2:38" s="92" customFormat="1" hidden="1" outlineLevel="3" x14ac:dyDescent="0.25">
      <c r="B12" s="92" t="str">
        <f t="shared" si="15"/>
        <v>SN0013Equity-Managed-ETF-Large Cap</v>
      </c>
      <c r="C12" s="92">
        <f>C11+1</f>
        <v>3</v>
      </c>
      <c r="D12" s="92" t="str">
        <f>D11</f>
        <v>Equity-Managed-ETF-Large Cap</v>
      </c>
      <c r="E12" s="97" t="str">
        <f>IFERROR(VLOOKUP(B12,Sort!$A:$F,5,0),"-")</f>
        <v>-</v>
      </c>
      <c r="F12" s="93">
        <v>0</v>
      </c>
      <c r="G12" s="103"/>
      <c r="H12" s="93">
        <f t="shared" si="16"/>
        <v>0</v>
      </c>
      <c r="I12" s="103">
        <f t="shared" si="0"/>
        <v>0</v>
      </c>
      <c r="J12" s="95">
        <f t="shared" si="17"/>
        <v>0</v>
      </c>
      <c r="K12" s="93">
        <f t="shared" ref="K12" si="24">H12</f>
        <v>0</v>
      </c>
      <c r="L12" s="93">
        <f t="shared" ref="L12" si="25">K12-J12</f>
        <v>0</v>
      </c>
      <c r="M12" s="103" t="str">
        <f t="shared" ref="M12" si="26">IFERROR(L12/J12,"n/a")</f>
        <v>n/a</v>
      </c>
      <c r="N12" s="95"/>
      <c r="P12" s="93">
        <f>SUMIFS('PF Holdings_diff dates'!$N:$N,'PF Holdings_diff dates'!$I:$I,$E12,'PF Holdings_diff dates'!$G:$G,$G$1,'PF Holdings_diff dates'!$Q:$Q,P$3)</f>
        <v>0</v>
      </c>
      <c r="Q12" s="93">
        <f t="shared" si="3"/>
        <v>0</v>
      </c>
      <c r="R12" s="93">
        <f>SUMIFS('PF Holdings_diff dates'!$N:$N,'PF Holdings_diff dates'!$I:$I,$E12,'PF Holdings_diff dates'!$G:$G,$G$1,'PF Holdings_diff dates'!$Q:$Q,R$3)</f>
        <v>0</v>
      </c>
      <c r="T12" s="93">
        <f>SUMIFS('PF Holdings_diff dates'!$O:$O,'PF Holdings_diff dates'!$I:$I,$E12,'PF Holdings_diff dates'!$G:$G,$G$1,'PF Holdings_diff dates'!$Q:$Q,T$3)</f>
        <v>0</v>
      </c>
      <c r="U12" s="93">
        <f t="shared" ref="U12" si="27">Q12</f>
        <v>0</v>
      </c>
      <c r="V12" s="93">
        <f t="shared" ref="V12" si="28">W12-(T12+U12)</f>
        <v>0</v>
      </c>
      <c r="W12" s="93">
        <f>SUMIFS('PF Holdings_diff dates'!$O:$O,'PF Holdings_diff dates'!$I:$I,$E12,'PF Holdings_diff dates'!$G:$G,$G$1,'PF Holdings_diff dates'!$Q:$Q,W$3)</f>
        <v>0</v>
      </c>
      <c r="X12" s="104" t="str">
        <f t="shared" si="23"/>
        <v>-</v>
      </c>
      <c r="Y12" s="104" t="str">
        <f>IF(E12="-","-",VLOOKUP(D12,'Category level Benchmark and tr'!$A:$G,7,0))</f>
        <v>-</v>
      </c>
      <c r="Z12" s="96"/>
      <c r="AA12" s="108"/>
      <c r="AB12" s="109"/>
    </row>
    <row r="13" spans="2:38" hidden="1" outlineLevel="2" x14ac:dyDescent="0.25">
      <c r="D13" t="s">
        <v>103</v>
      </c>
      <c r="E13" s="56" t="s">
        <v>104</v>
      </c>
      <c r="F13" s="53">
        <f>'AA Decision View'!Q16</f>
        <v>96556.947750000007</v>
      </c>
      <c r="G13" s="101">
        <f>F13/F$123</f>
        <v>0.13499999999999998</v>
      </c>
      <c r="H13" s="53">
        <f>'AA Decision View'!S16</f>
        <v>0</v>
      </c>
      <c r="I13" s="101">
        <f t="shared" si="0"/>
        <v>0</v>
      </c>
      <c r="J13" s="54">
        <f>'AA Decision View'!V16</f>
        <v>0</v>
      </c>
      <c r="K13" s="53">
        <f>H13</f>
        <v>0</v>
      </c>
      <c r="L13" s="53">
        <f>K13-J13</f>
        <v>0</v>
      </c>
      <c r="M13" s="101" t="str">
        <f>IFERROR(L13/J13,"n/a")</f>
        <v>n/a</v>
      </c>
      <c r="N13" s="54">
        <f>F13-K13</f>
        <v>96556.947750000007</v>
      </c>
      <c r="P13" s="53">
        <f>SUMIFS('PF Holdings_diff dates'!$N:$N,'PF Holdings_diff dates'!$A:$A,$D13,'PF Holdings_diff dates'!$G:$G,$G$1,'PF Holdings_diff dates'!$Q:$Q,P$3)</f>
        <v>0</v>
      </c>
      <c r="Q13" s="53">
        <f>R13-P13</f>
        <v>0</v>
      </c>
      <c r="R13" s="53">
        <f>SUMIFS('PF Holdings_diff dates'!$N:$N,'PF Holdings_diff dates'!$A:$A,$D13,'PF Holdings_diff dates'!$G:$G,$G$1,'PF Holdings_diff dates'!$Q:$Q,R$3)</f>
        <v>0</v>
      </c>
      <c r="T13" s="53">
        <f>SUMIFS('PF Holdings_diff dates'!$O:$O,'PF Holdings_diff dates'!$A:$A,$D13,'PF Holdings_diff dates'!$G:$G,$G$1,'PF Holdings_diff dates'!$Q:$Q,T$3)</f>
        <v>0</v>
      </c>
      <c r="U13" s="53">
        <f>Q13</f>
        <v>0</v>
      </c>
      <c r="V13" s="53">
        <f>W13-(T13+U13)</f>
        <v>0</v>
      </c>
      <c r="W13" s="53">
        <f>SUMIFS('PF Holdings_diff dates'!$O:$O,'PF Holdings_diff dates'!$A:$A,$D13,'PF Holdings_diff dates'!$G:$G,$G$1,'PF Holdings_diff dates'!$Q:$Q,W$3)</f>
        <v>0</v>
      </c>
      <c r="X13" s="102" t="str">
        <f>IFERROR((V13/(T13+U13)),"n/a")</f>
        <v>n/a</v>
      </c>
      <c r="Y13" s="102">
        <f>IFERROR(VLOOKUP(D13,'Category level Benchmark and tr'!$A:$G,7,0),0)</f>
        <v>0.15995255257995344</v>
      </c>
      <c r="Z13" s="84">
        <f>Y13</f>
        <v>0.15995255257995344</v>
      </c>
      <c r="AA13" s="110"/>
      <c r="AB13" s="31"/>
      <c r="AC13" s="79" t="s">
        <v>299</v>
      </c>
      <c r="AD13" s="79" t="s">
        <v>295</v>
      </c>
      <c r="AE13" s="79" t="s">
        <v>296</v>
      </c>
      <c r="AF13" s="79">
        <v>10</v>
      </c>
      <c r="AG13" s="79">
        <v>1000</v>
      </c>
      <c r="AH13">
        <f>AF13*AG13</f>
        <v>10000</v>
      </c>
      <c r="AI13" s="113">
        <v>1001</v>
      </c>
      <c r="AJ13">
        <f>AF13*AI13</f>
        <v>10010</v>
      </c>
      <c r="AK13">
        <f t="shared" ref="AK13:AK22" si="29">AJ13-AH13</f>
        <v>10</v>
      </c>
      <c r="AL13" t="s">
        <v>305</v>
      </c>
    </row>
    <row r="14" spans="2:38" s="92" customFormat="1" hidden="1" outlineLevel="3" x14ac:dyDescent="0.25">
      <c r="B14" s="92" t="str">
        <f>$G$1&amp;C14&amp;D14</f>
        <v>SN0011Equity-Managed-Mutual Funds-Large Cap</v>
      </c>
      <c r="C14" s="92">
        <v>1</v>
      </c>
      <c r="D14" s="92" t="str">
        <f>D22</f>
        <v>Equity-Managed-Mutual Funds-Large Cap</v>
      </c>
      <c r="E14" s="97" t="str">
        <f>IFERROR(VLOOKUP(B14,Sort!$A:$F,5,0),"-")</f>
        <v>ICICI Prudential Nifty 50 Index Fund - Direct Plan Cumulative Option</v>
      </c>
      <c r="F14" s="93">
        <v>0</v>
      </c>
      <c r="G14" s="103"/>
      <c r="H14" s="93">
        <f>W14</f>
        <v>158035.91</v>
      </c>
      <c r="I14" s="103">
        <f t="shared" si="0"/>
        <v>0.22095611291731201</v>
      </c>
      <c r="J14" s="95">
        <f>R14</f>
        <v>113000</v>
      </c>
      <c r="K14" s="93">
        <f t="shared" ref="K14:K42" si="30">H14</f>
        <v>158035.91</v>
      </c>
      <c r="L14" s="93">
        <f t="shared" si="2"/>
        <v>45035.91</v>
      </c>
      <c r="M14" s="103">
        <f t="shared" ref="M14:M123" si="31">IFERROR(L14/J14,"n/a")</f>
        <v>0.39854787610619474</v>
      </c>
      <c r="N14" s="95"/>
      <c r="P14" s="93">
        <f>SUMIFS('PF Holdings_diff dates'!$N:$N,'PF Holdings_diff dates'!$I:$I,$E14,'PF Holdings_diff dates'!$G:$G,$G$1,'PF Holdings_diff dates'!$Q:$Q,P$3)</f>
        <v>113000</v>
      </c>
      <c r="Q14" s="93">
        <f t="shared" si="3"/>
        <v>0</v>
      </c>
      <c r="R14" s="93">
        <f>SUMIFS('PF Holdings_diff dates'!$N:$N,'PF Holdings_diff dates'!$I:$I,$E14,'PF Holdings_diff dates'!$G:$G,$G$1,'PF Holdings_diff dates'!$Q:$Q,R$3)</f>
        <v>113000</v>
      </c>
      <c r="T14" s="93">
        <f>SUMIFS('PF Holdings_diff dates'!$O:$O,'PF Holdings_diff dates'!$I:$I,$E14,'PF Holdings_diff dates'!$G:$G,$G$1,'PF Holdings_diff dates'!$Q:$Q,T$3)</f>
        <v>140005.96000000002</v>
      </c>
      <c r="U14" s="93">
        <f t="shared" si="4"/>
        <v>0</v>
      </c>
      <c r="V14" s="93">
        <f t="shared" si="5"/>
        <v>18029.949999999983</v>
      </c>
      <c r="W14" s="93">
        <f>SUMIFS('PF Holdings_diff dates'!$O:$O,'PF Holdings_diff dates'!$I:$I,$E14,'PF Holdings_diff dates'!$G:$G,$G$1,'PF Holdings_diff dates'!$Q:$Q,W$3)</f>
        <v>158035.91</v>
      </c>
      <c r="X14" s="104">
        <f t="shared" ref="X14:X21" si="32">IFERROR((V14/(T14+U14)),"-")</f>
        <v>0.12877987479961553</v>
      </c>
      <c r="Y14" s="104">
        <f>IF(E14="-","-",VLOOKUP(D14,'Category level Benchmark and tr'!$A:$G,7,0))</f>
        <v>0.15995255257995344</v>
      </c>
      <c r="Z14" s="96"/>
      <c r="AA14" s="108" t="s">
        <v>280</v>
      </c>
      <c r="AB14" s="111">
        <v>-200000</v>
      </c>
      <c r="AI14" s="114"/>
      <c r="AK14">
        <f t="shared" si="29"/>
        <v>0</v>
      </c>
    </row>
    <row r="15" spans="2:38" s="92" customFormat="1" hidden="1" outlineLevel="3" x14ac:dyDescent="0.25">
      <c r="B15" s="92" t="str">
        <f t="shared" ref="B15" si="33">$G$1&amp;C15&amp;D15</f>
        <v>SN0012Equity-Managed-Mutual Funds-Large Cap</v>
      </c>
      <c r="C15" s="92">
        <f>C14+1</f>
        <v>2</v>
      </c>
      <c r="D15" s="92" t="str">
        <f>D14</f>
        <v>Equity-Managed-Mutual Funds-Large Cap</v>
      </c>
      <c r="E15" s="97" t="str">
        <f>IFERROR(VLOOKUP(B15,Sort!$A:$F,5,0),"-")</f>
        <v>ICICI Prudential Nifty Next 50 Index Fund - Direct Plan - Growth</v>
      </c>
      <c r="F15" s="93">
        <v>0</v>
      </c>
      <c r="G15" s="103"/>
      <c r="H15" s="93">
        <f t="shared" ref="H15" si="34">W15</f>
        <v>50337.3</v>
      </c>
      <c r="I15" s="103">
        <f t="shared" si="0"/>
        <v>7.0378524366725329E-2</v>
      </c>
      <c r="J15" s="95">
        <f t="shared" ref="J15" si="35">R15</f>
        <v>30000</v>
      </c>
      <c r="K15" s="93">
        <f t="shared" si="30"/>
        <v>50337.3</v>
      </c>
      <c r="L15" s="93">
        <f t="shared" si="2"/>
        <v>20337.300000000003</v>
      </c>
      <c r="M15" s="103">
        <f t="shared" si="31"/>
        <v>0.67791000000000012</v>
      </c>
      <c r="N15" s="95"/>
      <c r="P15" s="93">
        <f>SUMIFS('PF Holdings_diff dates'!$N:$N,'PF Holdings_diff dates'!$I:$I,$E15,'PF Holdings_diff dates'!$G:$G,$G$1,'PF Holdings_diff dates'!$Q:$Q,P$3)</f>
        <v>30000</v>
      </c>
      <c r="Q15" s="93">
        <f t="shared" si="3"/>
        <v>0</v>
      </c>
      <c r="R15" s="93">
        <f>SUMIFS('PF Holdings_diff dates'!$N:$N,'PF Holdings_diff dates'!$I:$I,$E15,'PF Holdings_diff dates'!$G:$G,$G$1,'PF Holdings_diff dates'!$Q:$Q,R$3)</f>
        <v>30000</v>
      </c>
      <c r="T15" s="93">
        <f>SUMIFS('PF Holdings_diff dates'!$O:$O,'PF Holdings_diff dates'!$I:$I,$E15,'PF Holdings_diff dates'!$G:$G,$G$1,'PF Holdings_diff dates'!$Q:$Q,T$3)</f>
        <v>36849.47</v>
      </c>
      <c r="U15" s="93">
        <f t="shared" si="4"/>
        <v>0</v>
      </c>
      <c r="V15" s="93">
        <f t="shared" si="5"/>
        <v>13487.830000000002</v>
      </c>
      <c r="W15" s="93">
        <f>SUMIFS('PF Holdings_diff dates'!$O:$O,'PF Holdings_diff dates'!$I:$I,$E15,'PF Holdings_diff dates'!$G:$G,$G$1,'PF Holdings_diff dates'!$Q:$Q,W$3)</f>
        <v>50337.3</v>
      </c>
      <c r="X15" s="104">
        <f t="shared" si="32"/>
        <v>0.3660250744447614</v>
      </c>
      <c r="Y15" s="104">
        <f>IF(E15="-","-",VLOOKUP(D15,'Category level Benchmark and tr'!$A:$G,7,0))</f>
        <v>0.15995255257995344</v>
      </c>
      <c r="Z15" s="96"/>
      <c r="AA15" s="108" t="s">
        <v>256</v>
      </c>
      <c r="AB15" s="109"/>
      <c r="AI15" s="114"/>
      <c r="AK15">
        <f t="shared" si="29"/>
        <v>0</v>
      </c>
    </row>
    <row r="16" spans="2:38" s="92" customFormat="1" hidden="1" outlineLevel="3" x14ac:dyDescent="0.25">
      <c r="B16" s="92" t="str">
        <f t="shared" ref="B16:B21" si="36">$G$1&amp;C16&amp;D16</f>
        <v>SN0013Equity-Managed-Mutual Funds-Large Cap</v>
      </c>
      <c r="C16" s="92">
        <f t="shared" ref="C16:C21" si="37">C15+1</f>
        <v>3</v>
      </c>
      <c r="D16" s="92" t="str">
        <f t="shared" ref="D16:D21" si="38">D15</f>
        <v>Equity-Managed-Mutual Funds-Large Cap</v>
      </c>
      <c r="E16" s="97" t="str">
        <f>IFERROR(VLOOKUP(B16,Sort!$A:$F,5,0),"-")</f>
        <v>-</v>
      </c>
      <c r="F16" s="93">
        <v>0</v>
      </c>
      <c r="G16" s="103"/>
      <c r="H16" s="93">
        <f t="shared" ref="H16:H21" si="39">W16</f>
        <v>0</v>
      </c>
      <c r="I16" s="103">
        <f t="shared" si="0"/>
        <v>0</v>
      </c>
      <c r="J16" s="95">
        <f t="shared" ref="J16:J21" si="40">R16</f>
        <v>0</v>
      </c>
      <c r="K16" s="93">
        <f t="shared" ref="K16:K21" si="41">H16</f>
        <v>0</v>
      </c>
      <c r="L16" s="93">
        <f t="shared" ref="L16:L21" si="42">K16-J16</f>
        <v>0</v>
      </c>
      <c r="M16" s="103" t="str">
        <f t="shared" ref="M16:M21" si="43">IFERROR(L16/J16,"n/a")</f>
        <v>n/a</v>
      </c>
      <c r="N16" s="95"/>
      <c r="P16" s="93">
        <f>SUMIFS('PF Holdings_diff dates'!$N:$N,'PF Holdings_diff dates'!$I:$I,$E16,'PF Holdings_diff dates'!$G:$G,$G$1,'PF Holdings_diff dates'!$Q:$Q,P$3)</f>
        <v>0</v>
      </c>
      <c r="Q16" s="93">
        <f t="shared" si="3"/>
        <v>0</v>
      </c>
      <c r="R16" s="93">
        <f>SUMIFS('PF Holdings_diff dates'!$N:$N,'PF Holdings_diff dates'!$I:$I,$E16,'PF Holdings_diff dates'!$G:$G,$G$1,'PF Holdings_diff dates'!$Q:$Q,R$3)</f>
        <v>0</v>
      </c>
      <c r="T16" s="93">
        <f>SUMIFS('PF Holdings_diff dates'!$O:$O,'PF Holdings_diff dates'!$I:$I,$E16,'PF Holdings_diff dates'!$G:$G,$G$1,'PF Holdings_diff dates'!$Q:$Q,T$3)</f>
        <v>0</v>
      </c>
      <c r="U16" s="93">
        <f t="shared" ref="U16:U21" si="44">Q16</f>
        <v>0</v>
      </c>
      <c r="V16" s="93">
        <f t="shared" ref="V16:V21" si="45">W16-(T16+U16)</f>
        <v>0</v>
      </c>
      <c r="W16" s="93">
        <f>SUMIFS('PF Holdings_diff dates'!$O:$O,'PF Holdings_diff dates'!$I:$I,$E16,'PF Holdings_diff dates'!$G:$G,$G$1,'PF Holdings_diff dates'!$Q:$Q,W$3)</f>
        <v>0</v>
      </c>
      <c r="X16" s="104" t="str">
        <f t="shared" si="32"/>
        <v>-</v>
      </c>
      <c r="Y16" s="104" t="str">
        <f>IF(E16="-","-",VLOOKUP(D16,'Category level Benchmark and tr'!$A:$G,7,0))</f>
        <v>-</v>
      </c>
      <c r="Z16" s="96"/>
      <c r="AA16" s="108" t="s">
        <v>284</v>
      </c>
      <c r="AB16" s="109"/>
      <c r="AI16" s="114"/>
      <c r="AK16">
        <f t="shared" si="29"/>
        <v>0</v>
      </c>
    </row>
    <row r="17" spans="2:38" s="92" customFormat="1" hidden="1" outlineLevel="3" x14ac:dyDescent="0.25">
      <c r="B17" s="92" t="str">
        <f t="shared" si="36"/>
        <v>SN0014Equity-Managed-Mutual Funds-Large Cap</v>
      </c>
      <c r="C17" s="92">
        <f t="shared" si="37"/>
        <v>4</v>
      </c>
      <c r="D17" s="92" t="str">
        <f t="shared" si="38"/>
        <v>Equity-Managed-Mutual Funds-Large Cap</v>
      </c>
      <c r="E17" s="97" t="str">
        <f>IFERROR(VLOOKUP(B17,Sort!$A:$F,5,0),"-")</f>
        <v>-</v>
      </c>
      <c r="F17" s="93">
        <v>0</v>
      </c>
      <c r="G17" s="103"/>
      <c r="H17" s="93">
        <f t="shared" si="39"/>
        <v>0</v>
      </c>
      <c r="I17" s="103">
        <f t="shared" si="0"/>
        <v>0</v>
      </c>
      <c r="J17" s="95">
        <f t="shared" si="40"/>
        <v>0</v>
      </c>
      <c r="K17" s="93">
        <f t="shared" si="41"/>
        <v>0</v>
      </c>
      <c r="L17" s="93">
        <f t="shared" si="42"/>
        <v>0</v>
      </c>
      <c r="M17" s="103" t="str">
        <f t="shared" si="43"/>
        <v>n/a</v>
      </c>
      <c r="N17" s="95"/>
      <c r="P17" s="93">
        <f>SUMIFS('PF Holdings_diff dates'!$N:$N,'PF Holdings_diff dates'!$I:$I,$E17,'PF Holdings_diff dates'!$G:$G,$G$1,'PF Holdings_diff dates'!$Q:$Q,P$3)</f>
        <v>0</v>
      </c>
      <c r="Q17" s="93">
        <f t="shared" si="3"/>
        <v>0</v>
      </c>
      <c r="R17" s="93">
        <f>SUMIFS('PF Holdings_diff dates'!$N:$N,'PF Holdings_diff dates'!$I:$I,$E17,'PF Holdings_diff dates'!$G:$G,$G$1,'PF Holdings_diff dates'!$Q:$Q,R$3)</f>
        <v>0</v>
      </c>
      <c r="T17" s="93">
        <f>SUMIFS('PF Holdings_diff dates'!$O:$O,'PF Holdings_diff dates'!$I:$I,$E17,'PF Holdings_diff dates'!$G:$G,$G$1,'PF Holdings_diff dates'!$Q:$Q,T$3)</f>
        <v>0</v>
      </c>
      <c r="U17" s="93">
        <f t="shared" si="44"/>
        <v>0</v>
      </c>
      <c r="V17" s="93">
        <f t="shared" si="45"/>
        <v>0</v>
      </c>
      <c r="W17" s="93">
        <f>SUMIFS('PF Holdings_diff dates'!$O:$O,'PF Holdings_diff dates'!$I:$I,$E17,'PF Holdings_diff dates'!$G:$G,$G$1,'PF Holdings_diff dates'!$Q:$Q,W$3)</f>
        <v>0</v>
      </c>
      <c r="X17" s="104" t="str">
        <f t="shared" si="32"/>
        <v>-</v>
      </c>
      <c r="Y17" s="104" t="str">
        <f>IF(E17="-","-",VLOOKUP(D17,'Category level Benchmark and tr'!$A:$G,7,0))</f>
        <v>-</v>
      </c>
      <c r="Z17" s="96"/>
      <c r="AA17" s="108" t="s">
        <v>256</v>
      </c>
      <c r="AB17" s="109"/>
      <c r="AI17" s="114"/>
      <c r="AK17">
        <f t="shared" si="29"/>
        <v>0</v>
      </c>
    </row>
    <row r="18" spans="2:38" s="92" customFormat="1" hidden="1" outlineLevel="3" x14ac:dyDescent="0.25">
      <c r="B18" s="92" t="str">
        <f t="shared" si="36"/>
        <v>SN0015Equity-Managed-Mutual Funds-Large Cap</v>
      </c>
      <c r="C18" s="92">
        <f t="shared" si="37"/>
        <v>5</v>
      </c>
      <c r="D18" s="92" t="str">
        <f t="shared" si="38"/>
        <v>Equity-Managed-Mutual Funds-Large Cap</v>
      </c>
      <c r="E18" s="97" t="str">
        <f>IFERROR(VLOOKUP(B18,Sort!$A:$F,5,0),"-")</f>
        <v>-</v>
      </c>
      <c r="F18" s="93">
        <v>0</v>
      </c>
      <c r="G18" s="103"/>
      <c r="H18" s="93">
        <f t="shared" si="39"/>
        <v>0</v>
      </c>
      <c r="I18" s="103">
        <f t="shared" si="0"/>
        <v>0</v>
      </c>
      <c r="J18" s="95">
        <f t="shared" si="40"/>
        <v>0</v>
      </c>
      <c r="K18" s="93">
        <f t="shared" si="41"/>
        <v>0</v>
      </c>
      <c r="L18" s="93">
        <f t="shared" si="42"/>
        <v>0</v>
      </c>
      <c r="M18" s="103" t="str">
        <f t="shared" si="43"/>
        <v>n/a</v>
      </c>
      <c r="N18" s="95"/>
      <c r="P18" s="93">
        <f>SUMIFS('PF Holdings_diff dates'!$N:$N,'PF Holdings_diff dates'!$I:$I,$E18,'PF Holdings_diff dates'!$G:$G,$G$1,'PF Holdings_diff dates'!$Q:$Q,P$3)</f>
        <v>0</v>
      </c>
      <c r="Q18" s="93">
        <f t="shared" si="3"/>
        <v>0</v>
      </c>
      <c r="R18" s="93">
        <f>SUMIFS('PF Holdings_diff dates'!$N:$N,'PF Holdings_diff dates'!$I:$I,$E18,'PF Holdings_diff dates'!$G:$G,$G$1,'PF Holdings_diff dates'!$Q:$Q,R$3)</f>
        <v>0</v>
      </c>
      <c r="T18" s="93">
        <f>SUMIFS('PF Holdings_diff dates'!$O:$O,'PF Holdings_diff dates'!$I:$I,$E18,'PF Holdings_diff dates'!$G:$G,$G$1,'PF Holdings_diff dates'!$Q:$Q,T$3)</f>
        <v>0</v>
      </c>
      <c r="U18" s="93">
        <f t="shared" si="44"/>
        <v>0</v>
      </c>
      <c r="V18" s="93">
        <f t="shared" si="45"/>
        <v>0</v>
      </c>
      <c r="W18" s="93">
        <f>SUMIFS('PF Holdings_diff dates'!$O:$O,'PF Holdings_diff dates'!$I:$I,$E18,'PF Holdings_diff dates'!$G:$G,$G$1,'PF Holdings_diff dates'!$Q:$Q,W$3)</f>
        <v>0</v>
      </c>
      <c r="X18" s="104" t="str">
        <f t="shared" si="32"/>
        <v>-</v>
      </c>
      <c r="Y18" s="104" t="str">
        <f>IF(E18="-","-",VLOOKUP(D18,'Category level Benchmark and tr'!$A:$G,7,0))</f>
        <v>-</v>
      </c>
      <c r="Z18" s="96"/>
      <c r="AA18" s="108" t="s">
        <v>278</v>
      </c>
      <c r="AB18" s="112">
        <v>-41776</v>
      </c>
      <c r="AI18" s="114"/>
      <c r="AK18">
        <f t="shared" si="29"/>
        <v>0</v>
      </c>
    </row>
    <row r="19" spans="2:38" s="92" customFormat="1" hidden="1" outlineLevel="3" x14ac:dyDescent="0.25">
      <c r="B19" s="92" t="str">
        <f t="shared" si="36"/>
        <v>SN0016Equity-Managed-Mutual Funds-Large Cap</v>
      </c>
      <c r="C19" s="92">
        <f t="shared" si="37"/>
        <v>6</v>
      </c>
      <c r="D19" s="92" t="str">
        <f t="shared" si="38"/>
        <v>Equity-Managed-Mutual Funds-Large Cap</v>
      </c>
      <c r="E19" s="97" t="str">
        <f>IFERROR(VLOOKUP(B19,Sort!$A:$F,5,0),"-")</f>
        <v>-</v>
      </c>
      <c r="F19" s="93">
        <v>0</v>
      </c>
      <c r="G19" s="103"/>
      <c r="H19" s="93">
        <f t="shared" si="39"/>
        <v>0</v>
      </c>
      <c r="I19" s="103">
        <f t="shared" si="0"/>
        <v>0</v>
      </c>
      <c r="J19" s="95">
        <f t="shared" si="40"/>
        <v>0</v>
      </c>
      <c r="K19" s="93">
        <f t="shared" si="41"/>
        <v>0</v>
      </c>
      <c r="L19" s="93">
        <f t="shared" si="42"/>
        <v>0</v>
      </c>
      <c r="M19" s="103" t="str">
        <f t="shared" si="43"/>
        <v>n/a</v>
      </c>
      <c r="N19" s="95"/>
      <c r="P19" s="93">
        <f>SUMIFS('PF Holdings_diff dates'!$N:$N,'PF Holdings_diff dates'!$I:$I,$E19,'PF Holdings_diff dates'!$G:$G,$G$1,'PF Holdings_diff dates'!$Q:$Q,P$3)</f>
        <v>0</v>
      </c>
      <c r="Q19" s="93">
        <f t="shared" si="3"/>
        <v>0</v>
      </c>
      <c r="R19" s="93">
        <f>SUMIFS('PF Holdings_diff dates'!$N:$N,'PF Holdings_diff dates'!$I:$I,$E19,'PF Holdings_diff dates'!$G:$G,$G$1,'PF Holdings_diff dates'!$Q:$Q,R$3)</f>
        <v>0</v>
      </c>
      <c r="T19" s="93">
        <f>SUMIFS('PF Holdings_diff dates'!$O:$O,'PF Holdings_diff dates'!$I:$I,$E19,'PF Holdings_diff dates'!$G:$G,$G$1,'PF Holdings_diff dates'!$Q:$Q,T$3)</f>
        <v>0</v>
      </c>
      <c r="U19" s="93">
        <f t="shared" si="44"/>
        <v>0</v>
      </c>
      <c r="V19" s="93">
        <f t="shared" si="45"/>
        <v>0</v>
      </c>
      <c r="W19" s="93">
        <f>SUMIFS('PF Holdings_diff dates'!$O:$O,'PF Holdings_diff dates'!$I:$I,$E19,'PF Holdings_diff dates'!$G:$G,$G$1,'PF Holdings_diff dates'!$Q:$Q,W$3)</f>
        <v>0</v>
      </c>
      <c r="X19" s="104" t="str">
        <f t="shared" si="32"/>
        <v>-</v>
      </c>
      <c r="Y19" s="104" t="str">
        <f>IF(E19="-","-",VLOOKUP(D19,'Category level Benchmark and tr'!$A:$G,7,0))</f>
        <v>-</v>
      </c>
      <c r="Z19" s="96"/>
      <c r="AA19" s="108" t="s">
        <v>278</v>
      </c>
      <c r="AB19" s="112">
        <v>-20741</v>
      </c>
      <c r="AI19" s="114"/>
      <c r="AK19">
        <f t="shared" si="29"/>
        <v>0</v>
      </c>
    </row>
    <row r="20" spans="2:38" s="92" customFormat="1" hidden="1" outlineLevel="3" x14ac:dyDescent="0.25">
      <c r="B20" s="92" t="str">
        <f t="shared" si="36"/>
        <v>SN0017Equity-Managed-Mutual Funds-Large Cap</v>
      </c>
      <c r="C20" s="92">
        <f t="shared" si="37"/>
        <v>7</v>
      </c>
      <c r="D20" s="92" t="str">
        <f t="shared" si="38"/>
        <v>Equity-Managed-Mutual Funds-Large Cap</v>
      </c>
      <c r="E20" s="97" t="str">
        <f>IFERROR(VLOOKUP(B20,Sort!$A:$F,5,0),"-")</f>
        <v>-</v>
      </c>
      <c r="F20" s="93">
        <v>0</v>
      </c>
      <c r="G20" s="103"/>
      <c r="H20" s="93">
        <f t="shared" si="39"/>
        <v>0</v>
      </c>
      <c r="I20" s="103">
        <f t="shared" si="0"/>
        <v>0</v>
      </c>
      <c r="J20" s="95">
        <f t="shared" si="40"/>
        <v>0</v>
      </c>
      <c r="K20" s="93">
        <f t="shared" si="41"/>
        <v>0</v>
      </c>
      <c r="L20" s="93">
        <f t="shared" si="42"/>
        <v>0</v>
      </c>
      <c r="M20" s="103" t="str">
        <f t="shared" si="43"/>
        <v>n/a</v>
      </c>
      <c r="N20" s="95"/>
      <c r="P20" s="93">
        <f>SUMIFS('PF Holdings_diff dates'!$N:$N,'PF Holdings_diff dates'!$I:$I,$E20,'PF Holdings_diff dates'!$G:$G,$G$1,'PF Holdings_diff dates'!$Q:$Q,P$3)</f>
        <v>0</v>
      </c>
      <c r="Q20" s="93">
        <f t="shared" si="3"/>
        <v>0</v>
      </c>
      <c r="R20" s="93">
        <f>SUMIFS('PF Holdings_diff dates'!$N:$N,'PF Holdings_diff dates'!$I:$I,$E20,'PF Holdings_diff dates'!$G:$G,$G$1,'PF Holdings_diff dates'!$Q:$Q,R$3)</f>
        <v>0</v>
      </c>
      <c r="T20" s="93">
        <f>SUMIFS('PF Holdings_diff dates'!$O:$O,'PF Holdings_diff dates'!$I:$I,$E20,'PF Holdings_diff dates'!$G:$G,$G$1,'PF Holdings_diff dates'!$Q:$Q,T$3)</f>
        <v>0</v>
      </c>
      <c r="U20" s="93">
        <f t="shared" si="44"/>
        <v>0</v>
      </c>
      <c r="V20" s="93">
        <f t="shared" si="45"/>
        <v>0</v>
      </c>
      <c r="W20" s="93">
        <f>SUMIFS('PF Holdings_diff dates'!$O:$O,'PF Holdings_diff dates'!$I:$I,$E20,'PF Holdings_diff dates'!$G:$G,$G$1,'PF Holdings_diff dates'!$Q:$Q,W$3)</f>
        <v>0</v>
      </c>
      <c r="X20" s="104" t="str">
        <f t="shared" si="32"/>
        <v>-</v>
      </c>
      <c r="Y20" s="104" t="str">
        <f>IF(E20="-","-",VLOOKUP(D20,'Category level Benchmark and tr'!$A:$G,7,0))</f>
        <v>-</v>
      </c>
      <c r="Z20" s="96"/>
      <c r="AA20" s="108"/>
      <c r="AB20" s="109"/>
      <c r="AI20" s="114"/>
      <c r="AK20">
        <f t="shared" si="29"/>
        <v>0</v>
      </c>
    </row>
    <row r="21" spans="2:38" s="92" customFormat="1" hidden="1" outlineLevel="3" x14ac:dyDescent="0.25">
      <c r="B21" s="92" t="str">
        <f t="shared" si="36"/>
        <v>SN0018Equity-Managed-Mutual Funds-Large Cap</v>
      </c>
      <c r="C21" s="92">
        <f t="shared" si="37"/>
        <v>8</v>
      </c>
      <c r="D21" s="92" t="str">
        <f t="shared" si="38"/>
        <v>Equity-Managed-Mutual Funds-Large Cap</v>
      </c>
      <c r="E21" s="97" t="str">
        <f>IFERROR(VLOOKUP(B21,Sort!$A:$F,5,0),"-")</f>
        <v>-</v>
      </c>
      <c r="F21" s="93">
        <v>0</v>
      </c>
      <c r="G21" s="103"/>
      <c r="H21" s="93">
        <f t="shared" si="39"/>
        <v>0</v>
      </c>
      <c r="I21" s="103">
        <f t="shared" si="0"/>
        <v>0</v>
      </c>
      <c r="J21" s="95">
        <f t="shared" si="40"/>
        <v>0</v>
      </c>
      <c r="K21" s="93">
        <f t="shared" si="41"/>
        <v>0</v>
      </c>
      <c r="L21" s="93">
        <f t="shared" si="42"/>
        <v>0</v>
      </c>
      <c r="M21" s="103" t="str">
        <f t="shared" si="43"/>
        <v>n/a</v>
      </c>
      <c r="N21" s="95"/>
      <c r="P21" s="93">
        <f>SUMIFS('PF Holdings_diff dates'!$N:$N,'PF Holdings_diff dates'!$I:$I,$E21,'PF Holdings_diff dates'!$G:$G,$G$1,'PF Holdings_diff dates'!$Q:$Q,P$3)</f>
        <v>0</v>
      </c>
      <c r="Q21" s="93">
        <f t="shared" si="3"/>
        <v>0</v>
      </c>
      <c r="R21" s="93">
        <f>SUMIFS('PF Holdings_diff dates'!$N:$N,'PF Holdings_diff dates'!$I:$I,$E21,'PF Holdings_diff dates'!$G:$G,$G$1,'PF Holdings_diff dates'!$Q:$Q,R$3)</f>
        <v>0</v>
      </c>
      <c r="T21" s="93">
        <f>SUMIFS('PF Holdings_diff dates'!$O:$O,'PF Holdings_diff dates'!$I:$I,$E21,'PF Holdings_diff dates'!$G:$G,$G$1,'PF Holdings_diff dates'!$Q:$Q,T$3)</f>
        <v>0</v>
      </c>
      <c r="U21" s="93">
        <f t="shared" si="44"/>
        <v>0</v>
      </c>
      <c r="V21" s="93">
        <f t="shared" si="45"/>
        <v>0</v>
      </c>
      <c r="W21" s="93">
        <f>SUMIFS('PF Holdings_diff dates'!$O:$O,'PF Holdings_diff dates'!$I:$I,$E21,'PF Holdings_diff dates'!$G:$G,$G$1,'PF Holdings_diff dates'!$Q:$Q,W$3)</f>
        <v>0</v>
      </c>
      <c r="X21" s="104" t="str">
        <f t="shared" si="32"/>
        <v>-</v>
      </c>
      <c r="Y21" s="104" t="str">
        <f>IF(E21="-","-",VLOOKUP(D21,'Category level Benchmark and tr'!$A:$G,7,0))</f>
        <v>-</v>
      </c>
      <c r="Z21" s="96"/>
      <c r="AA21" s="108"/>
      <c r="AB21" s="109"/>
      <c r="AI21" s="114"/>
      <c r="AK21">
        <f t="shared" si="29"/>
        <v>0</v>
      </c>
    </row>
    <row r="22" spans="2:38" hidden="1" outlineLevel="2" x14ac:dyDescent="0.25">
      <c r="D22" t="s">
        <v>100</v>
      </c>
      <c r="E22" s="56" t="s">
        <v>13</v>
      </c>
      <c r="F22" s="53">
        <f>'AA Decision View'!Q17</f>
        <v>96556.947750000007</v>
      </c>
      <c r="G22" s="101">
        <f>F22/F$123</f>
        <v>0.13499999999999998</v>
      </c>
      <c r="H22" s="53">
        <f>'AA Decision View'!S17</f>
        <v>208373.21000000002</v>
      </c>
      <c r="I22" s="101">
        <f t="shared" si="0"/>
        <v>0.29133463728403736</v>
      </c>
      <c r="J22" s="54">
        <f>'AA Decision View'!V17</f>
        <v>143000</v>
      </c>
      <c r="K22" s="53">
        <f>H22</f>
        <v>208373.21000000002</v>
      </c>
      <c r="L22" s="53">
        <f>K22-J22</f>
        <v>65373.210000000021</v>
      </c>
      <c r="M22" s="101">
        <f>IFERROR(L22/J22,"n/a")</f>
        <v>0.45715531468531484</v>
      </c>
      <c r="N22" s="54">
        <f>F22-K22</f>
        <v>-111816.26225000001</v>
      </c>
      <c r="P22" s="53">
        <f>SUMIFS('PF Holdings_diff dates'!$N:$N,'PF Holdings_diff dates'!$A:$A,$D22,'PF Holdings_diff dates'!$G:$G,$G$1,'PF Holdings_diff dates'!$Q:$Q,P$3)</f>
        <v>143000</v>
      </c>
      <c r="Q22" s="53">
        <f>R22-P22</f>
        <v>0</v>
      </c>
      <c r="R22" s="53">
        <f>SUMIFS('PF Holdings_diff dates'!$N:$N,'PF Holdings_diff dates'!$A:$A,$D22,'PF Holdings_diff dates'!$G:$G,$G$1,'PF Holdings_diff dates'!$Q:$Q,R$3)</f>
        <v>143000</v>
      </c>
      <c r="T22" s="53">
        <f>SUMIFS('PF Holdings_diff dates'!$O:$O,'PF Holdings_diff dates'!$A:$A,$D22,'PF Holdings_diff dates'!$G:$G,$G$1,'PF Holdings_diff dates'!$Q:$Q,T$3)</f>
        <v>176855.43000000002</v>
      </c>
      <c r="U22" s="53">
        <f>Q22</f>
        <v>0</v>
      </c>
      <c r="V22" s="53">
        <f>W22-(T22+U22)</f>
        <v>31517.78</v>
      </c>
      <c r="W22" s="53">
        <f>SUMIFS('PF Holdings_diff dates'!$O:$O,'PF Holdings_diff dates'!$A:$A,$D22,'PF Holdings_diff dates'!$G:$G,$G$1,'PF Holdings_diff dates'!$Q:$Q,W$3)</f>
        <v>208373.21000000002</v>
      </c>
      <c r="X22" s="102">
        <f>IFERROR((V22/(T22+U22)),"n/a")</f>
        <v>0.17821211370213511</v>
      </c>
      <c r="Y22" s="102">
        <f>IFERROR(VLOOKUP(D22,'Category level Benchmark and tr'!$A:$G,7,0),0)</f>
        <v>0.15995255257995344</v>
      </c>
      <c r="Z22" s="84">
        <f>Y22</f>
        <v>0.15995255257995344</v>
      </c>
      <c r="AA22" s="110"/>
      <c r="AB22" s="31"/>
      <c r="AD22" t="s">
        <v>295</v>
      </c>
      <c r="AE22" t="s">
        <v>300</v>
      </c>
      <c r="AF22">
        <v>10</v>
      </c>
      <c r="AG22">
        <f>AG13</f>
        <v>1000</v>
      </c>
      <c r="AH22">
        <f>AF22*AG22</f>
        <v>10000</v>
      </c>
      <c r="AI22" s="113">
        <v>998</v>
      </c>
      <c r="AJ22">
        <f>AF22*AI22</f>
        <v>9980</v>
      </c>
      <c r="AK22">
        <f t="shared" si="29"/>
        <v>-20</v>
      </c>
    </row>
    <row r="23" spans="2:38" s="92" customFormat="1" hidden="1" outlineLevel="3" x14ac:dyDescent="0.25">
      <c r="B23" s="92" t="str">
        <f>$G$1&amp;C23&amp;D23</f>
        <v>SN0011Equity-Managed-Mutual Funds-Mid Cap</v>
      </c>
      <c r="C23" s="92">
        <v>1</v>
      </c>
      <c r="D23" s="92" t="str">
        <f>D26</f>
        <v>Equity-Managed-Mutual Funds-Mid Cap</v>
      </c>
      <c r="E23" s="97" t="str">
        <f>IFERROR(VLOOKUP(B23,Sort!$A:$F,5,0),"-")</f>
        <v>Axis Midcap Fund - Direct Plan - Growth</v>
      </c>
      <c r="F23" s="93">
        <v>0</v>
      </c>
      <c r="G23" s="103"/>
      <c r="H23" s="93">
        <f>W23</f>
        <v>69669.210000000006</v>
      </c>
      <c r="I23" s="103">
        <f t="shared" si="0"/>
        <v>9.7407214800863451E-2</v>
      </c>
      <c r="J23" s="95">
        <f>R23</f>
        <v>45000</v>
      </c>
      <c r="K23" s="93">
        <f t="shared" ref="K23:K25" si="46">H23</f>
        <v>69669.210000000006</v>
      </c>
      <c r="L23" s="93">
        <f t="shared" ref="L23:L25" si="47">K23-J23</f>
        <v>24669.210000000006</v>
      </c>
      <c r="M23" s="103">
        <f t="shared" ref="M23:M25" si="48">IFERROR(L23/J23,"n/a")</f>
        <v>0.54820466666666678</v>
      </c>
      <c r="N23" s="95"/>
      <c r="P23" s="93">
        <f>SUMIFS('PF Holdings_diff dates'!$N:$N,'PF Holdings_diff dates'!$I:$I,$E23,'PF Holdings_diff dates'!$G:$G,$G$1,'PF Holdings_diff dates'!$Q:$Q,P$3)</f>
        <v>45000</v>
      </c>
      <c r="Q23" s="93">
        <f t="shared" si="3"/>
        <v>0</v>
      </c>
      <c r="R23" s="93">
        <f>SUMIFS('PF Holdings_diff dates'!$N:$N,'PF Holdings_diff dates'!$I:$I,$E23,'PF Holdings_diff dates'!$G:$G,$G$1,'PF Holdings_diff dates'!$Q:$Q,R$3)</f>
        <v>45000</v>
      </c>
      <c r="T23" s="93">
        <f>SUMIFS('PF Holdings_diff dates'!$O:$O,'PF Holdings_diff dates'!$I:$I,$E23,'PF Holdings_diff dates'!$G:$G,$G$1,'PF Holdings_diff dates'!$Q:$Q,T$3)</f>
        <v>54804.07</v>
      </c>
      <c r="U23" s="93">
        <f t="shared" ref="U23:U25" si="49">Q23</f>
        <v>0</v>
      </c>
      <c r="V23" s="93">
        <f t="shared" ref="V23:V25" si="50">W23-(T23+U23)</f>
        <v>14865.140000000007</v>
      </c>
      <c r="W23" s="93">
        <f>SUMIFS('PF Holdings_diff dates'!$O:$O,'PF Holdings_diff dates'!$I:$I,$E23,'PF Holdings_diff dates'!$G:$G,$G$1,'PF Holdings_diff dates'!$Q:$Q,W$3)</f>
        <v>69669.210000000006</v>
      </c>
      <c r="X23" s="104">
        <f t="shared" ref="X23:X25" si="51">IFERROR((V23/(T23+U23)),"-")</f>
        <v>0.27124153370361009</v>
      </c>
      <c r="Y23" s="104">
        <f>IF(E23="-","-",VLOOKUP(D23,'Category level Benchmark and tr'!$A:$G,7,0))</f>
        <v>0.23856649294372545</v>
      </c>
      <c r="Z23" s="96"/>
      <c r="AA23" s="108" t="s">
        <v>256</v>
      </c>
      <c r="AB23" s="109"/>
      <c r="AI23" s="114"/>
    </row>
    <row r="24" spans="2:38" s="92" customFormat="1" hidden="1" outlineLevel="3" x14ac:dyDescent="0.25">
      <c r="B24" s="92" t="str">
        <f t="shared" ref="B24:B25" si="52">$G$1&amp;C24&amp;D24</f>
        <v>SN0012Equity-Managed-Mutual Funds-Mid Cap</v>
      </c>
      <c r="C24" s="92">
        <f>C23+1</f>
        <v>2</v>
      </c>
      <c r="D24" s="92" t="str">
        <f>D23</f>
        <v>Equity-Managed-Mutual Funds-Mid Cap</v>
      </c>
      <c r="E24" s="97" t="str">
        <f>IFERROR(VLOOKUP(B24,Sort!$A:$F,5,0),"-")</f>
        <v>-</v>
      </c>
      <c r="F24" s="93">
        <v>0</v>
      </c>
      <c r="G24" s="103"/>
      <c r="H24" s="93">
        <f t="shared" ref="H24:H25" si="53">W24</f>
        <v>0</v>
      </c>
      <c r="I24" s="103">
        <f t="shared" si="0"/>
        <v>0</v>
      </c>
      <c r="J24" s="95">
        <f t="shared" ref="J24:J25" si="54">R24</f>
        <v>0</v>
      </c>
      <c r="K24" s="93">
        <f t="shared" si="46"/>
        <v>0</v>
      </c>
      <c r="L24" s="93">
        <f t="shared" si="47"/>
        <v>0</v>
      </c>
      <c r="M24" s="103" t="str">
        <f t="shared" si="48"/>
        <v>n/a</v>
      </c>
      <c r="N24" s="95"/>
      <c r="P24" s="93">
        <f>SUMIFS('PF Holdings_diff dates'!$N:$N,'PF Holdings_diff dates'!$I:$I,$E24,'PF Holdings_diff dates'!$G:$G,$G$1,'PF Holdings_diff dates'!$Q:$Q,P$3)</f>
        <v>0</v>
      </c>
      <c r="Q24" s="93">
        <f t="shared" si="3"/>
        <v>0</v>
      </c>
      <c r="R24" s="93">
        <f>SUMIFS('PF Holdings_diff dates'!$N:$N,'PF Holdings_diff dates'!$I:$I,$E24,'PF Holdings_diff dates'!$G:$G,$G$1,'PF Holdings_diff dates'!$Q:$Q,R$3)</f>
        <v>0</v>
      </c>
      <c r="T24" s="93">
        <f>SUMIFS('PF Holdings_diff dates'!$O:$O,'PF Holdings_diff dates'!$I:$I,$E24,'PF Holdings_diff dates'!$G:$G,$G$1,'PF Holdings_diff dates'!$Q:$Q,T$3)</f>
        <v>0</v>
      </c>
      <c r="U24" s="93">
        <f t="shared" si="49"/>
        <v>0</v>
      </c>
      <c r="V24" s="93">
        <f t="shared" si="50"/>
        <v>0</v>
      </c>
      <c r="W24" s="93">
        <f>SUMIFS('PF Holdings_diff dates'!$O:$O,'PF Holdings_diff dates'!$I:$I,$E24,'PF Holdings_diff dates'!$G:$G,$G$1,'PF Holdings_diff dates'!$Q:$Q,W$3)</f>
        <v>0</v>
      </c>
      <c r="X24" s="104" t="str">
        <f t="shared" si="51"/>
        <v>-</v>
      </c>
      <c r="Y24" s="104" t="str">
        <f>IF(E24="-","-",VLOOKUP(D24,'Category level Benchmark and tr'!$A:$G,7,0))</f>
        <v>-</v>
      </c>
      <c r="Z24" s="96"/>
      <c r="AA24" s="108" t="s">
        <v>256</v>
      </c>
      <c r="AB24" s="109"/>
      <c r="AI24" s="114"/>
    </row>
    <row r="25" spans="2:38" s="92" customFormat="1" hidden="1" outlineLevel="3" x14ac:dyDescent="0.25">
      <c r="B25" s="92" t="str">
        <f t="shared" si="52"/>
        <v>SN0013Equity-Managed-Mutual Funds-Mid Cap</v>
      </c>
      <c r="C25" s="92">
        <f t="shared" ref="C25" si="55">C24+1</f>
        <v>3</v>
      </c>
      <c r="D25" s="92" t="str">
        <f t="shared" ref="D25" si="56">D24</f>
        <v>Equity-Managed-Mutual Funds-Mid Cap</v>
      </c>
      <c r="E25" s="97" t="str">
        <f>IFERROR(VLOOKUP(B25,Sort!$A:$F,5,0),"-")</f>
        <v>-</v>
      </c>
      <c r="F25" s="93">
        <v>0</v>
      </c>
      <c r="G25" s="103"/>
      <c r="H25" s="93">
        <f t="shared" si="53"/>
        <v>0</v>
      </c>
      <c r="I25" s="103">
        <f t="shared" si="0"/>
        <v>0</v>
      </c>
      <c r="J25" s="95">
        <f t="shared" si="54"/>
        <v>0</v>
      </c>
      <c r="K25" s="93">
        <f t="shared" si="46"/>
        <v>0</v>
      </c>
      <c r="L25" s="93">
        <f t="shared" si="47"/>
        <v>0</v>
      </c>
      <c r="M25" s="103" t="str">
        <f t="shared" si="48"/>
        <v>n/a</v>
      </c>
      <c r="N25" s="95"/>
      <c r="P25" s="93">
        <f>SUMIFS('PF Holdings_diff dates'!$N:$N,'PF Holdings_diff dates'!$I:$I,$E25,'PF Holdings_diff dates'!$G:$G,$G$1,'PF Holdings_diff dates'!$Q:$Q,P$3)</f>
        <v>0</v>
      </c>
      <c r="Q25" s="93">
        <f t="shared" si="3"/>
        <v>0</v>
      </c>
      <c r="R25" s="93">
        <f>SUMIFS('PF Holdings_diff dates'!$N:$N,'PF Holdings_diff dates'!$I:$I,$E25,'PF Holdings_diff dates'!$G:$G,$G$1,'PF Holdings_diff dates'!$Q:$Q,R$3)</f>
        <v>0</v>
      </c>
      <c r="T25" s="93">
        <f>SUMIFS('PF Holdings_diff dates'!$O:$O,'PF Holdings_diff dates'!$I:$I,$E25,'PF Holdings_diff dates'!$G:$G,$G$1,'PF Holdings_diff dates'!$Q:$Q,T$3)</f>
        <v>0</v>
      </c>
      <c r="U25" s="93">
        <f t="shared" si="49"/>
        <v>0</v>
      </c>
      <c r="V25" s="93">
        <f t="shared" si="50"/>
        <v>0</v>
      </c>
      <c r="W25" s="93">
        <f>SUMIFS('PF Holdings_diff dates'!$O:$O,'PF Holdings_diff dates'!$I:$I,$E25,'PF Holdings_diff dates'!$G:$G,$G$1,'PF Holdings_diff dates'!$Q:$Q,W$3)</f>
        <v>0</v>
      </c>
      <c r="X25" s="104" t="str">
        <f t="shared" si="51"/>
        <v>-</v>
      </c>
      <c r="Y25" s="104" t="str">
        <f>IF(E25="-","-",VLOOKUP(D25,'Category level Benchmark and tr'!$A:$G,7,0))</f>
        <v>-</v>
      </c>
      <c r="Z25" s="96"/>
      <c r="AA25" s="108" t="s">
        <v>256</v>
      </c>
      <c r="AB25" s="109"/>
      <c r="AI25" s="114"/>
    </row>
    <row r="26" spans="2:38" hidden="1" outlineLevel="2" x14ac:dyDescent="0.25">
      <c r="D26" t="s">
        <v>101</v>
      </c>
      <c r="E26" s="56" t="s">
        <v>14</v>
      </c>
      <c r="F26" s="53">
        <f>'AA Decision View'!Q18</f>
        <v>72417.710812500009</v>
      </c>
      <c r="G26" s="101">
        <f>F26/F$123</f>
        <v>0.10124999999999999</v>
      </c>
      <c r="H26" s="53">
        <f>'AA Decision View'!S18</f>
        <v>69669.210000000006</v>
      </c>
      <c r="I26" s="101">
        <f t="shared" si="0"/>
        <v>9.7407214800863451E-2</v>
      </c>
      <c r="J26" s="54">
        <f>'AA Decision View'!V18</f>
        <v>45000</v>
      </c>
      <c r="K26" s="53">
        <f>H26</f>
        <v>69669.210000000006</v>
      </c>
      <c r="L26" s="53">
        <f>K26-J26</f>
        <v>24669.210000000006</v>
      </c>
      <c r="M26" s="101">
        <f>IFERROR(L26/J26,"n/a")</f>
        <v>0.54820466666666678</v>
      </c>
      <c r="N26" s="54">
        <f>F26-K26</f>
        <v>2748.5008125000022</v>
      </c>
      <c r="P26" s="53">
        <f>SUMIFS('PF Holdings_diff dates'!$N:$N,'PF Holdings_diff dates'!$A:$A,$D26,'PF Holdings_diff dates'!$G:$G,$G$1,'PF Holdings_diff dates'!$Q:$Q,P$3)</f>
        <v>45000</v>
      </c>
      <c r="Q26" s="53">
        <f>R26-P26</f>
        <v>0</v>
      </c>
      <c r="R26" s="53">
        <f>SUMIFS('PF Holdings_diff dates'!$N:$N,'PF Holdings_diff dates'!$A:$A,$D26,'PF Holdings_diff dates'!$G:$G,$G$1,'PF Holdings_diff dates'!$Q:$Q,R$3)</f>
        <v>45000</v>
      </c>
      <c r="T26" s="53">
        <f>SUMIFS('PF Holdings_diff dates'!$O:$O,'PF Holdings_diff dates'!$A:$A,$D26,'PF Holdings_diff dates'!$G:$G,$G$1,'PF Holdings_diff dates'!$Q:$Q,T$3)</f>
        <v>54804.07</v>
      </c>
      <c r="U26" s="53">
        <f>Q26</f>
        <v>0</v>
      </c>
      <c r="V26" s="53">
        <f>W26-(T26+U26)</f>
        <v>14865.140000000007</v>
      </c>
      <c r="W26" s="53">
        <f>SUMIFS('PF Holdings_diff dates'!$O:$O,'PF Holdings_diff dates'!$A:$A,$D26,'PF Holdings_diff dates'!$G:$G,$G$1,'PF Holdings_diff dates'!$Q:$Q,W$3)</f>
        <v>69669.210000000006</v>
      </c>
      <c r="X26" s="102">
        <f>IFERROR((V26/(T26+U26)),"n/a")</f>
        <v>0.27124153370361009</v>
      </c>
      <c r="Y26" s="102">
        <f>IFERROR(VLOOKUP(D26,'Category level Benchmark and tr'!$A:$G,7,0),0)</f>
        <v>0.23856649294372545</v>
      </c>
      <c r="Z26" s="84">
        <f>Y26</f>
        <v>0.23856649294372545</v>
      </c>
      <c r="AA26" s="110"/>
      <c r="AB26" s="31"/>
      <c r="AD26" t="s">
        <v>295</v>
      </c>
      <c r="AE26" t="s">
        <v>303</v>
      </c>
      <c r="AF26">
        <v>10</v>
      </c>
      <c r="AG26">
        <f>AG22</f>
        <v>1000</v>
      </c>
      <c r="AH26">
        <f>AF26*AG26</f>
        <v>10000</v>
      </c>
      <c r="AI26" s="113">
        <v>1020</v>
      </c>
      <c r="AJ26">
        <f>AF26*AI26</f>
        <v>10200</v>
      </c>
      <c r="AK26">
        <f>AJ26-AH26</f>
        <v>200</v>
      </c>
    </row>
    <row r="27" spans="2:38" s="92" customFormat="1" hidden="1" outlineLevel="3" x14ac:dyDescent="0.25">
      <c r="B27" s="92" t="str">
        <f>$G$1&amp;C27&amp;D27</f>
        <v>SN0011Equity-Managed-Mutual Funds-Small Cap</v>
      </c>
      <c r="C27" s="92">
        <v>1</v>
      </c>
      <c r="D27" s="92" t="str">
        <f>D31</f>
        <v>Equity-Managed-Mutual Funds-Small Cap</v>
      </c>
      <c r="E27" s="97" t="str">
        <f>IFERROR(VLOOKUP(B27,Sort!$A:$F,5,0),"-")</f>
        <v>Axis Small Cap Fund - Direct Plan - Growth</v>
      </c>
      <c r="F27" s="93">
        <v>0</v>
      </c>
      <c r="G27" s="103"/>
      <c r="H27" s="93">
        <f>W27</f>
        <v>179649.68</v>
      </c>
      <c r="I27" s="103">
        <f t="shared" si="0"/>
        <v>0.25117515999774337</v>
      </c>
      <c r="J27" s="95">
        <f>R27</f>
        <v>105000</v>
      </c>
      <c r="K27" s="93">
        <f t="shared" ref="K27:K30" si="57">H27</f>
        <v>179649.68</v>
      </c>
      <c r="L27" s="93">
        <f t="shared" ref="L27:L30" si="58">K27-J27</f>
        <v>74649.679999999993</v>
      </c>
      <c r="M27" s="103">
        <f t="shared" ref="M27:M30" si="59">IFERROR(L27/J27,"n/a")</f>
        <v>0.71094933333333332</v>
      </c>
      <c r="N27" s="95"/>
      <c r="P27" s="93">
        <f>SUMIFS('PF Holdings_diff dates'!$N:$N,'PF Holdings_diff dates'!$I:$I,$E27,'PF Holdings_diff dates'!$G:$G,$G$1,'PF Holdings_diff dates'!$Q:$Q,P$3)</f>
        <v>105000</v>
      </c>
      <c r="Q27" s="93">
        <f t="shared" si="3"/>
        <v>0</v>
      </c>
      <c r="R27" s="93">
        <f>SUMIFS('PF Holdings_diff dates'!$N:$N,'PF Holdings_diff dates'!$I:$I,$E27,'PF Holdings_diff dates'!$G:$G,$G$1,'PF Holdings_diff dates'!$Q:$Q,R$3)</f>
        <v>105000</v>
      </c>
      <c r="T27" s="93">
        <f>SUMIFS('PF Holdings_diff dates'!$O:$O,'PF Holdings_diff dates'!$I:$I,$E27,'PF Holdings_diff dates'!$G:$G,$G$1,'PF Holdings_diff dates'!$Q:$Q,T$3)</f>
        <v>150690.44</v>
      </c>
      <c r="U27" s="93">
        <f t="shared" ref="U27:U30" si="60">Q27</f>
        <v>0</v>
      </c>
      <c r="V27" s="93">
        <f t="shared" ref="V27:V30" si="61">W27-(T27+U27)</f>
        <v>28959.239999999991</v>
      </c>
      <c r="W27" s="93">
        <f>SUMIFS('PF Holdings_diff dates'!$O:$O,'PF Holdings_diff dates'!$I:$I,$E27,'PF Holdings_diff dates'!$G:$G,$G$1,'PF Holdings_diff dates'!$Q:$Q,W$3)</f>
        <v>179649.68</v>
      </c>
      <c r="X27" s="104">
        <f t="shared" ref="X27:X30" si="62">IFERROR((V27/(T27+U27)),"-")</f>
        <v>0.19217702197962916</v>
      </c>
      <c r="Y27" s="104">
        <f>IF(E27="-","-",VLOOKUP(D27,'Category level Benchmark and tr'!$A:$G,7,0))</f>
        <v>0.23466989530660198</v>
      </c>
      <c r="Z27" s="96"/>
      <c r="AA27" s="108" t="s">
        <v>286</v>
      </c>
      <c r="AB27" s="111">
        <v>-200000</v>
      </c>
    </row>
    <row r="28" spans="2:38" s="92" customFormat="1" hidden="1" outlineLevel="3" x14ac:dyDescent="0.25">
      <c r="B28" s="92" t="str">
        <f t="shared" ref="B28:B30" si="63">$G$1&amp;C28&amp;D28</f>
        <v>SN0012Equity-Managed-Mutual Funds-Small Cap</v>
      </c>
      <c r="C28" s="92">
        <f>C27+1</f>
        <v>2</v>
      </c>
      <c r="D28" s="92" t="str">
        <f>D27</f>
        <v>Equity-Managed-Mutual Funds-Small Cap</v>
      </c>
      <c r="E28" s="97" t="str">
        <f>IFERROR(VLOOKUP(B28,Sort!$A:$F,5,0),"-")</f>
        <v>-</v>
      </c>
      <c r="F28" s="93">
        <v>0</v>
      </c>
      <c r="G28" s="103"/>
      <c r="H28" s="93">
        <f t="shared" ref="H28:H30" si="64">W28</f>
        <v>0</v>
      </c>
      <c r="I28" s="103">
        <f t="shared" si="0"/>
        <v>0</v>
      </c>
      <c r="J28" s="95">
        <f t="shared" ref="J28:J30" si="65">R28</f>
        <v>0</v>
      </c>
      <c r="K28" s="93">
        <f t="shared" si="57"/>
        <v>0</v>
      </c>
      <c r="L28" s="93">
        <f t="shared" si="58"/>
        <v>0</v>
      </c>
      <c r="M28" s="103" t="str">
        <f t="shared" si="59"/>
        <v>n/a</v>
      </c>
      <c r="N28" s="95"/>
      <c r="P28" s="93">
        <f>SUMIFS('PF Holdings_diff dates'!$N:$N,'PF Holdings_diff dates'!$I:$I,$E28,'PF Holdings_diff dates'!$G:$G,$G$1,'PF Holdings_diff dates'!$Q:$Q,P$3)</f>
        <v>0</v>
      </c>
      <c r="Q28" s="93">
        <f t="shared" si="3"/>
        <v>0</v>
      </c>
      <c r="R28" s="93">
        <f>SUMIFS('PF Holdings_diff dates'!$N:$N,'PF Holdings_diff dates'!$I:$I,$E28,'PF Holdings_diff dates'!$G:$G,$G$1,'PF Holdings_diff dates'!$Q:$Q,R$3)</f>
        <v>0</v>
      </c>
      <c r="T28" s="93">
        <f>SUMIFS('PF Holdings_diff dates'!$O:$O,'PF Holdings_diff dates'!$I:$I,$E28,'PF Holdings_diff dates'!$G:$G,$G$1,'PF Holdings_diff dates'!$Q:$Q,T$3)</f>
        <v>0</v>
      </c>
      <c r="U28" s="93">
        <f t="shared" si="60"/>
        <v>0</v>
      </c>
      <c r="V28" s="93">
        <f t="shared" si="61"/>
        <v>0</v>
      </c>
      <c r="W28" s="93">
        <f>SUMIFS('PF Holdings_diff dates'!$O:$O,'PF Holdings_diff dates'!$I:$I,$E28,'PF Holdings_diff dates'!$G:$G,$G$1,'PF Holdings_diff dates'!$Q:$Q,W$3)</f>
        <v>0</v>
      </c>
      <c r="X28" s="104" t="str">
        <f t="shared" si="62"/>
        <v>-</v>
      </c>
      <c r="Y28" s="104" t="str">
        <f>IF(E28="-","-",VLOOKUP(D28,'Category level Benchmark and tr'!$A:$G,7,0))</f>
        <v>-</v>
      </c>
      <c r="Z28" s="96"/>
      <c r="AA28" s="108" t="s">
        <v>256</v>
      </c>
      <c r="AB28" s="109"/>
    </row>
    <row r="29" spans="2:38" s="92" customFormat="1" hidden="1" outlineLevel="3" x14ac:dyDescent="0.25">
      <c r="B29" s="92" t="str">
        <f t="shared" si="63"/>
        <v>SN0013Equity-Managed-Mutual Funds-Small Cap</v>
      </c>
      <c r="C29" s="92">
        <f t="shared" ref="C29:C30" si="66">C28+1</f>
        <v>3</v>
      </c>
      <c r="D29" s="92" t="str">
        <f t="shared" ref="D29:D30" si="67">D28</f>
        <v>Equity-Managed-Mutual Funds-Small Cap</v>
      </c>
      <c r="E29" s="97" t="str">
        <f>IFERROR(VLOOKUP(B29,Sort!$A:$F,5,0),"-")</f>
        <v>-</v>
      </c>
      <c r="F29" s="93">
        <v>0</v>
      </c>
      <c r="G29" s="103"/>
      <c r="H29" s="93">
        <f t="shared" si="64"/>
        <v>0</v>
      </c>
      <c r="I29" s="103">
        <f t="shared" si="0"/>
        <v>0</v>
      </c>
      <c r="J29" s="95">
        <f t="shared" si="65"/>
        <v>0</v>
      </c>
      <c r="K29" s="93">
        <f t="shared" si="57"/>
        <v>0</v>
      </c>
      <c r="L29" s="93">
        <f t="shared" si="58"/>
        <v>0</v>
      </c>
      <c r="M29" s="103" t="str">
        <f t="shared" si="59"/>
        <v>n/a</v>
      </c>
      <c r="N29" s="95"/>
      <c r="P29" s="93">
        <f>SUMIFS('PF Holdings_diff dates'!$N:$N,'PF Holdings_diff dates'!$I:$I,$E29,'PF Holdings_diff dates'!$G:$G,$G$1,'PF Holdings_diff dates'!$Q:$Q,P$3)</f>
        <v>0</v>
      </c>
      <c r="Q29" s="93">
        <f t="shared" si="3"/>
        <v>0</v>
      </c>
      <c r="R29" s="93">
        <f>SUMIFS('PF Holdings_diff dates'!$N:$N,'PF Holdings_diff dates'!$I:$I,$E29,'PF Holdings_diff dates'!$G:$G,$G$1,'PF Holdings_diff dates'!$Q:$Q,R$3)</f>
        <v>0</v>
      </c>
      <c r="T29" s="93">
        <f>SUMIFS('PF Holdings_diff dates'!$O:$O,'PF Holdings_diff dates'!$I:$I,$E29,'PF Holdings_diff dates'!$G:$G,$G$1,'PF Holdings_diff dates'!$Q:$Q,T$3)</f>
        <v>0</v>
      </c>
      <c r="U29" s="93">
        <f t="shared" si="60"/>
        <v>0</v>
      </c>
      <c r="V29" s="93">
        <f t="shared" si="61"/>
        <v>0</v>
      </c>
      <c r="W29" s="93">
        <f>SUMIFS('PF Holdings_diff dates'!$O:$O,'PF Holdings_diff dates'!$I:$I,$E29,'PF Holdings_diff dates'!$G:$G,$G$1,'PF Holdings_diff dates'!$Q:$Q,W$3)</f>
        <v>0</v>
      </c>
      <c r="X29" s="104" t="str">
        <f t="shared" si="62"/>
        <v>-</v>
      </c>
      <c r="Y29" s="104" t="str">
        <f>IF(E29="-","-",VLOOKUP(D29,'Category level Benchmark and tr'!$A:$G,7,0))</f>
        <v>-</v>
      </c>
      <c r="Z29" s="96"/>
      <c r="AA29" s="108"/>
      <c r="AB29" s="109"/>
    </row>
    <row r="30" spans="2:38" s="92" customFormat="1" hidden="1" outlineLevel="3" x14ac:dyDescent="0.25">
      <c r="B30" s="92" t="str">
        <f t="shared" si="63"/>
        <v>SN0014Equity-Managed-Mutual Funds-Small Cap</v>
      </c>
      <c r="C30" s="92">
        <f t="shared" si="66"/>
        <v>4</v>
      </c>
      <c r="D30" s="92" t="str">
        <f t="shared" si="67"/>
        <v>Equity-Managed-Mutual Funds-Small Cap</v>
      </c>
      <c r="E30" s="97" t="str">
        <f>IFERROR(VLOOKUP(B30,Sort!$A:$F,5,0),"-")</f>
        <v>-</v>
      </c>
      <c r="F30" s="93">
        <v>0</v>
      </c>
      <c r="G30" s="103"/>
      <c r="H30" s="93">
        <f t="shared" si="64"/>
        <v>0</v>
      </c>
      <c r="I30" s="103">
        <f t="shared" si="0"/>
        <v>0</v>
      </c>
      <c r="J30" s="95">
        <f t="shared" si="65"/>
        <v>0</v>
      </c>
      <c r="K30" s="93">
        <f t="shared" si="57"/>
        <v>0</v>
      </c>
      <c r="L30" s="93">
        <f t="shared" si="58"/>
        <v>0</v>
      </c>
      <c r="M30" s="103" t="str">
        <f t="shared" si="59"/>
        <v>n/a</v>
      </c>
      <c r="N30" s="95"/>
      <c r="P30" s="93">
        <f>SUMIFS('PF Holdings_diff dates'!$N:$N,'PF Holdings_diff dates'!$I:$I,$E30,'PF Holdings_diff dates'!$G:$G,$G$1,'PF Holdings_diff dates'!$Q:$Q,P$3)</f>
        <v>0</v>
      </c>
      <c r="Q30" s="93">
        <f t="shared" si="3"/>
        <v>0</v>
      </c>
      <c r="R30" s="93">
        <f>SUMIFS('PF Holdings_diff dates'!$N:$N,'PF Holdings_diff dates'!$I:$I,$E30,'PF Holdings_diff dates'!$G:$G,$G$1,'PF Holdings_diff dates'!$Q:$Q,R$3)</f>
        <v>0</v>
      </c>
      <c r="T30" s="93">
        <f>SUMIFS('PF Holdings_diff dates'!$O:$O,'PF Holdings_diff dates'!$I:$I,$E30,'PF Holdings_diff dates'!$G:$G,$G$1,'PF Holdings_diff dates'!$Q:$Q,T$3)</f>
        <v>0</v>
      </c>
      <c r="U30" s="93">
        <f t="shared" si="60"/>
        <v>0</v>
      </c>
      <c r="V30" s="93">
        <f t="shared" si="61"/>
        <v>0</v>
      </c>
      <c r="W30" s="93">
        <f>SUMIFS('PF Holdings_diff dates'!$O:$O,'PF Holdings_diff dates'!$I:$I,$E30,'PF Holdings_diff dates'!$G:$G,$G$1,'PF Holdings_diff dates'!$Q:$Q,W$3)</f>
        <v>0</v>
      </c>
      <c r="X30" s="104" t="str">
        <f t="shared" si="62"/>
        <v>-</v>
      </c>
      <c r="Y30" s="104" t="str">
        <f>IF(E30="-","-",VLOOKUP(D30,'Category level Benchmark and tr'!$A:$G,7,0))</f>
        <v>-</v>
      </c>
      <c r="Z30" s="96"/>
      <c r="AA30" s="108"/>
      <c r="AB30" s="109"/>
    </row>
    <row r="31" spans="2:38" hidden="1" outlineLevel="2" x14ac:dyDescent="0.25">
      <c r="D31" t="s">
        <v>102</v>
      </c>
      <c r="E31" s="56" t="s">
        <v>15</v>
      </c>
      <c r="F31" s="53">
        <f>'AA Decision View'!Q19</f>
        <v>48278.473875000003</v>
      </c>
      <c r="G31" s="101">
        <f>F31/F$123</f>
        <v>6.7499999999999991E-2</v>
      </c>
      <c r="H31" s="53">
        <f>'AA Decision View'!S19</f>
        <v>179649.68</v>
      </c>
      <c r="I31" s="101">
        <f t="shared" si="0"/>
        <v>0.25117515999774337</v>
      </c>
      <c r="J31" s="54">
        <f>'AA Decision View'!V19</f>
        <v>105000</v>
      </c>
      <c r="K31" s="53">
        <f>H31</f>
        <v>179649.68</v>
      </c>
      <c r="L31" s="53">
        <f>K31-J31</f>
        <v>74649.679999999993</v>
      </c>
      <c r="M31" s="101">
        <f>IFERROR(L31/J31,"n/a")</f>
        <v>0.71094933333333332</v>
      </c>
      <c r="N31" s="54">
        <f>F31-K31</f>
        <v>-131371.206125</v>
      </c>
      <c r="P31" s="53">
        <f>SUMIFS('PF Holdings_diff dates'!$N:$N,'PF Holdings_diff dates'!$A:$A,$D31,'PF Holdings_diff dates'!$G:$G,$G$1,'PF Holdings_diff dates'!$Q:$Q,P$3)</f>
        <v>105000</v>
      </c>
      <c r="Q31" s="53">
        <f>R31-P31</f>
        <v>0</v>
      </c>
      <c r="R31" s="53">
        <f>SUMIFS('PF Holdings_diff dates'!$N:$N,'PF Holdings_diff dates'!$A:$A,$D31,'PF Holdings_diff dates'!$G:$G,$G$1,'PF Holdings_diff dates'!$Q:$Q,R$3)</f>
        <v>105000</v>
      </c>
      <c r="T31" s="53">
        <f>SUMIFS('PF Holdings_diff dates'!$O:$O,'PF Holdings_diff dates'!$A:$A,$D31,'PF Holdings_diff dates'!$G:$G,$G$1,'PF Holdings_diff dates'!$Q:$Q,T$3)</f>
        <v>150690.44</v>
      </c>
      <c r="U31" s="53">
        <f>Q31</f>
        <v>0</v>
      </c>
      <c r="V31" s="53">
        <f>W31-(T31+U31)</f>
        <v>28959.239999999991</v>
      </c>
      <c r="W31" s="53">
        <f>SUMIFS('PF Holdings_diff dates'!$O:$O,'PF Holdings_diff dates'!$A:$A,$D31,'PF Holdings_diff dates'!$G:$G,$G$1,'PF Holdings_diff dates'!$Q:$Q,W$3)</f>
        <v>179649.68</v>
      </c>
      <c r="X31" s="102">
        <f>IFERROR((V31/(T31+U31)),"n/a")</f>
        <v>0.19217702197962916</v>
      </c>
      <c r="Y31" s="102">
        <f>IFERROR(VLOOKUP(D31,'Category level Benchmark and tr'!$A:$G,7,0),0)</f>
        <v>0.23466989530660198</v>
      </c>
      <c r="Z31" s="84">
        <f>Y31</f>
        <v>0.23466989530660198</v>
      </c>
      <c r="AA31" s="110"/>
      <c r="AB31" s="31"/>
      <c r="AL31" t="s">
        <v>306</v>
      </c>
    </row>
    <row r="32" spans="2:38" s="92" customFormat="1" hidden="1" outlineLevel="3" x14ac:dyDescent="0.25">
      <c r="B32" s="92" t="str">
        <f>$G$1&amp;C32&amp;D32</f>
        <v>SN0011Equity-Managed-Mutual Funds-Sectoral</v>
      </c>
      <c r="C32" s="92">
        <v>1</v>
      </c>
      <c r="D32" s="92" t="str">
        <f>D35</f>
        <v>Equity-Managed-Mutual Funds-Sectoral</v>
      </c>
      <c r="E32" s="97" t="str">
        <f>IFERROR(VLOOKUP(B32,Sort!$A:$F,5,0),"-")</f>
        <v>SBI TECHNOLOGY OPPORTUNITIES FUND - DIRECT PLAN - GROWTH</v>
      </c>
      <c r="F32" s="93">
        <v>0</v>
      </c>
      <c r="G32" s="103"/>
      <c r="H32" s="93">
        <f>W32</f>
        <v>26406.41</v>
      </c>
      <c r="I32" s="103">
        <f t="shared" si="0"/>
        <v>3.6919822271411842E-2</v>
      </c>
      <c r="J32" s="95">
        <f>R32</f>
        <v>20000</v>
      </c>
      <c r="K32" s="93">
        <f t="shared" si="30"/>
        <v>26406.41</v>
      </c>
      <c r="L32" s="93">
        <f t="shared" si="2"/>
        <v>6406.41</v>
      </c>
      <c r="M32" s="103">
        <f t="shared" si="31"/>
        <v>0.32032050000000001</v>
      </c>
      <c r="N32" s="95"/>
      <c r="P32" s="93">
        <f>SUMIFS('PF Holdings_diff dates'!$N:$N,'PF Holdings_diff dates'!$I:$I,$E32,'PF Holdings_diff dates'!$G:$G,$G$1,'PF Holdings_diff dates'!$Q:$Q,P$3)</f>
        <v>20000</v>
      </c>
      <c r="Q32" s="93">
        <f t="shared" si="3"/>
        <v>0</v>
      </c>
      <c r="R32" s="93">
        <f>SUMIFS('PF Holdings_diff dates'!$N:$N,'PF Holdings_diff dates'!$I:$I,$E32,'PF Holdings_diff dates'!$G:$G,$G$1,'PF Holdings_diff dates'!$Q:$Q,R$3)</f>
        <v>20000</v>
      </c>
      <c r="T32" s="93">
        <f>SUMIFS('PF Holdings_diff dates'!$O:$O,'PF Holdings_diff dates'!$I:$I,$E32,'PF Holdings_diff dates'!$G:$G,$G$1,'PF Holdings_diff dates'!$Q:$Q,T$3)</f>
        <v>22581.69</v>
      </c>
      <c r="U32" s="93">
        <f t="shared" si="4"/>
        <v>0</v>
      </c>
      <c r="V32" s="93">
        <f t="shared" si="5"/>
        <v>3824.7200000000012</v>
      </c>
      <c r="W32" s="93">
        <f>SUMIFS('PF Holdings_diff dates'!$O:$O,'PF Holdings_diff dates'!$I:$I,$E32,'PF Holdings_diff dates'!$G:$G,$G$1,'PF Holdings_diff dates'!$Q:$Q,W$3)</f>
        <v>26406.41</v>
      </c>
      <c r="X32" s="104">
        <f t="shared" ref="X32:X34" si="68">IFERROR((V32/(T32+U32)),"-")</f>
        <v>0.16937262002976755</v>
      </c>
      <c r="Y32" s="104">
        <f>IF(E32="-","-",VLOOKUP(D32,'Category level Benchmark and tr'!$A:$G,7,0))</f>
        <v>0.17988573781460704</v>
      </c>
      <c r="Z32" s="96"/>
      <c r="AA32" s="108" t="s">
        <v>285</v>
      </c>
      <c r="AB32" s="109"/>
    </row>
    <row r="33" spans="2:28" s="92" customFormat="1" hidden="1" outlineLevel="3" x14ac:dyDescent="0.25">
      <c r="B33" s="92" t="str">
        <f t="shared" ref="B33:B34" si="69">$G$1&amp;C33&amp;D33</f>
        <v>SN0012Equity-Managed-Mutual Funds-Sectoral</v>
      </c>
      <c r="C33" s="92">
        <f>C32+1</f>
        <v>2</v>
      </c>
      <c r="D33" s="92" t="str">
        <f>D32</f>
        <v>Equity-Managed-Mutual Funds-Sectoral</v>
      </c>
      <c r="E33" s="97" t="str">
        <f>IFERROR(VLOOKUP(B33,Sort!$A:$F,5,0),"-")</f>
        <v>-</v>
      </c>
      <c r="F33" s="93">
        <v>0</v>
      </c>
      <c r="G33" s="103"/>
      <c r="H33" s="93">
        <f t="shared" ref="H33:H34" si="70">W33</f>
        <v>0</v>
      </c>
      <c r="I33" s="103">
        <f t="shared" si="0"/>
        <v>0</v>
      </c>
      <c r="J33" s="95">
        <f t="shared" ref="J33:J34" si="71">R33</f>
        <v>0</v>
      </c>
      <c r="K33" s="93">
        <f t="shared" si="30"/>
        <v>0</v>
      </c>
      <c r="L33" s="93">
        <f t="shared" si="2"/>
        <v>0</v>
      </c>
      <c r="M33" s="103" t="str">
        <f t="shared" si="31"/>
        <v>n/a</v>
      </c>
      <c r="N33" s="95"/>
      <c r="P33" s="93">
        <f>SUMIFS('PF Holdings_diff dates'!$N:$N,'PF Holdings_diff dates'!$I:$I,$E33,'PF Holdings_diff dates'!$G:$G,$G$1,'PF Holdings_diff dates'!$Q:$Q,P$3)</f>
        <v>0</v>
      </c>
      <c r="Q33" s="93">
        <f t="shared" si="3"/>
        <v>0</v>
      </c>
      <c r="R33" s="93">
        <f>SUMIFS('PF Holdings_diff dates'!$N:$N,'PF Holdings_diff dates'!$I:$I,$E33,'PF Holdings_diff dates'!$G:$G,$G$1,'PF Holdings_diff dates'!$Q:$Q,R$3)</f>
        <v>0</v>
      </c>
      <c r="T33" s="93">
        <f>SUMIFS('PF Holdings_diff dates'!$O:$O,'PF Holdings_diff dates'!$I:$I,$E33,'PF Holdings_diff dates'!$G:$G,$G$1,'PF Holdings_diff dates'!$Q:$Q,T$3)</f>
        <v>0</v>
      </c>
      <c r="U33" s="93">
        <f t="shared" si="4"/>
        <v>0</v>
      </c>
      <c r="V33" s="93">
        <f t="shared" si="5"/>
        <v>0</v>
      </c>
      <c r="W33" s="93">
        <f>SUMIFS('PF Holdings_diff dates'!$O:$O,'PF Holdings_diff dates'!$I:$I,$E33,'PF Holdings_diff dates'!$G:$G,$G$1,'PF Holdings_diff dates'!$Q:$Q,W$3)</f>
        <v>0</v>
      </c>
      <c r="X33" s="104" t="str">
        <f t="shared" si="68"/>
        <v>-</v>
      </c>
      <c r="Y33" s="104" t="str">
        <f>IF(E33="-","-",VLOOKUP(D33,'Category level Benchmark and tr'!$A:$G,7,0))</f>
        <v>-</v>
      </c>
      <c r="Z33" s="96"/>
      <c r="AA33" s="108" t="s">
        <v>256</v>
      </c>
      <c r="AB33" s="109"/>
    </row>
    <row r="34" spans="2:28" s="92" customFormat="1" hidden="1" outlineLevel="3" x14ac:dyDescent="0.25">
      <c r="B34" s="92" t="str">
        <f t="shared" si="69"/>
        <v>SN0013Equity-Managed-Mutual Funds-Sectoral</v>
      </c>
      <c r="C34" s="92">
        <f>C33+1</f>
        <v>3</v>
      </c>
      <c r="D34" s="92" t="str">
        <f>D33</f>
        <v>Equity-Managed-Mutual Funds-Sectoral</v>
      </c>
      <c r="E34" s="97" t="str">
        <f>IFERROR(VLOOKUP(B34,Sort!$A:$F,5,0),"-")</f>
        <v>-</v>
      </c>
      <c r="F34" s="93">
        <v>0</v>
      </c>
      <c r="G34" s="103"/>
      <c r="H34" s="93">
        <f t="shared" si="70"/>
        <v>0</v>
      </c>
      <c r="I34" s="103">
        <f t="shared" si="0"/>
        <v>0</v>
      </c>
      <c r="J34" s="95">
        <f t="shared" si="71"/>
        <v>0</v>
      </c>
      <c r="K34" s="93">
        <f t="shared" si="30"/>
        <v>0</v>
      </c>
      <c r="L34" s="93">
        <f t="shared" ref="L34" si="72">K34-J34</f>
        <v>0</v>
      </c>
      <c r="M34" s="103" t="str">
        <f>IFERROR(L34/J34,"-")</f>
        <v>-</v>
      </c>
      <c r="N34" s="95"/>
      <c r="P34" s="93">
        <f>SUMIFS('PF Holdings_diff dates'!$N:$N,'PF Holdings_diff dates'!$I:$I,$E34,'PF Holdings_diff dates'!$G:$G,$G$1,'PF Holdings_diff dates'!$Q:$Q,P$3)</f>
        <v>0</v>
      </c>
      <c r="Q34" s="93">
        <f t="shared" si="3"/>
        <v>0</v>
      </c>
      <c r="R34" s="93">
        <f>SUMIFS('PF Holdings_diff dates'!$N:$N,'PF Holdings_diff dates'!$I:$I,$E34,'PF Holdings_diff dates'!$G:$G,$G$1,'PF Holdings_diff dates'!$Q:$Q,R$3)</f>
        <v>0</v>
      </c>
      <c r="T34" s="93">
        <f>SUMIFS('PF Holdings_diff dates'!$O:$O,'PF Holdings_diff dates'!$I:$I,$E34,'PF Holdings_diff dates'!$G:$G,$G$1,'PF Holdings_diff dates'!$Q:$Q,T$3)</f>
        <v>0</v>
      </c>
      <c r="U34" s="93">
        <f t="shared" ref="U34" si="73">Q34</f>
        <v>0</v>
      </c>
      <c r="V34" s="93">
        <f t="shared" ref="V34" si="74">W34-(T34+U34)</f>
        <v>0</v>
      </c>
      <c r="W34" s="93">
        <f>SUMIFS('PF Holdings_diff dates'!$O:$O,'PF Holdings_diff dates'!$I:$I,$E34,'PF Holdings_diff dates'!$G:$G,$G$1,'PF Holdings_diff dates'!$Q:$Q,W$3)</f>
        <v>0</v>
      </c>
      <c r="X34" s="104" t="str">
        <f t="shared" si="68"/>
        <v>-</v>
      </c>
      <c r="Y34" s="104" t="str">
        <f>IF(E34="-","-",VLOOKUP(D34,'Category level Benchmark and tr'!$A:$G,7,0))</f>
        <v>-</v>
      </c>
      <c r="Z34" s="96"/>
      <c r="AA34" s="108" t="s">
        <v>256</v>
      </c>
      <c r="AB34" s="109"/>
    </row>
    <row r="35" spans="2:28" hidden="1" outlineLevel="2" x14ac:dyDescent="0.25">
      <c r="D35" t="s">
        <v>121</v>
      </c>
      <c r="E35" s="56" t="s">
        <v>16</v>
      </c>
      <c r="F35" s="53">
        <f>'AA Decision View'!Q20</f>
        <v>24139.236937500002</v>
      </c>
      <c r="G35" s="101">
        <f>F35/F$123</f>
        <v>3.3749999999999995E-2</v>
      </c>
      <c r="H35" s="53">
        <f>'AA Decision View'!S20</f>
        <v>26406.41</v>
      </c>
      <c r="I35" s="101">
        <f t="shared" si="0"/>
        <v>3.6919822271411842E-2</v>
      </c>
      <c r="J35" s="54">
        <f>'AA Decision View'!V20</f>
        <v>20000</v>
      </c>
      <c r="K35" s="53">
        <f>H35</f>
        <v>26406.41</v>
      </c>
      <c r="L35" s="53">
        <f>K35-J35</f>
        <v>6406.41</v>
      </c>
      <c r="M35" s="101">
        <f>IFERROR(L35/J35,"n/a")</f>
        <v>0.32032050000000001</v>
      </c>
      <c r="N35" s="54">
        <f>F35-K35</f>
        <v>-2267.1730624999982</v>
      </c>
      <c r="P35" s="53">
        <f>SUMIFS('PF Holdings_diff dates'!$N:$N,'PF Holdings_diff dates'!$A:$A,$D35,'PF Holdings_diff dates'!$G:$G,$G$1,'PF Holdings_diff dates'!$Q:$Q,P$3)</f>
        <v>20000</v>
      </c>
      <c r="Q35" s="53">
        <f>R35-P35</f>
        <v>0</v>
      </c>
      <c r="R35" s="53">
        <f>SUMIFS('PF Holdings_diff dates'!$N:$N,'PF Holdings_diff dates'!$A:$A,$D35,'PF Holdings_diff dates'!$G:$G,$G$1,'PF Holdings_diff dates'!$Q:$Q,R$3)</f>
        <v>20000</v>
      </c>
      <c r="T35" s="53">
        <f>SUMIFS('PF Holdings_diff dates'!$O:$O,'PF Holdings_diff dates'!$A:$A,$D35,'PF Holdings_diff dates'!$G:$G,$G$1,'PF Holdings_diff dates'!$Q:$Q,T$3)</f>
        <v>22581.69</v>
      </c>
      <c r="U35" s="53">
        <f>Q35</f>
        <v>0</v>
      </c>
      <c r="V35" s="53">
        <f>W35-(T35+U35)</f>
        <v>3824.7200000000012</v>
      </c>
      <c r="W35" s="53">
        <f>SUMIFS('PF Holdings_diff dates'!$O:$O,'PF Holdings_diff dates'!$A:$A,$D35,'PF Holdings_diff dates'!$G:$G,$G$1,'PF Holdings_diff dates'!$Q:$Q,W$3)</f>
        <v>26406.41</v>
      </c>
      <c r="X35" s="102">
        <f>IFERROR((V35/(T35+U35)),"n/a")</f>
        <v>0.16937262002976755</v>
      </c>
      <c r="Y35" s="102">
        <f>IFERROR(VLOOKUP(D35,'Category level Benchmark and tr'!$A:$G,7,0),0)</f>
        <v>0.17988573781460704</v>
      </c>
      <c r="Z35" s="84">
        <f>Y35</f>
        <v>0.17988573781460704</v>
      </c>
      <c r="AA35" s="110"/>
      <c r="AB35" s="31"/>
    </row>
    <row r="36" spans="2:28" s="92" customFormat="1" hidden="1" outlineLevel="3" x14ac:dyDescent="0.25">
      <c r="B36" s="92" t="str">
        <f>$G$1&amp;C36&amp;D36</f>
        <v>SN0011Equity-Managed-Mutual Funds-Thematic</v>
      </c>
      <c r="C36" s="92">
        <v>1</v>
      </c>
      <c r="D36" s="92" t="str">
        <f>D39</f>
        <v>Equity-Managed-Mutual Funds-Thematic</v>
      </c>
      <c r="E36" s="97" t="str">
        <f>IFERROR(VLOOKUP(B36,Sort!$A:$F,5,0),"-")</f>
        <v>-</v>
      </c>
      <c r="F36" s="93">
        <v>0</v>
      </c>
      <c r="G36" s="103"/>
      <c r="H36" s="93">
        <f>W36</f>
        <v>0</v>
      </c>
      <c r="I36" s="103">
        <f t="shared" si="0"/>
        <v>0</v>
      </c>
      <c r="J36" s="95">
        <f>R36</f>
        <v>0</v>
      </c>
      <c r="K36" s="93">
        <f t="shared" ref="K36:K38" si="75">H36</f>
        <v>0</v>
      </c>
      <c r="L36" s="93">
        <f t="shared" ref="L36:L38" si="76">K36-J36</f>
        <v>0</v>
      </c>
      <c r="M36" s="103" t="str">
        <f t="shared" ref="M36:M37" si="77">IFERROR(L36/J36,"n/a")</f>
        <v>n/a</v>
      </c>
      <c r="N36" s="95"/>
      <c r="P36" s="93">
        <f>SUMIFS('PF Holdings_diff dates'!$N:$N,'PF Holdings_diff dates'!$I:$I,$E36,'PF Holdings_diff dates'!$G:$G,$G$1,'PF Holdings_diff dates'!$Q:$Q,P$3)</f>
        <v>0</v>
      </c>
      <c r="Q36" s="93">
        <f t="shared" si="3"/>
        <v>0</v>
      </c>
      <c r="R36" s="93">
        <f>SUMIFS('PF Holdings_diff dates'!$N:$N,'PF Holdings_diff dates'!$I:$I,$E36,'PF Holdings_diff dates'!$G:$G,$G$1,'PF Holdings_diff dates'!$Q:$Q,R$3)</f>
        <v>0</v>
      </c>
      <c r="T36" s="93">
        <f>SUMIFS('PF Holdings_diff dates'!$O:$O,'PF Holdings_diff dates'!$I:$I,$E36,'PF Holdings_diff dates'!$G:$G,$G$1,'PF Holdings_diff dates'!$Q:$Q,T$3)</f>
        <v>0</v>
      </c>
      <c r="U36" s="93">
        <f t="shared" ref="U36:U38" si="78">Q36</f>
        <v>0</v>
      </c>
      <c r="V36" s="93">
        <f t="shared" ref="V36:V38" si="79">W36-(T36+U36)</f>
        <v>0</v>
      </c>
      <c r="W36" s="93">
        <f>SUMIFS('PF Holdings_diff dates'!$O:$O,'PF Holdings_diff dates'!$I:$I,$E36,'PF Holdings_diff dates'!$G:$G,$G$1,'PF Holdings_diff dates'!$Q:$Q,W$3)</f>
        <v>0</v>
      </c>
      <c r="X36" s="104" t="str">
        <f t="shared" ref="X36:X38" si="80">IFERROR((V36/(T36+U36)),"-")</f>
        <v>-</v>
      </c>
      <c r="Y36" s="104" t="str">
        <f>IF(E36="-","-",VLOOKUP(D36,'Category level Benchmark and tr'!$A:$G,7,0))</f>
        <v>-</v>
      </c>
      <c r="Z36" s="96"/>
      <c r="AA36" s="108" t="s">
        <v>284</v>
      </c>
      <c r="AB36" s="109"/>
    </row>
    <row r="37" spans="2:28" s="92" customFormat="1" hidden="1" outlineLevel="3" x14ac:dyDescent="0.25">
      <c r="B37" s="92" t="str">
        <f t="shared" ref="B37:B38" si="81">$G$1&amp;C37&amp;D37</f>
        <v>SN0012Equity-Managed-Mutual Funds-Thematic</v>
      </c>
      <c r="C37" s="92">
        <f>C36+1</f>
        <v>2</v>
      </c>
      <c r="D37" s="92" t="str">
        <f>D36</f>
        <v>Equity-Managed-Mutual Funds-Thematic</v>
      </c>
      <c r="E37" s="97" t="str">
        <f>IFERROR(VLOOKUP(B37,Sort!$A:$F,5,0),"-")</f>
        <v>-</v>
      </c>
      <c r="F37" s="93">
        <v>0</v>
      </c>
      <c r="G37" s="103"/>
      <c r="H37" s="93">
        <f t="shared" ref="H37:H38" si="82">W37</f>
        <v>0</v>
      </c>
      <c r="I37" s="103">
        <f t="shared" si="0"/>
        <v>0</v>
      </c>
      <c r="J37" s="95">
        <f t="shared" ref="J37:J38" si="83">R37</f>
        <v>0</v>
      </c>
      <c r="K37" s="93">
        <f t="shared" si="75"/>
        <v>0</v>
      </c>
      <c r="L37" s="93">
        <f t="shared" si="76"/>
        <v>0</v>
      </c>
      <c r="M37" s="103" t="str">
        <f t="shared" si="77"/>
        <v>n/a</v>
      </c>
      <c r="N37" s="95"/>
      <c r="P37" s="93">
        <f>SUMIFS('PF Holdings_diff dates'!$N:$N,'PF Holdings_diff dates'!$I:$I,$E37,'PF Holdings_diff dates'!$G:$G,$G$1,'PF Holdings_diff dates'!$Q:$Q,P$3)</f>
        <v>0</v>
      </c>
      <c r="Q37" s="93">
        <f t="shared" si="3"/>
        <v>0</v>
      </c>
      <c r="R37" s="93">
        <f>SUMIFS('PF Holdings_diff dates'!$N:$N,'PF Holdings_diff dates'!$I:$I,$E37,'PF Holdings_diff dates'!$G:$G,$G$1,'PF Holdings_diff dates'!$Q:$Q,R$3)</f>
        <v>0</v>
      </c>
      <c r="T37" s="93">
        <f>SUMIFS('PF Holdings_diff dates'!$O:$O,'PF Holdings_diff dates'!$I:$I,$E37,'PF Holdings_diff dates'!$G:$G,$G$1,'PF Holdings_diff dates'!$Q:$Q,T$3)</f>
        <v>0</v>
      </c>
      <c r="U37" s="93">
        <f t="shared" si="78"/>
        <v>0</v>
      </c>
      <c r="V37" s="93">
        <f t="shared" si="79"/>
        <v>0</v>
      </c>
      <c r="W37" s="93">
        <f>SUMIFS('PF Holdings_diff dates'!$O:$O,'PF Holdings_diff dates'!$I:$I,$E37,'PF Holdings_diff dates'!$G:$G,$G$1,'PF Holdings_diff dates'!$Q:$Q,W$3)</f>
        <v>0</v>
      </c>
      <c r="X37" s="104" t="str">
        <f t="shared" si="80"/>
        <v>-</v>
      </c>
      <c r="Y37" s="104" t="str">
        <f>IF(E37="-","-",VLOOKUP(D37,'Category level Benchmark and tr'!$A:$G,7,0))</f>
        <v>-</v>
      </c>
      <c r="Z37" s="96"/>
      <c r="AA37" s="108"/>
      <c r="AB37" s="109"/>
    </row>
    <row r="38" spans="2:28" s="92" customFormat="1" hidden="1" outlineLevel="3" x14ac:dyDescent="0.25">
      <c r="B38" s="92" t="str">
        <f t="shared" si="81"/>
        <v>SN0013Equity-Managed-Mutual Funds-Thematic</v>
      </c>
      <c r="C38" s="92">
        <f>C37+1</f>
        <v>3</v>
      </c>
      <c r="D38" s="92" t="str">
        <f>D37</f>
        <v>Equity-Managed-Mutual Funds-Thematic</v>
      </c>
      <c r="E38" s="97" t="str">
        <f>IFERROR(VLOOKUP(B38,Sort!$A:$F,5,0),"-")</f>
        <v>-</v>
      </c>
      <c r="F38" s="93">
        <v>0</v>
      </c>
      <c r="G38" s="103"/>
      <c r="H38" s="93">
        <f t="shared" si="82"/>
        <v>0</v>
      </c>
      <c r="I38" s="103">
        <f t="shared" ref="I38:I69" si="84">H38/H$123</f>
        <v>0</v>
      </c>
      <c r="J38" s="95">
        <f t="shared" si="83"/>
        <v>0</v>
      </c>
      <c r="K38" s="93">
        <f t="shared" si="75"/>
        <v>0</v>
      </c>
      <c r="L38" s="93">
        <f t="shared" si="76"/>
        <v>0</v>
      </c>
      <c r="M38" s="103" t="str">
        <f>IFERROR(L38/J38,"-")</f>
        <v>-</v>
      </c>
      <c r="N38" s="95"/>
      <c r="P38" s="93">
        <f>SUMIFS('PF Holdings_diff dates'!$N:$N,'PF Holdings_diff dates'!$I:$I,$E38,'PF Holdings_diff dates'!$G:$G,$G$1,'PF Holdings_diff dates'!$Q:$Q,P$3)</f>
        <v>0</v>
      </c>
      <c r="Q38" s="93">
        <f t="shared" si="3"/>
        <v>0</v>
      </c>
      <c r="R38" s="93">
        <f>SUMIFS('PF Holdings_diff dates'!$N:$N,'PF Holdings_diff dates'!$I:$I,$E38,'PF Holdings_diff dates'!$G:$G,$G$1,'PF Holdings_diff dates'!$Q:$Q,R$3)</f>
        <v>0</v>
      </c>
      <c r="T38" s="93">
        <f>SUMIFS('PF Holdings_diff dates'!$O:$O,'PF Holdings_diff dates'!$I:$I,$E38,'PF Holdings_diff dates'!$G:$G,$G$1,'PF Holdings_diff dates'!$Q:$Q,T$3)</f>
        <v>0</v>
      </c>
      <c r="U38" s="93">
        <f t="shared" si="78"/>
        <v>0</v>
      </c>
      <c r="V38" s="93">
        <f t="shared" si="79"/>
        <v>0</v>
      </c>
      <c r="W38" s="93">
        <f>SUMIFS('PF Holdings_diff dates'!$O:$O,'PF Holdings_diff dates'!$I:$I,$E38,'PF Holdings_diff dates'!$G:$G,$G$1,'PF Holdings_diff dates'!$Q:$Q,W$3)</f>
        <v>0</v>
      </c>
      <c r="X38" s="104" t="str">
        <f t="shared" si="80"/>
        <v>-</v>
      </c>
      <c r="Y38" s="104" t="str">
        <f>IF(E38="-","-",VLOOKUP(D38,'Category level Benchmark and tr'!$A:$G,7,0))</f>
        <v>-</v>
      </c>
      <c r="Z38" s="96"/>
      <c r="AA38" s="108"/>
      <c r="AB38" s="109"/>
    </row>
    <row r="39" spans="2:28" hidden="1" outlineLevel="2" x14ac:dyDescent="0.25">
      <c r="D39" t="s">
        <v>122</v>
      </c>
      <c r="E39" s="56" t="s">
        <v>120</v>
      </c>
      <c r="F39" s="53">
        <f>'AA Decision View'!Q21</f>
        <v>24139.236937500002</v>
      </c>
      <c r="G39" s="101">
        <f>F39/F$123</f>
        <v>3.3749999999999995E-2</v>
      </c>
      <c r="H39" s="53">
        <f>'AA Decision View'!S21</f>
        <v>0</v>
      </c>
      <c r="I39" s="101">
        <f t="shared" si="84"/>
        <v>0</v>
      </c>
      <c r="J39" s="54">
        <f>'AA Decision View'!V21</f>
        <v>0</v>
      </c>
      <c r="K39" s="53">
        <f>H39</f>
        <v>0</v>
      </c>
      <c r="L39" s="53">
        <f>K39-J39</f>
        <v>0</v>
      </c>
      <c r="M39" s="101" t="str">
        <f>IFERROR(L39/J39,"n/a")</f>
        <v>n/a</v>
      </c>
      <c r="N39" s="54">
        <f>F39-K39</f>
        <v>24139.236937500002</v>
      </c>
      <c r="P39" s="53">
        <f>SUMIFS('PF Holdings_diff dates'!$N:$N,'PF Holdings_diff dates'!$A:$A,$D39,'PF Holdings_diff dates'!$G:$G,$G$1,'PF Holdings_diff dates'!$Q:$Q,P$3)</f>
        <v>0</v>
      </c>
      <c r="Q39" s="53">
        <f>R39-P39</f>
        <v>0</v>
      </c>
      <c r="R39" s="53">
        <f>SUMIFS('PF Holdings_diff dates'!$N:$N,'PF Holdings_diff dates'!$A:$A,$D39,'PF Holdings_diff dates'!$G:$G,$G$1,'PF Holdings_diff dates'!$Q:$Q,R$3)</f>
        <v>0</v>
      </c>
      <c r="T39" s="53">
        <f>SUMIFS('PF Holdings_diff dates'!$O:$O,'PF Holdings_diff dates'!$A:$A,$D39,'PF Holdings_diff dates'!$G:$G,$G$1,'PF Holdings_diff dates'!$Q:$Q,T$3)</f>
        <v>0</v>
      </c>
      <c r="U39" s="53">
        <f>Q39</f>
        <v>0</v>
      </c>
      <c r="V39" s="53">
        <f>W39-(T39+U39)</f>
        <v>0</v>
      </c>
      <c r="W39" s="53">
        <f>SUMIFS('PF Holdings_diff dates'!$O:$O,'PF Holdings_diff dates'!$A:$A,$D39,'PF Holdings_diff dates'!$G:$G,$G$1,'PF Holdings_diff dates'!$Q:$Q,W$3)</f>
        <v>0</v>
      </c>
      <c r="X39" s="102" t="str">
        <f>IFERROR((V39/(T39+U39)),"n/a")</f>
        <v>n/a</v>
      </c>
      <c r="Y39" s="102">
        <f>IFERROR(VLOOKUP(D39,'Category level Benchmark and tr'!$A:$G,7,0),0)</f>
        <v>0.17988573781460704</v>
      </c>
      <c r="Z39" s="84">
        <f>Y39</f>
        <v>0.17988573781460704</v>
      </c>
      <c r="AA39" s="110"/>
      <c r="AB39" s="31"/>
    </row>
    <row r="40" spans="2:28" s="92" customFormat="1" hidden="1" outlineLevel="3" x14ac:dyDescent="0.25">
      <c r="B40" s="92" t="str">
        <f>$G$1&amp;C40&amp;D40</f>
        <v>SN0011Equity-Managed-Mutual Funds-Flexicap</v>
      </c>
      <c r="C40" s="92">
        <v>1</v>
      </c>
      <c r="D40" s="92" t="str">
        <f>D43</f>
        <v>Equity-Managed-Mutual Funds-Flexicap</v>
      </c>
      <c r="E40" s="97" t="str">
        <f>IFERROR(VLOOKUP(B40,Sort!$A:$F,5,0),"-")</f>
        <v>-</v>
      </c>
      <c r="F40" s="93">
        <v>0</v>
      </c>
      <c r="G40" s="103"/>
      <c r="H40" s="93">
        <f>W40</f>
        <v>0</v>
      </c>
      <c r="I40" s="103">
        <f t="shared" si="84"/>
        <v>0</v>
      </c>
      <c r="J40" s="95">
        <f>R40</f>
        <v>0</v>
      </c>
      <c r="K40" s="93">
        <f t="shared" si="30"/>
        <v>0</v>
      </c>
      <c r="L40" s="93">
        <f t="shared" ref="L40:L42" si="85">K40-J40</f>
        <v>0</v>
      </c>
      <c r="M40" s="103" t="str">
        <f>IFERROR(L40/J40,"-")</f>
        <v>-</v>
      </c>
      <c r="N40" s="95"/>
      <c r="P40" s="93">
        <f>SUMIFS('PF Holdings_diff dates'!$N:$N,'PF Holdings_diff dates'!$I:$I,$E40,'PF Holdings_diff dates'!$G:$G,$G$1,'PF Holdings_diff dates'!$Q:$Q,P$3)</f>
        <v>0</v>
      </c>
      <c r="Q40" s="93">
        <f t="shared" si="3"/>
        <v>0</v>
      </c>
      <c r="R40" s="93">
        <f>SUMIFS('PF Holdings_diff dates'!$N:$N,'PF Holdings_diff dates'!$I:$I,$E40,'PF Holdings_diff dates'!$G:$G,$G$1,'PF Holdings_diff dates'!$Q:$Q,R$3)</f>
        <v>0</v>
      </c>
      <c r="T40" s="93">
        <f>SUMIFS('PF Holdings_diff dates'!$O:$O,'PF Holdings_diff dates'!$I:$I,$E40,'PF Holdings_diff dates'!$G:$G,$G$1,'PF Holdings_diff dates'!$Q:$Q,T$3)</f>
        <v>0</v>
      </c>
      <c r="U40" s="93">
        <f t="shared" ref="U40:U42" si="86">Q40</f>
        <v>0</v>
      </c>
      <c r="V40" s="93">
        <f t="shared" ref="V40:V42" si="87">W40-(T40+U40)</f>
        <v>0</v>
      </c>
      <c r="W40" s="93">
        <f>SUMIFS('PF Holdings_diff dates'!$O:$O,'PF Holdings_diff dates'!$I:$I,$E40,'PF Holdings_diff dates'!$G:$G,$G$1,'PF Holdings_diff dates'!$Q:$Q,W$3)</f>
        <v>0</v>
      </c>
      <c r="X40" s="104" t="str">
        <f>IFERROR((V40/(T40+U40)),"-")</f>
        <v>-</v>
      </c>
      <c r="Y40" s="104" t="str">
        <f>IF(E40="-","-",VLOOKUP(D40,'Category level Benchmark and tr'!$A:$G,7,0))</f>
        <v>-</v>
      </c>
      <c r="Z40" s="96"/>
      <c r="AA40" s="108" t="s">
        <v>256</v>
      </c>
      <c r="AB40" s="109"/>
    </row>
    <row r="41" spans="2:28" s="92" customFormat="1" hidden="1" outlineLevel="3" x14ac:dyDescent="0.25">
      <c r="B41" s="92" t="str">
        <f t="shared" ref="B41:B42" si="88">$G$1&amp;C41&amp;D41</f>
        <v>SN0012Equity-Managed-Mutual Funds-Flexicap</v>
      </c>
      <c r="C41" s="92">
        <f>C40+1</f>
        <v>2</v>
      </c>
      <c r="D41" s="92" t="str">
        <f>D40</f>
        <v>Equity-Managed-Mutual Funds-Flexicap</v>
      </c>
      <c r="E41" s="97" t="str">
        <f>IFERROR(VLOOKUP(B41,Sort!$A:$F,5,0),"-")</f>
        <v>-</v>
      </c>
      <c r="F41" s="93">
        <v>0</v>
      </c>
      <c r="G41" s="103"/>
      <c r="H41" s="93">
        <f t="shared" ref="H41:H42" si="89">W41</f>
        <v>0</v>
      </c>
      <c r="I41" s="103">
        <f t="shared" si="84"/>
        <v>0</v>
      </c>
      <c r="J41" s="95">
        <f t="shared" ref="J41:J42" si="90">R41</f>
        <v>0</v>
      </c>
      <c r="K41" s="93">
        <f t="shared" si="30"/>
        <v>0</v>
      </c>
      <c r="L41" s="93">
        <f t="shared" si="85"/>
        <v>0</v>
      </c>
      <c r="M41" s="103" t="str">
        <f>IFERROR(L41/J41,"-")</f>
        <v>-</v>
      </c>
      <c r="N41" s="95"/>
      <c r="P41" s="93">
        <f>SUMIFS('PF Holdings_diff dates'!$N:$N,'PF Holdings_diff dates'!$I:$I,$E41,'PF Holdings_diff dates'!$G:$G,$G$1,'PF Holdings_diff dates'!$Q:$Q,P$3)</f>
        <v>0</v>
      </c>
      <c r="Q41" s="93">
        <f t="shared" si="3"/>
        <v>0</v>
      </c>
      <c r="R41" s="93">
        <f>SUMIFS('PF Holdings_diff dates'!$N:$N,'PF Holdings_diff dates'!$I:$I,$E41,'PF Holdings_diff dates'!$G:$G,$G$1,'PF Holdings_diff dates'!$Q:$Q,R$3)</f>
        <v>0</v>
      </c>
      <c r="T41" s="93">
        <f>SUMIFS('PF Holdings_diff dates'!$O:$O,'PF Holdings_diff dates'!$I:$I,$E41,'PF Holdings_diff dates'!$G:$G,$G$1,'PF Holdings_diff dates'!$Q:$Q,T$3)</f>
        <v>0</v>
      </c>
      <c r="U41" s="93">
        <f t="shared" si="86"/>
        <v>0</v>
      </c>
      <c r="V41" s="93">
        <f t="shared" si="87"/>
        <v>0</v>
      </c>
      <c r="W41" s="93">
        <f>SUMIFS('PF Holdings_diff dates'!$O:$O,'PF Holdings_diff dates'!$I:$I,$E41,'PF Holdings_diff dates'!$G:$G,$G$1,'PF Holdings_diff dates'!$Q:$Q,W$3)</f>
        <v>0</v>
      </c>
      <c r="X41" s="104" t="str">
        <f t="shared" ref="X41:X42" si="91">IFERROR((V41/(T41+U41)),"-")</f>
        <v>-</v>
      </c>
      <c r="Y41" s="104" t="str">
        <f>IF(E41="-","-",VLOOKUP(D41,'Category level Benchmark and tr'!$A:$G,7,0))</f>
        <v>-</v>
      </c>
      <c r="Z41" s="96"/>
      <c r="AA41" s="108" t="s">
        <v>256</v>
      </c>
      <c r="AB41" s="109"/>
    </row>
    <row r="42" spans="2:28" s="92" customFormat="1" hidden="1" outlineLevel="3" x14ac:dyDescent="0.25">
      <c r="B42" s="92" t="str">
        <f t="shared" si="88"/>
        <v>SN0013Equity-Managed-Mutual Funds-Flexicap</v>
      </c>
      <c r="C42" s="92">
        <f>C41+1</f>
        <v>3</v>
      </c>
      <c r="D42" s="92" t="str">
        <f>D41</f>
        <v>Equity-Managed-Mutual Funds-Flexicap</v>
      </c>
      <c r="E42" s="97" t="str">
        <f>IFERROR(VLOOKUP(B42,Sort!$A:$F,5,0),"-")</f>
        <v>-</v>
      </c>
      <c r="F42" s="93">
        <v>0</v>
      </c>
      <c r="G42" s="103"/>
      <c r="H42" s="93">
        <f t="shared" si="89"/>
        <v>0</v>
      </c>
      <c r="I42" s="103">
        <f t="shared" si="84"/>
        <v>0</v>
      </c>
      <c r="J42" s="95">
        <f t="shared" si="90"/>
        <v>0</v>
      </c>
      <c r="K42" s="93">
        <f t="shared" si="30"/>
        <v>0</v>
      </c>
      <c r="L42" s="93">
        <f t="shared" si="85"/>
        <v>0</v>
      </c>
      <c r="M42" s="103" t="str">
        <f>IFERROR(L42/J42,"-")</f>
        <v>-</v>
      </c>
      <c r="N42" s="95"/>
      <c r="P42" s="93">
        <f>SUMIFS('PF Holdings_diff dates'!$N:$N,'PF Holdings_diff dates'!$I:$I,$E42,'PF Holdings_diff dates'!$G:$G,$G$1,'PF Holdings_diff dates'!$Q:$Q,P$3)</f>
        <v>0</v>
      </c>
      <c r="Q42" s="93">
        <f t="shared" si="3"/>
        <v>0</v>
      </c>
      <c r="R42" s="93">
        <f>SUMIFS('PF Holdings_diff dates'!$N:$N,'PF Holdings_diff dates'!$I:$I,$E42,'PF Holdings_diff dates'!$G:$G,$G$1,'PF Holdings_diff dates'!$Q:$Q,R$3)</f>
        <v>0</v>
      </c>
      <c r="T42" s="93">
        <f>SUMIFS('PF Holdings_diff dates'!$O:$O,'PF Holdings_diff dates'!$I:$I,$E42,'PF Holdings_diff dates'!$G:$G,$G$1,'PF Holdings_diff dates'!$Q:$Q,T$3)</f>
        <v>0</v>
      </c>
      <c r="U42" s="93">
        <f t="shared" si="86"/>
        <v>0</v>
      </c>
      <c r="V42" s="93">
        <f t="shared" si="87"/>
        <v>0</v>
      </c>
      <c r="W42" s="93">
        <f>SUMIFS('PF Holdings_diff dates'!$O:$O,'PF Holdings_diff dates'!$I:$I,$E42,'PF Holdings_diff dates'!$G:$G,$G$1,'PF Holdings_diff dates'!$Q:$Q,W$3)</f>
        <v>0</v>
      </c>
      <c r="X42" s="104" t="str">
        <f t="shared" si="91"/>
        <v>-</v>
      </c>
      <c r="Y42" s="104" t="str">
        <f>IF(E42="-","-",VLOOKUP(D42,'Category level Benchmark and tr'!$A:$G,7,0))</f>
        <v>-</v>
      </c>
      <c r="Z42" s="96"/>
      <c r="AA42" s="108"/>
      <c r="AB42" s="109"/>
    </row>
    <row r="43" spans="2:28" hidden="1" outlineLevel="2" x14ac:dyDescent="0.25">
      <c r="D43" t="s">
        <v>124</v>
      </c>
      <c r="E43" s="56" t="s">
        <v>123</v>
      </c>
      <c r="F43" s="53">
        <f>'AA Decision View'!Q22</f>
        <v>72417.710812500009</v>
      </c>
      <c r="G43" s="101">
        <f>F43/F$123</f>
        <v>0.10124999999999999</v>
      </c>
      <c r="H43" s="53">
        <f>'AA Decision View'!S22</f>
        <v>0</v>
      </c>
      <c r="I43" s="101">
        <f t="shared" si="84"/>
        <v>0</v>
      </c>
      <c r="J43" s="54">
        <f>'AA Decision View'!V22</f>
        <v>0</v>
      </c>
      <c r="K43" s="53">
        <f>H43</f>
        <v>0</v>
      </c>
      <c r="L43" s="53">
        <f>K43-J43</f>
        <v>0</v>
      </c>
      <c r="M43" s="101" t="str">
        <f>IFERROR(L43/J43,"n/a")</f>
        <v>n/a</v>
      </c>
      <c r="N43" s="54">
        <f>F43-K43</f>
        <v>72417.710812500009</v>
      </c>
      <c r="P43" s="53">
        <f>SUMIFS('PF Holdings_diff dates'!$N:$N,'PF Holdings_diff dates'!$A:$A,$D43,'PF Holdings_diff dates'!$G:$G,$G$1,'PF Holdings_diff dates'!$Q:$Q,P$3)</f>
        <v>0</v>
      </c>
      <c r="Q43" s="53">
        <f>R43-P43</f>
        <v>0</v>
      </c>
      <c r="R43" s="53">
        <f>SUMIFS('PF Holdings_diff dates'!$N:$N,'PF Holdings_diff dates'!$A:$A,$D43,'PF Holdings_diff dates'!$G:$G,$G$1,'PF Holdings_diff dates'!$Q:$Q,R$3)</f>
        <v>0</v>
      </c>
      <c r="T43" s="53">
        <f>SUMIFS('PF Holdings_diff dates'!$O:$O,'PF Holdings_diff dates'!$A:$A,$D43,'PF Holdings_diff dates'!$G:$G,$G$1,'PF Holdings_diff dates'!$Q:$Q,T$3)</f>
        <v>0</v>
      </c>
      <c r="U43" s="53">
        <f>Q43</f>
        <v>0</v>
      </c>
      <c r="V43" s="53">
        <f>W43-(T43+U43)</f>
        <v>0</v>
      </c>
      <c r="W43" s="53">
        <f>SUMIFS('PF Holdings_diff dates'!$O:$O,'PF Holdings_diff dates'!$A:$A,$D43,'PF Holdings_diff dates'!$G:$G,$G$1,'PF Holdings_diff dates'!$Q:$Q,W$3)</f>
        <v>0</v>
      </c>
      <c r="X43" s="102" t="str">
        <f>IFERROR((V43/(T43+U43)),"n/a")</f>
        <v>n/a</v>
      </c>
      <c r="Y43" s="102">
        <f>IFERROR(VLOOKUP(D43,'Category level Benchmark and tr'!$A:$G,7,0),0)</f>
        <v>0.17988573781460704</v>
      </c>
      <c r="Z43" s="84">
        <f>Y43</f>
        <v>0.17988573781460704</v>
      </c>
      <c r="AA43" s="110"/>
      <c r="AB43" s="31"/>
    </row>
    <row r="44" spans="2:28" hidden="1" outlineLevel="1" x14ac:dyDescent="0.25">
      <c r="E44" s="57" t="s">
        <v>31</v>
      </c>
      <c r="F44" s="58">
        <f>SUM(F9,F13,F22,F26,F31,F35,F39,F43)</f>
        <v>482784.73875000002</v>
      </c>
      <c r="G44" s="59">
        <f>F44/F$123</f>
        <v>0.67499999999999993</v>
      </c>
      <c r="H44" s="58">
        <f>SUM(H9,H13,H22,H26,H31,H35,H39,H43)</f>
        <v>548393.71000000008</v>
      </c>
      <c r="I44" s="59">
        <f t="shared" si="84"/>
        <v>0.76673043810045249</v>
      </c>
      <c r="J44" s="58">
        <f>SUM(J9,J13,J22,J26,J31,J35,J39,J43)</f>
        <v>363000</v>
      </c>
      <c r="K44" s="60">
        <f>H44</f>
        <v>548393.71000000008</v>
      </c>
      <c r="L44" s="60">
        <f>K44-J44</f>
        <v>185393.71000000008</v>
      </c>
      <c r="M44" s="59">
        <f>IFERROR(L44/J44,"n/a")</f>
        <v>0.51072647382920133</v>
      </c>
      <c r="N44" s="58">
        <f>F44-K44</f>
        <v>-65608.971250000061</v>
      </c>
      <c r="P44" s="58">
        <f>SUM(P9,P13,P22,P26,P31,P35,P39,P43)</f>
        <v>363000</v>
      </c>
      <c r="Q44" s="58">
        <f>R44-P44</f>
        <v>0</v>
      </c>
      <c r="R44" s="58">
        <f>SUM(R9,R13,R22,R26,R31,R35,R39,R43)</f>
        <v>363000</v>
      </c>
      <c r="T44" s="58">
        <f>SUM(T9,T13,T22,T26,T31,T35,T39,T43)</f>
        <v>462718.07</v>
      </c>
      <c r="U44" s="58">
        <f>Q44</f>
        <v>0</v>
      </c>
      <c r="V44" s="58">
        <f>W44-(T44+U44)</f>
        <v>85675.640000000072</v>
      </c>
      <c r="W44" s="58">
        <f>SUM(W9,W13,W22,W26,W31,W35,W39,W43)</f>
        <v>548393.71000000008</v>
      </c>
      <c r="X44" s="83">
        <f>IFERROR((V44/(T44+U44)),"n/a")</f>
        <v>0.18515732484793618</v>
      </c>
      <c r="Y44" s="83">
        <f>((F9*Y9)+(F13*Y13)+(F22*Y22)+(F26*Y26)+(F31*Y31)+(F35*Y35)+(F39*Y39)+(F43*Y43))/F44</f>
        <v>0.18087909743139213</v>
      </c>
      <c r="Z44" s="83">
        <f>((T9*Z9)+(T13*Z13)+(T22*Z22)+(T26*Z26)+(T31*Z31)+(T35*Z35)+(T39*Z39)+(T43*Z43))/T44</f>
        <v>0.1904221537352741</v>
      </c>
      <c r="AA44" s="110"/>
      <c r="AB44" s="31"/>
    </row>
    <row r="45" spans="2:28" s="92" customFormat="1" hidden="1" outlineLevel="3" x14ac:dyDescent="0.25">
      <c r="B45" s="92" t="str">
        <f>$G$1&amp;C45&amp;D45</f>
        <v>SN0011Equity-Self-Listed Stocks-Large Cap</v>
      </c>
      <c r="C45" s="92">
        <v>1</v>
      </c>
      <c r="D45" s="92" t="str">
        <f>D49</f>
        <v>Equity-Self-Listed Stocks-Large Cap</v>
      </c>
      <c r="E45" s="97" t="str">
        <f>IFERROR(VLOOKUP(B45,Sort!$A:$F,5,0),"-")</f>
        <v>-</v>
      </c>
      <c r="F45" s="93">
        <v>0</v>
      </c>
      <c r="G45" s="94"/>
      <c r="H45" s="93">
        <f>W45</f>
        <v>0</v>
      </c>
      <c r="I45" s="94">
        <f t="shared" si="84"/>
        <v>0</v>
      </c>
      <c r="J45" s="95">
        <f>R45</f>
        <v>0</v>
      </c>
      <c r="K45" s="93">
        <f t="shared" ref="K45:K48" si="92">H45</f>
        <v>0</v>
      </c>
      <c r="L45" s="93">
        <f t="shared" si="2"/>
        <v>0</v>
      </c>
      <c r="M45" s="94" t="str">
        <f t="shared" si="31"/>
        <v>n/a</v>
      </c>
      <c r="N45" s="95"/>
      <c r="P45" s="93">
        <f>SUMIFS('PF Holdings_diff dates'!$N:$N,'PF Holdings_diff dates'!$I:$I,$E45,'PF Holdings_diff dates'!$G:$G,$G$1,'PF Holdings_diff dates'!$Q:$Q,P$3)</f>
        <v>0</v>
      </c>
      <c r="Q45" s="93">
        <f t="shared" si="3"/>
        <v>0</v>
      </c>
      <c r="R45" s="93">
        <f>SUMIFS('PF Holdings_diff dates'!$N:$N,'PF Holdings_diff dates'!$I:$I,$E45,'PF Holdings_diff dates'!$G:$G,$G$1,'PF Holdings_diff dates'!$Q:$Q,R$3)</f>
        <v>0</v>
      </c>
      <c r="T45" s="93">
        <f>SUMIFS('PF Holdings_diff dates'!$O:$O,'PF Holdings_diff dates'!$I:$I,$E45,'PF Holdings_diff dates'!$G:$G,$G$1,'PF Holdings_diff dates'!$Q:$Q,T$3)</f>
        <v>0</v>
      </c>
      <c r="U45" s="93">
        <f t="shared" si="4"/>
        <v>0</v>
      </c>
      <c r="V45" s="93">
        <f t="shared" si="5"/>
        <v>0</v>
      </c>
      <c r="W45" s="93">
        <f>SUMIFS('PF Holdings_diff dates'!$O:$O,'PF Holdings_diff dates'!$I:$I,$E45,'PF Holdings_diff dates'!$G:$G,$G$1,'PF Holdings_diff dates'!$Q:$Q,W$3)</f>
        <v>0</v>
      </c>
      <c r="X45" s="96" t="str">
        <f t="shared" ref="X45:X48" si="93">IFERROR((V45/(T45+U45)),"-")</f>
        <v>-</v>
      </c>
      <c r="Y45" s="96" t="str">
        <f>IF(E45="-","-",VLOOKUP(D45,'Category level Benchmark and tr'!$A:$G,7,0))</f>
        <v>-</v>
      </c>
      <c r="Z45" s="96"/>
      <c r="AA45" s="108" t="s">
        <v>282</v>
      </c>
      <c r="AB45" s="111">
        <v>-500000</v>
      </c>
    </row>
    <row r="46" spans="2:28" s="92" customFormat="1" hidden="1" outlineLevel="3" x14ac:dyDescent="0.25">
      <c r="B46" s="92" t="str">
        <f t="shared" ref="B46:B48" si="94">$G$1&amp;C46&amp;D46</f>
        <v>SN0012Equity-Self-Listed Stocks-Large Cap</v>
      </c>
      <c r="C46" s="92">
        <f>C45+1</f>
        <v>2</v>
      </c>
      <c r="D46" s="92" t="str">
        <f>D45</f>
        <v>Equity-Self-Listed Stocks-Large Cap</v>
      </c>
      <c r="E46" s="97" t="str">
        <f>IFERROR(VLOOKUP(B46,Sort!$A:$F,5,0),"-")</f>
        <v>-</v>
      </c>
      <c r="F46" s="93">
        <v>0</v>
      </c>
      <c r="G46" s="94"/>
      <c r="H46" s="93">
        <f t="shared" ref="H46:H48" si="95">W46</f>
        <v>0</v>
      </c>
      <c r="I46" s="94">
        <f t="shared" si="84"/>
        <v>0</v>
      </c>
      <c r="J46" s="95">
        <f t="shared" ref="J46:J48" si="96">R46</f>
        <v>0</v>
      </c>
      <c r="K46" s="93">
        <f t="shared" si="92"/>
        <v>0</v>
      </c>
      <c r="L46" s="93">
        <f t="shared" ref="L46:L48" si="97">K46-J46</f>
        <v>0</v>
      </c>
      <c r="M46" s="94" t="str">
        <f>IFERROR(L46/J46,"-")</f>
        <v>-</v>
      </c>
      <c r="N46" s="95"/>
      <c r="P46" s="93">
        <f>SUMIFS('PF Holdings_diff dates'!$N:$N,'PF Holdings_diff dates'!$I:$I,$E46,'PF Holdings_diff dates'!$G:$G,$G$1,'PF Holdings_diff dates'!$Q:$Q,P$3)</f>
        <v>0</v>
      </c>
      <c r="Q46" s="93">
        <f t="shared" si="3"/>
        <v>0</v>
      </c>
      <c r="R46" s="93">
        <f>SUMIFS('PF Holdings_diff dates'!$N:$N,'PF Holdings_diff dates'!$I:$I,$E46,'PF Holdings_diff dates'!$G:$G,$G$1,'PF Holdings_diff dates'!$Q:$Q,R$3)</f>
        <v>0</v>
      </c>
      <c r="T46" s="93">
        <f>SUMIFS('PF Holdings_diff dates'!$O:$O,'PF Holdings_diff dates'!$I:$I,$E46,'PF Holdings_diff dates'!$G:$G,$G$1,'PF Holdings_diff dates'!$Q:$Q,T$3)</f>
        <v>0</v>
      </c>
      <c r="U46" s="93">
        <f t="shared" ref="U46:U48" si="98">Q46</f>
        <v>0</v>
      </c>
      <c r="V46" s="93">
        <f t="shared" ref="V46:V48" si="99">W46-(T46+U46)</f>
        <v>0</v>
      </c>
      <c r="W46" s="93">
        <f>SUMIFS('PF Holdings_diff dates'!$O:$O,'PF Holdings_diff dates'!$I:$I,$E46,'PF Holdings_diff dates'!$G:$G,$G$1,'PF Holdings_diff dates'!$Q:$Q,W$3)</f>
        <v>0</v>
      </c>
      <c r="X46" s="96" t="str">
        <f t="shared" si="93"/>
        <v>-</v>
      </c>
      <c r="Y46" s="96" t="str">
        <f>IF(E46="-","-",VLOOKUP(D46,'Category level Benchmark and tr'!$A:$G,7,0))</f>
        <v>-</v>
      </c>
      <c r="Z46" s="96"/>
      <c r="AA46" s="108" t="s">
        <v>256</v>
      </c>
      <c r="AB46" s="109"/>
    </row>
    <row r="47" spans="2:28" s="92" customFormat="1" hidden="1" outlineLevel="3" x14ac:dyDescent="0.25">
      <c r="B47" s="92" t="str">
        <f t="shared" ref="B47" si="100">$G$1&amp;C47&amp;D47</f>
        <v>SN0013Equity-Self-Listed Stocks-Large Cap</v>
      </c>
      <c r="C47" s="92">
        <f t="shared" ref="C47:C48" si="101">C46+1</f>
        <v>3</v>
      </c>
      <c r="D47" s="92" t="str">
        <f>D45</f>
        <v>Equity-Self-Listed Stocks-Large Cap</v>
      </c>
      <c r="E47" s="97" t="str">
        <f>IFERROR(VLOOKUP(B47,Sort!$A:$F,5,0),"-")</f>
        <v>-</v>
      </c>
      <c r="F47" s="93">
        <v>0</v>
      </c>
      <c r="G47" s="94"/>
      <c r="H47" s="93">
        <f t="shared" ref="H47" si="102">W47</f>
        <v>0</v>
      </c>
      <c r="I47" s="94">
        <f t="shared" si="84"/>
        <v>0</v>
      </c>
      <c r="J47" s="95">
        <f t="shared" ref="J47" si="103">R47</f>
        <v>0</v>
      </c>
      <c r="K47" s="93">
        <f t="shared" ref="K47" si="104">H47</f>
        <v>0</v>
      </c>
      <c r="L47" s="93">
        <f t="shared" ref="L47" si="105">K47-J47</f>
        <v>0</v>
      </c>
      <c r="M47" s="94" t="str">
        <f>IFERROR(L47/J47,"-")</f>
        <v>-</v>
      </c>
      <c r="N47" s="95"/>
      <c r="P47" s="93">
        <f>SUMIFS('PF Holdings_diff dates'!$N:$N,'PF Holdings_diff dates'!$I:$I,$E47,'PF Holdings_diff dates'!$G:$G,$G$1,'PF Holdings_diff dates'!$Q:$Q,P$3)</f>
        <v>0</v>
      </c>
      <c r="Q47" s="93">
        <f t="shared" ref="Q47" si="106">R47-P47</f>
        <v>0</v>
      </c>
      <c r="R47" s="93">
        <f>SUMIFS('PF Holdings_diff dates'!$N:$N,'PF Holdings_diff dates'!$I:$I,$E47,'PF Holdings_diff dates'!$G:$G,$G$1,'PF Holdings_diff dates'!$Q:$Q,R$3)</f>
        <v>0</v>
      </c>
      <c r="T47" s="93">
        <f>SUMIFS('PF Holdings_diff dates'!$O:$O,'PF Holdings_diff dates'!$I:$I,$E47,'PF Holdings_diff dates'!$G:$G,$G$1,'PF Holdings_diff dates'!$Q:$Q,T$3)</f>
        <v>0</v>
      </c>
      <c r="U47" s="93">
        <f t="shared" ref="U47" si="107">Q47</f>
        <v>0</v>
      </c>
      <c r="V47" s="93">
        <f t="shared" ref="V47" si="108">W47-(T47+U47)</f>
        <v>0</v>
      </c>
      <c r="W47" s="93">
        <f>SUMIFS('PF Holdings_diff dates'!$O:$O,'PF Holdings_diff dates'!$I:$I,$E47,'PF Holdings_diff dates'!$G:$G,$G$1,'PF Holdings_diff dates'!$Q:$Q,W$3)</f>
        <v>0</v>
      </c>
      <c r="X47" s="96" t="str">
        <f t="shared" ref="X47" si="109">IFERROR((V47/(T47+U47)),"-")</f>
        <v>-</v>
      </c>
      <c r="Y47" s="96" t="str">
        <f>IF(E47="-","-",VLOOKUP(D47,'Category level Benchmark and tr'!$A:$G,7,0))</f>
        <v>-</v>
      </c>
      <c r="Z47" s="96"/>
      <c r="AA47" s="108" t="s">
        <v>282</v>
      </c>
      <c r="AB47" s="111">
        <v>-100000</v>
      </c>
    </row>
    <row r="48" spans="2:28" s="92" customFormat="1" hidden="1" outlineLevel="3" x14ac:dyDescent="0.25">
      <c r="B48" s="92" t="str">
        <f t="shared" si="94"/>
        <v>SN0014Equity-Self-Listed Stocks-Large Cap</v>
      </c>
      <c r="C48" s="92">
        <f t="shared" si="101"/>
        <v>4</v>
      </c>
      <c r="D48" s="92" t="str">
        <f>D46</f>
        <v>Equity-Self-Listed Stocks-Large Cap</v>
      </c>
      <c r="E48" s="97" t="str">
        <f>IFERROR(VLOOKUP(B48,Sort!$A:$F,5,0),"-")</f>
        <v>-</v>
      </c>
      <c r="F48" s="93">
        <v>0</v>
      </c>
      <c r="G48" s="94"/>
      <c r="H48" s="93">
        <f t="shared" si="95"/>
        <v>0</v>
      </c>
      <c r="I48" s="94">
        <f t="shared" si="84"/>
        <v>0</v>
      </c>
      <c r="J48" s="95">
        <f t="shared" si="96"/>
        <v>0</v>
      </c>
      <c r="K48" s="93">
        <f t="shared" si="92"/>
        <v>0</v>
      </c>
      <c r="L48" s="93">
        <f t="shared" si="97"/>
        <v>0</v>
      </c>
      <c r="M48" s="94" t="str">
        <f>IFERROR(L48/J48,"-")</f>
        <v>-</v>
      </c>
      <c r="N48" s="95"/>
      <c r="P48" s="93">
        <f>SUMIFS('PF Holdings_diff dates'!$N:$N,'PF Holdings_diff dates'!$I:$I,$E48,'PF Holdings_diff dates'!$G:$G,$G$1,'PF Holdings_diff dates'!$Q:$Q,P$3)</f>
        <v>0</v>
      </c>
      <c r="Q48" s="93">
        <f t="shared" si="3"/>
        <v>0</v>
      </c>
      <c r="R48" s="93">
        <f>SUMIFS('PF Holdings_diff dates'!$N:$N,'PF Holdings_diff dates'!$I:$I,$E48,'PF Holdings_diff dates'!$G:$G,$G$1,'PF Holdings_diff dates'!$Q:$Q,R$3)</f>
        <v>0</v>
      </c>
      <c r="T48" s="93">
        <f>SUMIFS('PF Holdings_diff dates'!$O:$O,'PF Holdings_diff dates'!$I:$I,$E48,'PF Holdings_diff dates'!$G:$G,$G$1,'PF Holdings_diff dates'!$Q:$Q,T$3)</f>
        <v>0</v>
      </c>
      <c r="U48" s="93">
        <f t="shared" si="98"/>
        <v>0</v>
      </c>
      <c r="V48" s="93">
        <f t="shared" si="99"/>
        <v>0</v>
      </c>
      <c r="W48" s="93">
        <f>SUMIFS('PF Holdings_diff dates'!$O:$O,'PF Holdings_diff dates'!$I:$I,$E48,'PF Holdings_diff dates'!$G:$G,$G$1,'PF Holdings_diff dates'!$Q:$Q,W$3)</f>
        <v>0</v>
      </c>
      <c r="X48" s="96" t="str">
        <f t="shared" si="93"/>
        <v>-</v>
      </c>
      <c r="Y48" s="96" t="str">
        <f>IF(E48="-","-",VLOOKUP(D48,'Category level Benchmark and tr'!$A:$G,7,0))</f>
        <v>-</v>
      </c>
      <c r="Z48" s="96"/>
      <c r="AA48" s="108" t="s">
        <v>282</v>
      </c>
      <c r="AB48" s="111">
        <v>-100000</v>
      </c>
    </row>
    <row r="49" spans="2:28" hidden="1" outlineLevel="2" x14ac:dyDescent="0.25">
      <c r="D49" t="s">
        <v>106</v>
      </c>
      <c r="E49" s="56" t="s">
        <v>18</v>
      </c>
      <c r="F49" s="53">
        <f>'AA Decision View'!Q23</f>
        <v>26821.374375000003</v>
      </c>
      <c r="G49" s="43">
        <f>F49/F$123</f>
        <v>3.7499999999999999E-2</v>
      </c>
      <c r="H49" s="53">
        <f>'AA Decision View'!S23</f>
        <v>0</v>
      </c>
      <c r="I49" s="43">
        <f t="shared" si="84"/>
        <v>0</v>
      </c>
      <c r="J49" s="54">
        <f>'AA Decision View'!V23</f>
        <v>0</v>
      </c>
      <c r="K49" s="53">
        <f>H49</f>
        <v>0</v>
      </c>
      <c r="L49" s="53">
        <f>K49-J49</f>
        <v>0</v>
      </c>
      <c r="M49" s="43" t="str">
        <f>IFERROR(L49/J49,"n/a")</f>
        <v>n/a</v>
      </c>
      <c r="N49" s="54">
        <f>F49-K49</f>
        <v>26821.374375000003</v>
      </c>
      <c r="P49" s="53">
        <f>SUMIFS('PF Holdings_diff dates'!$N:$N,'PF Holdings_diff dates'!$A:$A,$D49,'PF Holdings_diff dates'!$G:$G,$G$1,'PF Holdings_diff dates'!$Q:$Q,P$3)</f>
        <v>0</v>
      </c>
      <c r="Q49" s="53">
        <f>R49-P49</f>
        <v>0</v>
      </c>
      <c r="R49" s="53">
        <f>SUMIFS('PF Holdings_diff dates'!$N:$N,'PF Holdings_diff dates'!$A:$A,$D49,'PF Holdings_diff dates'!$G:$G,$G$1,'PF Holdings_diff dates'!$Q:$Q,R$3)</f>
        <v>0</v>
      </c>
      <c r="T49" s="53">
        <f>SUMIFS('PF Holdings_diff dates'!$O:$O,'PF Holdings_diff dates'!$A:$A,$D49,'PF Holdings_diff dates'!$G:$G,$G$1,'PF Holdings_diff dates'!$Q:$Q,T$3)</f>
        <v>0</v>
      </c>
      <c r="U49" s="53">
        <f>Q49</f>
        <v>0</v>
      </c>
      <c r="V49" s="53">
        <f>W49-(T49+U49)</f>
        <v>0</v>
      </c>
      <c r="W49" s="53">
        <f>SUMIFS('PF Holdings_diff dates'!$O:$O,'PF Holdings_diff dates'!$A:$A,$D49,'PF Holdings_diff dates'!$G:$G,$G$1,'PF Holdings_diff dates'!$Q:$Q,W$3)</f>
        <v>0</v>
      </c>
      <c r="X49" s="84" t="str">
        <f>IFERROR((V49/(T49+U49)),"n/a")</f>
        <v>n/a</v>
      </c>
      <c r="Y49" s="84">
        <f>IFERROR(VLOOKUP(D49,'Category level Benchmark and tr'!$A:$G,7,0),0)</f>
        <v>0.15995255257995344</v>
      </c>
      <c r="Z49" s="84">
        <f>Y49</f>
        <v>0.15995255257995344</v>
      </c>
      <c r="AA49" s="110"/>
      <c r="AB49" s="31"/>
    </row>
    <row r="50" spans="2:28" s="92" customFormat="1" hidden="1" outlineLevel="3" x14ac:dyDescent="0.25">
      <c r="B50" s="92" t="str">
        <f>$G$1&amp;C50&amp;D50</f>
        <v>SN0011Equity-Self-Listed Stocks-Mid Cap</v>
      </c>
      <c r="C50" s="92">
        <v>1</v>
      </c>
      <c r="D50" s="92" t="str">
        <f>D53</f>
        <v>Equity-Self-Listed Stocks-Mid Cap</v>
      </c>
      <c r="E50" s="97" t="str">
        <f>IFERROR(VLOOKUP(B50,Sort!$A:$F,5,0),"-")</f>
        <v>-</v>
      </c>
      <c r="F50" s="93">
        <v>0</v>
      </c>
      <c r="G50" s="94"/>
      <c r="H50" s="93">
        <f>W50</f>
        <v>0</v>
      </c>
      <c r="I50" s="94">
        <f t="shared" si="84"/>
        <v>0</v>
      </c>
      <c r="J50" s="95">
        <f>R50</f>
        <v>0</v>
      </c>
      <c r="K50" s="93">
        <f t="shared" ref="K50:K52" si="110">H50</f>
        <v>0</v>
      </c>
      <c r="L50" s="93">
        <f t="shared" si="2"/>
        <v>0</v>
      </c>
      <c r="M50" s="94" t="str">
        <f>IFERROR(L50/J50,"-")</f>
        <v>-</v>
      </c>
      <c r="N50" s="95"/>
      <c r="P50" s="93">
        <f>SUMIFS('PF Holdings_diff dates'!$N:$N,'PF Holdings_diff dates'!$I:$I,$E50,'PF Holdings_diff dates'!$G:$G,$G$1,'PF Holdings_diff dates'!$Q:$Q,P$3)</f>
        <v>0</v>
      </c>
      <c r="Q50" s="93">
        <f t="shared" si="3"/>
        <v>0</v>
      </c>
      <c r="R50" s="93">
        <f>SUMIFS('PF Holdings_diff dates'!$N:$N,'PF Holdings_diff dates'!$I:$I,$E50,'PF Holdings_diff dates'!$G:$G,$G$1,'PF Holdings_diff dates'!$Q:$Q,R$3)</f>
        <v>0</v>
      </c>
      <c r="T50" s="93">
        <f>SUMIFS('PF Holdings_diff dates'!$O:$O,'PF Holdings_diff dates'!$I:$I,$E50,'PF Holdings_diff dates'!$G:$G,$G$1,'PF Holdings_diff dates'!$Q:$Q,T$3)</f>
        <v>0</v>
      </c>
      <c r="U50" s="93">
        <f t="shared" si="4"/>
        <v>0</v>
      </c>
      <c r="V50" s="93">
        <f t="shared" si="5"/>
        <v>0</v>
      </c>
      <c r="W50" s="93">
        <f>SUMIFS('PF Holdings_diff dates'!$O:$O,'PF Holdings_diff dates'!$I:$I,$E50,'PF Holdings_diff dates'!$G:$G,$G$1,'PF Holdings_diff dates'!$Q:$Q,W$3)</f>
        <v>0</v>
      </c>
      <c r="X50" s="96" t="str">
        <f>IFERROR((V50/(T50+U50)),"-")</f>
        <v>-</v>
      </c>
      <c r="Y50" s="96" t="str">
        <f>IF(E50="-","-",VLOOKUP(D50,'Category level Benchmark and tr'!$A:$G,7,0))</f>
        <v>-</v>
      </c>
      <c r="Z50" s="96"/>
      <c r="AA50" s="108"/>
      <c r="AB50" s="109"/>
    </row>
    <row r="51" spans="2:28" s="92" customFormat="1" hidden="1" outlineLevel="3" x14ac:dyDescent="0.25">
      <c r="B51" s="92" t="str">
        <f t="shared" ref="B51:B52" si="111">$G$1&amp;C51&amp;D51</f>
        <v>SN0012Equity-Self-Listed Stocks-Mid Cap</v>
      </c>
      <c r="C51" s="92">
        <f>C50+1</f>
        <v>2</v>
      </c>
      <c r="D51" s="92" t="str">
        <f>D50</f>
        <v>Equity-Self-Listed Stocks-Mid Cap</v>
      </c>
      <c r="E51" s="97" t="str">
        <f>IFERROR(VLOOKUP(B51,Sort!$A:$F,5,0),"-")</f>
        <v>-</v>
      </c>
      <c r="F51" s="93">
        <v>0</v>
      </c>
      <c r="G51" s="94"/>
      <c r="H51" s="93">
        <f t="shared" ref="H51:H52" si="112">W51</f>
        <v>0</v>
      </c>
      <c r="I51" s="94">
        <f t="shared" si="84"/>
        <v>0</v>
      </c>
      <c r="J51" s="95">
        <f t="shared" ref="J51:J52" si="113">R51</f>
        <v>0</v>
      </c>
      <c r="K51" s="93">
        <f t="shared" si="110"/>
        <v>0</v>
      </c>
      <c r="L51" s="93">
        <f t="shared" si="2"/>
        <v>0</v>
      </c>
      <c r="M51" s="94" t="str">
        <f>IFERROR(L51/J51,"-")</f>
        <v>-</v>
      </c>
      <c r="N51" s="95"/>
      <c r="P51" s="93">
        <f>SUMIFS('PF Holdings_diff dates'!$N:$N,'PF Holdings_diff dates'!$I:$I,$E51,'PF Holdings_diff dates'!$G:$G,$G$1,'PF Holdings_diff dates'!$Q:$Q,P$3)</f>
        <v>0</v>
      </c>
      <c r="Q51" s="93">
        <f t="shared" si="3"/>
        <v>0</v>
      </c>
      <c r="R51" s="93">
        <f>SUMIFS('PF Holdings_diff dates'!$N:$N,'PF Holdings_diff dates'!$I:$I,$E51,'PF Holdings_diff dates'!$G:$G,$G$1,'PF Holdings_diff dates'!$Q:$Q,R$3)</f>
        <v>0</v>
      </c>
      <c r="T51" s="93">
        <f>SUMIFS('PF Holdings_diff dates'!$O:$O,'PF Holdings_diff dates'!$I:$I,$E51,'PF Holdings_diff dates'!$G:$G,$G$1,'PF Holdings_diff dates'!$Q:$Q,T$3)</f>
        <v>0</v>
      </c>
      <c r="U51" s="93">
        <f t="shared" si="4"/>
        <v>0</v>
      </c>
      <c r="V51" s="93">
        <f t="shared" si="5"/>
        <v>0</v>
      </c>
      <c r="W51" s="93">
        <f>SUMIFS('PF Holdings_diff dates'!$O:$O,'PF Holdings_diff dates'!$I:$I,$E51,'PF Holdings_diff dates'!$G:$G,$G$1,'PF Holdings_diff dates'!$Q:$Q,W$3)</f>
        <v>0</v>
      </c>
      <c r="X51" s="96" t="str">
        <f t="shared" ref="X51:X52" si="114">IFERROR((V51/(T51+U51)),"-")</f>
        <v>-</v>
      </c>
      <c r="Y51" s="96" t="str">
        <f>IF(E51="-","-",VLOOKUP(D51,'Category level Benchmark and tr'!$A:$G,7,0))</f>
        <v>-</v>
      </c>
      <c r="Z51" s="96"/>
      <c r="AA51" s="108"/>
      <c r="AB51" s="109"/>
    </row>
    <row r="52" spans="2:28" s="92" customFormat="1" hidden="1" outlineLevel="3" x14ac:dyDescent="0.25">
      <c r="B52" s="92" t="str">
        <f t="shared" si="111"/>
        <v>SN0013Equity-Self-Listed Stocks-Mid Cap</v>
      </c>
      <c r="C52" s="92">
        <f>C51+1</f>
        <v>3</v>
      </c>
      <c r="D52" s="92" t="str">
        <f>D51</f>
        <v>Equity-Self-Listed Stocks-Mid Cap</v>
      </c>
      <c r="E52" s="97" t="str">
        <f>IFERROR(VLOOKUP(B52,Sort!$A:$F,5,0),"-")</f>
        <v>-</v>
      </c>
      <c r="F52" s="93">
        <v>0</v>
      </c>
      <c r="G52" s="94"/>
      <c r="H52" s="93">
        <f t="shared" si="112"/>
        <v>0</v>
      </c>
      <c r="I52" s="94">
        <f t="shared" si="84"/>
        <v>0</v>
      </c>
      <c r="J52" s="95">
        <f t="shared" si="113"/>
        <v>0</v>
      </c>
      <c r="K52" s="93">
        <f t="shared" si="110"/>
        <v>0</v>
      </c>
      <c r="L52" s="93">
        <f t="shared" si="2"/>
        <v>0</v>
      </c>
      <c r="M52" s="94" t="str">
        <f>IFERROR(L52/J52,"-")</f>
        <v>-</v>
      </c>
      <c r="N52" s="95"/>
      <c r="P52" s="93">
        <f>SUMIFS('PF Holdings_diff dates'!$N:$N,'PF Holdings_diff dates'!$I:$I,$E52,'PF Holdings_diff dates'!$G:$G,$G$1,'PF Holdings_diff dates'!$Q:$Q,P$3)</f>
        <v>0</v>
      </c>
      <c r="Q52" s="93">
        <f t="shared" si="3"/>
        <v>0</v>
      </c>
      <c r="R52" s="93">
        <f>SUMIFS('PF Holdings_diff dates'!$N:$N,'PF Holdings_diff dates'!$I:$I,$E52,'PF Holdings_diff dates'!$G:$G,$G$1,'PF Holdings_diff dates'!$Q:$Q,R$3)</f>
        <v>0</v>
      </c>
      <c r="T52" s="93">
        <f>SUMIFS('PF Holdings_diff dates'!$O:$O,'PF Holdings_diff dates'!$I:$I,$E52,'PF Holdings_diff dates'!$G:$G,$G$1,'PF Holdings_diff dates'!$Q:$Q,T$3)</f>
        <v>0</v>
      </c>
      <c r="U52" s="93">
        <f t="shared" si="4"/>
        <v>0</v>
      </c>
      <c r="V52" s="93">
        <f t="shared" si="5"/>
        <v>0</v>
      </c>
      <c r="W52" s="93">
        <f>SUMIFS('PF Holdings_diff dates'!$O:$O,'PF Holdings_diff dates'!$I:$I,$E52,'PF Holdings_diff dates'!$G:$G,$G$1,'PF Holdings_diff dates'!$Q:$Q,W$3)</f>
        <v>0</v>
      </c>
      <c r="X52" s="96" t="str">
        <f t="shared" si="114"/>
        <v>-</v>
      </c>
      <c r="Y52" s="96" t="str">
        <f>IF(E52="-","-",VLOOKUP(D52,'Category level Benchmark and tr'!$A:$G,7,0))</f>
        <v>-</v>
      </c>
      <c r="Z52" s="96"/>
      <c r="AA52" s="108"/>
      <c r="AB52" s="109"/>
    </row>
    <row r="53" spans="2:28" hidden="1" outlineLevel="2" x14ac:dyDescent="0.25">
      <c r="D53" t="s">
        <v>107</v>
      </c>
      <c r="E53" s="56" t="s">
        <v>19</v>
      </c>
      <c r="F53" s="53">
        <f>'AA Decision View'!Q24</f>
        <v>16092.824624999999</v>
      </c>
      <c r="G53" s="43">
        <f>F53/F$123</f>
        <v>2.2499999999999996E-2</v>
      </c>
      <c r="H53" s="53">
        <f>'AA Decision View'!S24</f>
        <v>0</v>
      </c>
      <c r="I53" s="43">
        <f t="shared" si="84"/>
        <v>0</v>
      </c>
      <c r="J53" s="54">
        <f>'AA Decision View'!V24</f>
        <v>0</v>
      </c>
      <c r="K53" s="53">
        <f>H53</f>
        <v>0</v>
      </c>
      <c r="L53" s="53">
        <f>K53-J53</f>
        <v>0</v>
      </c>
      <c r="M53" s="43" t="str">
        <f>IFERROR(L53/J53,"n/a")</f>
        <v>n/a</v>
      </c>
      <c r="N53" s="54">
        <f>F53-K53</f>
        <v>16092.824624999999</v>
      </c>
      <c r="P53" s="53">
        <f>SUMIFS('PF Holdings_diff dates'!$N:$N,'PF Holdings_diff dates'!$A:$A,$D53,'PF Holdings_diff dates'!$G:$G,$G$1,'PF Holdings_diff dates'!$Q:$Q,P$3)</f>
        <v>0</v>
      </c>
      <c r="Q53" s="53">
        <f>R53-P53</f>
        <v>0</v>
      </c>
      <c r="R53" s="53">
        <f>SUMIFS('PF Holdings_diff dates'!$N:$N,'PF Holdings_diff dates'!$A:$A,$D53,'PF Holdings_diff dates'!$G:$G,$G$1,'PF Holdings_diff dates'!$Q:$Q,R$3)</f>
        <v>0</v>
      </c>
      <c r="T53" s="53">
        <f>SUMIFS('PF Holdings_diff dates'!$O:$O,'PF Holdings_diff dates'!$A:$A,$D53,'PF Holdings_diff dates'!$G:$G,$G$1,'PF Holdings_diff dates'!$Q:$Q,T$3)</f>
        <v>0</v>
      </c>
      <c r="U53" s="53">
        <f>Q53</f>
        <v>0</v>
      </c>
      <c r="V53" s="53">
        <f>W53-(T53+U53)</f>
        <v>0</v>
      </c>
      <c r="W53" s="53">
        <f>SUMIFS('PF Holdings_diff dates'!$O:$O,'PF Holdings_diff dates'!$A:$A,$D53,'PF Holdings_diff dates'!$G:$G,$G$1,'PF Holdings_diff dates'!$Q:$Q,W$3)</f>
        <v>0</v>
      </c>
      <c r="X53" s="84" t="str">
        <f>IFERROR((V53/(T53+U53)),"n/a")</f>
        <v>n/a</v>
      </c>
      <c r="Y53" s="84">
        <f>IFERROR(VLOOKUP(D53,'Category level Benchmark and tr'!$A:$G,7,0),0)</f>
        <v>0.23856649294372545</v>
      </c>
      <c r="Z53" s="84">
        <f>Y53</f>
        <v>0.23856649294372545</v>
      </c>
      <c r="AA53" s="110"/>
      <c r="AB53" s="31"/>
    </row>
    <row r="54" spans="2:28" s="92" customFormat="1" hidden="1" outlineLevel="3" x14ac:dyDescent="0.25">
      <c r="B54" s="92" t="str">
        <f>$G$1&amp;C54&amp;D54</f>
        <v>SN0011Equity-Self-Listed Stocks-Small Cap</v>
      </c>
      <c r="C54" s="92">
        <v>1</v>
      </c>
      <c r="D54" s="92" t="str">
        <f>D57</f>
        <v>Equity-Self-Listed Stocks-Small Cap</v>
      </c>
      <c r="E54" s="97" t="str">
        <f>IFERROR(VLOOKUP(B54,Sort!$A:$F,5,0),"-")</f>
        <v>-</v>
      </c>
      <c r="F54" s="93">
        <v>0</v>
      </c>
      <c r="G54" s="94"/>
      <c r="H54" s="93">
        <f>W54</f>
        <v>0</v>
      </c>
      <c r="I54" s="94">
        <f t="shared" si="84"/>
        <v>0</v>
      </c>
      <c r="J54" s="95">
        <f>R54</f>
        <v>0</v>
      </c>
      <c r="K54" s="93">
        <f t="shared" ref="K54:K56" si="115">H54</f>
        <v>0</v>
      </c>
      <c r="L54" s="93">
        <f t="shared" ref="L54:L56" si="116">K54-J54</f>
        <v>0</v>
      </c>
      <c r="M54" s="94" t="str">
        <f>IFERROR(L54/J54,"-")</f>
        <v>-</v>
      </c>
      <c r="N54" s="95"/>
      <c r="P54" s="93">
        <f>SUMIFS('PF Holdings_diff dates'!$N:$N,'PF Holdings_diff dates'!$I:$I,$E54,'PF Holdings_diff dates'!$G:$G,$G$1,'PF Holdings_diff dates'!$Q:$Q,P$3)</f>
        <v>0</v>
      </c>
      <c r="Q54" s="93">
        <f t="shared" si="3"/>
        <v>0</v>
      </c>
      <c r="R54" s="93">
        <f>SUMIFS('PF Holdings_diff dates'!$N:$N,'PF Holdings_diff dates'!$I:$I,$E54,'PF Holdings_diff dates'!$G:$G,$G$1,'PF Holdings_diff dates'!$Q:$Q,R$3)</f>
        <v>0</v>
      </c>
      <c r="T54" s="93">
        <f>SUMIFS('PF Holdings_diff dates'!$O:$O,'PF Holdings_diff dates'!$I:$I,$E54,'PF Holdings_diff dates'!$G:$G,$G$1,'PF Holdings_diff dates'!$Q:$Q,T$3)</f>
        <v>0</v>
      </c>
      <c r="U54" s="93">
        <f t="shared" ref="U54:U56" si="117">Q54</f>
        <v>0</v>
      </c>
      <c r="V54" s="93">
        <f t="shared" ref="V54:V56" si="118">W54-(T54+U54)</f>
        <v>0</v>
      </c>
      <c r="W54" s="93">
        <f>SUMIFS('PF Holdings_diff dates'!$O:$O,'PF Holdings_diff dates'!$I:$I,$E54,'PF Holdings_diff dates'!$G:$G,$G$1,'PF Holdings_diff dates'!$Q:$Q,W$3)</f>
        <v>0</v>
      </c>
      <c r="X54" s="96" t="str">
        <f>IFERROR((V54/(T54+U54)),"-")</f>
        <v>-</v>
      </c>
      <c r="Y54" s="96" t="str">
        <f>IF(E54="-","-",VLOOKUP(D54,'Category level Benchmark and tr'!$A:$G,7,0))</f>
        <v>-</v>
      </c>
      <c r="Z54" s="96"/>
      <c r="AA54" s="108"/>
      <c r="AB54" s="109"/>
    </row>
    <row r="55" spans="2:28" s="92" customFormat="1" hidden="1" outlineLevel="3" x14ac:dyDescent="0.25">
      <c r="B55" s="92" t="str">
        <f t="shared" ref="B55:B56" si="119">$G$1&amp;C55&amp;D55</f>
        <v>SN0012Equity-Self-Listed Stocks-Small Cap</v>
      </c>
      <c r="C55" s="92">
        <f>C54+1</f>
        <v>2</v>
      </c>
      <c r="D55" s="92" t="str">
        <f>D54</f>
        <v>Equity-Self-Listed Stocks-Small Cap</v>
      </c>
      <c r="E55" s="97" t="str">
        <f>IFERROR(VLOOKUP(B55,Sort!$A:$F,5,0),"-")</f>
        <v>-</v>
      </c>
      <c r="F55" s="93">
        <v>0</v>
      </c>
      <c r="G55" s="94"/>
      <c r="H55" s="93">
        <f t="shared" ref="H55:H56" si="120">W55</f>
        <v>0</v>
      </c>
      <c r="I55" s="94">
        <f t="shared" si="84"/>
        <v>0</v>
      </c>
      <c r="J55" s="95">
        <f t="shared" ref="J55:J56" si="121">R55</f>
        <v>0</v>
      </c>
      <c r="K55" s="93">
        <f t="shared" si="115"/>
        <v>0</v>
      </c>
      <c r="L55" s="93">
        <f t="shared" si="116"/>
        <v>0</v>
      </c>
      <c r="M55" s="94" t="str">
        <f>IFERROR(L55/J55,"-")</f>
        <v>-</v>
      </c>
      <c r="N55" s="95"/>
      <c r="P55" s="93">
        <f>SUMIFS('PF Holdings_diff dates'!$N:$N,'PF Holdings_diff dates'!$I:$I,$E55,'PF Holdings_diff dates'!$G:$G,$G$1,'PF Holdings_diff dates'!$Q:$Q,P$3)</f>
        <v>0</v>
      </c>
      <c r="Q55" s="93">
        <f t="shared" si="3"/>
        <v>0</v>
      </c>
      <c r="R55" s="93">
        <f>SUMIFS('PF Holdings_diff dates'!$N:$N,'PF Holdings_diff dates'!$I:$I,$E55,'PF Holdings_diff dates'!$G:$G,$G$1,'PF Holdings_diff dates'!$Q:$Q,R$3)</f>
        <v>0</v>
      </c>
      <c r="T55" s="93">
        <f>SUMIFS('PF Holdings_diff dates'!$O:$O,'PF Holdings_diff dates'!$I:$I,$E55,'PF Holdings_diff dates'!$G:$G,$G$1,'PF Holdings_diff dates'!$Q:$Q,T$3)</f>
        <v>0</v>
      </c>
      <c r="U55" s="93">
        <f t="shared" si="117"/>
        <v>0</v>
      </c>
      <c r="V55" s="93">
        <f t="shared" si="118"/>
        <v>0</v>
      </c>
      <c r="W55" s="93">
        <f>SUMIFS('PF Holdings_diff dates'!$O:$O,'PF Holdings_diff dates'!$I:$I,$E55,'PF Holdings_diff dates'!$G:$G,$G$1,'PF Holdings_diff dates'!$Q:$Q,W$3)</f>
        <v>0</v>
      </c>
      <c r="X55" s="96" t="str">
        <f t="shared" ref="X55:X56" si="122">IFERROR((V55/(T55+U55)),"-")</f>
        <v>-</v>
      </c>
      <c r="Y55" s="96" t="str">
        <f>IF(E55="-","-",VLOOKUP(D55,'Category level Benchmark and tr'!$A:$G,7,0))</f>
        <v>-</v>
      </c>
      <c r="Z55" s="96"/>
      <c r="AA55" s="108"/>
      <c r="AB55" s="109"/>
    </row>
    <row r="56" spans="2:28" s="92" customFormat="1" hidden="1" outlineLevel="3" x14ac:dyDescent="0.25">
      <c r="B56" s="92" t="str">
        <f t="shared" si="119"/>
        <v>SN0013Equity-Self-Listed Stocks-Small Cap</v>
      </c>
      <c r="C56" s="92">
        <f>C55+1</f>
        <v>3</v>
      </c>
      <c r="D56" s="92" t="str">
        <f>D55</f>
        <v>Equity-Self-Listed Stocks-Small Cap</v>
      </c>
      <c r="E56" s="97" t="str">
        <f>IFERROR(VLOOKUP(B56,Sort!$A:$F,5,0),"-")</f>
        <v>-</v>
      </c>
      <c r="F56" s="93">
        <v>0</v>
      </c>
      <c r="G56" s="94"/>
      <c r="H56" s="93">
        <f t="shared" si="120"/>
        <v>0</v>
      </c>
      <c r="I56" s="94">
        <f t="shared" si="84"/>
        <v>0</v>
      </c>
      <c r="J56" s="95">
        <f t="shared" si="121"/>
        <v>0</v>
      </c>
      <c r="K56" s="93">
        <f t="shared" si="115"/>
        <v>0</v>
      </c>
      <c r="L56" s="93">
        <f t="shared" si="116"/>
        <v>0</v>
      </c>
      <c r="M56" s="94" t="str">
        <f>IFERROR(L56/J56,"-")</f>
        <v>-</v>
      </c>
      <c r="N56" s="95"/>
      <c r="P56" s="93">
        <f>SUMIFS('PF Holdings_diff dates'!$N:$N,'PF Holdings_diff dates'!$I:$I,$E56,'PF Holdings_diff dates'!$G:$G,$G$1,'PF Holdings_diff dates'!$Q:$Q,P$3)</f>
        <v>0</v>
      </c>
      <c r="Q56" s="93">
        <f t="shared" si="3"/>
        <v>0</v>
      </c>
      <c r="R56" s="93">
        <f>SUMIFS('PF Holdings_diff dates'!$N:$N,'PF Holdings_diff dates'!$I:$I,$E56,'PF Holdings_diff dates'!$G:$G,$G$1,'PF Holdings_diff dates'!$Q:$Q,R$3)</f>
        <v>0</v>
      </c>
      <c r="T56" s="93">
        <f>SUMIFS('PF Holdings_diff dates'!$O:$O,'PF Holdings_diff dates'!$I:$I,$E56,'PF Holdings_diff dates'!$G:$G,$G$1,'PF Holdings_diff dates'!$Q:$Q,T$3)</f>
        <v>0</v>
      </c>
      <c r="U56" s="93">
        <f t="shared" si="117"/>
        <v>0</v>
      </c>
      <c r="V56" s="93">
        <f t="shared" si="118"/>
        <v>0</v>
      </c>
      <c r="W56" s="93">
        <f>SUMIFS('PF Holdings_diff dates'!$O:$O,'PF Holdings_diff dates'!$I:$I,$E56,'PF Holdings_diff dates'!$G:$G,$G$1,'PF Holdings_diff dates'!$Q:$Q,W$3)</f>
        <v>0</v>
      </c>
      <c r="X56" s="96" t="str">
        <f t="shared" si="122"/>
        <v>-</v>
      </c>
      <c r="Y56" s="96" t="str">
        <f>IF(E56="-","-",VLOOKUP(D56,'Category level Benchmark and tr'!$A:$G,7,0))</f>
        <v>-</v>
      </c>
      <c r="Z56" s="96"/>
      <c r="AA56" s="108"/>
      <c r="AB56" s="109"/>
    </row>
    <row r="57" spans="2:28" hidden="1" outlineLevel="2" x14ac:dyDescent="0.25">
      <c r="D57" t="s">
        <v>108</v>
      </c>
      <c r="E57" s="56" t="s">
        <v>20</v>
      </c>
      <c r="F57" s="53">
        <f>'AA Decision View'!Q25</f>
        <v>10728.549750000002</v>
      </c>
      <c r="G57" s="43">
        <f>F57/F$123</f>
        <v>1.4999999999999999E-2</v>
      </c>
      <c r="H57" s="53">
        <f>'AA Decision View'!S25</f>
        <v>0</v>
      </c>
      <c r="I57" s="43">
        <f t="shared" si="84"/>
        <v>0</v>
      </c>
      <c r="J57" s="54">
        <f>'AA Decision View'!V25</f>
        <v>0</v>
      </c>
      <c r="K57" s="53">
        <f>H57</f>
        <v>0</v>
      </c>
      <c r="L57" s="53">
        <f>K57-J57</f>
        <v>0</v>
      </c>
      <c r="M57" s="43" t="str">
        <f>IFERROR(L57/J57,"n/a")</f>
        <v>n/a</v>
      </c>
      <c r="N57" s="54">
        <f>F57-K57</f>
        <v>10728.549750000002</v>
      </c>
      <c r="P57" s="53">
        <f>SUMIFS('PF Holdings_diff dates'!$N:$N,'PF Holdings_diff dates'!$A:$A,$D57,'PF Holdings_diff dates'!$G:$G,$G$1,'PF Holdings_diff dates'!$Q:$Q,P$3)</f>
        <v>0</v>
      </c>
      <c r="Q57" s="53">
        <f>R57-P57</f>
        <v>0</v>
      </c>
      <c r="R57" s="53">
        <f>SUMIFS('PF Holdings_diff dates'!$N:$N,'PF Holdings_diff dates'!$A:$A,$D57,'PF Holdings_diff dates'!$G:$G,$G$1,'PF Holdings_diff dates'!$Q:$Q,R$3)</f>
        <v>0</v>
      </c>
      <c r="T57" s="53">
        <f>SUMIFS('PF Holdings_diff dates'!$O:$O,'PF Holdings_diff dates'!$A:$A,$D57,'PF Holdings_diff dates'!$G:$G,$G$1,'PF Holdings_diff dates'!$Q:$Q,T$3)</f>
        <v>0</v>
      </c>
      <c r="U57" s="53">
        <f>Q57</f>
        <v>0</v>
      </c>
      <c r="V57" s="53">
        <f>W57-(T57+U57)</f>
        <v>0</v>
      </c>
      <c r="W57" s="53">
        <f>SUMIFS('PF Holdings_diff dates'!$O:$O,'PF Holdings_diff dates'!$A:$A,$D57,'PF Holdings_diff dates'!$G:$G,$G$1,'PF Holdings_diff dates'!$Q:$Q,W$3)</f>
        <v>0</v>
      </c>
      <c r="X57" s="84" t="str">
        <f>IFERROR((V57/(T57+U57)),"n/a")</f>
        <v>n/a</v>
      </c>
      <c r="Y57" s="84">
        <f>IFERROR(VLOOKUP(D57,'Category level Benchmark and tr'!$A:$G,7,0),0)</f>
        <v>0.23466989530660198</v>
      </c>
      <c r="Z57" s="84">
        <f>Y57</f>
        <v>0.23466989530660198</v>
      </c>
      <c r="AA57" s="110"/>
      <c r="AB57" s="31"/>
    </row>
    <row r="58" spans="2:28" s="92" customFormat="1" hidden="1" outlineLevel="3" x14ac:dyDescent="0.25">
      <c r="B58" s="92" t="str">
        <f>$G$1&amp;C58&amp;D58</f>
        <v>SN0011Equity-Self-Listed Stocks-Micro Cap</v>
      </c>
      <c r="C58" s="92">
        <v>1</v>
      </c>
      <c r="D58" s="92" t="str">
        <f>D61</f>
        <v>Equity-Self-Listed Stocks-Micro Cap</v>
      </c>
      <c r="E58" s="97" t="str">
        <f>IFERROR(VLOOKUP(B58,Sort!$A:$F,5,0),"-")</f>
        <v>-</v>
      </c>
      <c r="F58" s="93">
        <v>0</v>
      </c>
      <c r="G58" s="94"/>
      <c r="H58" s="93">
        <f>W58</f>
        <v>0</v>
      </c>
      <c r="I58" s="94">
        <f t="shared" si="84"/>
        <v>0</v>
      </c>
      <c r="J58" s="95">
        <f>R58</f>
        <v>0</v>
      </c>
      <c r="K58" s="93">
        <f t="shared" ref="K58:K60" si="123">H58</f>
        <v>0</v>
      </c>
      <c r="L58" s="93">
        <f t="shared" ref="L58:L60" si="124">K58-J58</f>
        <v>0</v>
      </c>
      <c r="M58" s="94" t="str">
        <f>IFERROR(L58/J58,"-")</f>
        <v>-</v>
      </c>
      <c r="N58" s="95"/>
      <c r="P58" s="93">
        <f>SUMIFS('PF Holdings_diff dates'!$N:$N,'PF Holdings_diff dates'!$I:$I,$E58,'PF Holdings_diff dates'!$G:$G,$G$1,'PF Holdings_diff dates'!$Q:$Q,P$3)</f>
        <v>0</v>
      </c>
      <c r="Q58" s="93">
        <f t="shared" si="3"/>
        <v>0</v>
      </c>
      <c r="R58" s="93">
        <f>SUMIFS('PF Holdings_diff dates'!$N:$N,'PF Holdings_diff dates'!$I:$I,$E58,'PF Holdings_diff dates'!$G:$G,$G$1,'PF Holdings_diff dates'!$Q:$Q,R$3)</f>
        <v>0</v>
      </c>
      <c r="T58" s="93">
        <f>SUMIFS('PF Holdings_diff dates'!$O:$O,'PF Holdings_diff dates'!$I:$I,$E58,'PF Holdings_diff dates'!$G:$G,$G$1,'PF Holdings_diff dates'!$Q:$Q,T$3)</f>
        <v>0</v>
      </c>
      <c r="U58" s="93">
        <f t="shared" ref="U58:U60" si="125">Q58</f>
        <v>0</v>
      </c>
      <c r="V58" s="93">
        <f t="shared" ref="V58:V60" si="126">W58-(T58+U58)</f>
        <v>0</v>
      </c>
      <c r="W58" s="93">
        <f>SUMIFS('PF Holdings_diff dates'!$O:$O,'PF Holdings_diff dates'!$I:$I,$E58,'PF Holdings_diff dates'!$G:$G,$G$1,'PF Holdings_diff dates'!$Q:$Q,W$3)</f>
        <v>0</v>
      </c>
      <c r="X58" s="96" t="str">
        <f>IFERROR((V58/(T58+U58)),"-")</f>
        <v>-</v>
      </c>
      <c r="Y58" s="96" t="str">
        <f>IF(E58="-","-",VLOOKUP(D58,'Category level Benchmark and tr'!$A:$G,7,0))</f>
        <v>-</v>
      </c>
      <c r="Z58" s="96"/>
      <c r="AA58" s="108"/>
      <c r="AB58" s="109"/>
    </row>
    <row r="59" spans="2:28" s="92" customFormat="1" hidden="1" outlineLevel="3" x14ac:dyDescent="0.25">
      <c r="B59" s="92" t="str">
        <f t="shared" ref="B59:B60" si="127">$G$1&amp;C59&amp;D59</f>
        <v>SN0012Equity-Self-Listed Stocks-Micro Cap</v>
      </c>
      <c r="C59" s="92">
        <f>C58+1</f>
        <v>2</v>
      </c>
      <c r="D59" s="92" t="str">
        <f>D58</f>
        <v>Equity-Self-Listed Stocks-Micro Cap</v>
      </c>
      <c r="E59" s="97" t="str">
        <f>IFERROR(VLOOKUP(B59,Sort!$A:$F,5,0),"-")</f>
        <v>-</v>
      </c>
      <c r="F59" s="93">
        <v>0</v>
      </c>
      <c r="G59" s="94"/>
      <c r="H59" s="93">
        <f t="shared" ref="H59:H60" si="128">W59</f>
        <v>0</v>
      </c>
      <c r="I59" s="94">
        <f t="shared" si="84"/>
        <v>0</v>
      </c>
      <c r="J59" s="95">
        <f t="shared" ref="J59:J60" si="129">R59</f>
        <v>0</v>
      </c>
      <c r="K59" s="93">
        <f t="shared" si="123"/>
        <v>0</v>
      </c>
      <c r="L59" s="93">
        <f t="shared" si="124"/>
        <v>0</v>
      </c>
      <c r="M59" s="94" t="str">
        <f>IFERROR(L59/J59,"-")</f>
        <v>-</v>
      </c>
      <c r="N59" s="95"/>
      <c r="P59" s="93">
        <f>SUMIFS('PF Holdings_diff dates'!$N:$N,'PF Holdings_diff dates'!$I:$I,$E59,'PF Holdings_diff dates'!$G:$G,$G$1,'PF Holdings_diff dates'!$Q:$Q,P$3)</f>
        <v>0</v>
      </c>
      <c r="Q59" s="93">
        <f t="shared" si="3"/>
        <v>0</v>
      </c>
      <c r="R59" s="93">
        <f>SUMIFS('PF Holdings_diff dates'!$N:$N,'PF Holdings_diff dates'!$I:$I,$E59,'PF Holdings_diff dates'!$G:$G,$G$1,'PF Holdings_diff dates'!$Q:$Q,R$3)</f>
        <v>0</v>
      </c>
      <c r="T59" s="93">
        <f>SUMIFS('PF Holdings_diff dates'!$O:$O,'PF Holdings_diff dates'!$I:$I,$E59,'PF Holdings_diff dates'!$G:$G,$G$1,'PF Holdings_diff dates'!$Q:$Q,T$3)</f>
        <v>0</v>
      </c>
      <c r="U59" s="93">
        <f t="shared" si="125"/>
        <v>0</v>
      </c>
      <c r="V59" s="93">
        <f t="shared" si="126"/>
        <v>0</v>
      </c>
      <c r="W59" s="93">
        <f>SUMIFS('PF Holdings_diff dates'!$O:$O,'PF Holdings_diff dates'!$I:$I,$E59,'PF Holdings_diff dates'!$G:$G,$G$1,'PF Holdings_diff dates'!$Q:$Q,W$3)</f>
        <v>0</v>
      </c>
      <c r="X59" s="96" t="str">
        <f t="shared" ref="X59:X60" si="130">IFERROR((V59/(T59+U59)),"-")</f>
        <v>-</v>
      </c>
      <c r="Y59" s="96" t="str">
        <f>IF(E59="-","-",VLOOKUP(D59,'Category level Benchmark and tr'!$A:$G,7,0))</f>
        <v>-</v>
      </c>
      <c r="Z59" s="96"/>
      <c r="AA59" s="108"/>
      <c r="AB59" s="109"/>
    </row>
    <row r="60" spans="2:28" s="92" customFormat="1" hidden="1" outlineLevel="3" x14ac:dyDescent="0.25">
      <c r="B60" s="92" t="str">
        <f t="shared" si="127"/>
        <v>SN0013Equity-Self-Listed Stocks-Micro Cap</v>
      </c>
      <c r="C60" s="92">
        <f>C59+1</f>
        <v>3</v>
      </c>
      <c r="D60" s="92" t="str">
        <f>D59</f>
        <v>Equity-Self-Listed Stocks-Micro Cap</v>
      </c>
      <c r="E60" s="97" t="str">
        <f>IFERROR(VLOOKUP(B60,Sort!$A:$F,5,0),"-")</f>
        <v>-</v>
      </c>
      <c r="F60" s="93">
        <v>0</v>
      </c>
      <c r="G60" s="94"/>
      <c r="H60" s="93">
        <f t="shared" si="128"/>
        <v>0</v>
      </c>
      <c r="I60" s="94">
        <f t="shared" si="84"/>
        <v>0</v>
      </c>
      <c r="J60" s="95">
        <f t="shared" si="129"/>
        <v>0</v>
      </c>
      <c r="K60" s="93">
        <f t="shared" si="123"/>
        <v>0</v>
      </c>
      <c r="L60" s="93">
        <f t="shared" si="124"/>
        <v>0</v>
      </c>
      <c r="M60" s="94" t="str">
        <f>IFERROR(L60/J60,"-")</f>
        <v>-</v>
      </c>
      <c r="N60" s="95"/>
      <c r="P60" s="93">
        <f>SUMIFS('PF Holdings_diff dates'!$N:$N,'PF Holdings_diff dates'!$I:$I,$E60,'PF Holdings_diff dates'!$G:$G,$G$1,'PF Holdings_diff dates'!$Q:$Q,P$3)</f>
        <v>0</v>
      </c>
      <c r="Q60" s="93">
        <f t="shared" si="3"/>
        <v>0</v>
      </c>
      <c r="R60" s="93">
        <f>SUMIFS('PF Holdings_diff dates'!$N:$N,'PF Holdings_diff dates'!$I:$I,$E60,'PF Holdings_diff dates'!$G:$G,$G$1,'PF Holdings_diff dates'!$Q:$Q,R$3)</f>
        <v>0</v>
      </c>
      <c r="T60" s="93">
        <f>SUMIFS('PF Holdings_diff dates'!$O:$O,'PF Holdings_diff dates'!$I:$I,$E60,'PF Holdings_diff dates'!$G:$G,$G$1,'PF Holdings_diff dates'!$Q:$Q,T$3)</f>
        <v>0</v>
      </c>
      <c r="U60" s="93">
        <f t="shared" si="125"/>
        <v>0</v>
      </c>
      <c r="V60" s="93">
        <f t="shared" si="126"/>
        <v>0</v>
      </c>
      <c r="W60" s="93">
        <f>SUMIFS('PF Holdings_diff dates'!$O:$O,'PF Holdings_diff dates'!$I:$I,$E60,'PF Holdings_diff dates'!$G:$G,$G$1,'PF Holdings_diff dates'!$Q:$Q,W$3)</f>
        <v>0</v>
      </c>
      <c r="X60" s="96" t="str">
        <f t="shared" si="130"/>
        <v>-</v>
      </c>
      <c r="Y60" s="96" t="str">
        <f>IF(E60="-","-",VLOOKUP(D60,'Category level Benchmark and tr'!$A:$G,7,0))</f>
        <v>-</v>
      </c>
      <c r="Z60" s="96"/>
      <c r="AA60" s="108"/>
      <c r="AB60" s="109"/>
    </row>
    <row r="61" spans="2:28" hidden="1" outlineLevel="2" x14ac:dyDescent="0.25">
      <c r="D61" t="s">
        <v>109</v>
      </c>
      <c r="E61" s="56" t="s">
        <v>21</v>
      </c>
      <c r="F61" s="53">
        <f>'AA Decision View'!Q26</f>
        <v>0</v>
      </c>
      <c r="G61" s="43">
        <f>F61/F$123</f>
        <v>0</v>
      </c>
      <c r="H61" s="53">
        <f>'AA Decision View'!S26</f>
        <v>0</v>
      </c>
      <c r="I61" s="43">
        <f t="shared" si="84"/>
        <v>0</v>
      </c>
      <c r="J61" s="54">
        <f>'AA Decision View'!V26</f>
        <v>0</v>
      </c>
      <c r="K61" s="53">
        <f>H61</f>
        <v>0</v>
      </c>
      <c r="L61" s="53">
        <f>K61-J61</f>
        <v>0</v>
      </c>
      <c r="M61" s="43" t="str">
        <f>IFERROR(L61/J61,"n/a")</f>
        <v>n/a</v>
      </c>
      <c r="N61" s="54">
        <f>F61-K61</f>
        <v>0</v>
      </c>
      <c r="P61" s="53">
        <f>SUMIFS('PF Holdings_diff dates'!$N:$N,'PF Holdings_diff dates'!$A:$A,$D61,'PF Holdings_diff dates'!$G:$G,$G$1,'PF Holdings_diff dates'!$Q:$Q,P$3)</f>
        <v>0</v>
      </c>
      <c r="Q61" s="53">
        <f>R61-P61</f>
        <v>0</v>
      </c>
      <c r="R61" s="53">
        <f>SUMIFS('PF Holdings_diff dates'!$N:$N,'PF Holdings_diff dates'!$A:$A,$D61,'PF Holdings_diff dates'!$G:$G,$G$1,'PF Holdings_diff dates'!$Q:$Q,R$3)</f>
        <v>0</v>
      </c>
      <c r="T61" s="53">
        <f>SUMIFS('PF Holdings_diff dates'!$O:$O,'PF Holdings_diff dates'!$A:$A,$D61,'PF Holdings_diff dates'!$G:$G,$G$1,'PF Holdings_diff dates'!$Q:$Q,T$3)</f>
        <v>0</v>
      </c>
      <c r="U61" s="53">
        <f>Q61</f>
        <v>0</v>
      </c>
      <c r="V61" s="53">
        <f>W61-(T61+U61)</f>
        <v>0</v>
      </c>
      <c r="W61" s="53">
        <f>SUMIFS('PF Holdings_diff dates'!$O:$O,'PF Holdings_diff dates'!$A:$A,$D61,'PF Holdings_diff dates'!$G:$G,$G$1,'PF Holdings_diff dates'!$Q:$Q,W$3)</f>
        <v>0</v>
      </c>
      <c r="X61" s="84" t="str">
        <f>IFERROR((V61/(T61+U61)),"n/a")</f>
        <v>n/a</v>
      </c>
      <c r="Y61" s="84">
        <f>IFERROR(VLOOKUP(D61,'Category level Benchmark and tr'!$A:$G,7,0),0)</f>
        <v>0.17988573781460704</v>
      </c>
      <c r="Z61" s="84">
        <f>Y61</f>
        <v>0.17988573781460704</v>
      </c>
      <c r="AA61" s="110"/>
      <c r="AB61" s="31"/>
    </row>
    <row r="62" spans="2:28" hidden="1" outlineLevel="1" x14ac:dyDescent="0.25">
      <c r="E62" s="57" t="s">
        <v>26</v>
      </c>
      <c r="F62" s="58">
        <f>SUM(F49,F53,F57,F61)</f>
        <v>53642.748749999999</v>
      </c>
      <c r="G62" s="59">
        <f>F62/F$123</f>
        <v>7.4999999999999983E-2</v>
      </c>
      <c r="H62" s="58">
        <f>SUM(H49,H53,H57,H61)</f>
        <v>0</v>
      </c>
      <c r="I62" s="59">
        <f t="shared" si="84"/>
        <v>0</v>
      </c>
      <c r="J62" s="58">
        <f>SUM(J49,J53,J57,J61)</f>
        <v>0</v>
      </c>
      <c r="K62" s="60">
        <f>H62</f>
        <v>0</v>
      </c>
      <c r="L62" s="58">
        <f>K62-J62</f>
        <v>0</v>
      </c>
      <c r="M62" s="59" t="str">
        <f>IFERROR(L62/J62,"n/a")</f>
        <v>n/a</v>
      </c>
      <c r="N62" s="58">
        <f>F62-K62</f>
        <v>53642.748749999999</v>
      </c>
      <c r="P62" s="58">
        <f>SUM(P49,P53,P57,P61)</f>
        <v>0</v>
      </c>
      <c r="Q62" s="58">
        <f>R62-P62</f>
        <v>0</v>
      </c>
      <c r="R62" s="58">
        <f>SUM(R49,R53,R57,R61)</f>
        <v>0</v>
      </c>
      <c r="T62" s="58">
        <f>SUM(T49,T53,T57,T61)</f>
        <v>0</v>
      </c>
      <c r="U62" s="58">
        <f>Q62</f>
        <v>0</v>
      </c>
      <c r="V62" s="58">
        <f>W62-(T62+U62)</f>
        <v>0</v>
      </c>
      <c r="W62" s="58">
        <f>SUM(W49,W53,W57,W61)</f>
        <v>0</v>
      </c>
      <c r="X62" s="83" t="str">
        <f>IFERROR((V62/(T62+U62)),"n/a")</f>
        <v>n/a</v>
      </c>
      <c r="Y62" s="83">
        <f>((F49*Y49)+(F53*Y53)+(F57*Y57)+(F61*Y61))/F62</f>
        <v>0.19848020323441479</v>
      </c>
      <c r="Z62" s="83">
        <f>IFERROR(((T49*Z49)+(T53*Z53)+(T57*Z57)+(T61*Z61))/T62,0)</f>
        <v>0</v>
      </c>
      <c r="AA62" s="110"/>
      <c r="AB62" s="31"/>
    </row>
    <row r="63" spans="2:28" s="92" customFormat="1" hidden="1" outlineLevel="3" x14ac:dyDescent="0.25">
      <c r="B63" s="92" t="str">
        <f>$G$1&amp;C63&amp;D63</f>
        <v>SN0011Equity-Self-Listed Stocks-Tactical</v>
      </c>
      <c r="C63" s="92">
        <v>1</v>
      </c>
      <c r="D63" s="92" t="str">
        <f>D66</f>
        <v>Equity-Self-Listed Stocks-Tactical</v>
      </c>
      <c r="E63" s="97" t="str">
        <f>IFERROR(VLOOKUP(B63,Sort!$A:$F,5,0),"-")</f>
        <v>-</v>
      </c>
      <c r="F63" s="93">
        <v>0</v>
      </c>
      <c r="G63" s="94"/>
      <c r="H63" s="93">
        <f>W63</f>
        <v>0</v>
      </c>
      <c r="I63" s="94">
        <f t="shared" si="84"/>
        <v>0</v>
      </c>
      <c r="J63" s="95">
        <f>R63</f>
        <v>0</v>
      </c>
      <c r="K63" s="93">
        <f t="shared" ref="K63:K65" si="131">H63</f>
        <v>0</v>
      </c>
      <c r="L63" s="93">
        <f t="shared" si="2"/>
        <v>0</v>
      </c>
      <c r="M63" s="94" t="str">
        <f>IFERROR(L63/J63,"-")</f>
        <v>-</v>
      </c>
      <c r="N63" s="95"/>
      <c r="P63" s="93">
        <f>SUMIFS('PF Holdings_diff dates'!$N:$N,'PF Holdings_diff dates'!$I:$I,$E63,'PF Holdings_diff dates'!$G:$G,$G$1,'PF Holdings_diff dates'!$Q:$Q,P$3)</f>
        <v>0</v>
      </c>
      <c r="Q63" s="93">
        <f t="shared" si="3"/>
        <v>0</v>
      </c>
      <c r="R63" s="93">
        <f>SUMIFS('PF Holdings_diff dates'!$N:$N,'PF Holdings_diff dates'!$I:$I,$E63,'PF Holdings_diff dates'!$G:$G,$G$1,'PF Holdings_diff dates'!$Q:$Q,R$3)</f>
        <v>0</v>
      </c>
      <c r="T63" s="93">
        <f>SUMIFS('PF Holdings_diff dates'!$O:$O,'PF Holdings_diff dates'!$I:$I,$E63,'PF Holdings_diff dates'!$G:$G,$G$1,'PF Holdings_diff dates'!$Q:$Q,T$3)</f>
        <v>0</v>
      </c>
      <c r="U63" s="93">
        <f t="shared" si="4"/>
        <v>0</v>
      </c>
      <c r="V63" s="93">
        <f t="shared" si="5"/>
        <v>0</v>
      </c>
      <c r="W63" s="93">
        <f>SUMIFS('PF Holdings_diff dates'!$O:$O,'PF Holdings_diff dates'!$I:$I,$E63,'PF Holdings_diff dates'!$G:$G,$G$1,'PF Holdings_diff dates'!$Q:$Q,W$3)</f>
        <v>0</v>
      </c>
      <c r="X63" s="96" t="str">
        <f>IFERROR((V63/(T63+U63)),"-")</f>
        <v>-</v>
      </c>
      <c r="Y63" s="96" t="str">
        <f>IF(E63="-","-",VLOOKUP(D63,'Category level Benchmark and tr'!$A:$G,7,0))</f>
        <v>-</v>
      </c>
      <c r="Z63" s="96"/>
      <c r="AA63" s="108"/>
      <c r="AB63" s="109"/>
    </row>
    <row r="64" spans="2:28" s="92" customFormat="1" hidden="1" outlineLevel="3" x14ac:dyDescent="0.25">
      <c r="B64" s="92" t="str">
        <f t="shared" ref="B64:B65" si="132">$G$1&amp;C64&amp;D64</f>
        <v>SN0012Equity-Self-Listed Stocks-Tactical</v>
      </c>
      <c r="C64" s="92">
        <f>C63+1</f>
        <v>2</v>
      </c>
      <c r="D64" s="92" t="str">
        <f>D63</f>
        <v>Equity-Self-Listed Stocks-Tactical</v>
      </c>
      <c r="E64" s="97" t="str">
        <f>IFERROR(VLOOKUP(B64,Sort!$A:$F,5,0),"-")</f>
        <v>-</v>
      </c>
      <c r="F64" s="93">
        <v>0</v>
      </c>
      <c r="G64" s="94"/>
      <c r="H64" s="93">
        <f t="shared" ref="H64:H65" si="133">W64</f>
        <v>0</v>
      </c>
      <c r="I64" s="94">
        <f t="shared" si="84"/>
        <v>0</v>
      </c>
      <c r="J64" s="95">
        <f t="shared" ref="J64:J65" si="134">R64</f>
        <v>0</v>
      </c>
      <c r="K64" s="93">
        <f t="shared" si="131"/>
        <v>0</v>
      </c>
      <c r="L64" s="93">
        <f t="shared" si="2"/>
        <v>0</v>
      </c>
      <c r="M64" s="94" t="str">
        <f>IFERROR(L64/J64,"-")</f>
        <v>-</v>
      </c>
      <c r="N64" s="95"/>
      <c r="P64" s="93">
        <f>SUMIFS('PF Holdings_diff dates'!$N:$N,'PF Holdings_diff dates'!$I:$I,$E64,'PF Holdings_diff dates'!$G:$G,$G$1,'PF Holdings_diff dates'!$Q:$Q,P$3)</f>
        <v>0</v>
      </c>
      <c r="Q64" s="93">
        <f t="shared" si="3"/>
        <v>0</v>
      </c>
      <c r="R64" s="93">
        <f>SUMIFS('PF Holdings_diff dates'!$N:$N,'PF Holdings_diff dates'!$I:$I,$E64,'PF Holdings_diff dates'!$G:$G,$G$1,'PF Holdings_diff dates'!$Q:$Q,R$3)</f>
        <v>0</v>
      </c>
      <c r="T64" s="93">
        <f>SUMIFS('PF Holdings_diff dates'!$O:$O,'PF Holdings_diff dates'!$I:$I,$E64,'PF Holdings_diff dates'!$G:$G,$G$1,'PF Holdings_diff dates'!$Q:$Q,T$3)</f>
        <v>0</v>
      </c>
      <c r="U64" s="93">
        <f t="shared" si="4"/>
        <v>0</v>
      </c>
      <c r="V64" s="93">
        <f t="shared" si="5"/>
        <v>0</v>
      </c>
      <c r="W64" s="93">
        <f>SUMIFS('PF Holdings_diff dates'!$O:$O,'PF Holdings_diff dates'!$I:$I,$E64,'PF Holdings_diff dates'!$G:$G,$G$1,'PF Holdings_diff dates'!$Q:$Q,W$3)</f>
        <v>0</v>
      </c>
      <c r="X64" s="96" t="str">
        <f t="shared" ref="X64:X65" si="135">IFERROR((V64/(T64+U64)),"-")</f>
        <v>-</v>
      </c>
      <c r="Y64" s="96" t="str">
        <f>IF(E64="-","-",VLOOKUP(D64,'Category level Benchmark and tr'!$A:$G,7,0))</f>
        <v>-</v>
      </c>
      <c r="Z64" s="96"/>
      <c r="AA64" s="108"/>
      <c r="AB64" s="109"/>
    </row>
    <row r="65" spans="2:28" s="92" customFormat="1" hidden="1" outlineLevel="3" x14ac:dyDescent="0.25">
      <c r="B65" s="92" t="str">
        <f t="shared" si="132"/>
        <v>SN0013Equity-Self-Listed Stocks-Tactical</v>
      </c>
      <c r="C65" s="92">
        <f>C64+1</f>
        <v>3</v>
      </c>
      <c r="D65" s="92" t="str">
        <f>D64</f>
        <v>Equity-Self-Listed Stocks-Tactical</v>
      </c>
      <c r="E65" s="97" t="str">
        <f>IFERROR(VLOOKUP(B65,Sort!$A:$F,5,0),"-")</f>
        <v>-</v>
      </c>
      <c r="F65" s="93">
        <v>0</v>
      </c>
      <c r="G65" s="94"/>
      <c r="H65" s="93">
        <f t="shared" si="133"/>
        <v>0</v>
      </c>
      <c r="I65" s="94">
        <f t="shared" si="84"/>
        <v>0</v>
      </c>
      <c r="J65" s="95">
        <f t="shared" si="134"/>
        <v>0</v>
      </c>
      <c r="K65" s="93">
        <f t="shared" si="131"/>
        <v>0</v>
      </c>
      <c r="L65" s="93">
        <f t="shared" si="2"/>
        <v>0</v>
      </c>
      <c r="M65" s="94" t="str">
        <f>IFERROR(L65/J65,"-")</f>
        <v>-</v>
      </c>
      <c r="N65" s="95"/>
      <c r="P65" s="93">
        <f>SUMIFS('PF Holdings_diff dates'!$N:$N,'PF Holdings_diff dates'!$I:$I,$E65,'PF Holdings_diff dates'!$G:$G,$G$1,'PF Holdings_diff dates'!$Q:$Q,P$3)</f>
        <v>0</v>
      </c>
      <c r="Q65" s="93">
        <f t="shared" si="3"/>
        <v>0</v>
      </c>
      <c r="R65" s="93">
        <f>SUMIFS('PF Holdings_diff dates'!$N:$N,'PF Holdings_diff dates'!$I:$I,$E65,'PF Holdings_diff dates'!$G:$G,$G$1,'PF Holdings_diff dates'!$Q:$Q,R$3)</f>
        <v>0</v>
      </c>
      <c r="T65" s="93">
        <f>SUMIFS('PF Holdings_diff dates'!$O:$O,'PF Holdings_diff dates'!$I:$I,$E65,'PF Holdings_diff dates'!$G:$G,$G$1,'PF Holdings_diff dates'!$Q:$Q,T$3)</f>
        <v>0</v>
      </c>
      <c r="U65" s="93">
        <f t="shared" si="4"/>
        <v>0</v>
      </c>
      <c r="V65" s="93">
        <f t="shared" si="5"/>
        <v>0</v>
      </c>
      <c r="W65" s="93">
        <f>SUMIFS('PF Holdings_diff dates'!$O:$O,'PF Holdings_diff dates'!$I:$I,$E65,'PF Holdings_diff dates'!$G:$G,$G$1,'PF Holdings_diff dates'!$Q:$Q,W$3)</f>
        <v>0</v>
      </c>
      <c r="X65" s="96" t="str">
        <f t="shared" si="135"/>
        <v>-</v>
      </c>
      <c r="Y65" s="96" t="str">
        <f>IF(E65="-","-",VLOOKUP(D65,'Category level Benchmark and tr'!$A:$G,7,0))</f>
        <v>-</v>
      </c>
      <c r="Z65" s="96"/>
      <c r="AA65" s="108"/>
      <c r="AB65" s="109"/>
    </row>
    <row r="66" spans="2:28" hidden="1" outlineLevel="2" x14ac:dyDescent="0.25">
      <c r="D66" t="s">
        <v>110</v>
      </c>
      <c r="E66" s="56" t="s">
        <v>144</v>
      </c>
      <c r="F66" s="53">
        <f>'AA Decision View'!Q27</f>
        <v>0</v>
      </c>
      <c r="G66" s="43">
        <f>F66/F$123</f>
        <v>0</v>
      </c>
      <c r="H66" s="53">
        <f>'AA Decision View'!S27</f>
        <v>0</v>
      </c>
      <c r="I66" s="43">
        <f t="shared" si="84"/>
        <v>0</v>
      </c>
      <c r="J66" s="54">
        <f>'AA Decision View'!V27</f>
        <v>0</v>
      </c>
      <c r="K66" s="53">
        <f>H66</f>
        <v>0</v>
      </c>
      <c r="L66" s="53">
        <f>K66-J66</f>
        <v>0</v>
      </c>
      <c r="M66" s="43" t="str">
        <f>IFERROR(L66/J66,"n/a")</f>
        <v>n/a</v>
      </c>
      <c r="N66" s="54">
        <f>F66-K66</f>
        <v>0</v>
      </c>
      <c r="P66" s="53">
        <f>SUMIFS('PF Holdings_diff dates'!$N:$N,'PF Holdings_diff dates'!$A:$A,$D66,'PF Holdings_diff dates'!$G:$G,$G$1,'PF Holdings_diff dates'!$Q:$Q,P$3)</f>
        <v>0</v>
      </c>
      <c r="Q66" s="53">
        <f>R66-P66</f>
        <v>0</v>
      </c>
      <c r="R66" s="53">
        <f>SUMIFS('PF Holdings_diff dates'!$N:$N,'PF Holdings_diff dates'!$A:$A,$D66,'PF Holdings_diff dates'!$G:$G,$G$1,'PF Holdings_diff dates'!$Q:$Q,R$3)</f>
        <v>0</v>
      </c>
      <c r="T66" s="53">
        <f>SUMIFS('PF Holdings_diff dates'!$O:$O,'PF Holdings_diff dates'!$A:$A,$D66,'PF Holdings_diff dates'!$G:$G,$G$1,'PF Holdings_diff dates'!$Q:$Q,T$3)</f>
        <v>0</v>
      </c>
      <c r="U66" s="53">
        <f>Q66</f>
        <v>0</v>
      </c>
      <c r="V66" s="53">
        <f>W66-(T66+U66)</f>
        <v>0</v>
      </c>
      <c r="W66" s="53">
        <f>SUMIFS('PF Holdings_diff dates'!$O:$O,'PF Holdings_diff dates'!$A:$A,$D66,'PF Holdings_diff dates'!$G:$G,$G$1,'PF Holdings_diff dates'!$Q:$Q,W$3)</f>
        <v>0</v>
      </c>
      <c r="X66" s="84" t="str">
        <f>IFERROR((V66/(T66+U66)),"n/a")</f>
        <v>n/a</v>
      </c>
      <c r="Y66" s="84">
        <f>IFERROR(VLOOKUP(D66,'Category level Benchmark and tr'!$A:$G,7,0),0)</f>
        <v>0.17988573781460704</v>
      </c>
      <c r="Z66" s="84">
        <f>Y66</f>
        <v>0.17988573781460704</v>
      </c>
      <c r="AA66" s="110"/>
      <c r="AB66" s="31"/>
    </row>
    <row r="67" spans="2:28" s="92" customFormat="1" hidden="1" outlineLevel="3" x14ac:dyDescent="0.25">
      <c r="B67" s="92" t="str">
        <f>$G$1&amp;C67&amp;D67</f>
        <v>SN0011Equity-Self-Listed Stocks-Tactical F&amp;O</v>
      </c>
      <c r="C67" s="92">
        <v>1</v>
      </c>
      <c r="D67" s="92" t="str">
        <f>D70</f>
        <v>Equity-Self-Listed Stocks-Tactical F&amp;O</v>
      </c>
      <c r="E67" s="97" t="str">
        <f>IFERROR(VLOOKUP(B67,Sort!$A:$F,5,0),"-")</f>
        <v>-</v>
      </c>
      <c r="F67" s="93">
        <v>0</v>
      </c>
      <c r="G67" s="94"/>
      <c r="H67" s="93">
        <f>W67</f>
        <v>0</v>
      </c>
      <c r="I67" s="94">
        <f t="shared" si="84"/>
        <v>0</v>
      </c>
      <c r="J67" s="95">
        <f>R67</f>
        <v>0</v>
      </c>
      <c r="K67" s="93">
        <f t="shared" ref="K67:K69" si="136">H67</f>
        <v>0</v>
      </c>
      <c r="L67" s="93">
        <f t="shared" ref="L67:L69" si="137">K67-J67</f>
        <v>0</v>
      </c>
      <c r="M67" s="94" t="str">
        <f>IFERROR(L67/J67,"-")</f>
        <v>-</v>
      </c>
      <c r="N67" s="95"/>
      <c r="P67" s="93">
        <f>SUMIFS('PF Holdings_diff dates'!$N:$N,'PF Holdings_diff dates'!$I:$I,$E67,'PF Holdings_diff dates'!$G:$G,$G$1,'PF Holdings_diff dates'!$Q:$Q,P$3)</f>
        <v>0</v>
      </c>
      <c r="Q67" s="93">
        <f t="shared" si="3"/>
        <v>0</v>
      </c>
      <c r="R67" s="93">
        <f>SUMIFS('PF Holdings_diff dates'!$N:$N,'PF Holdings_diff dates'!$I:$I,$E67,'PF Holdings_diff dates'!$G:$G,$G$1,'PF Holdings_diff dates'!$Q:$Q,R$3)</f>
        <v>0</v>
      </c>
      <c r="T67" s="93">
        <f>SUMIFS('PF Holdings_diff dates'!$O:$O,'PF Holdings_diff dates'!$I:$I,$E67,'PF Holdings_diff dates'!$G:$G,$G$1,'PF Holdings_diff dates'!$Q:$Q,T$3)</f>
        <v>0</v>
      </c>
      <c r="U67" s="93">
        <f t="shared" ref="U67:U69" si="138">Q67</f>
        <v>0</v>
      </c>
      <c r="V67" s="93">
        <f t="shared" ref="V67:V69" si="139">W67-(T67+U67)</f>
        <v>0</v>
      </c>
      <c r="W67" s="93">
        <f>SUMIFS('PF Holdings_diff dates'!$O:$O,'PF Holdings_diff dates'!$I:$I,$E67,'PF Holdings_diff dates'!$G:$G,$G$1,'PF Holdings_diff dates'!$Q:$Q,W$3)</f>
        <v>0</v>
      </c>
      <c r="X67" s="96" t="str">
        <f>IFERROR((V67/(T67+U67)),"-")</f>
        <v>-</v>
      </c>
      <c r="Y67" s="96" t="str">
        <f>IF(E67="-","-",VLOOKUP(D67,'Category level Benchmark and tr'!$A:$G,7,0))</f>
        <v>-</v>
      </c>
      <c r="Z67" s="96"/>
      <c r="AA67" s="108"/>
      <c r="AB67" s="109"/>
    </row>
    <row r="68" spans="2:28" s="92" customFormat="1" hidden="1" outlineLevel="3" x14ac:dyDescent="0.25">
      <c r="B68" s="92" t="str">
        <f t="shared" ref="B68:B69" si="140">$G$1&amp;C68&amp;D68</f>
        <v>SN0012Equity-Self-Listed Stocks-Tactical F&amp;O</v>
      </c>
      <c r="C68" s="92">
        <f>C67+1</f>
        <v>2</v>
      </c>
      <c r="D68" s="92" t="str">
        <f>D67</f>
        <v>Equity-Self-Listed Stocks-Tactical F&amp;O</v>
      </c>
      <c r="E68" s="97" t="str">
        <f>IFERROR(VLOOKUP(B68,Sort!$A:$F,5,0),"-")</f>
        <v>-</v>
      </c>
      <c r="F68" s="93">
        <v>0</v>
      </c>
      <c r="G68" s="94"/>
      <c r="H68" s="93">
        <f t="shared" ref="H68:H69" si="141">W68</f>
        <v>0</v>
      </c>
      <c r="I68" s="94">
        <f t="shared" si="84"/>
        <v>0</v>
      </c>
      <c r="J68" s="95">
        <f t="shared" ref="J68:J69" si="142">R68</f>
        <v>0</v>
      </c>
      <c r="K68" s="93">
        <f t="shared" si="136"/>
        <v>0</v>
      </c>
      <c r="L68" s="93">
        <f t="shared" si="137"/>
        <v>0</v>
      </c>
      <c r="M68" s="94" t="str">
        <f>IFERROR(L68/J68,"-")</f>
        <v>-</v>
      </c>
      <c r="N68" s="95"/>
      <c r="P68" s="93">
        <f>SUMIFS('PF Holdings_diff dates'!$N:$N,'PF Holdings_diff dates'!$I:$I,$E68,'PF Holdings_diff dates'!$G:$G,$G$1,'PF Holdings_diff dates'!$Q:$Q,P$3)</f>
        <v>0</v>
      </c>
      <c r="Q68" s="93">
        <f t="shared" si="3"/>
        <v>0</v>
      </c>
      <c r="R68" s="93">
        <f>SUMIFS('PF Holdings_diff dates'!$N:$N,'PF Holdings_diff dates'!$I:$I,$E68,'PF Holdings_diff dates'!$G:$G,$G$1,'PF Holdings_diff dates'!$Q:$Q,R$3)</f>
        <v>0</v>
      </c>
      <c r="T68" s="93">
        <f>SUMIFS('PF Holdings_diff dates'!$O:$O,'PF Holdings_diff dates'!$I:$I,$E68,'PF Holdings_diff dates'!$G:$G,$G$1,'PF Holdings_diff dates'!$Q:$Q,T$3)</f>
        <v>0</v>
      </c>
      <c r="U68" s="93">
        <f t="shared" si="138"/>
        <v>0</v>
      </c>
      <c r="V68" s="93">
        <f t="shared" si="139"/>
        <v>0</v>
      </c>
      <c r="W68" s="93">
        <f>SUMIFS('PF Holdings_diff dates'!$O:$O,'PF Holdings_diff dates'!$I:$I,$E68,'PF Holdings_diff dates'!$G:$G,$G$1,'PF Holdings_diff dates'!$Q:$Q,W$3)</f>
        <v>0</v>
      </c>
      <c r="X68" s="96" t="str">
        <f t="shared" ref="X68:X69" si="143">IFERROR((V68/(T68+U68)),"-")</f>
        <v>-</v>
      </c>
      <c r="Y68" s="96" t="str">
        <f>IF(E68="-","-",VLOOKUP(D68,'Category level Benchmark and tr'!$A:$G,7,0))</f>
        <v>-</v>
      </c>
      <c r="Z68" s="96"/>
      <c r="AA68" s="108"/>
      <c r="AB68" s="109"/>
    </row>
    <row r="69" spans="2:28" s="92" customFormat="1" hidden="1" outlineLevel="3" x14ac:dyDescent="0.25">
      <c r="B69" s="92" t="str">
        <f t="shared" si="140"/>
        <v>SN0013Equity-Self-Listed Stocks-Tactical F&amp;O</v>
      </c>
      <c r="C69" s="92">
        <f>C68+1</f>
        <v>3</v>
      </c>
      <c r="D69" s="92" t="str">
        <f>D68</f>
        <v>Equity-Self-Listed Stocks-Tactical F&amp;O</v>
      </c>
      <c r="E69" s="97" t="str">
        <f>IFERROR(VLOOKUP(B69,Sort!$A:$F,5,0),"-")</f>
        <v>-</v>
      </c>
      <c r="F69" s="93">
        <v>0</v>
      </c>
      <c r="G69" s="94"/>
      <c r="H69" s="93">
        <f t="shared" si="141"/>
        <v>0</v>
      </c>
      <c r="I69" s="94">
        <f t="shared" si="84"/>
        <v>0</v>
      </c>
      <c r="J69" s="95">
        <f t="shared" si="142"/>
        <v>0</v>
      </c>
      <c r="K69" s="93">
        <f t="shared" si="136"/>
        <v>0</v>
      </c>
      <c r="L69" s="93">
        <f t="shared" si="137"/>
        <v>0</v>
      </c>
      <c r="M69" s="94" t="str">
        <f>IFERROR(L69/J69,"-")</f>
        <v>-</v>
      </c>
      <c r="N69" s="95"/>
      <c r="P69" s="93">
        <f>SUMIFS('PF Holdings_diff dates'!$N:$N,'PF Holdings_diff dates'!$I:$I,$E69,'PF Holdings_diff dates'!$G:$G,$G$1,'PF Holdings_diff dates'!$Q:$Q,P$3)</f>
        <v>0</v>
      </c>
      <c r="Q69" s="93">
        <f t="shared" si="3"/>
        <v>0</v>
      </c>
      <c r="R69" s="93">
        <f>SUMIFS('PF Holdings_diff dates'!$N:$N,'PF Holdings_diff dates'!$I:$I,$E69,'PF Holdings_diff dates'!$G:$G,$G$1,'PF Holdings_diff dates'!$Q:$Q,R$3)</f>
        <v>0</v>
      </c>
      <c r="T69" s="93">
        <f>SUMIFS('PF Holdings_diff dates'!$O:$O,'PF Holdings_diff dates'!$I:$I,$E69,'PF Holdings_diff dates'!$G:$G,$G$1,'PF Holdings_diff dates'!$Q:$Q,T$3)</f>
        <v>0</v>
      </c>
      <c r="U69" s="93">
        <f t="shared" si="138"/>
        <v>0</v>
      </c>
      <c r="V69" s="93">
        <f t="shared" si="139"/>
        <v>0</v>
      </c>
      <c r="W69" s="93">
        <f>SUMIFS('PF Holdings_diff dates'!$O:$O,'PF Holdings_diff dates'!$I:$I,$E69,'PF Holdings_diff dates'!$G:$G,$G$1,'PF Holdings_diff dates'!$Q:$Q,W$3)</f>
        <v>0</v>
      </c>
      <c r="X69" s="96" t="str">
        <f t="shared" si="143"/>
        <v>-</v>
      </c>
      <c r="Y69" s="96" t="str">
        <f>IF(E69="-","-",VLOOKUP(D69,'Category level Benchmark and tr'!$A:$G,7,0))</f>
        <v>-</v>
      </c>
      <c r="Z69" s="96"/>
      <c r="AA69" s="108"/>
      <c r="AB69" s="109"/>
    </row>
    <row r="70" spans="2:28" hidden="1" outlineLevel="2" x14ac:dyDescent="0.25">
      <c r="D70" t="s">
        <v>254</v>
      </c>
      <c r="E70" s="56" t="s">
        <v>255</v>
      </c>
      <c r="F70" s="53">
        <f>'AA Decision View'!Q44</f>
        <v>0</v>
      </c>
      <c r="G70" s="43">
        <f>F70/F$123</f>
        <v>0</v>
      </c>
      <c r="H70" s="53">
        <f>'AA Decision View'!S44</f>
        <v>0</v>
      </c>
      <c r="I70" s="43">
        <f t="shared" ref="I70" si="144">H70/H$123</f>
        <v>0</v>
      </c>
      <c r="J70" s="54">
        <f>'AA Decision View'!V44</f>
        <v>0</v>
      </c>
      <c r="K70" s="53">
        <f>H70</f>
        <v>0</v>
      </c>
      <c r="L70" s="53">
        <f>K70-J70</f>
        <v>0</v>
      </c>
      <c r="M70" s="43" t="str">
        <f>IFERROR(L70/J70,"n/a")</f>
        <v>n/a</v>
      </c>
      <c r="N70" s="54">
        <f>F70-K70</f>
        <v>0</v>
      </c>
      <c r="P70" s="53">
        <f>SUMIFS('PF Holdings_diff dates'!$N:$N,'PF Holdings_diff dates'!$A:$A,$D70,'PF Holdings_diff dates'!$G:$G,$G$1,'PF Holdings_diff dates'!$Q:$Q,P$3)</f>
        <v>0</v>
      </c>
      <c r="Q70" s="53">
        <f>R70-P70</f>
        <v>0</v>
      </c>
      <c r="R70" s="53">
        <f>SUMIFS('PF Holdings_diff dates'!$N:$N,'PF Holdings_diff dates'!$A:$A,$D70,'PF Holdings_diff dates'!$G:$G,$G$1,'PF Holdings_diff dates'!$Q:$Q,R$3)</f>
        <v>0</v>
      </c>
      <c r="T70" s="53">
        <f>SUMIFS('PF Holdings_diff dates'!$O:$O,'PF Holdings_diff dates'!$A:$A,$D70,'PF Holdings_diff dates'!$G:$G,$G$1,'PF Holdings_diff dates'!$Q:$Q,T$3)</f>
        <v>0</v>
      </c>
      <c r="U70" s="53">
        <f>Q70</f>
        <v>0</v>
      </c>
      <c r="V70" s="53">
        <f>W70-(T70+U70)</f>
        <v>0</v>
      </c>
      <c r="W70" s="53">
        <f>SUMIFS('PF Holdings_diff dates'!$O:$O,'PF Holdings_diff dates'!$A:$A,$D70,'PF Holdings_diff dates'!$G:$G,$G$1,'PF Holdings_diff dates'!$Q:$Q,W$3)</f>
        <v>0</v>
      </c>
      <c r="X70" s="84" t="str">
        <f>IFERROR((V70/(T70+U70)),"n/a")</f>
        <v>n/a</v>
      </c>
      <c r="Y70" s="84">
        <f>IFERROR(VLOOKUP(D70,'Category level Benchmark and tr'!$A:$G,7,0),0)</f>
        <v>0</v>
      </c>
      <c r="Z70" s="84">
        <f>Y70</f>
        <v>0</v>
      </c>
      <c r="AA70" s="110"/>
      <c r="AB70" s="31"/>
    </row>
    <row r="71" spans="2:28" hidden="1" outlineLevel="1" x14ac:dyDescent="0.25">
      <c r="D71" t="s">
        <v>124</v>
      </c>
      <c r="E71" s="57" t="s">
        <v>212</v>
      </c>
      <c r="F71" s="58">
        <f>SUM(F66,F70)</f>
        <v>0</v>
      </c>
      <c r="G71" s="59">
        <f>F71/F$123</f>
        <v>0</v>
      </c>
      <c r="H71" s="58">
        <f>SUM(H66,H70)</f>
        <v>0</v>
      </c>
      <c r="I71" s="59">
        <f t="shared" ref="I71:I102" si="145">H71/H$123</f>
        <v>0</v>
      </c>
      <c r="J71" s="58">
        <f>SUM(J66,J70)</f>
        <v>0</v>
      </c>
      <c r="K71" s="60">
        <f>H71</f>
        <v>0</v>
      </c>
      <c r="L71" s="60">
        <f>K71-J71</f>
        <v>0</v>
      </c>
      <c r="M71" s="59" t="str">
        <f>IFERROR(L71/J71,"n/a")</f>
        <v>n/a</v>
      </c>
      <c r="N71" s="58">
        <f>F71-K71</f>
        <v>0</v>
      </c>
      <c r="P71" s="58">
        <f>SUM(P66,P70)</f>
        <v>0</v>
      </c>
      <c r="Q71" s="60">
        <f>R71-P71</f>
        <v>0</v>
      </c>
      <c r="R71" s="58">
        <f>SUM(R66,R70)</f>
        <v>0</v>
      </c>
      <c r="T71" s="58">
        <f>SUM(T66,T70)</f>
        <v>0</v>
      </c>
      <c r="U71" s="60">
        <f>Q71</f>
        <v>0</v>
      </c>
      <c r="V71" s="60">
        <f>W71-(T71+U71)</f>
        <v>0</v>
      </c>
      <c r="W71" s="58">
        <f>SUM(W66,W70)</f>
        <v>0</v>
      </c>
      <c r="X71" s="83" t="str">
        <f>IFERROR((V71/(T71+U71)),"n/a")</f>
        <v>n/a</v>
      </c>
      <c r="Y71" s="83">
        <f>IFERROR(((F66*Y66)+(F70*Y70))/F71,0)</f>
        <v>0</v>
      </c>
      <c r="Z71" s="83">
        <f>IFERROR((((T66*Z66)+(T70*Z70))/T71),0)</f>
        <v>0</v>
      </c>
      <c r="AA71" s="110"/>
      <c r="AB71" s="31"/>
    </row>
    <row r="72" spans="2:28" collapsed="1" x14ac:dyDescent="0.25">
      <c r="E72" s="63" t="s">
        <v>8</v>
      </c>
      <c r="F72" s="55">
        <f>SUM(F44,F62,F71)</f>
        <v>536427.48750000005</v>
      </c>
      <c r="G72" s="65">
        <f>F72/F$123</f>
        <v>0.74999999999999989</v>
      </c>
      <c r="H72" s="55">
        <f>SUM(H44,H62,H71)</f>
        <v>548393.71000000008</v>
      </c>
      <c r="I72" s="65">
        <f t="shared" si="145"/>
        <v>0.76673043810045249</v>
      </c>
      <c r="J72" s="55">
        <f>SUM(J44,J62,J71)</f>
        <v>363000</v>
      </c>
      <c r="K72" s="55">
        <f>SUM(K44,K62,K71)</f>
        <v>548393.71000000008</v>
      </c>
      <c r="L72" s="55">
        <f>K72-J72</f>
        <v>185393.71000000008</v>
      </c>
      <c r="M72" s="65">
        <f>IFERROR(L72/J72,"n/a")</f>
        <v>0.51072647382920133</v>
      </c>
      <c r="N72" s="55">
        <f>F72-K72</f>
        <v>-11966.222500000033</v>
      </c>
      <c r="P72" s="55">
        <f>SUM(P44,P62,P71)</f>
        <v>363000</v>
      </c>
      <c r="Q72" s="55">
        <f>R72-P72</f>
        <v>0</v>
      </c>
      <c r="R72" s="55">
        <f>SUM(R44,R62,R71)</f>
        <v>363000</v>
      </c>
      <c r="T72" s="55">
        <f>SUM(T44,T62,T71)</f>
        <v>462718.07</v>
      </c>
      <c r="U72" s="55">
        <f>Q72</f>
        <v>0</v>
      </c>
      <c r="V72" s="55">
        <f>W72-(T72+U72)</f>
        <v>85675.640000000072</v>
      </c>
      <c r="W72" s="55">
        <f>SUM(W44,W62,W71)</f>
        <v>548393.71000000008</v>
      </c>
      <c r="X72" s="82">
        <f>IFERROR((V72/(T72+U72)),"n/a")</f>
        <v>0.18515732484793618</v>
      </c>
      <c r="Y72" s="82">
        <f>IFERROR((IFERROR((F44*Y44),0)+IFERROR((F62*Y62),0)+IFERROR((F71*Y71),0))/(F72),0)</f>
        <v>0.18263920801169439</v>
      </c>
      <c r="Z72" s="82">
        <f>((F44*Z44)+(F62*Z62)+(F71*Z71))/(F44+F62+F71)</f>
        <v>0.1713799383617467</v>
      </c>
      <c r="AA72" s="64"/>
      <c r="AB72" s="64">
        <f>SUM(AB6:AB71)</f>
        <v>-1162517</v>
      </c>
    </row>
    <row r="73" spans="2:28" s="92" customFormat="1" hidden="1" outlineLevel="3" x14ac:dyDescent="0.25">
      <c r="B73" s="92" t="str">
        <f>$G$1&amp;C73&amp;D73</f>
        <v>SN0011Debt-Managed-Mutual Funds-Short Term</v>
      </c>
      <c r="C73" s="92">
        <v>1</v>
      </c>
      <c r="D73" s="92" t="str">
        <f>D76</f>
        <v>Debt-Managed-Mutual Funds-Short Term</v>
      </c>
      <c r="E73" s="97" t="str">
        <f>IFERROR(VLOOKUP(B73,Sort!$A:$F,5,0),"-")</f>
        <v>-</v>
      </c>
      <c r="F73" s="93">
        <v>0</v>
      </c>
      <c r="G73" s="94"/>
      <c r="H73" s="93">
        <f>W73</f>
        <v>0</v>
      </c>
      <c r="I73" s="94">
        <f t="shared" si="145"/>
        <v>0</v>
      </c>
      <c r="J73" s="95">
        <f>R73</f>
        <v>0</v>
      </c>
      <c r="K73" s="93">
        <f t="shared" ref="K73:K75" si="146">H73</f>
        <v>0</v>
      </c>
      <c r="L73" s="93">
        <f t="shared" ref="L73:L75" si="147">K73-J73</f>
        <v>0</v>
      </c>
      <c r="M73" s="94" t="str">
        <f t="shared" ref="M73" si="148">IFERROR(L73/J73,"n/a")</f>
        <v>n/a</v>
      </c>
      <c r="N73" s="95"/>
      <c r="P73" s="93">
        <f>SUMIFS('PF Holdings_diff dates'!$N:$N,'PF Holdings_diff dates'!$I:$I,$E73,'PF Holdings_diff dates'!$G:$G,$G$1,'PF Holdings_diff dates'!$Q:$Q,P$3)</f>
        <v>0</v>
      </c>
      <c r="Q73" s="93">
        <f t="shared" si="3"/>
        <v>0</v>
      </c>
      <c r="R73" s="93">
        <f>SUMIFS('PF Holdings_diff dates'!$N:$N,'PF Holdings_diff dates'!$I:$I,$E73,'PF Holdings_diff dates'!$G:$G,$G$1,'PF Holdings_diff dates'!$Q:$Q,R$3)</f>
        <v>0</v>
      </c>
      <c r="T73" s="93">
        <f>SUMIFS('PF Holdings_diff dates'!$O:$O,'PF Holdings_diff dates'!$I:$I,$E73,'PF Holdings_diff dates'!$G:$G,$G$1,'PF Holdings_diff dates'!$Q:$Q,T$3)</f>
        <v>0</v>
      </c>
      <c r="U73" s="93">
        <f t="shared" ref="U73:U75" si="149">Q73</f>
        <v>0</v>
      </c>
      <c r="V73" s="93">
        <f t="shared" ref="V73:V75" si="150">W73-(T73+U73)</f>
        <v>0</v>
      </c>
      <c r="W73" s="93">
        <f>SUMIFS('PF Holdings_diff dates'!$O:$O,'PF Holdings_diff dates'!$I:$I,$E73,'PF Holdings_diff dates'!$G:$G,$G$1,'PF Holdings_diff dates'!$Q:$Q,W$3)</f>
        <v>0</v>
      </c>
      <c r="X73" s="96" t="str">
        <f t="shared" ref="X73:X75" si="151">IFERROR((V73/(T73+U73)),"-")</f>
        <v>-</v>
      </c>
      <c r="Y73" s="96" t="str">
        <f>IF(E73="-","-",VLOOKUP(D73,'Category level Benchmark and tr'!$A:$G,7,0))</f>
        <v>-</v>
      </c>
      <c r="Z73" s="96"/>
      <c r="AA73" s="108" t="s">
        <v>278</v>
      </c>
      <c r="AB73" s="111">
        <v>-65211</v>
      </c>
    </row>
    <row r="74" spans="2:28" s="92" customFormat="1" hidden="1" outlineLevel="3" x14ac:dyDescent="0.25">
      <c r="B74" s="92" t="str">
        <f t="shared" ref="B74:B75" si="152">$G$1&amp;C74&amp;D74</f>
        <v>SN0012Debt-Managed-Mutual Funds-Short Term</v>
      </c>
      <c r="C74" s="92">
        <f>C73+1</f>
        <v>2</v>
      </c>
      <c r="D74" s="92" t="str">
        <f>D73</f>
        <v>Debt-Managed-Mutual Funds-Short Term</v>
      </c>
      <c r="E74" s="97" t="str">
        <f>IFERROR(VLOOKUP(B74,Sort!$A:$F,5,0),"-")</f>
        <v>-</v>
      </c>
      <c r="F74" s="93">
        <v>0</v>
      </c>
      <c r="G74" s="94"/>
      <c r="H74" s="93">
        <f t="shared" ref="H74:H75" si="153">W74</f>
        <v>0</v>
      </c>
      <c r="I74" s="94">
        <f t="shared" si="145"/>
        <v>0</v>
      </c>
      <c r="J74" s="95">
        <f t="shared" ref="J74:J75" si="154">R74</f>
        <v>0</v>
      </c>
      <c r="K74" s="93">
        <f t="shared" si="146"/>
        <v>0</v>
      </c>
      <c r="L74" s="93">
        <f t="shared" si="147"/>
        <v>0</v>
      </c>
      <c r="M74" s="94" t="str">
        <f>IFERROR(L74/J74,"-")</f>
        <v>-</v>
      </c>
      <c r="N74" s="95"/>
      <c r="P74" s="93">
        <f>SUMIFS('PF Holdings_diff dates'!$N:$N,'PF Holdings_diff dates'!$I:$I,$E74,'PF Holdings_diff dates'!$G:$G,$G$1,'PF Holdings_diff dates'!$Q:$Q,P$3)</f>
        <v>0</v>
      </c>
      <c r="Q74" s="93">
        <f t="shared" si="3"/>
        <v>0</v>
      </c>
      <c r="R74" s="93">
        <f>SUMIFS('PF Holdings_diff dates'!$N:$N,'PF Holdings_diff dates'!$I:$I,$E74,'PF Holdings_diff dates'!$G:$G,$G$1,'PF Holdings_diff dates'!$Q:$Q,R$3)</f>
        <v>0</v>
      </c>
      <c r="T74" s="93">
        <f>SUMIFS('PF Holdings_diff dates'!$O:$O,'PF Holdings_diff dates'!$I:$I,$E74,'PF Holdings_diff dates'!$G:$G,$G$1,'PF Holdings_diff dates'!$Q:$Q,T$3)</f>
        <v>0</v>
      </c>
      <c r="U74" s="93">
        <f t="shared" si="149"/>
        <v>0</v>
      </c>
      <c r="V74" s="93">
        <f t="shared" si="150"/>
        <v>0</v>
      </c>
      <c r="W74" s="93">
        <f>SUMIFS('PF Holdings_diff dates'!$O:$O,'PF Holdings_diff dates'!$I:$I,$E74,'PF Holdings_diff dates'!$G:$G,$G$1,'PF Holdings_diff dates'!$Q:$Q,W$3)</f>
        <v>0</v>
      </c>
      <c r="X74" s="96" t="str">
        <f t="shared" si="151"/>
        <v>-</v>
      </c>
      <c r="Y74" s="96" t="str">
        <f>IF(E74="-","-",VLOOKUP(D74,'Category level Benchmark and tr'!$A:$G,7,0))</f>
        <v>-</v>
      </c>
      <c r="Z74" s="96"/>
      <c r="AA74" s="108" t="s">
        <v>256</v>
      </c>
      <c r="AB74" s="109"/>
    </row>
    <row r="75" spans="2:28" s="92" customFormat="1" hidden="1" outlineLevel="3" x14ac:dyDescent="0.25">
      <c r="B75" s="92" t="str">
        <f t="shared" si="152"/>
        <v>SN0013Debt-Managed-Mutual Funds-Short Term</v>
      </c>
      <c r="C75" s="92">
        <f>C74+1</f>
        <v>3</v>
      </c>
      <c r="D75" s="92" t="str">
        <f>D74</f>
        <v>Debt-Managed-Mutual Funds-Short Term</v>
      </c>
      <c r="E75" s="97" t="str">
        <f>IFERROR(VLOOKUP(B75,Sort!$A:$F,5,0),"-")</f>
        <v>-</v>
      </c>
      <c r="F75" s="93">
        <v>0</v>
      </c>
      <c r="G75" s="94"/>
      <c r="H75" s="93">
        <f t="shared" si="153"/>
        <v>0</v>
      </c>
      <c r="I75" s="94">
        <f t="shared" si="145"/>
        <v>0</v>
      </c>
      <c r="J75" s="95">
        <f t="shared" si="154"/>
        <v>0</v>
      </c>
      <c r="K75" s="93">
        <f t="shared" si="146"/>
        <v>0</v>
      </c>
      <c r="L75" s="93">
        <f t="shared" si="147"/>
        <v>0</v>
      </c>
      <c r="M75" s="94" t="str">
        <f>IFERROR(L75/J75,"-")</f>
        <v>-</v>
      </c>
      <c r="N75" s="95"/>
      <c r="P75" s="93">
        <f>SUMIFS('PF Holdings_diff dates'!$N:$N,'PF Holdings_diff dates'!$I:$I,$E75,'PF Holdings_diff dates'!$G:$G,$G$1,'PF Holdings_diff dates'!$Q:$Q,P$3)</f>
        <v>0</v>
      </c>
      <c r="Q75" s="93">
        <f t="shared" si="3"/>
        <v>0</v>
      </c>
      <c r="R75" s="93">
        <f>SUMIFS('PF Holdings_diff dates'!$N:$N,'PF Holdings_diff dates'!$I:$I,$E75,'PF Holdings_diff dates'!$G:$G,$G$1,'PF Holdings_diff dates'!$Q:$Q,R$3)</f>
        <v>0</v>
      </c>
      <c r="T75" s="93">
        <f>SUMIFS('PF Holdings_diff dates'!$O:$O,'PF Holdings_diff dates'!$I:$I,$E75,'PF Holdings_diff dates'!$G:$G,$G$1,'PF Holdings_diff dates'!$Q:$Q,T$3)</f>
        <v>0</v>
      </c>
      <c r="U75" s="93">
        <f t="shared" si="149"/>
        <v>0</v>
      </c>
      <c r="V75" s="93">
        <f t="shared" si="150"/>
        <v>0</v>
      </c>
      <c r="W75" s="93">
        <f>SUMIFS('PF Holdings_diff dates'!$O:$O,'PF Holdings_diff dates'!$I:$I,$E75,'PF Holdings_diff dates'!$G:$G,$G$1,'PF Holdings_diff dates'!$Q:$Q,W$3)</f>
        <v>0</v>
      </c>
      <c r="X75" s="96" t="str">
        <f t="shared" si="151"/>
        <v>-</v>
      </c>
      <c r="Y75" s="96" t="str">
        <f>IF(E75="-","-",VLOOKUP(D75,'Category level Benchmark and tr'!$A:$G,7,0))</f>
        <v>-</v>
      </c>
      <c r="Z75" s="96"/>
      <c r="AA75" s="108" t="s">
        <v>278</v>
      </c>
      <c r="AB75" s="111">
        <v>-24608</v>
      </c>
    </row>
    <row r="76" spans="2:28" hidden="1" outlineLevel="2" x14ac:dyDescent="0.25">
      <c r="D76" t="s">
        <v>111</v>
      </c>
      <c r="E76" s="56" t="s">
        <v>27</v>
      </c>
      <c r="F76" s="53">
        <f>'AA Decision View'!Q28</f>
        <v>17165.679599999999</v>
      </c>
      <c r="G76" s="43">
        <f>F76/F$123</f>
        <v>2.3999999999999994E-2</v>
      </c>
      <c r="H76" s="53">
        <f>'AA Decision View'!S28</f>
        <v>0</v>
      </c>
      <c r="I76" s="43">
        <f t="shared" si="145"/>
        <v>0</v>
      </c>
      <c r="J76" s="54">
        <f>'AA Decision View'!V28</f>
        <v>0</v>
      </c>
      <c r="K76" s="53">
        <f>H76</f>
        <v>0</v>
      </c>
      <c r="L76" s="53">
        <f>K76-J76</f>
        <v>0</v>
      </c>
      <c r="M76" s="43" t="str">
        <f>IFERROR(L76/J76,"n/a")</f>
        <v>n/a</v>
      </c>
      <c r="N76" s="54">
        <f>F76-K76</f>
        <v>17165.679599999999</v>
      </c>
      <c r="P76" s="53">
        <f>SUMIFS('PF Holdings_diff dates'!$N:$N,'PF Holdings_diff dates'!$A:$A,$D76,'PF Holdings_diff dates'!$G:$G,$G$1,'PF Holdings_diff dates'!$Q:$Q,P$3)</f>
        <v>0</v>
      </c>
      <c r="Q76" s="53">
        <f>R76-P76</f>
        <v>0</v>
      </c>
      <c r="R76" s="53">
        <f>SUMIFS('PF Holdings_diff dates'!$N:$N,'PF Holdings_diff dates'!$A:$A,$D76,'PF Holdings_diff dates'!$G:$G,$G$1,'PF Holdings_diff dates'!$Q:$Q,R$3)</f>
        <v>0</v>
      </c>
      <c r="T76" s="53">
        <f>SUMIFS('PF Holdings_diff dates'!$O:$O,'PF Holdings_diff dates'!$A:$A,$D76,'PF Holdings_diff dates'!$G:$G,$G$1,'PF Holdings_diff dates'!$Q:$Q,T$3)</f>
        <v>0</v>
      </c>
      <c r="U76" s="53">
        <f>Q76</f>
        <v>0</v>
      </c>
      <c r="V76" s="53">
        <f>W76-(T76+U76)</f>
        <v>0</v>
      </c>
      <c r="W76" s="53">
        <f>SUMIFS('PF Holdings_diff dates'!$O:$O,'PF Holdings_diff dates'!$A:$A,$D76,'PF Holdings_diff dates'!$G:$G,$G$1,'PF Holdings_diff dates'!$Q:$Q,W$3)</f>
        <v>0</v>
      </c>
      <c r="X76" s="84" t="str">
        <f>IFERROR((V76/(T76+U76)),"n/a")</f>
        <v>n/a</v>
      </c>
      <c r="Y76" s="84">
        <f>IFERROR(VLOOKUP(D76,'Category level Benchmark and tr'!$A:$G,7,0),0)</f>
        <v>4.0427397260273973E-2</v>
      </c>
      <c r="Z76" s="84">
        <f>Y76</f>
        <v>4.0427397260273973E-2</v>
      </c>
      <c r="AA76" s="110"/>
      <c r="AB76" s="31"/>
    </row>
    <row r="77" spans="2:28" s="92" customFormat="1" hidden="1" outlineLevel="3" x14ac:dyDescent="0.25">
      <c r="B77" s="92" t="str">
        <f>$G$1&amp;C77&amp;D77</f>
        <v>SN0011Debt-Managed-Mutual Funds-Mid Term</v>
      </c>
      <c r="C77" s="92">
        <v>1</v>
      </c>
      <c r="D77" s="92" t="str">
        <f>D80</f>
        <v>Debt-Managed-Mutual Funds-Mid Term</v>
      </c>
      <c r="E77" s="97" t="str">
        <f>IFERROR(VLOOKUP(B77,Sort!$A:$F,5,0),"-")</f>
        <v>-</v>
      </c>
      <c r="F77" s="93">
        <v>0</v>
      </c>
      <c r="G77" s="94"/>
      <c r="H77" s="93">
        <f>W77</f>
        <v>0</v>
      </c>
      <c r="I77" s="94">
        <f t="shared" si="145"/>
        <v>0</v>
      </c>
      <c r="J77" s="95">
        <f>R77</f>
        <v>0</v>
      </c>
      <c r="K77" s="93">
        <f t="shared" ref="K77:K79" si="155">H77</f>
        <v>0</v>
      </c>
      <c r="L77" s="93">
        <f>K77-J77</f>
        <v>0</v>
      </c>
      <c r="M77" s="94" t="str">
        <f>IFERROR(L77/J77,"n/a")</f>
        <v>n/a</v>
      </c>
      <c r="N77" s="95"/>
      <c r="P77" s="93">
        <f>SUMIFS('PF Holdings_diff dates'!$N:$N,'PF Holdings_diff dates'!$I:$I,$E77,'PF Holdings_diff dates'!$G:$G,$G$1,'PF Holdings_diff dates'!$Q:$Q,P$3)</f>
        <v>0</v>
      </c>
      <c r="Q77" s="93">
        <f>R77-P77</f>
        <v>0</v>
      </c>
      <c r="R77" s="93">
        <f>SUMIFS('PF Holdings_diff dates'!$N:$N,'PF Holdings_diff dates'!$I:$I,$E77,'PF Holdings_diff dates'!$G:$G,$G$1,'PF Holdings_diff dates'!$Q:$Q,R$3)</f>
        <v>0</v>
      </c>
      <c r="T77" s="93">
        <f>SUMIFS('PF Holdings_diff dates'!$O:$O,'PF Holdings_diff dates'!$I:$I,$E77,'PF Holdings_diff dates'!$G:$G,$G$1,'PF Holdings_diff dates'!$Q:$Q,T$3)</f>
        <v>0</v>
      </c>
      <c r="U77" s="93">
        <f>Q77</f>
        <v>0</v>
      </c>
      <c r="V77" s="93">
        <f>W77-(T77+U77)</f>
        <v>0</v>
      </c>
      <c r="W77" s="93">
        <f>SUMIFS('PF Holdings_diff dates'!$O:$O,'PF Holdings_diff dates'!$I:$I,$E77,'PF Holdings_diff dates'!$G:$G,$G$1,'PF Holdings_diff dates'!$Q:$Q,W$3)</f>
        <v>0</v>
      </c>
      <c r="X77" s="96" t="str">
        <f t="shared" ref="X77:X79" si="156">IFERROR((V77/(T77+U77)),"-")</f>
        <v>-</v>
      </c>
      <c r="Y77" s="96" t="str">
        <f>IF(E77="-","-",VLOOKUP(D77,'Category level Benchmark and tr'!$A:$G,7,0))</f>
        <v>-</v>
      </c>
      <c r="Z77" s="96"/>
      <c r="AA77" s="108"/>
      <c r="AB77" s="109"/>
    </row>
    <row r="78" spans="2:28" s="92" customFormat="1" hidden="1" outlineLevel="3" x14ac:dyDescent="0.25">
      <c r="B78" s="92" t="str">
        <f t="shared" ref="B78:B79" si="157">$G$1&amp;C78&amp;D78</f>
        <v>SN0012Debt-Managed-Mutual Funds-Mid Term</v>
      </c>
      <c r="C78" s="92">
        <f>C77+1</f>
        <v>2</v>
      </c>
      <c r="D78" s="92" t="str">
        <f>D77</f>
        <v>Debt-Managed-Mutual Funds-Mid Term</v>
      </c>
      <c r="E78" s="97" t="str">
        <f>IFERROR(VLOOKUP(B78,Sort!$A:$F,5,0),"-")</f>
        <v>-</v>
      </c>
      <c r="F78" s="93">
        <v>0</v>
      </c>
      <c r="G78" s="94"/>
      <c r="H78" s="93">
        <f t="shared" ref="H78:H79" si="158">W78</f>
        <v>0</v>
      </c>
      <c r="I78" s="94">
        <f t="shared" si="145"/>
        <v>0</v>
      </c>
      <c r="J78" s="95">
        <f t="shared" ref="J78:J79" si="159">R78</f>
        <v>0</v>
      </c>
      <c r="K78" s="93">
        <f t="shared" si="155"/>
        <v>0</v>
      </c>
      <c r="L78" s="93">
        <f>K78-J78</f>
        <v>0</v>
      </c>
      <c r="M78" s="94" t="str">
        <f>IFERROR(L78/J78,"n/a")</f>
        <v>n/a</v>
      </c>
      <c r="N78" s="95"/>
      <c r="P78" s="93">
        <f>SUMIFS('PF Holdings_diff dates'!$N:$N,'PF Holdings_diff dates'!$I:$I,$E78,'PF Holdings_diff dates'!$G:$G,$G$1,'PF Holdings_diff dates'!$Q:$Q,P$3)</f>
        <v>0</v>
      </c>
      <c r="Q78" s="93">
        <f>R78-P78</f>
        <v>0</v>
      </c>
      <c r="R78" s="93">
        <f>SUMIFS('PF Holdings_diff dates'!$N:$N,'PF Holdings_diff dates'!$I:$I,$E78,'PF Holdings_diff dates'!$G:$G,$G$1,'PF Holdings_diff dates'!$Q:$Q,R$3)</f>
        <v>0</v>
      </c>
      <c r="T78" s="93">
        <f>SUMIFS('PF Holdings_diff dates'!$O:$O,'PF Holdings_diff dates'!$I:$I,$E78,'PF Holdings_diff dates'!$G:$G,$G$1,'PF Holdings_diff dates'!$Q:$Q,T$3)</f>
        <v>0</v>
      </c>
      <c r="U78" s="93">
        <f>Q78</f>
        <v>0</v>
      </c>
      <c r="V78" s="93">
        <f>W78-(T78+U78)</f>
        <v>0</v>
      </c>
      <c r="W78" s="93">
        <f>SUMIFS('PF Holdings_diff dates'!$O:$O,'PF Holdings_diff dates'!$I:$I,$E78,'PF Holdings_diff dates'!$G:$G,$G$1,'PF Holdings_diff dates'!$Q:$Q,W$3)</f>
        <v>0</v>
      </c>
      <c r="X78" s="96" t="str">
        <f t="shared" si="156"/>
        <v>-</v>
      </c>
      <c r="Y78" s="96" t="str">
        <f>IF(E78="-","-",VLOOKUP(D78,'Category level Benchmark and tr'!$A:$G,7,0))</f>
        <v>-</v>
      </c>
      <c r="Z78" s="96"/>
      <c r="AA78" s="108"/>
      <c r="AB78" s="109"/>
    </row>
    <row r="79" spans="2:28" s="92" customFormat="1" hidden="1" outlineLevel="3" x14ac:dyDescent="0.25">
      <c r="B79" s="92" t="str">
        <f t="shared" si="157"/>
        <v>SN0013Debt-Managed-Mutual Funds-Mid Term</v>
      </c>
      <c r="C79" s="92">
        <f>C78+1</f>
        <v>3</v>
      </c>
      <c r="D79" s="92" t="str">
        <f>D78</f>
        <v>Debt-Managed-Mutual Funds-Mid Term</v>
      </c>
      <c r="E79" s="97" t="str">
        <f>IFERROR(VLOOKUP(B79,Sort!$A:$F,5,0),"-")</f>
        <v>-</v>
      </c>
      <c r="F79" s="93">
        <v>0</v>
      </c>
      <c r="G79" s="94"/>
      <c r="H79" s="93">
        <f t="shared" si="158"/>
        <v>0</v>
      </c>
      <c r="I79" s="94">
        <f t="shared" si="145"/>
        <v>0</v>
      </c>
      <c r="J79" s="95">
        <f t="shared" si="159"/>
        <v>0</v>
      </c>
      <c r="K79" s="93">
        <f t="shared" si="155"/>
        <v>0</v>
      </c>
      <c r="L79" s="93">
        <f>K79-J79</f>
        <v>0</v>
      </c>
      <c r="M79" s="94" t="str">
        <f>IFERROR(L79/J79,"-")</f>
        <v>-</v>
      </c>
      <c r="N79" s="95"/>
      <c r="P79" s="93">
        <f>SUMIFS('PF Holdings_diff dates'!$N:$N,'PF Holdings_diff dates'!$I:$I,$E79,'PF Holdings_diff dates'!$G:$G,$G$1,'PF Holdings_diff dates'!$Q:$Q,P$3)</f>
        <v>0</v>
      </c>
      <c r="Q79" s="93">
        <f>R79-P79</f>
        <v>0</v>
      </c>
      <c r="R79" s="93">
        <f>SUMIFS('PF Holdings_diff dates'!$N:$N,'PF Holdings_diff dates'!$I:$I,$E79,'PF Holdings_diff dates'!$G:$G,$G$1,'PF Holdings_diff dates'!$Q:$Q,R$3)</f>
        <v>0</v>
      </c>
      <c r="T79" s="93">
        <f>SUMIFS('PF Holdings_diff dates'!$O:$O,'PF Holdings_diff dates'!$I:$I,$E79,'PF Holdings_diff dates'!$G:$G,$G$1,'PF Holdings_diff dates'!$Q:$Q,T$3)</f>
        <v>0</v>
      </c>
      <c r="U79" s="93">
        <f>Q79</f>
        <v>0</v>
      </c>
      <c r="V79" s="93">
        <f>W79-(T79+U79)</f>
        <v>0</v>
      </c>
      <c r="W79" s="93">
        <f>SUMIFS('PF Holdings_diff dates'!$O:$O,'PF Holdings_diff dates'!$I:$I,$E79,'PF Holdings_diff dates'!$G:$G,$G$1,'PF Holdings_diff dates'!$Q:$Q,W$3)</f>
        <v>0</v>
      </c>
      <c r="X79" s="96" t="str">
        <f t="shared" si="156"/>
        <v>-</v>
      </c>
      <c r="Y79" s="96" t="str">
        <f>IF(E79="-","-",VLOOKUP(D79,'Category level Benchmark and tr'!$A:$G,7,0))</f>
        <v>-</v>
      </c>
      <c r="Z79" s="96"/>
      <c r="AA79" s="108"/>
      <c r="AB79" s="109"/>
    </row>
    <row r="80" spans="2:28" hidden="1" outlineLevel="2" x14ac:dyDescent="0.25">
      <c r="D80" t="s">
        <v>245</v>
      </c>
      <c r="E80" s="56" t="s">
        <v>28</v>
      </c>
      <c r="F80" s="53">
        <f>'AA Decision View'!Q29</f>
        <v>25748.519399999997</v>
      </c>
      <c r="G80" s="43">
        <f>F80/F$123</f>
        <v>3.599999999999999E-2</v>
      </c>
      <c r="H80" s="53">
        <f>'AA Decision View'!S29</f>
        <v>0</v>
      </c>
      <c r="I80" s="43">
        <f t="shared" si="145"/>
        <v>0</v>
      </c>
      <c r="J80" s="54">
        <f>'AA Decision View'!V29</f>
        <v>0</v>
      </c>
      <c r="K80" s="53">
        <f>H80</f>
        <v>0</v>
      </c>
      <c r="L80" s="53">
        <f t="shared" ref="L80" si="160">K80-J80</f>
        <v>0</v>
      </c>
      <c r="M80" s="43" t="str">
        <f t="shared" ref="M80" si="161">IFERROR(L80/J80,"n/a")</f>
        <v>n/a</v>
      </c>
      <c r="N80" s="54">
        <f t="shared" ref="N80:N105" si="162">F80-K80</f>
        <v>25748.519399999997</v>
      </c>
      <c r="P80" s="53">
        <f>SUMIFS('PF Holdings_diff dates'!$N:$N,'PF Holdings_diff dates'!$A:$A,$D80,'PF Holdings_diff dates'!$G:$G,$G$1,'PF Holdings_diff dates'!$Q:$Q,P$3)</f>
        <v>0</v>
      </c>
      <c r="Q80" s="53">
        <f t="shared" si="3"/>
        <v>0</v>
      </c>
      <c r="R80" s="53">
        <f>SUMIFS('PF Holdings_diff dates'!$N:$N,'PF Holdings_diff dates'!$A:$A,$D80,'PF Holdings_diff dates'!$G:$G,$G$1,'PF Holdings_diff dates'!$Q:$Q,R$3)</f>
        <v>0</v>
      </c>
      <c r="T80" s="53">
        <f>SUMIFS('PF Holdings_diff dates'!$O:$O,'PF Holdings_diff dates'!$A:$A,$D80,'PF Holdings_diff dates'!$G:$G,$G$1,'PF Holdings_diff dates'!$Q:$Q,T$3)</f>
        <v>0</v>
      </c>
      <c r="U80" s="53">
        <f t="shared" ref="U80" si="163">Q80</f>
        <v>0</v>
      </c>
      <c r="V80" s="53">
        <f t="shared" ref="V80" si="164">W80-(T80+U80)</f>
        <v>0</v>
      </c>
      <c r="W80" s="53">
        <f>SUMIFS('PF Holdings_diff dates'!$O:$O,'PF Holdings_diff dates'!$A:$A,$D80,'PF Holdings_diff dates'!$G:$G,$G$1,'PF Holdings_diff dates'!$Q:$Q,W$3)</f>
        <v>0</v>
      </c>
      <c r="X80" s="84" t="str">
        <f t="shared" ref="X80" si="165">IFERROR((V80/(T80+U80)),"n/a")</f>
        <v>n/a</v>
      </c>
      <c r="Y80" s="84">
        <f>IFERROR(VLOOKUP(D80,'Category level Benchmark and tr'!$A:$G,7,0),0)</f>
        <v>4.0130136986301371E-2</v>
      </c>
      <c r="Z80" s="84">
        <f t="shared" ref="Z80:Z92" si="166">Y80</f>
        <v>4.0130136986301371E-2</v>
      </c>
      <c r="AA80" s="110"/>
      <c r="AB80" s="31"/>
    </row>
    <row r="81" spans="2:28" s="92" customFormat="1" hidden="1" outlineLevel="3" x14ac:dyDescent="0.25">
      <c r="B81" s="92" t="str">
        <f>$G$1&amp;C81&amp;D81</f>
        <v>SN0011Debt-Managed-Mutual Funds-Long Term</v>
      </c>
      <c r="C81" s="92">
        <v>1</v>
      </c>
      <c r="D81" s="92" t="str">
        <f>D84</f>
        <v>Debt-Managed-Mutual Funds-Long Term</v>
      </c>
      <c r="E81" s="97" t="str">
        <f>IFERROR(VLOOKUP(B81,Sort!$A:$F,5,0),"-")</f>
        <v>-</v>
      </c>
      <c r="F81" s="93">
        <v>0</v>
      </c>
      <c r="G81" s="94"/>
      <c r="H81" s="93">
        <f>W81</f>
        <v>0</v>
      </c>
      <c r="I81" s="94">
        <f t="shared" si="145"/>
        <v>0</v>
      </c>
      <c r="J81" s="95">
        <f>R81</f>
        <v>0</v>
      </c>
      <c r="K81" s="93">
        <f t="shared" ref="K81:K83" si="167">H81</f>
        <v>0</v>
      </c>
      <c r="L81" s="93">
        <f>K81-J81</f>
        <v>0</v>
      </c>
      <c r="M81" s="94" t="str">
        <f>IFERROR(L81/J81,"n/a")</f>
        <v>n/a</v>
      </c>
      <c r="N81" s="95"/>
      <c r="P81" s="93">
        <f>SUMIFS('PF Holdings_diff dates'!$N:$N,'PF Holdings_diff dates'!$I:$I,$E81,'PF Holdings_diff dates'!$G:$G,$G$1,'PF Holdings_diff dates'!$Q:$Q,P$3)</f>
        <v>0</v>
      </c>
      <c r="Q81" s="93">
        <f>R81-P81</f>
        <v>0</v>
      </c>
      <c r="R81" s="93">
        <f>SUMIFS('PF Holdings_diff dates'!$N:$N,'PF Holdings_diff dates'!$I:$I,$E81,'PF Holdings_diff dates'!$G:$G,$G$1,'PF Holdings_diff dates'!$Q:$Q,R$3)</f>
        <v>0</v>
      </c>
      <c r="T81" s="93">
        <f>SUMIFS('PF Holdings_diff dates'!$O:$O,'PF Holdings_diff dates'!$I:$I,$E81,'PF Holdings_diff dates'!$G:$G,$G$1,'PF Holdings_diff dates'!$Q:$Q,T$3)</f>
        <v>0</v>
      </c>
      <c r="U81" s="93">
        <f>Q81</f>
        <v>0</v>
      </c>
      <c r="V81" s="93">
        <f>W81-(T81+U81)</f>
        <v>0</v>
      </c>
      <c r="W81" s="93">
        <f>SUMIFS('PF Holdings_diff dates'!$O:$O,'PF Holdings_diff dates'!$I:$I,$E81,'PF Holdings_diff dates'!$G:$G,$G$1,'PF Holdings_diff dates'!$Q:$Q,W$3)</f>
        <v>0</v>
      </c>
      <c r="X81" s="96" t="str">
        <f t="shared" ref="X81:X83" si="168">IFERROR((V81/(T81+U81)),"-")</f>
        <v>-</v>
      </c>
      <c r="Y81" s="96" t="str">
        <f>IF(E81="-","-",VLOOKUP(D81,'Category level Benchmark and tr'!$A:$G,7,0))</f>
        <v>-</v>
      </c>
      <c r="Z81" s="96"/>
      <c r="AA81" s="108"/>
      <c r="AB81" s="109"/>
    </row>
    <row r="82" spans="2:28" s="92" customFormat="1" hidden="1" outlineLevel="3" x14ac:dyDescent="0.25">
      <c r="B82" s="92" t="str">
        <f t="shared" ref="B82:B83" si="169">$G$1&amp;C82&amp;D82</f>
        <v>SN0012Debt-Managed-Mutual Funds-Long Term</v>
      </c>
      <c r="C82" s="92">
        <f>C81+1</f>
        <v>2</v>
      </c>
      <c r="D82" s="92" t="str">
        <f>D81</f>
        <v>Debt-Managed-Mutual Funds-Long Term</v>
      </c>
      <c r="E82" s="97" t="str">
        <f>IFERROR(VLOOKUP(B82,Sort!$A:$F,5,0),"-")</f>
        <v>-</v>
      </c>
      <c r="F82" s="93">
        <v>0</v>
      </c>
      <c r="G82" s="94"/>
      <c r="H82" s="93">
        <f t="shared" ref="H82:H83" si="170">W82</f>
        <v>0</v>
      </c>
      <c r="I82" s="94">
        <f t="shared" si="145"/>
        <v>0</v>
      </c>
      <c r="J82" s="95">
        <f t="shared" ref="J82:J83" si="171">R82</f>
        <v>0</v>
      </c>
      <c r="K82" s="93">
        <f t="shared" si="167"/>
        <v>0</v>
      </c>
      <c r="L82" s="93">
        <f>K82-J82</f>
        <v>0</v>
      </c>
      <c r="M82" s="94" t="str">
        <f>IFERROR(L82/J82,"-")</f>
        <v>-</v>
      </c>
      <c r="N82" s="95"/>
      <c r="P82" s="93">
        <f>SUMIFS('PF Holdings_diff dates'!$N:$N,'PF Holdings_diff dates'!$I:$I,$E82,'PF Holdings_diff dates'!$G:$G,$G$1,'PF Holdings_diff dates'!$Q:$Q,P$3)</f>
        <v>0</v>
      </c>
      <c r="Q82" s="93">
        <f>R82-P82</f>
        <v>0</v>
      </c>
      <c r="R82" s="93">
        <f>SUMIFS('PF Holdings_diff dates'!$N:$N,'PF Holdings_diff dates'!$I:$I,$E82,'PF Holdings_diff dates'!$G:$G,$G$1,'PF Holdings_diff dates'!$Q:$Q,R$3)</f>
        <v>0</v>
      </c>
      <c r="T82" s="93">
        <f>SUMIFS('PF Holdings_diff dates'!$O:$O,'PF Holdings_diff dates'!$I:$I,$E82,'PF Holdings_diff dates'!$G:$G,$G$1,'PF Holdings_diff dates'!$Q:$Q,T$3)</f>
        <v>0</v>
      </c>
      <c r="U82" s="93">
        <f>Q82</f>
        <v>0</v>
      </c>
      <c r="V82" s="93">
        <f>W82-(T82+U82)</f>
        <v>0</v>
      </c>
      <c r="W82" s="93">
        <f>SUMIFS('PF Holdings_diff dates'!$O:$O,'PF Holdings_diff dates'!$I:$I,$E82,'PF Holdings_diff dates'!$G:$G,$G$1,'PF Holdings_diff dates'!$Q:$Q,W$3)</f>
        <v>0</v>
      </c>
      <c r="X82" s="96" t="str">
        <f t="shared" si="168"/>
        <v>-</v>
      </c>
      <c r="Y82" s="96" t="str">
        <f>IF(E82="-","-",VLOOKUP(D82,'Category level Benchmark and tr'!$A:$G,7,0))</f>
        <v>-</v>
      </c>
      <c r="Z82" s="96"/>
      <c r="AA82" s="108"/>
      <c r="AB82" s="109"/>
    </row>
    <row r="83" spans="2:28" s="92" customFormat="1" hidden="1" outlineLevel="3" x14ac:dyDescent="0.25">
      <c r="B83" s="92" t="str">
        <f t="shared" si="169"/>
        <v>SN0013Debt-Managed-Mutual Funds-Long Term</v>
      </c>
      <c r="C83" s="92">
        <f>C82+1</f>
        <v>3</v>
      </c>
      <c r="D83" s="92" t="str">
        <f>D82</f>
        <v>Debt-Managed-Mutual Funds-Long Term</v>
      </c>
      <c r="E83" s="97" t="str">
        <f>IFERROR(VLOOKUP(B83,Sort!$A:$F,5,0),"-")</f>
        <v>-</v>
      </c>
      <c r="F83" s="93">
        <v>0</v>
      </c>
      <c r="G83" s="94"/>
      <c r="H83" s="93">
        <f t="shared" si="170"/>
        <v>0</v>
      </c>
      <c r="I83" s="94">
        <f t="shared" si="145"/>
        <v>0</v>
      </c>
      <c r="J83" s="95">
        <f t="shared" si="171"/>
        <v>0</v>
      </c>
      <c r="K83" s="93">
        <f t="shared" si="167"/>
        <v>0</v>
      </c>
      <c r="L83" s="93">
        <f>K83-J83</f>
        <v>0</v>
      </c>
      <c r="M83" s="94" t="str">
        <f>IFERROR(L83/J83,"-")</f>
        <v>-</v>
      </c>
      <c r="N83" s="95"/>
      <c r="P83" s="93">
        <f>SUMIFS('PF Holdings_diff dates'!$N:$N,'PF Holdings_diff dates'!$I:$I,$E83,'PF Holdings_diff dates'!$G:$G,$G$1,'PF Holdings_diff dates'!$Q:$Q,P$3)</f>
        <v>0</v>
      </c>
      <c r="Q83" s="93">
        <f>R83-P83</f>
        <v>0</v>
      </c>
      <c r="R83" s="93">
        <f>SUMIFS('PF Holdings_diff dates'!$N:$N,'PF Holdings_diff dates'!$I:$I,$E83,'PF Holdings_diff dates'!$G:$G,$G$1,'PF Holdings_diff dates'!$Q:$Q,R$3)</f>
        <v>0</v>
      </c>
      <c r="T83" s="93">
        <f>SUMIFS('PF Holdings_diff dates'!$O:$O,'PF Holdings_diff dates'!$I:$I,$E83,'PF Holdings_diff dates'!$G:$G,$G$1,'PF Holdings_diff dates'!$Q:$Q,T$3)</f>
        <v>0</v>
      </c>
      <c r="U83" s="93">
        <f>Q83</f>
        <v>0</v>
      </c>
      <c r="V83" s="93">
        <f>W83-(T83+U83)</f>
        <v>0</v>
      </c>
      <c r="W83" s="93">
        <f>SUMIFS('PF Holdings_diff dates'!$O:$O,'PF Holdings_diff dates'!$I:$I,$E83,'PF Holdings_diff dates'!$G:$G,$G$1,'PF Holdings_diff dates'!$Q:$Q,W$3)</f>
        <v>0</v>
      </c>
      <c r="X83" s="96" t="str">
        <f t="shared" si="168"/>
        <v>-</v>
      </c>
      <c r="Y83" s="96" t="str">
        <f>IF(E83="-","-",VLOOKUP(D83,'Category level Benchmark and tr'!$A:$G,7,0))</f>
        <v>-</v>
      </c>
      <c r="Z83" s="96"/>
      <c r="AA83" s="108"/>
      <c r="AB83" s="109"/>
    </row>
    <row r="84" spans="2:28" hidden="1" outlineLevel="2" x14ac:dyDescent="0.25">
      <c r="D84" t="s">
        <v>246</v>
      </c>
      <c r="E84" s="56" t="s">
        <v>29</v>
      </c>
      <c r="F84" s="53">
        <f>'AA Decision View'!Q30</f>
        <v>17165.679599999999</v>
      </c>
      <c r="G84" s="43">
        <f>F84/F$123</f>
        <v>2.3999999999999994E-2</v>
      </c>
      <c r="H84" s="53">
        <f>'AA Decision View'!S30</f>
        <v>0</v>
      </c>
      <c r="I84" s="43">
        <f t="shared" si="145"/>
        <v>0</v>
      </c>
      <c r="J84" s="54">
        <f>'AA Decision View'!V30</f>
        <v>0</v>
      </c>
      <c r="K84" s="53">
        <f>H84</f>
        <v>0</v>
      </c>
      <c r="L84" s="53">
        <f t="shared" ref="L84" si="172">K84-J84</f>
        <v>0</v>
      </c>
      <c r="M84" s="43" t="str">
        <f t="shared" ref="M84" si="173">IFERROR(L84/J84,"n/a")</f>
        <v>n/a</v>
      </c>
      <c r="N84" s="54">
        <f t="shared" si="162"/>
        <v>17165.679599999999</v>
      </c>
      <c r="P84" s="53">
        <f>SUMIFS('PF Holdings_diff dates'!$N:$N,'PF Holdings_diff dates'!$A:$A,$D84,'PF Holdings_diff dates'!$G:$G,$G$1,'PF Holdings_diff dates'!$Q:$Q,P$3)</f>
        <v>0</v>
      </c>
      <c r="Q84" s="53">
        <f t="shared" si="3"/>
        <v>0</v>
      </c>
      <c r="R84" s="53">
        <f>SUMIFS('PF Holdings_diff dates'!$N:$N,'PF Holdings_diff dates'!$A:$A,$D84,'PF Holdings_diff dates'!$G:$G,$G$1,'PF Holdings_diff dates'!$Q:$Q,R$3)</f>
        <v>0</v>
      </c>
      <c r="T84" s="53">
        <f>SUMIFS('PF Holdings_diff dates'!$O:$O,'PF Holdings_diff dates'!$A:$A,$D84,'PF Holdings_diff dates'!$G:$G,$G$1,'PF Holdings_diff dates'!$Q:$Q,T$3)</f>
        <v>0</v>
      </c>
      <c r="U84" s="53">
        <f t="shared" ref="U84" si="174">Q84</f>
        <v>0</v>
      </c>
      <c r="V84" s="53">
        <f t="shared" ref="V84" si="175">W84-(T84+U84)</f>
        <v>0</v>
      </c>
      <c r="W84" s="53">
        <f>SUMIFS('PF Holdings_diff dates'!$O:$O,'PF Holdings_diff dates'!$A:$A,$D84,'PF Holdings_diff dates'!$G:$G,$G$1,'PF Holdings_diff dates'!$Q:$Q,W$3)</f>
        <v>0</v>
      </c>
      <c r="X84" s="84" t="str">
        <f t="shared" ref="X84" si="176">IFERROR((V84/(T84+U84)),"n/a")</f>
        <v>n/a</v>
      </c>
      <c r="Y84" s="84">
        <f>IFERROR(VLOOKUP(D84,'Category level Benchmark and tr'!$A:$G,7,0),0)</f>
        <v>3.864383561643836E-2</v>
      </c>
      <c r="Z84" s="84">
        <f t="shared" si="166"/>
        <v>3.864383561643836E-2</v>
      </c>
      <c r="AA84" s="110"/>
      <c r="AB84" s="31"/>
    </row>
    <row r="85" spans="2:28" s="92" customFormat="1" hidden="1" outlineLevel="3" x14ac:dyDescent="0.25">
      <c r="B85" s="92" t="str">
        <f>$G$1&amp;C85&amp;D85</f>
        <v>SN0011Debt-Managed-Mutual Funds-Dynamic</v>
      </c>
      <c r="C85" s="92">
        <v>1</v>
      </c>
      <c r="D85" s="92" t="str">
        <f>D88</f>
        <v>Debt-Managed-Mutual Funds-Dynamic</v>
      </c>
      <c r="E85" s="97" t="str">
        <f>IFERROR(VLOOKUP(B85,Sort!$A:$F,5,0),"-")</f>
        <v>ICICI Prudential All Seasons Bond Fund - Direct Plan - Growth</v>
      </c>
      <c r="F85" s="93">
        <v>0</v>
      </c>
      <c r="G85" s="94"/>
      <c r="H85" s="93">
        <f>W85</f>
        <v>120708.34</v>
      </c>
      <c r="I85" s="94">
        <f t="shared" si="145"/>
        <v>0.16876699481213661</v>
      </c>
      <c r="J85" s="95">
        <f>R85</f>
        <v>100000</v>
      </c>
      <c r="K85" s="93">
        <f>H85</f>
        <v>120708.34</v>
      </c>
      <c r="L85" s="93">
        <f>K85-J85</f>
        <v>20708.339999999997</v>
      </c>
      <c r="M85" s="94">
        <f>IFERROR(L85/J85,"n/a")</f>
        <v>0.20708339999999997</v>
      </c>
      <c r="N85" s="95"/>
      <c r="P85" s="93">
        <f>SUMIFS('PF Holdings_diff dates'!$N:$N,'PF Holdings_diff dates'!$I:$I,$E85,'PF Holdings_diff dates'!$G:$G,$G$1,'PF Holdings_diff dates'!$Q:$Q,P$3)</f>
        <v>100000</v>
      </c>
      <c r="Q85" s="93">
        <f>R85-P85</f>
        <v>0</v>
      </c>
      <c r="R85" s="93">
        <f>SUMIFS('PF Holdings_diff dates'!$N:$N,'PF Holdings_diff dates'!$I:$I,$E85,'PF Holdings_diff dates'!$G:$G,$G$1,'PF Holdings_diff dates'!$Q:$Q,R$3)</f>
        <v>100000</v>
      </c>
      <c r="T85" s="93">
        <f>SUMIFS('PF Holdings_diff dates'!$O:$O,'PF Holdings_diff dates'!$I:$I,$E85,'PF Holdings_diff dates'!$G:$G,$G$1,'PF Holdings_diff dates'!$Q:$Q,T$3)</f>
        <v>114366.35</v>
      </c>
      <c r="U85" s="93">
        <f>Q85</f>
        <v>0</v>
      </c>
      <c r="V85" s="93">
        <f>W85-(T85+U85)</f>
        <v>6341.9899999999907</v>
      </c>
      <c r="W85" s="93">
        <f>SUMIFS('PF Holdings_diff dates'!$O:$O,'PF Holdings_diff dates'!$I:$I,$E85,'PF Holdings_diff dates'!$G:$G,$G$1,'PF Holdings_diff dates'!$Q:$Q,W$3)</f>
        <v>120708.34</v>
      </c>
      <c r="X85" s="96">
        <f t="shared" ref="X85:X87" si="177">IFERROR((V85/(T85+U85)),"-")</f>
        <v>5.5453286740374162E-2</v>
      </c>
      <c r="Y85" s="96">
        <f>IF(E85="-","-",VLOOKUP(D85,'Category level Benchmark and tr'!$A:$G,7,0))</f>
        <v>4.0130136986301371E-2</v>
      </c>
      <c r="Z85" s="96"/>
      <c r="AA85" s="108" t="s">
        <v>281</v>
      </c>
      <c r="AB85" s="111">
        <v>50000</v>
      </c>
    </row>
    <row r="86" spans="2:28" s="92" customFormat="1" hidden="1" outlineLevel="3" x14ac:dyDescent="0.25">
      <c r="B86" s="92" t="str">
        <f t="shared" ref="B86:B87" si="178">$G$1&amp;C86&amp;D86</f>
        <v>SN0012Debt-Managed-Mutual Funds-Dynamic</v>
      </c>
      <c r="C86" s="92">
        <f>C85+1</f>
        <v>2</v>
      </c>
      <c r="D86" s="92" t="str">
        <f>D85</f>
        <v>Debt-Managed-Mutual Funds-Dynamic</v>
      </c>
      <c r="E86" s="97" t="str">
        <f>IFERROR(VLOOKUP(B86,Sort!$A:$F,5,0),"-")</f>
        <v>-</v>
      </c>
      <c r="F86" s="93">
        <v>0</v>
      </c>
      <c r="G86" s="94"/>
      <c r="H86" s="93">
        <f t="shared" ref="H86:H87" si="179">W86</f>
        <v>0</v>
      </c>
      <c r="I86" s="94">
        <f t="shared" si="145"/>
        <v>0</v>
      </c>
      <c r="J86" s="95">
        <f t="shared" ref="J86:J87" si="180">R86</f>
        <v>0</v>
      </c>
      <c r="K86" s="93">
        <f>H86</f>
        <v>0</v>
      </c>
      <c r="L86" s="93">
        <f>K86-J86</f>
        <v>0</v>
      </c>
      <c r="M86" s="94" t="str">
        <f>IFERROR(L86/J86,"-")</f>
        <v>-</v>
      </c>
      <c r="N86" s="95"/>
      <c r="P86" s="93">
        <f>SUMIFS('PF Holdings_diff dates'!$N:$N,'PF Holdings_diff dates'!$I:$I,$E86,'PF Holdings_diff dates'!$G:$G,$G$1,'PF Holdings_diff dates'!$Q:$Q,P$3)</f>
        <v>0</v>
      </c>
      <c r="Q86" s="93">
        <f>R86-P86</f>
        <v>0</v>
      </c>
      <c r="R86" s="93">
        <f>SUMIFS('PF Holdings_diff dates'!$N:$N,'PF Holdings_diff dates'!$I:$I,$E86,'PF Holdings_diff dates'!$G:$G,$G$1,'PF Holdings_diff dates'!$Q:$Q,R$3)</f>
        <v>0</v>
      </c>
      <c r="T86" s="93">
        <f>SUMIFS('PF Holdings_diff dates'!$O:$O,'PF Holdings_diff dates'!$I:$I,$E86,'PF Holdings_diff dates'!$G:$G,$G$1,'PF Holdings_diff dates'!$Q:$Q,T$3)</f>
        <v>0</v>
      </c>
      <c r="U86" s="93">
        <f>Q86</f>
        <v>0</v>
      </c>
      <c r="V86" s="93">
        <f>W86-(T86+U86)</f>
        <v>0</v>
      </c>
      <c r="W86" s="93">
        <f>SUMIFS('PF Holdings_diff dates'!$O:$O,'PF Holdings_diff dates'!$I:$I,$E86,'PF Holdings_diff dates'!$G:$G,$G$1,'PF Holdings_diff dates'!$Q:$Q,W$3)</f>
        <v>0</v>
      </c>
      <c r="X86" s="96" t="str">
        <f t="shared" si="177"/>
        <v>-</v>
      </c>
      <c r="Y86" s="96" t="str">
        <f>IF(E86="-","-",VLOOKUP(D86,'Category level Benchmark and tr'!$A:$G,7,0))</f>
        <v>-</v>
      </c>
      <c r="Z86" s="96"/>
      <c r="AA86" s="108"/>
      <c r="AB86" s="109"/>
    </row>
    <row r="87" spans="2:28" s="92" customFormat="1" hidden="1" outlineLevel="3" x14ac:dyDescent="0.25">
      <c r="B87" s="92" t="str">
        <f t="shared" si="178"/>
        <v>SN0013Debt-Managed-Mutual Funds-Dynamic</v>
      </c>
      <c r="C87" s="92">
        <f>C86+1</f>
        <v>3</v>
      </c>
      <c r="D87" s="92" t="str">
        <f>D86</f>
        <v>Debt-Managed-Mutual Funds-Dynamic</v>
      </c>
      <c r="E87" s="97" t="str">
        <f>IFERROR(VLOOKUP(B87,Sort!$A:$F,5,0),"-")</f>
        <v>-</v>
      </c>
      <c r="F87" s="93">
        <v>0</v>
      </c>
      <c r="G87" s="94"/>
      <c r="H87" s="93">
        <f t="shared" si="179"/>
        <v>0</v>
      </c>
      <c r="I87" s="94">
        <f t="shared" si="145"/>
        <v>0</v>
      </c>
      <c r="J87" s="95">
        <f t="shared" si="180"/>
        <v>0</v>
      </c>
      <c r="K87" s="93">
        <f>H87</f>
        <v>0</v>
      </c>
      <c r="L87" s="93">
        <f>K87-J87</f>
        <v>0</v>
      </c>
      <c r="M87" s="94" t="str">
        <f>IFERROR(L87/J87,"-")</f>
        <v>-</v>
      </c>
      <c r="N87" s="95"/>
      <c r="P87" s="93">
        <f>SUMIFS('PF Holdings_diff dates'!$N:$N,'PF Holdings_diff dates'!$I:$I,$E87,'PF Holdings_diff dates'!$G:$G,$G$1,'PF Holdings_diff dates'!$Q:$Q,P$3)</f>
        <v>0</v>
      </c>
      <c r="Q87" s="93">
        <f>R87-P87</f>
        <v>0</v>
      </c>
      <c r="R87" s="93">
        <f>SUMIFS('PF Holdings_diff dates'!$N:$N,'PF Holdings_diff dates'!$I:$I,$E87,'PF Holdings_diff dates'!$G:$G,$G$1,'PF Holdings_diff dates'!$Q:$Q,R$3)</f>
        <v>0</v>
      </c>
      <c r="T87" s="93">
        <f>SUMIFS('PF Holdings_diff dates'!$O:$O,'PF Holdings_diff dates'!$I:$I,$E87,'PF Holdings_diff dates'!$G:$G,$G$1,'PF Holdings_diff dates'!$Q:$Q,T$3)</f>
        <v>0</v>
      </c>
      <c r="U87" s="93">
        <f>Q87</f>
        <v>0</v>
      </c>
      <c r="V87" s="93">
        <f>W87-(T87+U87)</f>
        <v>0</v>
      </c>
      <c r="W87" s="93">
        <f>SUMIFS('PF Holdings_diff dates'!$O:$O,'PF Holdings_diff dates'!$I:$I,$E87,'PF Holdings_diff dates'!$G:$G,$G$1,'PF Holdings_diff dates'!$Q:$Q,W$3)</f>
        <v>0</v>
      </c>
      <c r="X87" s="96" t="str">
        <f t="shared" si="177"/>
        <v>-</v>
      </c>
      <c r="Y87" s="96" t="str">
        <f>IF(E87="-","-",VLOOKUP(D87,'Category level Benchmark and tr'!$A:$G,7,0))</f>
        <v>-</v>
      </c>
      <c r="Z87" s="96"/>
      <c r="AA87" s="108"/>
      <c r="AB87" s="109"/>
    </row>
    <row r="88" spans="2:28" hidden="1" outlineLevel="2" x14ac:dyDescent="0.25">
      <c r="D88" t="s">
        <v>112</v>
      </c>
      <c r="E88" s="56" t="s">
        <v>33</v>
      </c>
      <c r="F88" s="53">
        <f>'AA Decision View'!Q31</f>
        <v>17165.679599999999</v>
      </c>
      <c r="G88" s="43">
        <f>F88/F$123</f>
        <v>2.3999999999999994E-2</v>
      </c>
      <c r="H88" s="53">
        <f>'AA Decision View'!S31</f>
        <v>120708.34</v>
      </c>
      <c r="I88" s="43">
        <f t="shared" si="145"/>
        <v>0.16876699481213661</v>
      </c>
      <c r="J88" s="54">
        <f>'AA Decision View'!V31</f>
        <v>100000</v>
      </c>
      <c r="K88" s="53">
        <f t="shared" ref="K88:K92" si="181">H88</f>
        <v>120708.34</v>
      </c>
      <c r="L88" s="53">
        <f t="shared" si="2"/>
        <v>20708.339999999997</v>
      </c>
      <c r="M88" s="43">
        <f t="shared" si="31"/>
        <v>0.20708339999999997</v>
      </c>
      <c r="N88" s="54">
        <f t="shared" si="162"/>
        <v>-103542.66039999999</v>
      </c>
      <c r="P88" s="53">
        <f>SUMIFS('PF Holdings_diff dates'!$N:$N,'PF Holdings_diff dates'!$A:$A,$D88,'PF Holdings_diff dates'!$G:$G,$G$1,'PF Holdings_diff dates'!$Q:$Q,P$3)</f>
        <v>100000</v>
      </c>
      <c r="Q88" s="53">
        <f t="shared" si="3"/>
        <v>0</v>
      </c>
      <c r="R88" s="53">
        <f>SUMIFS('PF Holdings_diff dates'!$N:$N,'PF Holdings_diff dates'!$A:$A,$D88,'PF Holdings_diff dates'!$G:$G,$G$1,'PF Holdings_diff dates'!$Q:$Q,R$3)</f>
        <v>100000</v>
      </c>
      <c r="T88" s="53">
        <f>SUMIFS('PF Holdings_diff dates'!$O:$O,'PF Holdings_diff dates'!$A:$A,$D88,'PF Holdings_diff dates'!$G:$G,$G$1,'PF Holdings_diff dates'!$Q:$Q,T$3)</f>
        <v>114366.35</v>
      </c>
      <c r="U88" s="53">
        <f t="shared" si="4"/>
        <v>0</v>
      </c>
      <c r="V88" s="53">
        <f t="shared" si="5"/>
        <v>6341.9899999999907</v>
      </c>
      <c r="W88" s="53">
        <f>SUMIFS('PF Holdings_diff dates'!$O:$O,'PF Holdings_diff dates'!$A:$A,$D88,'PF Holdings_diff dates'!$G:$G,$G$1,'PF Holdings_diff dates'!$Q:$Q,W$3)</f>
        <v>120708.34</v>
      </c>
      <c r="X88" s="84">
        <f t="shared" ref="X88:X123" si="182">IFERROR((V88/(T88+U88)),"n/a")</f>
        <v>5.5453286740374162E-2</v>
      </c>
      <c r="Y88" s="84">
        <f>IFERROR(VLOOKUP(D88,'Category level Benchmark and tr'!$A:$G,7,0),0)</f>
        <v>4.0130136986301371E-2</v>
      </c>
      <c r="Z88" s="84">
        <f t="shared" si="166"/>
        <v>4.0130136986301371E-2</v>
      </c>
      <c r="AA88" s="110"/>
      <c r="AB88" s="31"/>
    </row>
    <row r="89" spans="2:28" s="92" customFormat="1" hidden="1" outlineLevel="3" x14ac:dyDescent="0.25">
      <c r="B89" s="92" t="str">
        <f>$G$1&amp;C89&amp;D89</f>
        <v>SN0011Debt-Managed-Mutual Funds-Credit Risk</v>
      </c>
      <c r="C89" s="92">
        <v>1</v>
      </c>
      <c r="D89" s="92" t="str">
        <f>D92</f>
        <v>Debt-Managed-Mutual Funds-Credit Risk</v>
      </c>
      <c r="E89" s="97" t="str">
        <f>IFERROR(VLOOKUP(B89,Sort!$A:$F,5,0),"-")</f>
        <v>ICICI Prudential Credit Risk Fund - Direct Plan - Growth</v>
      </c>
      <c r="F89" s="93">
        <v>0</v>
      </c>
      <c r="G89" s="94"/>
      <c r="H89" s="93">
        <f>W89</f>
        <v>46134.6</v>
      </c>
      <c r="I89" s="94">
        <f t="shared" si="145"/>
        <v>6.4502567087410839E-2</v>
      </c>
      <c r="J89" s="95">
        <f>R89</f>
        <v>37953.81</v>
      </c>
      <c r="K89" s="93">
        <f>H89</f>
        <v>46134.6</v>
      </c>
      <c r="L89" s="93">
        <f>K89-J89</f>
        <v>8180.7900000000009</v>
      </c>
      <c r="M89" s="94">
        <f>IFERROR(L89/J89,"-")</f>
        <v>0.21554594914186484</v>
      </c>
      <c r="N89" s="95"/>
      <c r="P89" s="93">
        <f>SUMIFS('PF Holdings_diff dates'!$N:$N,'PF Holdings_diff dates'!$I:$I,$E89,'PF Holdings_diff dates'!$G:$G,$G$1,'PF Holdings_diff dates'!$Q:$Q,P$3)</f>
        <v>37953.81</v>
      </c>
      <c r="Q89" s="93">
        <f>R89-P89</f>
        <v>0</v>
      </c>
      <c r="R89" s="93">
        <f>SUMIFS('PF Holdings_diff dates'!$N:$N,'PF Holdings_diff dates'!$I:$I,$E89,'PF Holdings_diff dates'!$G:$G,$G$1,'PF Holdings_diff dates'!$Q:$Q,R$3)</f>
        <v>37953.81</v>
      </c>
      <c r="T89" s="93">
        <f>SUMIFS('PF Holdings_diff dates'!$O:$O,'PF Holdings_diff dates'!$I:$I,$E89,'PF Holdings_diff dates'!$G:$G,$G$1,'PF Holdings_diff dates'!$Q:$Q,T$3)</f>
        <v>43562.42</v>
      </c>
      <c r="U89" s="93">
        <f>Q89</f>
        <v>0</v>
      </c>
      <c r="V89" s="93">
        <f>W89-(T89+U89)</f>
        <v>2572.1800000000003</v>
      </c>
      <c r="W89" s="93">
        <f>SUMIFS('PF Holdings_diff dates'!$O:$O,'PF Holdings_diff dates'!$I:$I,$E89,'PF Holdings_diff dates'!$G:$G,$G$1,'PF Holdings_diff dates'!$Q:$Q,W$3)</f>
        <v>46134.6</v>
      </c>
      <c r="X89" s="96">
        <f>IFERROR((V89/(T89+U89)),"-")</f>
        <v>5.9045847315185897E-2</v>
      </c>
      <c r="Y89" s="96">
        <f>IF(E89="-","-",VLOOKUP(D89,'Category level Benchmark and tr'!$A:$G,7,0))</f>
        <v>4.0130136986301371E-2</v>
      </c>
      <c r="Z89" s="96"/>
      <c r="AA89" s="108" t="s">
        <v>256</v>
      </c>
      <c r="AB89" s="109"/>
    </row>
    <row r="90" spans="2:28" s="92" customFormat="1" hidden="1" outlineLevel="3" x14ac:dyDescent="0.25">
      <c r="B90" s="92" t="str">
        <f t="shared" ref="B90:B91" si="183">$G$1&amp;C90&amp;D90</f>
        <v>SN0012Debt-Managed-Mutual Funds-Credit Risk</v>
      </c>
      <c r="C90" s="92">
        <f>C89+1</f>
        <v>2</v>
      </c>
      <c r="D90" s="92" t="str">
        <f>D89</f>
        <v>Debt-Managed-Mutual Funds-Credit Risk</v>
      </c>
      <c r="E90" s="97" t="str">
        <f>IFERROR(VLOOKUP(B90,Sort!$A:$F,5,0),"-")</f>
        <v>-</v>
      </c>
      <c r="F90" s="93">
        <v>0</v>
      </c>
      <c r="G90" s="94"/>
      <c r="H90" s="93">
        <f t="shared" ref="H90:H91" si="184">W90</f>
        <v>0</v>
      </c>
      <c r="I90" s="94">
        <f t="shared" si="145"/>
        <v>0</v>
      </c>
      <c r="J90" s="95">
        <f t="shared" ref="J90:J91" si="185">R90</f>
        <v>0</v>
      </c>
      <c r="K90" s="93">
        <f t="shared" ref="K90:K91" si="186">H90</f>
        <v>0</v>
      </c>
      <c r="L90" s="93">
        <f t="shared" ref="L90:L91" si="187">K90-J90</f>
        <v>0</v>
      </c>
      <c r="M90" s="94" t="str">
        <f>IFERROR(L90/J90,"-")</f>
        <v>-</v>
      </c>
      <c r="N90" s="95"/>
      <c r="P90" s="93">
        <f>SUMIFS('PF Holdings_diff dates'!$N:$N,'PF Holdings_diff dates'!$I:$I,$E90,'PF Holdings_diff dates'!$G:$G,$G$1,'PF Holdings_diff dates'!$Q:$Q,P$3)</f>
        <v>0</v>
      </c>
      <c r="Q90" s="93">
        <f>R90-P90</f>
        <v>0</v>
      </c>
      <c r="R90" s="93">
        <f>SUMIFS('PF Holdings_diff dates'!$N:$N,'PF Holdings_diff dates'!$I:$I,$E90,'PF Holdings_diff dates'!$G:$G,$G$1,'PF Holdings_diff dates'!$Q:$Q,R$3)</f>
        <v>0</v>
      </c>
      <c r="T90" s="93">
        <f>SUMIFS('PF Holdings_diff dates'!$O:$O,'PF Holdings_diff dates'!$I:$I,$E90,'PF Holdings_diff dates'!$G:$G,$G$1,'PF Holdings_diff dates'!$Q:$Q,T$3)</f>
        <v>0</v>
      </c>
      <c r="U90" s="93">
        <f t="shared" ref="U90:U91" si="188">Q90</f>
        <v>0</v>
      </c>
      <c r="V90" s="93">
        <f t="shared" ref="V90:V91" si="189">W90-(T90+U90)</f>
        <v>0</v>
      </c>
      <c r="W90" s="93">
        <f>SUMIFS('PF Holdings_diff dates'!$O:$O,'PF Holdings_diff dates'!$I:$I,$E90,'PF Holdings_diff dates'!$G:$G,$G$1,'PF Holdings_diff dates'!$Q:$Q,W$3)</f>
        <v>0</v>
      </c>
      <c r="X90" s="96" t="str">
        <f t="shared" ref="X90:X91" si="190">IFERROR((V90/(T90+U90)),"-")</f>
        <v>-</v>
      </c>
      <c r="Y90" s="96" t="str">
        <f>IF(E90="-","-",VLOOKUP(D90,'Category level Benchmark and tr'!$A:$G,7,0))</f>
        <v>-</v>
      </c>
      <c r="Z90" s="96"/>
      <c r="AA90" s="108" t="s">
        <v>281</v>
      </c>
      <c r="AB90" s="111">
        <v>50000</v>
      </c>
    </row>
    <row r="91" spans="2:28" s="92" customFormat="1" hidden="1" outlineLevel="3" x14ac:dyDescent="0.25">
      <c r="B91" s="92" t="str">
        <f t="shared" si="183"/>
        <v>SN0013Debt-Managed-Mutual Funds-Credit Risk</v>
      </c>
      <c r="C91" s="92">
        <f>C90+1</f>
        <v>3</v>
      </c>
      <c r="D91" s="92" t="str">
        <f>D90</f>
        <v>Debt-Managed-Mutual Funds-Credit Risk</v>
      </c>
      <c r="E91" s="97" t="str">
        <f>IFERROR(VLOOKUP(B91,Sort!$A:$F,5,0),"-")</f>
        <v>-</v>
      </c>
      <c r="F91" s="93">
        <v>0</v>
      </c>
      <c r="G91" s="94"/>
      <c r="H91" s="93">
        <f t="shared" si="184"/>
        <v>0</v>
      </c>
      <c r="I91" s="94">
        <f t="shared" si="145"/>
        <v>0</v>
      </c>
      <c r="J91" s="95">
        <f t="shared" si="185"/>
        <v>0</v>
      </c>
      <c r="K91" s="93">
        <f t="shared" si="186"/>
        <v>0</v>
      </c>
      <c r="L91" s="93">
        <f t="shared" si="187"/>
        <v>0</v>
      </c>
      <c r="M91" s="94" t="str">
        <f>IFERROR(L91/J91,"-")</f>
        <v>-</v>
      </c>
      <c r="N91" s="95"/>
      <c r="P91" s="93">
        <f>SUMIFS('PF Holdings_diff dates'!$N:$N,'PF Holdings_diff dates'!$I:$I,$E91,'PF Holdings_diff dates'!$G:$G,$G$1,'PF Holdings_diff dates'!$Q:$Q,P$3)</f>
        <v>0</v>
      </c>
      <c r="Q91" s="93">
        <f>R91-P91</f>
        <v>0</v>
      </c>
      <c r="R91" s="93">
        <f>SUMIFS('PF Holdings_diff dates'!$N:$N,'PF Holdings_diff dates'!$I:$I,$E91,'PF Holdings_diff dates'!$G:$G,$G$1,'PF Holdings_diff dates'!$Q:$Q,R$3)</f>
        <v>0</v>
      </c>
      <c r="T91" s="93">
        <f>SUMIFS('PF Holdings_diff dates'!$O:$O,'PF Holdings_diff dates'!$I:$I,$E91,'PF Holdings_diff dates'!$G:$G,$G$1,'PF Holdings_diff dates'!$Q:$Q,T$3)</f>
        <v>0</v>
      </c>
      <c r="U91" s="93">
        <f t="shared" si="188"/>
        <v>0</v>
      </c>
      <c r="V91" s="93">
        <f t="shared" si="189"/>
        <v>0</v>
      </c>
      <c r="W91" s="93">
        <f>SUMIFS('PF Holdings_diff dates'!$O:$O,'PF Holdings_diff dates'!$I:$I,$E91,'PF Holdings_diff dates'!$G:$G,$G$1,'PF Holdings_diff dates'!$Q:$Q,W$3)</f>
        <v>0</v>
      </c>
      <c r="X91" s="96" t="str">
        <f t="shared" si="190"/>
        <v>-</v>
      </c>
      <c r="Y91" s="96" t="str">
        <f>IF(E91="-","-",VLOOKUP(D91,'Category level Benchmark and tr'!$A:$G,7,0))</f>
        <v>-</v>
      </c>
      <c r="Z91" s="96"/>
      <c r="AA91" s="108"/>
      <c r="AB91" s="109"/>
    </row>
    <row r="92" spans="2:28" hidden="1" outlineLevel="2" x14ac:dyDescent="0.25">
      <c r="D92" t="s">
        <v>113</v>
      </c>
      <c r="E92" s="56" t="s">
        <v>30</v>
      </c>
      <c r="F92" s="53">
        <f>'AA Decision View'!Q32</f>
        <v>8582.8397999999997</v>
      </c>
      <c r="G92" s="43">
        <f>F92/F$123</f>
        <v>1.1999999999999997E-2</v>
      </c>
      <c r="H92" s="53">
        <f>'AA Decision View'!S32</f>
        <v>46134.6</v>
      </c>
      <c r="I92" s="43">
        <f t="shared" si="145"/>
        <v>6.4502567087410839E-2</v>
      </c>
      <c r="J92" s="54">
        <f>'AA Decision View'!V32</f>
        <v>37953.81</v>
      </c>
      <c r="K92" s="53">
        <f t="shared" si="181"/>
        <v>46134.6</v>
      </c>
      <c r="L92" s="53">
        <f t="shared" si="2"/>
        <v>8180.7900000000009</v>
      </c>
      <c r="M92" s="43">
        <f t="shared" si="31"/>
        <v>0.21554594914186484</v>
      </c>
      <c r="N92" s="54">
        <f t="shared" si="162"/>
        <v>-37551.760199999997</v>
      </c>
      <c r="P92" s="53">
        <f>SUMIFS('PF Holdings_diff dates'!$N:$N,'PF Holdings_diff dates'!$A:$A,$D92,'PF Holdings_diff dates'!$G:$G,$G$1,'PF Holdings_diff dates'!$Q:$Q,P$3)</f>
        <v>37953.81</v>
      </c>
      <c r="Q92" s="53">
        <f t="shared" si="3"/>
        <v>0</v>
      </c>
      <c r="R92" s="53">
        <f>SUMIFS('PF Holdings_diff dates'!$N:$N,'PF Holdings_diff dates'!$A:$A,$D92,'PF Holdings_diff dates'!$G:$G,$G$1,'PF Holdings_diff dates'!$Q:$Q,R$3)</f>
        <v>37953.81</v>
      </c>
      <c r="T92" s="53">
        <f>SUMIFS('PF Holdings_diff dates'!$O:$O,'PF Holdings_diff dates'!$A:$A,$D92,'PF Holdings_diff dates'!$G:$G,$G$1,'PF Holdings_diff dates'!$Q:$Q,T$3)</f>
        <v>43562.42</v>
      </c>
      <c r="U92" s="53">
        <f t="shared" si="4"/>
        <v>0</v>
      </c>
      <c r="V92" s="53">
        <f t="shared" si="5"/>
        <v>2572.1800000000003</v>
      </c>
      <c r="W92" s="53">
        <f>SUMIFS('PF Holdings_diff dates'!$O:$O,'PF Holdings_diff dates'!$A:$A,$D92,'PF Holdings_diff dates'!$G:$G,$G$1,'PF Holdings_diff dates'!$Q:$Q,W$3)</f>
        <v>46134.6</v>
      </c>
      <c r="X92" s="84">
        <f t="shared" si="182"/>
        <v>5.9045847315185897E-2</v>
      </c>
      <c r="Y92" s="84">
        <f>IFERROR(VLOOKUP(D92,'Category level Benchmark and tr'!$A:$G,7,0),0)</f>
        <v>4.0130136986301371E-2</v>
      </c>
      <c r="Z92" s="84">
        <f t="shared" si="166"/>
        <v>4.0130136986301371E-2</v>
      </c>
      <c r="AA92" s="110"/>
      <c r="AB92" s="31"/>
    </row>
    <row r="93" spans="2:28" hidden="1" outlineLevel="1" x14ac:dyDescent="0.25">
      <c r="E93" s="57" t="s">
        <v>31</v>
      </c>
      <c r="F93" s="60">
        <f>SUM(F76,F80,F84,F88,F92)</f>
        <v>85828.398000000001</v>
      </c>
      <c r="G93" s="59">
        <f>F93/F$123</f>
        <v>0.11999999999999998</v>
      </c>
      <c r="H93" s="60">
        <f>SUM(H76,H80,H84,H88,H92)</f>
        <v>166842.94</v>
      </c>
      <c r="I93" s="59">
        <f t="shared" si="145"/>
        <v>0.23326956189954748</v>
      </c>
      <c r="J93" s="60">
        <f>SUM(J76,J80,J84,J88,J92)</f>
        <v>137953.81</v>
      </c>
      <c r="K93" s="60">
        <f>H93</f>
        <v>166842.94</v>
      </c>
      <c r="L93" s="60">
        <f>K93-J93</f>
        <v>28889.130000000005</v>
      </c>
      <c r="M93" s="59">
        <f>IFERROR(L93/J93,"n/a")</f>
        <v>0.20941161393077876</v>
      </c>
      <c r="N93" s="60">
        <f>F93-K93</f>
        <v>-81014.542000000001</v>
      </c>
      <c r="P93" s="60">
        <f>SUM(P76,P80,P84,P88,P92)</f>
        <v>137953.81</v>
      </c>
      <c r="Q93" s="60">
        <f>R93-P93</f>
        <v>0</v>
      </c>
      <c r="R93" s="60">
        <f>SUM(R76,R80,R84,R88,R92)</f>
        <v>137953.81</v>
      </c>
      <c r="T93" s="60">
        <f>SUM(T76,T80,T84,T88,T92)</f>
        <v>157928.77000000002</v>
      </c>
      <c r="U93" s="60">
        <f>Q93</f>
        <v>0</v>
      </c>
      <c r="V93" s="60">
        <f>W93-(T93+U93)</f>
        <v>8914.1699999999837</v>
      </c>
      <c r="W93" s="60">
        <f>SUM(W76,W80,W84,W88,W92)</f>
        <v>166842.94</v>
      </c>
      <c r="X93" s="83">
        <f>IFERROR((V93/(T93+U93)),"n/a")</f>
        <v>5.6444243819539545E-2</v>
      </c>
      <c r="Y93" s="83">
        <f>IFERROR(((F76*Y76)+(F80*Y80)+(F84*Y84)+(F88*Y88)+(F92*Y92))/F93,0)</f>
        <v>3.9892328767123293E-2</v>
      </c>
      <c r="Z93" s="83">
        <f>IFERROR(((T76*Z76)+(T80*Z80)+(T84*Z84)+(T88*Z88)+(T92*Z92))/T93,0)</f>
        <v>4.0130136986301371E-2</v>
      </c>
      <c r="AA93" s="110"/>
      <c r="AB93" s="31"/>
    </row>
    <row r="94" spans="2:28" s="92" customFormat="1" hidden="1" outlineLevel="3" x14ac:dyDescent="0.25">
      <c r="B94" s="92" t="str">
        <f>$G$1&amp;C94&amp;D94</f>
        <v>SN0011Debt-Self-Bonds-Short Term</v>
      </c>
      <c r="C94" s="92">
        <v>1</v>
      </c>
      <c r="D94" s="92" t="str">
        <f>D97</f>
        <v>Debt-Self-Bonds-Short Term</v>
      </c>
      <c r="E94" s="97" t="str">
        <f>IFERROR(VLOOKUP(B94,Sort!$A:$F,5,0),"-")</f>
        <v>-</v>
      </c>
      <c r="F94" s="93">
        <v>0</v>
      </c>
      <c r="G94" s="94"/>
      <c r="H94" s="93">
        <f>W94</f>
        <v>0</v>
      </c>
      <c r="I94" s="94">
        <f t="shared" si="145"/>
        <v>0</v>
      </c>
      <c r="J94" s="95">
        <f>R94</f>
        <v>0</v>
      </c>
      <c r="K94" s="93">
        <f t="shared" ref="K94:K96" si="191">H94</f>
        <v>0</v>
      </c>
      <c r="L94" s="93">
        <f t="shared" si="2"/>
        <v>0</v>
      </c>
      <c r="M94" s="94" t="str">
        <f t="shared" si="31"/>
        <v>n/a</v>
      </c>
      <c r="N94" s="95"/>
      <c r="P94" s="93">
        <f>SUMIFS('PF Holdings_diff dates'!$N:$N,'PF Holdings_diff dates'!$I:$I,$E94,'PF Holdings_diff dates'!$G:$G,$G$1,'PF Holdings_diff dates'!$Q:$Q,P$3)</f>
        <v>0</v>
      </c>
      <c r="Q94" s="93">
        <f t="shared" si="3"/>
        <v>0</v>
      </c>
      <c r="R94" s="93">
        <f>SUMIFS('PF Holdings_diff dates'!$N:$N,'PF Holdings_diff dates'!$I:$I,$E94,'PF Holdings_diff dates'!$G:$G,$G$1,'PF Holdings_diff dates'!$Q:$Q,R$3)</f>
        <v>0</v>
      </c>
      <c r="T94" s="93">
        <f>SUMIFS('PF Holdings_diff dates'!$O:$O,'PF Holdings_diff dates'!$I:$I,$E94,'PF Holdings_diff dates'!$G:$G,$G$1,'PF Holdings_diff dates'!$Q:$Q,T$3)</f>
        <v>0</v>
      </c>
      <c r="U94" s="93">
        <f t="shared" si="4"/>
        <v>0</v>
      </c>
      <c r="V94" s="93">
        <f t="shared" si="5"/>
        <v>0</v>
      </c>
      <c r="W94" s="93">
        <f>SUMIFS('PF Holdings_diff dates'!$O:$O,'PF Holdings_diff dates'!$I:$I,$E94,'PF Holdings_diff dates'!$G:$G,$G$1,'PF Holdings_diff dates'!$Q:$Q,W$3)</f>
        <v>0</v>
      </c>
      <c r="X94" s="96" t="str">
        <f t="shared" ref="X94:X96" si="192">IFERROR((V94/(T94+U94)),"-")</f>
        <v>-</v>
      </c>
      <c r="Y94" s="96" t="str">
        <f>IF(E94="-","-",VLOOKUP(D94,'Category level Benchmark and tr'!$A:$G,7,0))</f>
        <v>-</v>
      </c>
      <c r="Z94" s="96"/>
      <c r="AA94" s="108"/>
      <c r="AB94" s="109"/>
    </row>
    <row r="95" spans="2:28" s="92" customFormat="1" hidden="1" outlineLevel="3" x14ac:dyDescent="0.25">
      <c r="B95" s="92" t="str">
        <f t="shared" ref="B95:B96" si="193">$G$1&amp;C95&amp;D95</f>
        <v>SN0012Debt-Self-Bonds-Short Term</v>
      </c>
      <c r="C95" s="92">
        <f>C94+1</f>
        <v>2</v>
      </c>
      <c r="D95" s="92" t="str">
        <f>D94</f>
        <v>Debt-Self-Bonds-Short Term</v>
      </c>
      <c r="E95" s="97" t="str">
        <f>IFERROR(VLOOKUP(B95,Sort!$A:$F,5,0),"-")</f>
        <v>-</v>
      </c>
      <c r="F95" s="93">
        <v>0</v>
      </c>
      <c r="G95" s="94"/>
      <c r="H95" s="93">
        <f t="shared" ref="H95:H96" si="194">W95</f>
        <v>0</v>
      </c>
      <c r="I95" s="94">
        <f t="shared" si="145"/>
        <v>0</v>
      </c>
      <c r="J95" s="95">
        <f t="shared" ref="J95:J96" si="195">R95</f>
        <v>0</v>
      </c>
      <c r="K95" s="93">
        <f t="shared" si="191"/>
        <v>0</v>
      </c>
      <c r="L95" s="93">
        <f t="shared" si="2"/>
        <v>0</v>
      </c>
      <c r="M95" s="94" t="str">
        <f t="shared" si="31"/>
        <v>n/a</v>
      </c>
      <c r="N95" s="95"/>
      <c r="P95" s="93">
        <f>SUMIFS('PF Holdings_diff dates'!$N:$N,'PF Holdings_diff dates'!$I:$I,$E95,'PF Holdings_diff dates'!$G:$G,$G$1,'PF Holdings_diff dates'!$Q:$Q,P$3)</f>
        <v>0</v>
      </c>
      <c r="Q95" s="93">
        <f t="shared" si="3"/>
        <v>0</v>
      </c>
      <c r="R95" s="93">
        <f>SUMIFS('PF Holdings_diff dates'!$N:$N,'PF Holdings_diff dates'!$I:$I,$E95,'PF Holdings_diff dates'!$G:$G,$G$1,'PF Holdings_diff dates'!$Q:$Q,R$3)</f>
        <v>0</v>
      </c>
      <c r="T95" s="93">
        <f>SUMIFS('PF Holdings_diff dates'!$O:$O,'PF Holdings_diff dates'!$I:$I,$E95,'PF Holdings_diff dates'!$G:$G,$G$1,'PF Holdings_diff dates'!$Q:$Q,T$3)</f>
        <v>0</v>
      </c>
      <c r="U95" s="93">
        <f t="shared" si="4"/>
        <v>0</v>
      </c>
      <c r="V95" s="93">
        <f t="shared" si="5"/>
        <v>0</v>
      </c>
      <c r="W95" s="93">
        <f>SUMIFS('PF Holdings_diff dates'!$O:$O,'PF Holdings_diff dates'!$I:$I,$E95,'PF Holdings_diff dates'!$G:$G,$G$1,'PF Holdings_diff dates'!$Q:$Q,W$3)</f>
        <v>0</v>
      </c>
      <c r="X95" s="96" t="str">
        <f t="shared" si="192"/>
        <v>-</v>
      </c>
      <c r="Y95" s="96" t="str">
        <f>IF(E95="-","-",VLOOKUP(D95,'Category level Benchmark and tr'!$A:$G,7,0))</f>
        <v>-</v>
      </c>
      <c r="Z95" s="96"/>
      <c r="AA95" s="108"/>
      <c r="AB95" s="109"/>
    </row>
    <row r="96" spans="2:28" s="92" customFormat="1" hidden="1" outlineLevel="3" x14ac:dyDescent="0.25">
      <c r="B96" s="92" t="str">
        <f t="shared" si="193"/>
        <v>SN0013Debt-Self-Bonds-Short Term</v>
      </c>
      <c r="C96" s="92">
        <f t="shared" ref="C96" si="196">C95+1</f>
        <v>3</v>
      </c>
      <c r="D96" s="92" t="str">
        <f t="shared" ref="D96" si="197">D95</f>
        <v>Debt-Self-Bonds-Short Term</v>
      </c>
      <c r="E96" s="97" t="str">
        <f>IFERROR(VLOOKUP(B96,Sort!$A:$F,5,0),"-")</f>
        <v>-</v>
      </c>
      <c r="F96" s="93">
        <v>0</v>
      </c>
      <c r="G96" s="94"/>
      <c r="H96" s="93">
        <f t="shared" si="194"/>
        <v>0</v>
      </c>
      <c r="I96" s="94">
        <f t="shared" si="145"/>
        <v>0</v>
      </c>
      <c r="J96" s="95">
        <f t="shared" si="195"/>
        <v>0</v>
      </c>
      <c r="K96" s="93">
        <f t="shared" si="191"/>
        <v>0</v>
      </c>
      <c r="L96" s="93">
        <f t="shared" si="2"/>
        <v>0</v>
      </c>
      <c r="M96" s="94" t="str">
        <f t="shared" si="31"/>
        <v>n/a</v>
      </c>
      <c r="N96" s="95"/>
      <c r="P96" s="93">
        <f>SUMIFS('PF Holdings_diff dates'!$N:$N,'PF Holdings_diff dates'!$I:$I,$E96,'PF Holdings_diff dates'!$G:$G,$G$1,'PF Holdings_diff dates'!$Q:$Q,P$3)</f>
        <v>0</v>
      </c>
      <c r="Q96" s="93">
        <f t="shared" si="3"/>
        <v>0</v>
      </c>
      <c r="R96" s="93">
        <f>SUMIFS('PF Holdings_diff dates'!$N:$N,'PF Holdings_diff dates'!$I:$I,$E96,'PF Holdings_diff dates'!$G:$G,$G$1,'PF Holdings_diff dates'!$Q:$Q,R$3)</f>
        <v>0</v>
      </c>
      <c r="T96" s="93">
        <f>SUMIFS('PF Holdings_diff dates'!$O:$O,'PF Holdings_diff dates'!$I:$I,$E96,'PF Holdings_diff dates'!$G:$G,$G$1,'PF Holdings_diff dates'!$Q:$Q,T$3)</f>
        <v>0</v>
      </c>
      <c r="U96" s="93">
        <f t="shared" si="4"/>
        <v>0</v>
      </c>
      <c r="V96" s="93">
        <f t="shared" si="5"/>
        <v>0</v>
      </c>
      <c r="W96" s="93">
        <f>SUMIFS('PF Holdings_diff dates'!$O:$O,'PF Holdings_diff dates'!$I:$I,$E96,'PF Holdings_diff dates'!$G:$G,$G$1,'PF Holdings_diff dates'!$Q:$Q,W$3)</f>
        <v>0</v>
      </c>
      <c r="X96" s="96" t="str">
        <f t="shared" si="192"/>
        <v>-</v>
      </c>
      <c r="Y96" s="96" t="str">
        <f>IF(E96="-","-",VLOOKUP(D96,'Category level Benchmark and tr'!$A:$G,7,0))</f>
        <v>-</v>
      </c>
      <c r="Z96" s="96"/>
      <c r="AA96" s="108"/>
      <c r="AB96" s="109"/>
    </row>
    <row r="97" spans="2:28" hidden="1" outlineLevel="2" x14ac:dyDescent="0.25">
      <c r="D97" t="s">
        <v>247</v>
      </c>
      <c r="E97" s="56" t="s">
        <v>27</v>
      </c>
      <c r="F97" s="53">
        <f>'AA Decision View'!Q33</f>
        <v>0</v>
      </c>
      <c r="G97" s="43">
        <f>F97/F$123</f>
        <v>0</v>
      </c>
      <c r="H97" s="53">
        <f>'AA Decision View'!S33</f>
        <v>0</v>
      </c>
      <c r="I97" s="43">
        <f t="shared" si="145"/>
        <v>0</v>
      </c>
      <c r="J97" s="54">
        <f>'AA Decision View'!V33</f>
        <v>0</v>
      </c>
      <c r="K97" s="53">
        <f>H97</f>
        <v>0</v>
      </c>
      <c r="L97" s="53">
        <f>K97-J97</f>
        <v>0</v>
      </c>
      <c r="M97" s="43" t="str">
        <f>IFERROR(L97/J97,"n/a")</f>
        <v>n/a</v>
      </c>
      <c r="N97" s="54">
        <f>F97-K97</f>
        <v>0</v>
      </c>
      <c r="P97" s="53">
        <f>SUMIFS('PF Holdings_diff dates'!$N:$N,'PF Holdings_diff dates'!$A:$A,$D97,'PF Holdings_diff dates'!$G:$G,$G$1,'PF Holdings_diff dates'!$Q:$Q,P$3)</f>
        <v>0</v>
      </c>
      <c r="Q97" s="53">
        <f>R97-P97</f>
        <v>0</v>
      </c>
      <c r="R97" s="53">
        <f>SUMIFS('PF Holdings_diff dates'!$N:$N,'PF Holdings_diff dates'!$A:$A,$D97,'PF Holdings_diff dates'!$G:$G,$G$1,'PF Holdings_diff dates'!$Q:$Q,R$3)</f>
        <v>0</v>
      </c>
      <c r="T97" s="53">
        <f>SUMIFS('PF Holdings_diff dates'!$O:$O,'PF Holdings_diff dates'!$A:$A,$D97,'PF Holdings_diff dates'!$G:$G,$G$1,'PF Holdings_diff dates'!$Q:$Q,T$3)</f>
        <v>0</v>
      </c>
      <c r="U97" s="53">
        <f>Q97</f>
        <v>0</v>
      </c>
      <c r="V97" s="53">
        <f>W97-(T97+U97)</f>
        <v>0</v>
      </c>
      <c r="W97" s="53">
        <f>SUMIFS('PF Holdings_diff dates'!$O:$O,'PF Holdings_diff dates'!$A:$A,$D97,'PF Holdings_diff dates'!$G:$G,$G$1,'PF Holdings_diff dates'!$Q:$Q,W$3)</f>
        <v>0</v>
      </c>
      <c r="X97" s="84" t="str">
        <f>IFERROR((V97/(T97+U97)),"n/a")</f>
        <v>n/a</v>
      </c>
      <c r="Y97" s="84">
        <f>IFERROR(VLOOKUP(D97,'Category level Benchmark and tr'!$A:$G,7,0),0)</f>
        <v>4.0427397260273973E-2</v>
      </c>
      <c r="Z97" s="84">
        <f>Y97</f>
        <v>4.0427397260273973E-2</v>
      </c>
      <c r="AA97" s="110"/>
      <c r="AB97" s="111">
        <v>400000</v>
      </c>
    </row>
    <row r="98" spans="2:28" s="92" customFormat="1" hidden="1" outlineLevel="3" x14ac:dyDescent="0.25">
      <c r="B98" s="92" t="str">
        <f>$G$1&amp;C98&amp;D98</f>
        <v>SN0011Debt-Self-Bonds-Mid Term</v>
      </c>
      <c r="C98" s="92">
        <v>1</v>
      </c>
      <c r="D98" s="92" t="str">
        <f>D101</f>
        <v>Debt-Self-Bonds-Mid Term</v>
      </c>
      <c r="E98" s="97" t="str">
        <f>IFERROR(VLOOKUP(B98,Sort!$A:$F,5,0),"-")</f>
        <v>-</v>
      </c>
      <c r="F98" s="93">
        <v>0</v>
      </c>
      <c r="G98" s="94"/>
      <c r="H98" s="93">
        <f>W98</f>
        <v>0</v>
      </c>
      <c r="I98" s="94">
        <f t="shared" si="145"/>
        <v>0</v>
      </c>
      <c r="J98" s="95">
        <f>R98</f>
        <v>0</v>
      </c>
      <c r="K98" s="93">
        <f t="shared" ref="K98:K100" si="198">H98</f>
        <v>0</v>
      </c>
      <c r="L98" s="93">
        <f>K98-J98</f>
        <v>0</v>
      </c>
      <c r="M98" s="94" t="str">
        <f>IFERROR(L98/J98,"n/a")</f>
        <v>n/a</v>
      </c>
      <c r="N98" s="95"/>
      <c r="P98" s="93">
        <f>SUMIFS('PF Holdings_diff dates'!$N:$N,'PF Holdings_diff dates'!$I:$I,$E98,'PF Holdings_diff dates'!$G:$G,$G$1,'PF Holdings_diff dates'!$Q:$Q,P$3)</f>
        <v>0</v>
      </c>
      <c r="Q98" s="93">
        <f>R98-P98</f>
        <v>0</v>
      </c>
      <c r="R98" s="93">
        <f>SUMIFS('PF Holdings_diff dates'!$N:$N,'PF Holdings_diff dates'!$I:$I,$E98,'PF Holdings_diff dates'!$G:$G,$G$1,'PF Holdings_diff dates'!$Q:$Q,R$3)</f>
        <v>0</v>
      </c>
      <c r="T98" s="93">
        <f>SUMIFS('PF Holdings_diff dates'!$O:$O,'PF Holdings_diff dates'!$I:$I,$E98,'PF Holdings_diff dates'!$G:$G,$G$1,'PF Holdings_diff dates'!$Q:$Q,T$3)</f>
        <v>0</v>
      </c>
      <c r="U98" s="93">
        <f>Q98</f>
        <v>0</v>
      </c>
      <c r="V98" s="93">
        <f>W98-(T98+U98)</f>
        <v>0</v>
      </c>
      <c r="W98" s="93">
        <f>SUMIFS('PF Holdings_diff dates'!$O:$O,'PF Holdings_diff dates'!$I:$I,$E98,'PF Holdings_diff dates'!$G:$G,$G$1,'PF Holdings_diff dates'!$Q:$Q,W$3)</f>
        <v>0</v>
      </c>
      <c r="X98" s="96" t="str">
        <f t="shared" ref="X98:X100" si="199">IFERROR((V98/(T98+U98)),"-")</f>
        <v>-</v>
      </c>
      <c r="Y98" s="96" t="str">
        <f>IF(E98="-","-",VLOOKUP(D98,'Category level Benchmark and tr'!$A:$G,7,0))</f>
        <v>-</v>
      </c>
      <c r="Z98" s="96"/>
      <c r="AA98" s="108"/>
      <c r="AB98" s="109"/>
    </row>
    <row r="99" spans="2:28" s="92" customFormat="1" hidden="1" outlineLevel="3" x14ac:dyDescent="0.25">
      <c r="B99" s="92" t="str">
        <f t="shared" ref="B99:B100" si="200">$G$1&amp;C99&amp;D99</f>
        <v>SN0012Debt-Self-Bonds-Mid Term</v>
      </c>
      <c r="C99" s="92">
        <f>C98+1</f>
        <v>2</v>
      </c>
      <c r="D99" s="92" t="str">
        <f>D98</f>
        <v>Debt-Self-Bonds-Mid Term</v>
      </c>
      <c r="E99" s="97" t="str">
        <f>IFERROR(VLOOKUP(B99,Sort!$A:$F,5,0),"-")</f>
        <v>-</v>
      </c>
      <c r="F99" s="93">
        <v>0</v>
      </c>
      <c r="G99" s="94"/>
      <c r="H99" s="93">
        <f t="shared" ref="H99:H100" si="201">W99</f>
        <v>0</v>
      </c>
      <c r="I99" s="94">
        <f t="shared" si="145"/>
        <v>0</v>
      </c>
      <c r="J99" s="95">
        <f t="shared" ref="J99:J100" si="202">R99</f>
        <v>0</v>
      </c>
      <c r="K99" s="93">
        <f t="shared" si="198"/>
        <v>0</v>
      </c>
      <c r="L99" s="93">
        <f>K99-J99</f>
        <v>0</v>
      </c>
      <c r="M99" s="94" t="str">
        <f>IFERROR(L99/J99,"n/a")</f>
        <v>n/a</v>
      </c>
      <c r="N99" s="95"/>
      <c r="P99" s="93">
        <f>SUMIFS('PF Holdings_diff dates'!$N:$N,'PF Holdings_diff dates'!$I:$I,$E99,'PF Holdings_diff dates'!$G:$G,$G$1,'PF Holdings_diff dates'!$Q:$Q,P$3)</f>
        <v>0</v>
      </c>
      <c r="Q99" s="93">
        <f>R99-P99</f>
        <v>0</v>
      </c>
      <c r="R99" s="93">
        <f>SUMIFS('PF Holdings_diff dates'!$N:$N,'PF Holdings_diff dates'!$I:$I,$E99,'PF Holdings_diff dates'!$G:$G,$G$1,'PF Holdings_diff dates'!$Q:$Q,R$3)</f>
        <v>0</v>
      </c>
      <c r="T99" s="93">
        <f>SUMIFS('PF Holdings_diff dates'!$O:$O,'PF Holdings_diff dates'!$I:$I,$E99,'PF Holdings_diff dates'!$G:$G,$G$1,'PF Holdings_diff dates'!$Q:$Q,T$3)</f>
        <v>0</v>
      </c>
      <c r="U99" s="93">
        <f>Q99</f>
        <v>0</v>
      </c>
      <c r="V99" s="93">
        <f>W99-(T99+U99)</f>
        <v>0</v>
      </c>
      <c r="W99" s="93">
        <f>SUMIFS('PF Holdings_diff dates'!$O:$O,'PF Holdings_diff dates'!$I:$I,$E99,'PF Holdings_diff dates'!$G:$G,$G$1,'PF Holdings_diff dates'!$Q:$Q,W$3)</f>
        <v>0</v>
      </c>
      <c r="X99" s="96" t="str">
        <f t="shared" si="199"/>
        <v>-</v>
      </c>
      <c r="Y99" s="96" t="str">
        <f>IF(E99="-","-",VLOOKUP(D99,'Category level Benchmark and tr'!$A:$G,7,0))</f>
        <v>-</v>
      </c>
      <c r="Z99" s="96"/>
      <c r="AA99" s="108"/>
      <c r="AB99" s="109"/>
    </row>
    <row r="100" spans="2:28" s="92" customFormat="1" hidden="1" outlineLevel="3" x14ac:dyDescent="0.25">
      <c r="B100" s="92" t="str">
        <f t="shared" si="200"/>
        <v>SN0013Debt-Self-Bonds-Mid Term</v>
      </c>
      <c r="C100" s="92">
        <f t="shared" ref="C100" si="203">C99+1</f>
        <v>3</v>
      </c>
      <c r="D100" s="92" t="str">
        <f t="shared" ref="D100" si="204">D99</f>
        <v>Debt-Self-Bonds-Mid Term</v>
      </c>
      <c r="E100" s="97" t="str">
        <f>IFERROR(VLOOKUP(B100,Sort!$A:$F,5,0),"-")</f>
        <v>-</v>
      </c>
      <c r="F100" s="93">
        <v>0</v>
      </c>
      <c r="G100" s="94"/>
      <c r="H100" s="93">
        <f t="shared" si="201"/>
        <v>0</v>
      </c>
      <c r="I100" s="94">
        <f t="shared" si="145"/>
        <v>0</v>
      </c>
      <c r="J100" s="95">
        <f t="shared" si="202"/>
        <v>0</v>
      </c>
      <c r="K100" s="93">
        <f t="shared" si="198"/>
        <v>0</v>
      </c>
      <c r="L100" s="93">
        <f>K100-J100</f>
        <v>0</v>
      </c>
      <c r="M100" s="94" t="str">
        <f>IFERROR(L100/J100,"n/a")</f>
        <v>n/a</v>
      </c>
      <c r="N100" s="95"/>
      <c r="P100" s="93">
        <f>SUMIFS('PF Holdings_diff dates'!$N:$N,'PF Holdings_diff dates'!$I:$I,$E100,'PF Holdings_diff dates'!$G:$G,$G$1,'PF Holdings_diff dates'!$Q:$Q,P$3)</f>
        <v>0</v>
      </c>
      <c r="Q100" s="93">
        <f>R100-P100</f>
        <v>0</v>
      </c>
      <c r="R100" s="93">
        <f>SUMIFS('PF Holdings_diff dates'!$N:$N,'PF Holdings_diff dates'!$I:$I,$E100,'PF Holdings_diff dates'!$G:$G,$G$1,'PF Holdings_diff dates'!$Q:$Q,R$3)</f>
        <v>0</v>
      </c>
      <c r="T100" s="93">
        <f>SUMIFS('PF Holdings_diff dates'!$O:$O,'PF Holdings_diff dates'!$I:$I,$E100,'PF Holdings_diff dates'!$G:$G,$G$1,'PF Holdings_diff dates'!$Q:$Q,T$3)</f>
        <v>0</v>
      </c>
      <c r="U100" s="93">
        <f>Q100</f>
        <v>0</v>
      </c>
      <c r="V100" s="93">
        <f>W100-(T100+U100)</f>
        <v>0</v>
      </c>
      <c r="W100" s="93">
        <f>SUMIFS('PF Holdings_diff dates'!$O:$O,'PF Holdings_diff dates'!$I:$I,$E100,'PF Holdings_diff dates'!$G:$G,$G$1,'PF Holdings_diff dates'!$Q:$Q,W$3)</f>
        <v>0</v>
      </c>
      <c r="X100" s="96" t="str">
        <f t="shared" si="199"/>
        <v>-</v>
      </c>
      <c r="Y100" s="96" t="str">
        <f>IF(E100="-","-",VLOOKUP(D100,'Category level Benchmark and tr'!$A:$G,7,0))</f>
        <v>-</v>
      </c>
      <c r="Z100" s="96"/>
      <c r="AA100" s="108"/>
      <c r="AB100" s="109"/>
    </row>
    <row r="101" spans="2:28" hidden="1" outlineLevel="2" x14ac:dyDescent="0.25">
      <c r="D101" t="s">
        <v>114</v>
      </c>
      <c r="E101" s="56" t="s">
        <v>28</v>
      </c>
      <c r="F101" s="53">
        <f>'AA Decision View'!Q34</f>
        <v>12015.975720000002</v>
      </c>
      <c r="G101" s="43">
        <f>F101/F$123</f>
        <v>1.6799999999999999E-2</v>
      </c>
      <c r="H101" s="53">
        <f>'AA Decision View'!S34</f>
        <v>0</v>
      </c>
      <c r="I101" s="43">
        <f t="shared" si="145"/>
        <v>0</v>
      </c>
      <c r="J101" s="54">
        <f>'AA Decision View'!V34</f>
        <v>0</v>
      </c>
      <c r="K101" s="53">
        <f>H101</f>
        <v>0</v>
      </c>
      <c r="L101" s="53">
        <f t="shared" ref="L101" si="205">K101-J101</f>
        <v>0</v>
      </c>
      <c r="M101" s="43" t="str">
        <f t="shared" ref="M101" si="206">IFERROR(L101/J101,"n/a")</f>
        <v>n/a</v>
      </c>
      <c r="N101" s="54">
        <f t="shared" si="162"/>
        <v>12015.975720000002</v>
      </c>
      <c r="P101" s="53">
        <f>SUMIFS('PF Holdings_diff dates'!$N:$N,'PF Holdings_diff dates'!$A:$A,$D101,'PF Holdings_diff dates'!$G:$G,$G$1,'PF Holdings_diff dates'!$Q:$Q,P$3)</f>
        <v>0</v>
      </c>
      <c r="Q101" s="53">
        <f t="shared" si="3"/>
        <v>0</v>
      </c>
      <c r="R101" s="53">
        <f>SUMIFS('PF Holdings_diff dates'!$N:$N,'PF Holdings_diff dates'!$A:$A,$D101,'PF Holdings_diff dates'!$G:$G,$G$1,'PF Holdings_diff dates'!$Q:$Q,R$3)</f>
        <v>0</v>
      </c>
      <c r="T101" s="53">
        <f>SUMIFS('PF Holdings_diff dates'!$O:$O,'PF Holdings_diff dates'!$A:$A,$D101,'PF Holdings_diff dates'!$G:$G,$G$1,'PF Holdings_diff dates'!$Q:$Q,T$3)</f>
        <v>0</v>
      </c>
      <c r="U101" s="53">
        <f t="shared" ref="U101" si="207">Q101</f>
        <v>0</v>
      </c>
      <c r="V101" s="53">
        <f t="shared" ref="V101" si="208">W101-(T101+U101)</f>
        <v>0</v>
      </c>
      <c r="W101" s="53">
        <f>SUMIFS('PF Holdings_diff dates'!$O:$O,'PF Holdings_diff dates'!$A:$A,$D101,'PF Holdings_diff dates'!$G:$G,$G$1,'PF Holdings_diff dates'!$Q:$Q,W$3)</f>
        <v>0</v>
      </c>
      <c r="X101" s="84" t="str">
        <f t="shared" ref="X101" si="209">IFERROR((V101/(T101+U101)),"n/a")</f>
        <v>n/a</v>
      </c>
      <c r="Y101" s="84">
        <f>IFERROR(VLOOKUP(D101,'Category level Benchmark and tr'!$A:$G,7,0),0)</f>
        <v>4.0130136986301371E-2</v>
      </c>
      <c r="Z101" s="84">
        <f>Y101</f>
        <v>4.0130136986301371E-2</v>
      </c>
      <c r="AA101" s="110"/>
      <c r="AB101" s="31"/>
    </row>
    <row r="102" spans="2:28" s="92" customFormat="1" hidden="1" outlineLevel="3" x14ac:dyDescent="0.25">
      <c r="B102" s="92" t="str">
        <f>$G$1&amp;C102&amp;D102</f>
        <v>SN0011Debt-Self-Bonds-Long Term</v>
      </c>
      <c r="C102" s="92">
        <v>1</v>
      </c>
      <c r="D102" s="92" t="str">
        <f>D105</f>
        <v>Debt-Self-Bonds-Long Term</v>
      </c>
      <c r="E102" s="97" t="str">
        <f>IFERROR(VLOOKUP(B102,Sort!$A:$F,5,0),"-")</f>
        <v>-</v>
      </c>
      <c r="F102" s="93">
        <v>0</v>
      </c>
      <c r="G102" s="94"/>
      <c r="H102" s="93">
        <f>W102</f>
        <v>0</v>
      </c>
      <c r="I102" s="94">
        <f t="shared" si="145"/>
        <v>0</v>
      </c>
      <c r="J102" s="95">
        <f>R102</f>
        <v>0</v>
      </c>
      <c r="K102" s="93">
        <f>H102</f>
        <v>0</v>
      </c>
      <c r="L102" s="93">
        <f t="shared" ref="L102:L104" si="210">K102-J102</f>
        <v>0</v>
      </c>
      <c r="M102" s="94" t="str">
        <f>IFERROR(L102/J102,"-")</f>
        <v>-</v>
      </c>
      <c r="N102" s="95"/>
      <c r="P102" s="93">
        <f>SUMIFS('PF Holdings_diff dates'!$N:$N,'PF Holdings_diff dates'!$I:$I,$E102,'PF Holdings_diff dates'!$G:$G,$G$1,'PF Holdings_diff dates'!$Q:$Q,P$3)</f>
        <v>0</v>
      </c>
      <c r="Q102" s="93">
        <f>R102-P102</f>
        <v>0</v>
      </c>
      <c r="R102" s="93">
        <f>SUMIFS('PF Holdings_diff dates'!$N:$N,'PF Holdings_diff dates'!$I:$I,$E102,'PF Holdings_diff dates'!$G:$G,$G$1,'PF Holdings_diff dates'!$Q:$Q,R$3)</f>
        <v>0</v>
      </c>
      <c r="T102" s="93">
        <f>SUMIFS('PF Holdings_diff dates'!$O:$O,'PF Holdings_diff dates'!$I:$I,$E102,'PF Holdings_diff dates'!$G:$G,$G$1,'PF Holdings_diff dates'!$Q:$Q,T$3)</f>
        <v>0</v>
      </c>
      <c r="U102" s="93">
        <f t="shared" ref="U102:U104" si="211">Q102</f>
        <v>0</v>
      </c>
      <c r="V102" s="93">
        <f t="shared" ref="V102:V104" si="212">W102-(T102+U102)</f>
        <v>0</v>
      </c>
      <c r="W102" s="93">
        <f>SUMIFS('PF Holdings_diff dates'!$O:$O,'PF Holdings_diff dates'!$I:$I,$E102,'PF Holdings_diff dates'!$G:$G,$G$1,'PF Holdings_diff dates'!$Q:$Q,W$3)</f>
        <v>0</v>
      </c>
      <c r="X102" s="96" t="str">
        <f>IFERROR((V102/(T102+U102)),"-")</f>
        <v>-</v>
      </c>
      <c r="Y102" s="96" t="str">
        <f>IF(E102="-","-",VLOOKUP(D102,'Category level Benchmark and tr'!$A:$G,7,0))</f>
        <v>-</v>
      </c>
      <c r="Z102" s="96"/>
      <c r="AA102" s="108"/>
      <c r="AB102" s="109"/>
    </row>
    <row r="103" spans="2:28" s="92" customFormat="1" hidden="1" outlineLevel="3" x14ac:dyDescent="0.25">
      <c r="B103" s="92" t="str">
        <f t="shared" ref="B103:B104" si="213">$G$1&amp;C103&amp;D103</f>
        <v>SN0012Debt-Self-Bonds-Long Term</v>
      </c>
      <c r="C103" s="92">
        <f>C102+1</f>
        <v>2</v>
      </c>
      <c r="D103" s="92" t="str">
        <f>D102</f>
        <v>Debt-Self-Bonds-Long Term</v>
      </c>
      <c r="E103" s="97" t="str">
        <f>IFERROR(VLOOKUP(B103,Sort!$A:$F,5,0),"-")</f>
        <v>-</v>
      </c>
      <c r="F103" s="93">
        <v>0</v>
      </c>
      <c r="G103" s="94"/>
      <c r="H103" s="93">
        <f t="shared" ref="H103:H104" si="214">W103</f>
        <v>0</v>
      </c>
      <c r="I103" s="94">
        <f t="shared" ref="I103:I122" si="215">H103/H$123</f>
        <v>0</v>
      </c>
      <c r="J103" s="95">
        <f t="shared" ref="J103:J104" si="216">R103</f>
        <v>0</v>
      </c>
      <c r="K103" s="93">
        <f>H103</f>
        <v>0</v>
      </c>
      <c r="L103" s="93">
        <f t="shared" si="210"/>
        <v>0</v>
      </c>
      <c r="M103" s="94" t="str">
        <f>IFERROR(L103/J103,"-")</f>
        <v>-</v>
      </c>
      <c r="N103" s="95"/>
      <c r="P103" s="93">
        <f>SUMIFS('PF Holdings_diff dates'!$N:$N,'PF Holdings_diff dates'!$I:$I,$E103,'PF Holdings_diff dates'!$G:$G,$G$1,'PF Holdings_diff dates'!$Q:$Q,P$3)</f>
        <v>0</v>
      </c>
      <c r="Q103" s="93">
        <f>R103-P103</f>
        <v>0</v>
      </c>
      <c r="R103" s="93">
        <f>SUMIFS('PF Holdings_diff dates'!$N:$N,'PF Holdings_diff dates'!$I:$I,$E103,'PF Holdings_diff dates'!$G:$G,$G$1,'PF Holdings_diff dates'!$Q:$Q,R$3)</f>
        <v>0</v>
      </c>
      <c r="T103" s="93">
        <f>SUMIFS('PF Holdings_diff dates'!$O:$O,'PF Holdings_diff dates'!$I:$I,$E103,'PF Holdings_diff dates'!$G:$G,$G$1,'PF Holdings_diff dates'!$Q:$Q,T$3)</f>
        <v>0</v>
      </c>
      <c r="U103" s="93">
        <f t="shared" si="211"/>
        <v>0</v>
      </c>
      <c r="V103" s="93">
        <f t="shared" si="212"/>
        <v>0</v>
      </c>
      <c r="W103" s="93">
        <f>SUMIFS('PF Holdings_diff dates'!$O:$O,'PF Holdings_diff dates'!$I:$I,$E103,'PF Holdings_diff dates'!$G:$G,$G$1,'PF Holdings_diff dates'!$Q:$Q,W$3)</f>
        <v>0</v>
      </c>
      <c r="X103" s="96" t="str">
        <f t="shared" ref="X103:X104" si="217">IFERROR((V103/(T103+U103)),"-")</f>
        <v>-</v>
      </c>
      <c r="Y103" s="96" t="str">
        <f>IF(E103="-","-",VLOOKUP(D103,'Category level Benchmark and tr'!$A:$G,7,0))</f>
        <v>-</v>
      </c>
      <c r="Z103" s="96"/>
      <c r="AA103" s="108"/>
      <c r="AB103" s="109"/>
    </row>
    <row r="104" spans="2:28" s="92" customFormat="1" hidden="1" outlineLevel="3" x14ac:dyDescent="0.25">
      <c r="B104" s="92" t="str">
        <f t="shared" si="213"/>
        <v>SN0013Debt-Self-Bonds-Long Term</v>
      </c>
      <c r="C104" s="92">
        <f>C103+1</f>
        <v>3</v>
      </c>
      <c r="D104" s="92" t="str">
        <f>D103</f>
        <v>Debt-Self-Bonds-Long Term</v>
      </c>
      <c r="E104" s="97" t="str">
        <f>IFERROR(VLOOKUP(B104,Sort!$A:$F,5,0),"-")</f>
        <v>-</v>
      </c>
      <c r="F104" s="93">
        <v>0</v>
      </c>
      <c r="G104" s="94"/>
      <c r="H104" s="93">
        <f t="shared" si="214"/>
        <v>0</v>
      </c>
      <c r="I104" s="94">
        <f t="shared" si="215"/>
        <v>0</v>
      </c>
      <c r="J104" s="95">
        <f t="shared" si="216"/>
        <v>0</v>
      </c>
      <c r="K104" s="93">
        <f>H104</f>
        <v>0</v>
      </c>
      <c r="L104" s="93">
        <f t="shared" si="210"/>
        <v>0</v>
      </c>
      <c r="M104" s="94" t="str">
        <f>IFERROR(L104/J104,"-")</f>
        <v>-</v>
      </c>
      <c r="N104" s="95"/>
      <c r="P104" s="93">
        <f>SUMIFS('PF Holdings_diff dates'!$N:$N,'PF Holdings_diff dates'!$I:$I,$E104,'PF Holdings_diff dates'!$G:$G,$G$1,'PF Holdings_diff dates'!$Q:$Q,P$3)</f>
        <v>0</v>
      </c>
      <c r="Q104" s="93">
        <f>R104-P104</f>
        <v>0</v>
      </c>
      <c r="R104" s="93">
        <f>SUMIFS('PF Holdings_diff dates'!$N:$N,'PF Holdings_diff dates'!$I:$I,$E104,'PF Holdings_diff dates'!$G:$G,$G$1,'PF Holdings_diff dates'!$Q:$Q,R$3)</f>
        <v>0</v>
      </c>
      <c r="T104" s="93">
        <f>SUMIFS('PF Holdings_diff dates'!$O:$O,'PF Holdings_diff dates'!$I:$I,$E104,'PF Holdings_diff dates'!$G:$G,$G$1,'PF Holdings_diff dates'!$Q:$Q,T$3)</f>
        <v>0</v>
      </c>
      <c r="U104" s="93">
        <f t="shared" si="211"/>
        <v>0</v>
      </c>
      <c r="V104" s="93">
        <f t="shared" si="212"/>
        <v>0</v>
      </c>
      <c r="W104" s="93">
        <f>SUMIFS('PF Holdings_diff dates'!$O:$O,'PF Holdings_diff dates'!$I:$I,$E104,'PF Holdings_diff dates'!$G:$G,$G$1,'PF Holdings_diff dates'!$Q:$Q,W$3)</f>
        <v>0</v>
      </c>
      <c r="X104" s="96" t="str">
        <f t="shared" si="217"/>
        <v>-</v>
      </c>
      <c r="Y104" s="96" t="str">
        <f>IF(E104="-","-",VLOOKUP(D104,'Category level Benchmark and tr'!$A:$G,7,0))</f>
        <v>-</v>
      </c>
      <c r="Z104" s="96"/>
      <c r="AA104" s="108"/>
      <c r="AB104" s="109"/>
    </row>
    <row r="105" spans="2:28" hidden="1" outlineLevel="2" x14ac:dyDescent="0.25">
      <c r="D105" t="s">
        <v>115</v>
      </c>
      <c r="E105" s="56" t="s">
        <v>29</v>
      </c>
      <c r="F105" s="53">
        <f>'AA Decision View'!Q35</f>
        <v>5149.70388</v>
      </c>
      <c r="G105" s="43">
        <f>F105/F$123</f>
        <v>7.1999999999999989E-3</v>
      </c>
      <c r="H105" s="53">
        <f>'AA Decision View'!S35</f>
        <v>0</v>
      </c>
      <c r="I105" s="43">
        <f t="shared" si="215"/>
        <v>0</v>
      </c>
      <c r="J105" s="54">
        <f>'AA Decision View'!V35</f>
        <v>0</v>
      </c>
      <c r="K105" s="53">
        <f t="shared" ref="K105" si="218">H105</f>
        <v>0</v>
      </c>
      <c r="L105" s="53">
        <f t="shared" si="2"/>
        <v>0</v>
      </c>
      <c r="M105" s="43" t="str">
        <f t="shared" si="31"/>
        <v>n/a</v>
      </c>
      <c r="N105" s="54">
        <f t="shared" si="162"/>
        <v>5149.70388</v>
      </c>
      <c r="P105" s="53">
        <f>SUMIFS('PF Holdings_diff dates'!$N:$N,'PF Holdings_diff dates'!$A:$A,$D105,'PF Holdings_diff dates'!$G:$G,$G$1,'PF Holdings_diff dates'!$Q:$Q,P$3)</f>
        <v>0</v>
      </c>
      <c r="Q105" s="53">
        <f t="shared" si="3"/>
        <v>0</v>
      </c>
      <c r="R105" s="53">
        <f>SUMIFS('PF Holdings_diff dates'!$N:$N,'PF Holdings_diff dates'!$A:$A,$D105,'PF Holdings_diff dates'!$G:$G,$G$1,'PF Holdings_diff dates'!$Q:$Q,R$3)</f>
        <v>0</v>
      </c>
      <c r="T105" s="53">
        <f>SUMIFS('PF Holdings_diff dates'!$O:$O,'PF Holdings_diff dates'!$A:$A,$D105,'PF Holdings_diff dates'!$G:$G,$G$1,'PF Holdings_diff dates'!$Q:$Q,T$3)</f>
        <v>0</v>
      </c>
      <c r="U105" s="53">
        <f t="shared" si="4"/>
        <v>0</v>
      </c>
      <c r="V105" s="53">
        <f t="shared" si="5"/>
        <v>0</v>
      </c>
      <c r="W105" s="53">
        <f>SUMIFS('PF Holdings_diff dates'!$O:$O,'PF Holdings_diff dates'!$A:$A,$D105,'PF Holdings_diff dates'!$G:$G,$G$1,'PF Holdings_diff dates'!$Q:$Q,W$3)</f>
        <v>0</v>
      </c>
      <c r="X105" s="84" t="str">
        <f t="shared" si="182"/>
        <v>n/a</v>
      </c>
      <c r="Y105" s="84">
        <f>IFERROR(VLOOKUP(D105,'Category level Benchmark and tr'!$A:$G,7,0),0)</f>
        <v>3.864383561643836E-2</v>
      </c>
      <c r="Z105" s="84">
        <f>Y105</f>
        <v>3.864383561643836E-2</v>
      </c>
      <c r="AA105" s="110"/>
      <c r="AB105" s="31"/>
    </row>
    <row r="106" spans="2:28" hidden="1" outlineLevel="1" x14ac:dyDescent="0.25">
      <c r="E106" s="57" t="s">
        <v>147</v>
      </c>
      <c r="F106" s="60">
        <f>SUM(F97,F101,F105)</f>
        <v>17165.679600000003</v>
      </c>
      <c r="G106" s="59">
        <f>F106/F$123</f>
        <v>2.4E-2</v>
      </c>
      <c r="H106" s="60">
        <f>SUM(H97,H101,H105)</f>
        <v>0</v>
      </c>
      <c r="I106" s="59">
        <f t="shared" si="215"/>
        <v>0</v>
      </c>
      <c r="J106" s="60">
        <f>SUM(J97,J101,J105)</f>
        <v>0</v>
      </c>
      <c r="K106" s="60">
        <f>H106</f>
        <v>0</v>
      </c>
      <c r="L106" s="60">
        <f>K106-J106</f>
        <v>0</v>
      </c>
      <c r="M106" s="59" t="str">
        <f>IFERROR(L106/J106,"n/a")</f>
        <v>n/a</v>
      </c>
      <c r="N106" s="60">
        <f>F106-K106</f>
        <v>17165.679600000003</v>
      </c>
      <c r="P106" s="60">
        <f>SUM(P97,P101,P105)</f>
        <v>0</v>
      </c>
      <c r="Q106" s="60">
        <f>R106-P106</f>
        <v>0</v>
      </c>
      <c r="R106" s="60">
        <f>SUM(R97,R101,R105)</f>
        <v>0</v>
      </c>
      <c r="T106" s="60">
        <f>SUM(T97,T101,T105)</f>
        <v>0</v>
      </c>
      <c r="U106" s="60">
        <f>Q106</f>
        <v>0</v>
      </c>
      <c r="V106" s="60">
        <f>W106-(T106+U106)</f>
        <v>0</v>
      </c>
      <c r="W106" s="60">
        <f>SUM(W97,W101,W105)</f>
        <v>0</v>
      </c>
      <c r="X106" s="83" t="str">
        <f>IFERROR((V106/(T106+U106)),"n/a")</f>
        <v>n/a</v>
      </c>
      <c r="Y106" s="83">
        <f>IFERROR(((F97*Y97)+(F101*Y101)+(F105*Y105))/F106,0)</f>
        <v>3.9684246575342461E-2</v>
      </c>
      <c r="Z106" s="83">
        <f>IFERROR(((T97*Z97)+(T101*Z101)+(T105*Z105))/T106,0)</f>
        <v>0</v>
      </c>
      <c r="AA106" s="110"/>
      <c r="AB106" s="31"/>
    </row>
    <row r="107" spans="2:28" s="92" customFormat="1" hidden="1" outlineLevel="3" x14ac:dyDescent="0.25">
      <c r="B107" s="92" t="str">
        <f>$G$1&amp;C107&amp;D107</f>
        <v>SN0011Debt-Self-Venture-Short Term</v>
      </c>
      <c r="C107" s="92">
        <v>1</v>
      </c>
      <c r="D107" s="92" t="str">
        <f>D110</f>
        <v>Debt-Self-Venture-Short Term</v>
      </c>
      <c r="E107" s="97" t="str">
        <f>IFERROR(VLOOKUP(B107,Sort!$A:$F,5,0),"-")</f>
        <v>-</v>
      </c>
      <c r="F107" s="93">
        <v>0</v>
      </c>
      <c r="G107" s="94"/>
      <c r="H107" s="93">
        <f>W107</f>
        <v>0</v>
      </c>
      <c r="I107" s="94">
        <f t="shared" si="215"/>
        <v>0</v>
      </c>
      <c r="J107" s="95">
        <f>R107</f>
        <v>0</v>
      </c>
      <c r="K107" s="93">
        <f t="shared" ref="K107:K109" si="219">H107</f>
        <v>0</v>
      </c>
      <c r="L107" s="93">
        <f t="shared" si="2"/>
        <v>0</v>
      </c>
      <c r="M107" s="94" t="str">
        <f>IFERROR(L107/J107,"-")</f>
        <v>-</v>
      </c>
      <c r="N107" s="95"/>
      <c r="P107" s="93">
        <f>SUMIFS('PF Holdings_diff dates'!$N:$N,'PF Holdings_diff dates'!$I:$I,$E107,'PF Holdings_diff dates'!$G:$G,$G$1,'PF Holdings_diff dates'!$Q:$Q,P$3)</f>
        <v>0</v>
      </c>
      <c r="Q107" s="93">
        <f t="shared" si="3"/>
        <v>0</v>
      </c>
      <c r="R107" s="93">
        <f>SUMIFS('PF Holdings_diff dates'!$N:$N,'PF Holdings_diff dates'!$I:$I,$E107,'PF Holdings_diff dates'!$G:$G,$G$1,'PF Holdings_diff dates'!$Q:$Q,R$3)</f>
        <v>0</v>
      </c>
      <c r="T107" s="93">
        <f>SUMIFS('PF Holdings_diff dates'!$O:$O,'PF Holdings_diff dates'!$I:$I,$E107,'PF Holdings_diff dates'!$G:$G,$G$1,'PF Holdings_diff dates'!$Q:$Q,T$3)</f>
        <v>0</v>
      </c>
      <c r="U107" s="93">
        <f t="shared" si="4"/>
        <v>0</v>
      </c>
      <c r="V107" s="93">
        <f t="shared" si="5"/>
        <v>0</v>
      </c>
      <c r="W107" s="93">
        <f>SUMIFS('PF Holdings_diff dates'!$O:$O,'PF Holdings_diff dates'!$I:$I,$E107,'PF Holdings_diff dates'!$G:$G,$G$1,'PF Holdings_diff dates'!$Q:$Q,W$3)</f>
        <v>0</v>
      </c>
      <c r="X107" s="96" t="str">
        <f>IFERROR((V107/(T107+U107)),"-")</f>
        <v>-</v>
      </c>
      <c r="Y107" s="96" t="str">
        <f>IF(E107="-","-",VLOOKUP(D107,'Category level Benchmark and tr'!$A:$G,7,0))</f>
        <v>-</v>
      </c>
      <c r="Z107" s="96"/>
      <c r="AA107" s="108"/>
      <c r="AB107" s="109"/>
    </row>
    <row r="108" spans="2:28" s="92" customFormat="1" hidden="1" outlineLevel="3" x14ac:dyDescent="0.25">
      <c r="B108" s="92" t="str">
        <f t="shared" ref="B108:B109" si="220">$G$1&amp;C108&amp;D108</f>
        <v>SN0012Debt-Self-Venture-Short Term</v>
      </c>
      <c r="C108" s="92">
        <f>C107+1</f>
        <v>2</v>
      </c>
      <c r="D108" s="92" t="str">
        <f>D107</f>
        <v>Debt-Self-Venture-Short Term</v>
      </c>
      <c r="E108" s="97" t="str">
        <f>IFERROR(VLOOKUP(B108,Sort!$A:$F,5,0),"-")</f>
        <v>-</v>
      </c>
      <c r="F108" s="93">
        <v>0</v>
      </c>
      <c r="G108" s="94"/>
      <c r="H108" s="93">
        <f t="shared" ref="H108:H109" si="221">W108</f>
        <v>0</v>
      </c>
      <c r="I108" s="94">
        <f t="shared" si="215"/>
        <v>0</v>
      </c>
      <c r="J108" s="95">
        <f t="shared" ref="J108:J109" si="222">R108</f>
        <v>0</v>
      </c>
      <c r="K108" s="93">
        <f t="shared" si="219"/>
        <v>0</v>
      </c>
      <c r="L108" s="93">
        <f t="shared" si="2"/>
        <v>0</v>
      </c>
      <c r="M108" s="94" t="str">
        <f>IFERROR(L108/J108,"-")</f>
        <v>-</v>
      </c>
      <c r="N108" s="95"/>
      <c r="P108" s="93">
        <f>SUMIFS('PF Holdings_diff dates'!$N:$N,'PF Holdings_diff dates'!$I:$I,$E108,'PF Holdings_diff dates'!$G:$G,$G$1,'PF Holdings_diff dates'!$Q:$Q,P$3)</f>
        <v>0</v>
      </c>
      <c r="Q108" s="93">
        <f t="shared" si="3"/>
        <v>0</v>
      </c>
      <c r="R108" s="93">
        <f>SUMIFS('PF Holdings_diff dates'!$N:$N,'PF Holdings_diff dates'!$I:$I,$E108,'PF Holdings_diff dates'!$G:$G,$G$1,'PF Holdings_diff dates'!$Q:$Q,R$3)</f>
        <v>0</v>
      </c>
      <c r="T108" s="93">
        <f>SUMIFS('PF Holdings_diff dates'!$O:$O,'PF Holdings_diff dates'!$I:$I,$E108,'PF Holdings_diff dates'!$G:$G,$G$1,'PF Holdings_diff dates'!$Q:$Q,T$3)</f>
        <v>0</v>
      </c>
      <c r="U108" s="93">
        <f t="shared" si="4"/>
        <v>0</v>
      </c>
      <c r="V108" s="93">
        <f t="shared" si="5"/>
        <v>0</v>
      </c>
      <c r="W108" s="93">
        <f>SUMIFS('PF Holdings_diff dates'!$O:$O,'PF Holdings_diff dates'!$I:$I,$E108,'PF Holdings_diff dates'!$G:$G,$G$1,'PF Holdings_diff dates'!$Q:$Q,W$3)</f>
        <v>0</v>
      </c>
      <c r="X108" s="96" t="str">
        <f t="shared" ref="X108:X109" si="223">IFERROR((V108/(T108+U108)),"-")</f>
        <v>-</v>
      </c>
      <c r="Y108" s="96" t="str">
        <f>IF(E108="-","-",VLOOKUP(D108,'Category level Benchmark and tr'!$A:$G,7,0))</f>
        <v>-</v>
      </c>
      <c r="Z108" s="96"/>
      <c r="AA108" s="108"/>
      <c r="AB108" s="109"/>
    </row>
    <row r="109" spans="2:28" s="92" customFormat="1" hidden="1" outlineLevel="3" x14ac:dyDescent="0.25">
      <c r="B109" s="92" t="str">
        <f t="shared" si="220"/>
        <v>SN0013Debt-Self-Venture-Short Term</v>
      </c>
      <c r="C109" s="92">
        <f>C108+1</f>
        <v>3</v>
      </c>
      <c r="D109" s="92" t="str">
        <f>D108</f>
        <v>Debt-Self-Venture-Short Term</v>
      </c>
      <c r="E109" s="97" t="str">
        <f>IFERROR(VLOOKUP(B109,Sort!$A:$F,5,0),"-")</f>
        <v>-</v>
      </c>
      <c r="F109" s="93">
        <v>0</v>
      </c>
      <c r="G109" s="94"/>
      <c r="H109" s="93">
        <f t="shared" si="221"/>
        <v>0</v>
      </c>
      <c r="I109" s="94">
        <f t="shared" si="215"/>
        <v>0</v>
      </c>
      <c r="J109" s="95">
        <f t="shared" si="222"/>
        <v>0</v>
      </c>
      <c r="K109" s="93">
        <f t="shared" si="219"/>
        <v>0</v>
      </c>
      <c r="L109" s="93">
        <f t="shared" si="2"/>
        <v>0</v>
      </c>
      <c r="M109" s="94" t="str">
        <f>IFERROR(L109/J109,"-")</f>
        <v>-</v>
      </c>
      <c r="N109" s="95"/>
      <c r="P109" s="93">
        <f>SUMIFS('PF Holdings_diff dates'!$N:$N,'PF Holdings_diff dates'!$I:$I,$E109,'PF Holdings_diff dates'!$G:$G,$G$1,'PF Holdings_diff dates'!$Q:$Q,P$3)</f>
        <v>0</v>
      </c>
      <c r="Q109" s="93">
        <f t="shared" si="3"/>
        <v>0</v>
      </c>
      <c r="R109" s="93">
        <f>SUMIFS('PF Holdings_diff dates'!$N:$N,'PF Holdings_diff dates'!$I:$I,$E109,'PF Holdings_diff dates'!$G:$G,$G$1,'PF Holdings_diff dates'!$Q:$Q,R$3)</f>
        <v>0</v>
      </c>
      <c r="T109" s="93">
        <f>SUMIFS('PF Holdings_diff dates'!$O:$O,'PF Holdings_diff dates'!$I:$I,$E109,'PF Holdings_diff dates'!$G:$G,$G$1,'PF Holdings_diff dates'!$Q:$Q,T$3)</f>
        <v>0</v>
      </c>
      <c r="U109" s="93">
        <f t="shared" si="4"/>
        <v>0</v>
      </c>
      <c r="V109" s="93">
        <f t="shared" si="5"/>
        <v>0</v>
      </c>
      <c r="W109" s="93">
        <f>SUMIFS('PF Holdings_diff dates'!$O:$O,'PF Holdings_diff dates'!$I:$I,$E109,'PF Holdings_diff dates'!$G:$G,$G$1,'PF Holdings_diff dates'!$Q:$Q,W$3)</f>
        <v>0</v>
      </c>
      <c r="X109" s="96" t="str">
        <f t="shared" si="223"/>
        <v>-</v>
      </c>
      <c r="Y109" s="96" t="str">
        <f>IF(E109="-","-",VLOOKUP(D109,'Category level Benchmark and tr'!$A:$G,7,0))</f>
        <v>-</v>
      </c>
      <c r="Z109" s="96"/>
      <c r="AA109" s="108"/>
      <c r="AB109" s="109"/>
    </row>
    <row r="110" spans="2:28" hidden="1" outlineLevel="2" x14ac:dyDescent="0.25">
      <c r="D110" t="s">
        <v>116</v>
      </c>
      <c r="E110" s="62" t="s">
        <v>27</v>
      </c>
      <c r="F110" s="53">
        <f>'AA Decision View'!Q36</f>
        <v>20026.626199999999</v>
      </c>
      <c r="G110" s="43">
        <f>F110/F$123</f>
        <v>2.7999999999999994E-2</v>
      </c>
      <c r="H110" s="53">
        <f>'AA Decision View'!S36</f>
        <v>0</v>
      </c>
      <c r="I110" s="43">
        <f t="shared" si="215"/>
        <v>0</v>
      </c>
      <c r="J110" s="54">
        <f>'AA Decision View'!V36</f>
        <v>0</v>
      </c>
      <c r="K110" s="53">
        <f>H110</f>
        <v>0</v>
      </c>
      <c r="L110" s="53">
        <f>K110-J110</f>
        <v>0</v>
      </c>
      <c r="M110" s="43" t="str">
        <f>IFERROR(L110/J110,"n/a")</f>
        <v>n/a</v>
      </c>
      <c r="N110" s="54">
        <f>F110-K110</f>
        <v>20026.626199999999</v>
      </c>
      <c r="P110" s="53">
        <f>SUMIFS('PF Holdings_diff dates'!$N:$N,'PF Holdings_diff dates'!$A:$A,$D110,'PF Holdings_diff dates'!$G:$G,$G$1,'PF Holdings_diff dates'!$Q:$Q,P$3)</f>
        <v>0</v>
      </c>
      <c r="Q110" s="53">
        <f>R110-P110</f>
        <v>0</v>
      </c>
      <c r="R110" s="53">
        <f>SUMIFS('PF Holdings_diff dates'!$N:$N,'PF Holdings_diff dates'!$A:$A,$D110,'PF Holdings_diff dates'!$G:$G,$G$1,'PF Holdings_diff dates'!$Q:$Q,R$3)</f>
        <v>0</v>
      </c>
      <c r="T110" s="53">
        <f>SUMIFS('PF Holdings_diff dates'!$O:$O,'PF Holdings_diff dates'!$A:$A,$D110,'PF Holdings_diff dates'!$G:$G,$G$1,'PF Holdings_diff dates'!$Q:$Q,T$3)</f>
        <v>0</v>
      </c>
      <c r="U110" s="53">
        <f>Q110</f>
        <v>0</v>
      </c>
      <c r="V110" s="53">
        <f>W110-(T110+U110)</f>
        <v>0</v>
      </c>
      <c r="W110" s="53">
        <f>SUMIFS('PF Holdings_diff dates'!$O:$O,'PF Holdings_diff dates'!$A:$A,$D110,'PF Holdings_diff dates'!$G:$G,$G$1,'PF Holdings_diff dates'!$Q:$Q,W$3)</f>
        <v>0</v>
      </c>
      <c r="X110" s="84" t="str">
        <f>IFERROR((V110/(T110+U110)),"n/a")</f>
        <v>n/a</v>
      </c>
      <c r="Y110" s="84">
        <f>IFERROR(VLOOKUP(D110,'Category level Benchmark and tr'!$A:$G,7,0),0)</f>
        <v>4.0130136986301371E-2</v>
      </c>
      <c r="Z110" s="84">
        <f>Y110</f>
        <v>4.0130136986301371E-2</v>
      </c>
      <c r="AA110" s="110"/>
      <c r="AB110" s="111"/>
    </row>
    <row r="111" spans="2:28" s="92" customFormat="1" hidden="1" outlineLevel="3" x14ac:dyDescent="0.25">
      <c r="B111" s="92" t="str">
        <f>$G$1&amp;C111&amp;D111</f>
        <v>SN0011Debt-Self-Venture-Mid Term</v>
      </c>
      <c r="C111" s="92">
        <v>1</v>
      </c>
      <c r="D111" s="92" t="str">
        <f>D114</f>
        <v>Debt-Self-Venture-Mid Term</v>
      </c>
      <c r="E111" s="97" t="str">
        <f>IFERROR(VLOOKUP(B111,Sort!$A:$F,5,0),"-")</f>
        <v>-</v>
      </c>
      <c r="F111" s="93">
        <v>0</v>
      </c>
      <c r="G111" s="94"/>
      <c r="H111" s="93">
        <f>W111</f>
        <v>0</v>
      </c>
      <c r="I111" s="94">
        <f t="shared" si="215"/>
        <v>0</v>
      </c>
      <c r="J111" s="95">
        <f>R111</f>
        <v>0</v>
      </c>
      <c r="K111" s="93">
        <f t="shared" ref="K111:K113" si="224">H111</f>
        <v>0</v>
      </c>
      <c r="L111" s="93">
        <f t="shared" si="2"/>
        <v>0</v>
      </c>
      <c r="M111" s="94" t="str">
        <f>IFERROR(L111/J111,"-")</f>
        <v>-</v>
      </c>
      <c r="N111" s="95"/>
      <c r="P111" s="93">
        <f>SUMIFS('PF Holdings_diff dates'!$N:$N,'PF Holdings_diff dates'!$I:$I,$E111,'PF Holdings_diff dates'!$G:$G,$G$1,'PF Holdings_diff dates'!$Q:$Q,P$3)</f>
        <v>0</v>
      </c>
      <c r="Q111" s="93">
        <f t="shared" si="3"/>
        <v>0</v>
      </c>
      <c r="R111" s="93">
        <f>SUMIFS('PF Holdings_diff dates'!$N:$N,'PF Holdings_diff dates'!$I:$I,$E111,'PF Holdings_diff dates'!$G:$G,$G$1,'PF Holdings_diff dates'!$Q:$Q,R$3)</f>
        <v>0</v>
      </c>
      <c r="T111" s="93">
        <f>SUMIFS('PF Holdings_diff dates'!$O:$O,'PF Holdings_diff dates'!$I:$I,$E111,'PF Holdings_diff dates'!$G:$G,$G$1,'PF Holdings_diff dates'!$Q:$Q,T$3)</f>
        <v>0</v>
      </c>
      <c r="U111" s="93">
        <f t="shared" si="4"/>
        <v>0</v>
      </c>
      <c r="V111" s="93">
        <f t="shared" si="5"/>
        <v>0</v>
      </c>
      <c r="W111" s="93">
        <f>SUMIFS('PF Holdings_diff dates'!$O:$O,'PF Holdings_diff dates'!$I:$I,$E111,'PF Holdings_diff dates'!$G:$G,$G$1,'PF Holdings_diff dates'!$Q:$Q,W$3)</f>
        <v>0</v>
      </c>
      <c r="X111" s="96" t="str">
        <f>IFERROR((V111/(T111+U111)),"-")</f>
        <v>-</v>
      </c>
      <c r="Y111" s="96" t="str">
        <f>IF(E111="-","-",VLOOKUP(D111,'Category level Benchmark and tr'!$A:$G,7,0))</f>
        <v>-</v>
      </c>
      <c r="Z111" s="96"/>
      <c r="AA111" s="108"/>
      <c r="AB111" s="109"/>
    </row>
    <row r="112" spans="2:28" s="92" customFormat="1" hidden="1" outlineLevel="3" x14ac:dyDescent="0.25">
      <c r="B112" s="92" t="str">
        <f t="shared" ref="B112:B113" si="225">$G$1&amp;C112&amp;D112</f>
        <v>SN0012Debt-Self-Venture-Mid Term</v>
      </c>
      <c r="C112" s="92">
        <f>C111+1</f>
        <v>2</v>
      </c>
      <c r="D112" s="92" t="str">
        <f>D111</f>
        <v>Debt-Self-Venture-Mid Term</v>
      </c>
      <c r="E112" s="97" t="str">
        <f>IFERROR(VLOOKUP(B112,Sort!$A:$F,5,0),"-")</f>
        <v>-</v>
      </c>
      <c r="F112" s="93">
        <v>0</v>
      </c>
      <c r="G112" s="94"/>
      <c r="H112" s="93">
        <f t="shared" ref="H112:H113" si="226">W112</f>
        <v>0</v>
      </c>
      <c r="I112" s="94">
        <f t="shared" si="215"/>
        <v>0</v>
      </c>
      <c r="J112" s="95">
        <f t="shared" ref="J112:J113" si="227">R112</f>
        <v>0</v>
      </c>
      <c r="K112" s="93">
        <f t="shared" si="224"/>
        <v>0</v>
      </c>
      <c r="L112" s="93">
        <f t="shared" si="2"/>
        <v>0</v>
      </c>
      <c r="M112" s="94" t="str">
        <f>IFERROR(L112/J112,"-")</f>
        <v>-</v>
      </c>
      <c r="N112" s="95"/>
      <c r="P112" s="93">
        <f>SUMIFS('PF Holdings_diff dates'!$N:$N,'PF Holdings_diff dates'!$I:$I,$E112,'PF Holdings_diff dates'!$G:$G,$G$1,'PF Holdings_diff dates'!$Q:$Q,P$3)</f>
        <v>0</v>
      </c>
      <c r="Q112" s="93">
        <f t="shared" si="3"/>
        <v>0</v>
      </c>
      <c r="R112" s="93">
        <f>SUMIFS('PF Holdings_diff dates'!$N:$N,'PF Holdings_diff dates'!$I:$I,$E112,'PF Holdings_diff dates'!$G:$G,$G$1,'PF Holdings_diff dates'!$Q:$Q,R$3)</f>
        <v>0</v>
      </c>
      <c r="T112" s="93">
        <f>SUMIFS('PF Holdings_diff dates'!$O:$O,'PF Holdings_diff dates'!$I:$I,$E112,'PF Holdings_diff dates'!$G:$G,$G$1,'PF Holdings_diff dates'!$Q:$Q,T$3)</f>
        <v>0</v>
      </c>
      <c r="U112" s="93">
        <f t="shared" si="4"/>
        <v>0</v>
      </c>
      <c r="V112" s="93">
        <f t="shared" si="5"/>
        <v>0</v>
      </c>
      <c r="W112" s="93">
        <f>SUMIFS('PF Holdings_diff dates'!$O:$O,'PF Holdings_diff dates'!$I:$I,$E112,'PF Holdings_diff dates'!$G:$G,$G$1,'PF Holdings_diff dates'!$Q:$Q,W$3)</f>
        <v>0</v>
      </c>
      <c r="X112" s="96" t="str">
        <f t="shared" ref="X112:X113" si="228">IFERROR((V112/(T112+U112)),"-")</f>
        <v>-</v>
      </c>
      <c r="Y112" s="96" t="str">
        <f>IF(E112="-","-",VLOOKUP(D112,'Category level Benchmark and tr'!$A:$G,7,0))</f>
        <v>-</v>
      </c>
      <c r="Z112" s="96"/>
      <c r="AA112" s="108"/>
      <c r="AB112" s="109"/>
    </row>
    <row r="113" spans="2:28" s="92" customFormat="1" hidden="1" outlineLevel="3" x14ac:dyDescent="0.25">
      <c r="B113" s="92" t="str">
        <f t="shared" si="225"/>
        <v>SN0013Debt-Self-Venture-Mid Term</v>
      </c>
      <c r="C113" s="92">
        <f>C112+1</f>
        <v>3</v>
      </c>
      <c r="D113" s="92" t="str">
        <f>D112</f>
        <v>Debt-Self-Venture-Mid Term</v>
      </c>
      <c r="E113" s="97" t="str">
        <f>IFERROR(VLOOKUP(B113,Sort!$A:$F,5,0),"-")</f>
        <v>-</v>
      </c>
      <c r="F113" s="93">
        <v>0</v>
      </c>
      <c r="G113" s="94"/>
      <c r="H113" s="93">
        <f t="shared" si="226"/>
        <v>0</v>
      </c>
      <c r="I113" s="94">
        <f t="shared" si="215"/>
        <v>0</v>
      </c>
      <c r="J113" s="95">
        <f t="shared" si="227"/>
        <v>0</v>
      </c>
      <c r="K113" s="93">
        <f t="shared" si="224"/>
        <v>0</v>
      </c>
      <c r="L113" s="93">
        <f t="shared" si="2"/>
        <v>0</v>
      </c>
      <c r="M113" s="94" t="str">
        <f>IFERROR(L113/J113,"-")</f>
        <v>-</v>
      </c>
      <c r="N113" s="95"/>
      <c r="P113" s="93">
        <f>SUMIFS('PF Holdings_diff dates'!$N:$N,'PF Holdings_diff dates'!$I:$I,$E113,'PF Holdings_diff dates'!$G:$G,$G$1,'PF Holdings_diff dates'!$Q:$Q,P$3)</f>
        <v>0</v>
      </c>
      <c r="Q113" s="93">
        <f t="shared" si="3"/>
        <v>0</v>
      </c>
      <c r="R113" s="93">
        <f>SUMIFS('PF Holdings_diff dates'!$N:$N,'PF Holdings_diff dates'!$I:$I,$E113,'PF Holdings_diff dates'!$G:$G,$G$1,'PF Holdings_diff dates'!$Q:$Q,R$3)</f>
        <v>0</v>
      </c>
      <c r="T113" s="93">
        <f>SUMIFS('PF Holdings_diff dates'!$O:$O,'PF Holdings_diff dates'!$I:$I,$E113,'PF Holdings_diff dates'!$G:$G,$G$1,'PF Holdings_diff dates'!$Q:$Q,T$3)</f>
        <v>0</v>
      </c>
      <c r="U113" s="93">
        <f t="shared" si="4"/>
        <v>0</v>
      </c>
      <c r="V113" s="93">
        <f t="shared" si="5"/>
        <v>0</v>
      </c>
      <c r="W113" s="93">
        <f>SUMIFS('PF Holdings_diff dates'!$O:$O,'PF Holdings_diff dates'!$I:$I,$E113,'PF Holdings_diff dates'!$G:$G,$G$1,'PF Holdings_diff dates'!$Q:$Q,W$3)</f>
        <v>0</v>
      </c>
      <c r="X113" s="96" t="str">
        <f t="shared" si="228"/>
        <v>-</v>
      </c>
      <c r="Y113" s="96" t="str">
        <f>IF(E113="-","-",VLOOKUP(D113,'Category level Benchmark and tr'!$A:$G,7,0))</f>
        <v>-</v>
      </c>
      <c r="Z113" s="96"/>
      <c r="AA113" s="108"/>
      <c r="AB113" s="109"/>
    </row>
    <row r="114" spans="2:28" hidden="1" outlineLevel="2" x14ac:dyDescent="0.25">
      <c r="D114" t="s">
        <v>117</v>
      </c>
      <c r="E114" s="56" t="s">
        <v>28</v>
      </c>
      <c r="F114" s="53">
        <f>'AA Decision View'!Q37</f>
        <v>20026.626199999999</v>
      </c>
      <c r="G114" s="43">
        <f>F114/F$123</f>
        <v>2.7999999999999994E-2</v>
      </c>
      <c r="H114" s="53">
        <f>'AA Decision View'!S37</f>
        <v>0</v>
      </c>
      <c r="I114" s="43">
        <f t="shared" si="215"/>
        <v>0</v>
      </c>
      <c r="J114" s="54">
        <f>'AA Decision View'!V37</f>
        <v>0</v>
      </c>
      <c r="K114" s="53">
        <f>H114</f>
        <v>0</v>
      </c>
      <c r="L114" s="53">
        <f>K114-J114</f>
        <v>0</v>
      </c>
      <c r="M114" s="43" t="str">
        <f>IFERROR(L114/J114,"n/a")</f>
        <v>n/a</v>
      </c>
      <c r="N114" s="54">
        <f>F114-K114</f>
        <v>20026.626199999999</v>
      </c>
      <c r="P114" s="53">
        <f>SUMIFS('PF Holdings_diff dates'!$N:$N,'PF Holdings_diff dates'!$A:$A,$D114,'PF Holdings_diff dates'!$G:$G,$G$1,'PF Holdings_diff dates'!$Q:$Q,P$3)</f>
        <v>0</v>
      </c>
      <c r="Q114" s="53">
        <f>R114-P114</f>
        <v>0</v>
      </c>
      <c r="R114" s="53">
        <f>SUMIFS('PF Holdings_diff dates'!$N:$N,'PF Holdings_diff dates'!$A:$A,$D114,'PF Holdings_diff dates'!$G:$G,$G$1,'PF Holdings_diff dates'!$Q:$Q,R$3)</f>
        <v>0</v>
      </c>
      <c r="T114" s="53">
        <f>SUMIFS('PF Holdings_diff dates'!$O:$O,'PF Holdings_diff dates'!$A:$A,$D114,'PF Holdings_diff dates'!$G:$G,$G$1,'PF Holdings_diff dates'!$Q:$Q,T$3)</f>
        <v>0</v>
      </c>
      <c r="U114" s="53">
        <f>Q114</f>
        <v>0</v>
      </c>
      <c r="V114" s="53">
        <f>W114-(T114+U114)</f>
        <v>0</v>
      </c>
      <c r="W114" s="53">
        <f>SUMIFS('PF Holdings_diff dates'!$O:$O,'PF Holdings_diff dates'!$A:$A,$D114,'PF Holdings_diff dates'!$G:$G,$G$1,'PF Holdings_diff dates'!$Q:$Q,W$3)</f>
        <v>0</v>
      </c>
      <c r="X114" s="84" t="str">
        <f>IFERROR((V114/(T114+U114)),"n/a")</f>
        <v>n/a</v>
      </c>
      <c r="Y114" s="84">
        <f>IFERROR(VLOOKUP(D114,'Category level Benchmark and tr'!$A:$G,7,0),0)</f>
        <v>4.0130136986301371E-2</v>
      </c>
      <c r="Z114" s="84">
        <f t="shared" ref="Z114" si="229">Y114</f>
        <v>4.0130136986301371E-2</v>
      </c>
      <c r="AA114" s="110"/>
      <c r="AB114" s="111">
        <v>200000</v>
      </c>
    </row>
    <row r="115" spans="2:28" hidden="1" outlineLevel="1" x14ac:dyDescent="0.25">
      <c r="E115" s="57" t="s">
        <v>32</v>
      </c>
      <c r="F115" s="60">
        <f>SUM(F110,F114)</f>
        <v>40053.252399999998</v>
      </c>
      <c r="G115" s="59">
        <f>F115/F$123</f>
        <v>5.5999999999999987E-2</v>
      </c>
      <c r="H115" s="60">
        <f>SUM(H110,H114)</f>
        <v>0</v>
      </c>
      <c r="I115" s="59">
        <f t="shared" si="215"/>
        <v>0</v>
      </c>
      <c r="J115" s="60">
        <f>SUM(J110,J114)</f>
        <v>0</v>
      </c>
      <c r="K115" s="60">
        <f>H115</f>
        <v>0</v>
      </c>
      <c r="L115" s="60">
        <f>K115-J115</f>
        <v>0</v>
      </c>
      <c r="M115" s="59" t="str">
        <f>IFERROR(L115/J115,"n/a")</f>
        <v>n/a</v>
      </c>
      <c r="N115" s="60">
        <f>F115-K115</f>
        <v>40053.252399999998</v>
      </c>
      <c r="P115" s="60">
        <f>SUM(P110,P114)</f>
        <v>0</v>
      </c>
      <c r="Q115" s="61">
        <f>R115-P115</f>
        <v>0</v>
      </c>
      <c r="R115" s="60">
        <f>SUM(R110,R114)</f>
        <v>0</v>
      </c>
      <c r="T115" s="60">
        <f>SUM(T110,T114)</f>
        <v>0</v>
      </c>
      <c r="U115" s="60">
        <f>Q115</f>
        <v>0</v>
      </c>
      <c r="V115" s="61">
        <f>W115-(T115+U115)</f>
        <v>0</v>
      </c>
      <c r="W115" s="60">
        <f>SUM(W110,W114)</f>
        <v>0</v>
      </c>
      <c r="X115" s="83" t="str">
        <f>IFERROR((V115/(T115+U115)),"n/a")</f>
        <v>n/a</v>
      </c>
      <c r="Y115" s="83">
        <f>IFERROR(((F110*Y110)+(F114*Y114))/F115,0)</f>
        <v>4.0130136986301371E-2</v>
      </c>
      <c r="Z115" s="83">
        <f>IFERROR((((T110*Z110)+(T114*Z114))/T115),0)</f>
        <v>0</v>
      </c>
      <c r="AA115" s="110"/>
      <c r="AB115" s="111">
        <v>500000</v>
      </c>
    </row>
    <row r="116" spans="2:28" collapsed="1" x14ac:dyDescent="0.25">
      <c r="D116" t="s">
        <v>112</v>
      </c>
      <c r="E116" s="63" t="s">
        <v>10</v>
      </c>
      <c r="F116" s="64">
        <f>SUM(F93,F106,F115)</f>
        <v>143047.33000000002</v>
      </c>
      <c r="G116" s="65">
        <f>F116/F$123</f>
        <v>0.19999999999999998</v>
      </c>
      <c r="H116" s="64">
        <f>SUM(H93,H106,H115)</f>
        <v>166842.94</v>
      </c>
      <c r="I116" s="65">
        <f t="shared" si="215"/>
        <v>0.23326956189954748</v>
      </c>
      <c r="J116" s="64">
        <f>SUM(J93,J106,J115)</f>
        <v>137953.81</v>
      </c>
      <c r="K116" s="64">
        <f>SUM(K93,K106,K115)</f>
        <v>166842.94</v>
      </c>
      <c r="L116" s="64">
        <f>K116-J116</f>
        <v>28889.130000000005</v>
      </c>
      <c r="M116" s="65">
        <f>IFERROR(L116/J116,"n/a")</f>
        <v>0.20941161393077876</v>
      </c>
      <c r="N116" s="64">
        <f>F116-K116</f>
        <v>-23795.609999999986</v>
      </c>
      <c r="P116" s="64">
        <f>SUM(P93,P106,P115)</f>
        <v>137953.81</v>
      </c>
      <c r="Q116" s="64">
        <f>R116-P116</f>
        <v>0</v>
      </c>
      <c r="R116" s="64">
        <f>SUM(R93,R106,R115)</f>
        <v>137953.81</v>
      </c>
      <c r="T116" s="64">
        <f>SUM(T93,T106,T115)</f>
        <v>157928.77000000002</v>
      </c>
      <c r="U116" s="64">
        <f>Q116</f>
        <v>0</v>
      </c>
      <c r="V116" s="64">
        <f>W116-(T116+U116)</f>
        <v>8914.1699999999837</v>
      </c>
      <c r="W116" s="64">
        <f>SUM(W93,W106,W115)</f>
        <v>166842.94</v>
      </c>
      <c r="X116" s="85">
        <f>IFERROR((V116/(T116+U116)),"n/a")</f>
        <v>5.6444243819539545E-2</v>
      </c>
      <c r="Y116" s="82">
        <f>IFERROR((IFERROR((F93*Y93),0)+IFERROR((F106*Y106),0)+IFERROR((F115*Y115),0))/(F116),0)</f>
        <v>3.9933945205479458E-2</v>
      </c>
      <c r="Z116" s="82">
        <f>((T93*Z93)+IFERROR((T106*Z106),0)+IFERROR((T115*Z115),0))/(T116)</f>
        <v>4.0130136986301371E-2</v>
      </c>
      <c r="AA116" s="64"/>
      <c r="AB116" s="64">
        <f>SUM(AB73:AB115)</f>
        <v>1110181</v>
      </c>
    </row>
    <row r="117" spans="2:28" s="92" customFormat="1" hidden="1" outlineLevel="3" x14ac:dyDescent="0.25">
      <c r="B117" s="92" t="str">
        <f>$G$1&amp;C117&amp;D117</f>
        <v>SN0011Commodity-Managed-ETF-Gold</v>
      </c>
      <c r="C117" s="92">
        <v>1</v>
      </c>
      <c r="D117" s="92" t="str">
        <f>D120</f>
        <v>Commodity-Managed-ETF-Gold</v>
      </c>
      <c r="E117" s="97" t="str">
        <f>IFERROR(VLOOKUP(B117,Sort!$A:$F,5,0),"-")</f>
        <v>-</v>
      </c>
      <c r="F117" s="93">
        <v>0</v>
      </c>
      <c r="G117" s="94"/>
      <c r="H117" s="93">
        <f>W117</f>
        <v>0</v>
      </c>
      <c r="I117" s="94">
        <f t="shared" si="215"/>
        <v>0</v>
      </c>
      <c r="J117" s="95">
        <f>R117</f>
        <v>0</v>
      </c>
      <c r="K117" s="93">
        <f t="shared" ref="K117:K119" si="230">H117</f>
        <v>0</v>
      </c>
      <c r="L117" s="93">
        <f t="shared" ref="L117:L119" si="231">K117-J117</f>
        <v>0</v>
      </c>
      <c r="M117" s="94" t="str">
        <f>IFERROR(L117/J117,"-")</f>
        <v>-</v>
      </c>
      <c r="N117" s="95"/>
      <c r="P117" s="93">
        <f>SUMIFS('PF Holdings_diff dates'!$N:$N,'PF Holdings_diff dates'!$I:$I,$E117,'PF Holdings_diff dates'!$G:$G,$G$1,'PF Holdings_diff dates'!$Q:$Q,P$3)</f>
        <v>0</v>
      </c>
      <c r="Q117" s="93">
        <f t="shared" si="3"/>
        <v>0</v>
      </c>
      <c r="R117" s="93">
        <f>SUMIFS('PF Holdings_diff dates'!$N:$N,'PF Holdings_diff dates'!$I:$I,$E117,'PF Holdings_diff dates'!$G:$G,$G$1,'PF Holdings_diff dates'!$Q:$Q,R$3)</f>
        <v>0</v>
      </c>
      <c r="T117" s="93">
        <f>SUMIFS('PF Holdings_diff dates'!$O:$O,'PF Holdings_diff dates'!$I:$I,$E117,'PF Holdings_diff dates'!$G:$G,$G$1,'PF Holdings_diff dates'!$Q:$Q,T$3)</f>
        <v>0</v>
      </c>
      <c r="U117" s="93">
        <f t="shared" ref="U117:U119" si="232">Q117</f>
        <v>0</v>
      </c>
      <c r="V117" s="93">
        <f t="shared" ref="V117:V119" si="233">W117-(T117+U117)</f>
        <v>0</v>
      </c>
      <c r="W117" s="93">
        <f>SUMIFS('PF Holdings_diff dates'!$O:$O,'PF Holdings_diff dates'!$I:$I,$E117,'PF Holdings_diff dates'!$G:$G,$G$1,'PF Holdings_diff dates'!$Q:$Q,W$3)</f>
        <v>0</v>
      </c>
      <c r="X117" s="96" t="str">
        <f>IFERROR((V117/(T117+U117)),"-")</f>
        <v>-</v>
      </c>
      <c r="Y117" s="96" t="str">
        <f>IF(E117="-","-",VLOOKUP(D117,'Category level Benchmark and tr'!$A:$G,7,0))</f>
        <v>-</v>
      </c>
      <c r="Z117" s="96"/>
      <c r="AA117" s="108"/>
      <c r="AB117" s="109"/>
    </row>
    <row r="118" spans="2:28" s="92" customFormat="1" hidden="1" outlineLevel="3" x14ac:dyDescent="0.25">
      <c r="B118" s="92" t="str">
        <f t="shared" ref="B118:B119" si="234">$G$1&amp;C118&amp;D118</f>
        <v>SN0012Commodity-Managed-ETF-Gold</v>
      </c>
      <c r="C118" s="92">
        <f>C117+1</f>
        <v>2</v>
      </c>
      <c r="D118" s="92" t="str">
        <f>D117</f>
        <v>Commodity-Managed-ETF-Gold</v>
      </c>
      <c r="E118" s="97" t="str">
        <f>IFERROR(VLOOKUP(B118,Sort!$A:$F,5,0),"-")</f>
        <v>-</v>
      </c>
      <c r="F118" s="93">
        <v>0</v>
      </c>
      <c r="G118" s="94"/>
      <c r="H118" s="93">
        <f t="shared" ref="H118:H119" si="235">W118</f>
        <v>0</v>
      </c>
      <c r="I118" s="94">
        <f t="shared" si="215"/>
        <v>0</v>
      </c>
      <c r="J118" s="95">
        <f t="shared" ref="J118:J119" si="236">R118</f>
        <v>0</v>
      </c>
      <c r="K118" s="93">
        <f t="shared" si="230"/>
        <v>0</v>
      </c>
      <c r="L118" s="93">
        <f t="shared" si="231"/>
        <v>0</v>
      </c>
      <c r="M118" s="94" t="str">
        <f>IFERROR(L118/J118,"-")</f>
        <v>-</v>
      </c>
      <c r="N118" s="95"/>
      <c r="P118" s="93">
        <f>SUMIFS('PF Holdings_diff dates'!$N:$N,'PF Holdings_diff dates'!$I:$I,$E118,'PF Holdings_diff dates'!$G:$G,$G$1,'PF Holdings_diff dates'!$Q:$Q,P$3)</f>
        <v>0</v>
      </c>
      <c r="Q118" s="93">
        <f t="shared" si="3"/>
        <v>0</v>
      </c>
      <c r="R118" s="93">
        <f>SUMIFS('PF Holdings_diff dates'!$N:$N,'PF Holdings_diff dates'!$I:$I,$E118,'PF Holdings_diff dates'!$G:$G,$G$1,'PF Holdings_diff dates'!$Q:$Q,R$3)</f>
        <v>0</v>
      </c>
      <c r="T118" s="93">
        <f>SUMIFS('PF Holdings_diff dates'!$O:$O,'PF Holdings_diff dates'!$I:$I,$E118,'PF Holdings_diff dates'!$G:$G,$G$1,'PF Holdings_diff dates'!$Q:$Q,T$3)</f>
        <v>0</v>
      </c>
      <c r="U118" s="93">
        <f t="shared" si="232"/>
        <v>0</v>
      </c>
      <c r="V118" s="93">
        <f t="shared" si="233"/>
        <v>0</v>
      </c>
      <c r="W118" s="93">
        <f>SUMIFS('PF Holdings_diff dates'!$O:$O,'PF Holdings_diff dates'!$I:$I,$E118,'PF Holdings_diff dates'!$G:$G,$G$1,'PF Holdings_diff dates'!$Q:$Q,W$3)</f>
        <v>0</v>
      </c>
      <c r="X118" s="96" t="str">
        <f t="shared" ref="X118:X119" si="237">IFERROR((V118/(T118+U118)),"-")</f>
        <v>-</v>
      </c>
      <c r="Y118" s="96" t="str">
        <f>IF(E118="-","-",VLOOKUP(D118,'Category level Benchmark and tr'!$A:$G,7,0))</f>
        <v>-</v>
      </c>
      <c r="Z118" s="96"/>
      <c r="AA118" s="108"/>
      <c r="AB118" s="109"/>
    </row>
    <row r="119" spans="2:28" s="92" customFormat="1" hidden="1" outlineLevel="3" x14ac:dyDescent="0.25">
      <c r="B119" s="92" t="str">
        <f t="shared" si="234"/>
        <v>SN0013Commodity-Managed-ETF-Gold</v>
      </c>
      <c r="C119" s="92">
        <f>C118+1</f>
        <v>3</v>
      </c>
      <c r="D119" s="92" t="str">
        <f>D118</f>
        <v>Commodity-Managed-ETF-Gold</v>
      </c>
      <c r="E119" s="97" t="str">
        <f>IFERROR(VLOOKUP(B119,Sort!$A:$F,5,0),"-")</f>
        <v>-</v>
      </c>
      <c r="F119" s="93">
        <v>0</v>
      </c>
      <c r="G119" s="94"/>
      <c r="H119" s="93">
        <f t="shared" si="235"/>
        <v>0</v>
      </c>
      <c r="I119" s="94">
        <f t="shared" si="215"/>
        <v>0</v>
      </c>
      <c r="J119" s="95">
        <f t="shared" si="236"/>
        <v>0</v>
      </c>
      <c r="K119" s="93">
        <f t="shared" si="230"/>
        <v>0</v>
      </c>
      <c r="L119" s="93">
        <f t="shared" si="231"/>
        <v>0</v>
      </c>
      <c r="M119" s="94" t="str">
        <f>IFERROR(L119/J119,"-")</f>
        <v>-</v>
      </c>
      <c r="N119" s="95"/>
      <c r="P119" s="93">
        <f>SUMIFS('PF Holdings_diff dates'!$N:$N,'PF Holdings_diff dates'!$I:$I,$E119,'PF Holdings_diff dates'!$G:$G,$G$1,'PF Holdings_diff dates'!$Q:$Q,P$3)</f>
        <v>0</v>
      </c>
      <c r="Q119" s="93">
        <f t="shared" si="3"/>
        <v>0</v>
      </c>
      <c r="R119" s="93">
        <f>SUMIFS('PF Holdings_diff dates'!$N:$N,'PF Holdings_diff dates'!$I:$I,$E119,'PF Holdings_diff dates'!$G:$G,$G$1,'PF Holdings_diff dates'!$Q:$Q,R$3)</f>
        <v>0</v>
      </c>
      <c r="T119" s="93">
        <f>SUMIFS('PF Holdings_diff dates'!$O:$O,'PF Holdings_diff dates'!$I:$I,$E119,'PF Holdings_diff dates'!$G:$G,$G$1,'PF Holdings_diff dates'!$Q:$Q,T$3)</f>
        <v>0</v>
      </c>
      <c r="U119" s="93">
        <f t="shared" si="232"/>
        <v>0</v>
      </c>
      <c r="V119" s="93">
        <f t="shared" si="233"/>
        <v>0</v>
      </c>
      <c r="W119" s="93">
        <f>SUMIFS('PF Holdings_diff dates'!$O:$O,'PF Holdings_diff dates'!$I:$I,$E119,'PF Holdings_diff dates'!$G:$G,$G$1,'PF Holdings_diff dates'!$Q:$Q,W$3)</f>
        <v>0</v>
      </c>
      <c r="X119" s="96" t="str">
        <f t="shared" si="237"/>
        <v>-</v>
      </c>
      <c r="Y119" s="96" t="str">
        <f>IF(E119="-","-",VLOOKUP(D119,'Category level Benchmark and tr'!$A:$G,7,0))</f>
        <v>-</v>
      </c>
      <c r="Z119" s="96"/>
      <c r="AA119" s="108"/>
      <c r="AB119" s="109"/>
    </row>
    <row r="120" spans="2:28" hidden="1" outlineLevel="2" x14ac:dyDescent="0.25">
      <c r="D120" t="s">
        <v>118</v>
      </c>
      <c r="E120" s="98" t="s">
        <v>248</v>
      </c>
      <c r="F120" s="53">
        <f>'AA Decision View'!Q38</f>
        <v>35761.832500000004</v>
      </c>
      <c r="G120" s="43">
        <f>F120/F$123</f>
        <v>4.9999999999999996E-2</v>
      </c>
      <c r="H120" s="53">
        <f>'AA Decision View'!S38</f>
        <v>0</v>
      </c>
      <c r="I120" s="43">
        <f t="shared" si="215"/>
        <v>0</v>
      </c>
      <c r="J120" s="54">
        <f>'AA Decision View'!V38</f>
        <v>0</v>
      </c>
      <c r="K120" s="53">
        <f>H120</f>
        <v>0</v>
      </c>
      <c r="L120" s="53">
        <f>K120-J120</f>
        <v>0</v>
      </c>
      <c r="M120" s="43" t="str">
        <f t="shared" ref="M120" si="238">IFERROR(L120/J120,"n/a")</f>
        <v>n/a</v>
      </c>
      <c r="N120" s="54">
        <f>F120-K120</f>
        <v>35761.832500000004</v>
      </c>
      <c r="P120" s="53">
        <f>SUMIFS('PF Holdings_diff dates'!$N:$N,'PF Holdings_diff dates'!$A:$A,$D120,'PF Holdings_diff dates'!$G:$G,$G$1,'PF Holdings_diff dates'!$Q:$Q,P$3)</f>
        <v>0</v>
      </c>
      <c r="Q120" s="53">
        <f>R120-P120</f>
        <v>0</v>
      </c>
      <c r="R120" s="53">
        <f>SUMIFS('PF Holdings_diff dates'!$N:$N,'PF Holdings_diff dates'!$A:$A,$D120,'PF Holdings_diff dates'!$G:$G,$G$1,'PF Holdings_diff dates'!$Q:$Q,R$3)</f>
        <v>0</v>
      </c>
      <c r="T120" s="53">
        <f>SUMIFS('PF Holdings_diff dates'!$O:$O,'PF Holdings_diff dates'!$A:$A,$D120,'PF Holdings_diff dates'!$G:$G,$G$1,'PF Holdings_diff dates'!$Q:$Q,T$3)</f>
        <v>0</v>
      </c>
      <c r="U120" s="53">
        <f>Q120</f>
        <v>0</v>
      </c>
      <c r="V120" s="53">
        <f>W120-(T120+U120)</f>
        <v>0</v>
      </c>
      <c r="W120" s="53">
        <f>SUMIFS('PF Holdings_diff dates'!$O:$O,'PF Holdings_diff dates'!$A:$A,$D120,'PF Holdings_diff dates'!$G:$G,$G$1,'PF Holdings_diff dates'!$Q:$Q,W$3)</f>
        <v>0</v>
      </c>
      <c r="X120" s="84" t="str">
        <f>IFERROR((V120/(T120+U120)),"n/a")</f>
        <v>n/a</v>
      </c>
      <c r="Y120" s="84">
        <f>IFERROR(VLOOKUP(D120,'Category level Benchmark and tr'!$A:$G,7,0),0)</f>
        <v>0.18078791149487317</v>
      </c>
      <c r="Z120" s="84">
        <f>Y120</f>
        <v>0.18078791149487317</v>
      </c>
      <c r="AA120" s="110"/>
      <c r="AB120" s="31"/>
    </row>
    <row r="121" spans="2:28" hidden="1" outlineLevel="1" x14ac:dyDescent="0.25">
      <c r="E121" s="99" t="s">
        <v>31</v>
      </c>
      <c r="F121" s="60">
        <f>F120</f>
        <v>35761.832500000004</v>
      </c>
      <c r="G121" s="59">
        <f>F121/F$123</f>
        <v>4.9999999999999996E-2</v>
      </c>
      <c r="H121" s="60">
        <f>H120</f>
        <v>0</v>
      </c>
      <c r="I121" s="59">
        <f t="shared" si="215"/>
        <v>0</v>
      </c>
      <c r="J121" s="60">
        <f>J120</f>
        <v>0</v>
      </c>
      <c r="K121" s="60">
        <f>H121</f>
        <v>0</v>
      </c>
      <c r="L121" s="60">
        <f>K121-J121</f>
        <v>0</v>
      </c>
      <c r="M121" s="59" t="str">
        <f>IFERROR(L121/J121,"n/a")</f>
        <v>n/a</v>
      </c>
      <c r="N121" s="60">
        <f>F121-K121</f>
        <v>35761.832500000004</v>
      </c>
      <c r="P121" s="60">
        <f>P120</f>
        <v>0</v>
      </c>
      <c r="Q121" s="60">
        <f>R121-P121</f>
        <v>0</v>
      </c>
      <c r="R121" s="60">
        <f>R120</f>
        <v>0</v>
      </c>
      <c r="T121" s="60">
        <f>T120</f>
        <v>0</v>
      </c>
      <c r="U121" s="60">
        <f>Q121</f>
        <v>0</v>
      </c>
      <c r="V121" s="60">
        <f>W121-(T121+U121)</f>
        <v>0</v>
      </c>
      <c r="W121" s="60">
        <f>W120</f>
        <v>0</v>
      </c>
      <c r="X121" s="83" t="str">
        <f>IFERROR((V121/(T121+U121)),"n/a")</f>
        <v>n/a</v>
      </c>
      <c r="Y121" s="83">
        <f>Y120</f>
        <v>0.18078791149487317</v>
      </c>
      <c r="Z121" s="83">
        <f>Z120</f>
        <v>0.18078791149487317</v>
      </c>
      <c r="AA121" s="110"/>
      <c r="AB121" s="31"/>
    </row>
    <row r="122" spans="2:28" collapsed="1" x14ac:dyDescent="0.25">
      <c r="E122" s="66" t="s">
        <v>11</v>
      </c>
      <c r="F122" s="67">
        <f>F121</f>
        <v>35761.832500000004</v>
      </c>
      <c r="G122" s="68">
        <f>F122/F$123</f>
        <v>4.9999999999999996E-2</v>
      </c>
      <c r="H122" s="67">
        <f>H121</f>
        <v>0</v>
      </c>
      <c r="I122" s="68">
        <f t="shared" si="215"/>
        <v>0</v>
      </c>
      <c r="J122" s="67">
        <f>J121</f>
        <v>0</v>
      </c>
      <c r="K122" s="67">
        <f>H122</f>
        <v>0</v>
      </c>
      <c r="L122" s="67">
        <f>K122-J122</f>
        <v>0</v>
      </c>
      <c r="M122" s="68" t="str">
        <f>IFERROR(L122/J122,"n/a")</f>
        <v>n/a</v>
      </c>
      <c r="N122" s="67">
        <f>F122-K122</f>
        <v>35761.832500000004</v>
      </c>
      <c r="P122" s="67">
        <f>P121</f>
        <v>0</v>
      </c>
      <c r="Q122" s="67">
        <f>R122-P122</f>
        <v>0</v>
      </c>
      <c r="R122" s="67">
        <f>R121</f>
        <v>0</v>
      </c>
      <c r="T122" s="67">
        <f>T121</f>
        <v>0</v>
      </c>
      <c r="U122" s="67">
        <f>Q122</f>
        <v>0</v>
      </c>
      <c r="V122" s="67">
        <f>W122-(T122+U122)</f>
        <v>0</v>
      </c>
      <c r="W122" s="67">
        <f>W121</f>
        <v>0</v>
      </c>
      <c r="X122" s="86" t="str">
        <f>IFERROR((V122/(T122+U122)),"n/a")</f>
        <v>n/a</v>
      </c>
      <c r="Y122" s="86">
        <f>Y121</f>
        <v>0.18078791149487317</v>
      </c>
      <c r="Z122" s="86">
        <f t="shared" ref="Z122" si="239">Z121</f>
        <v>0.18078791149487317</v>
      </c>
      <c r="AA122" s="64"/>
      <c r="AB122" s="64"/>
    </row>
    <row r="123" spans="2:28" x14ac:dyDescent="0.25">
      <c r="F123" s="69">
        <f t="shared" ref="F123:L123" si="240">SUM(F72,F116,F122)</f>
        <v>715236.65000000014</v>
      </c>
      <c r="G123" s="70">
        <f t="shared" si="240"/>
        <v>0.99999999999999989</v>
      </c>
      <c r="H123" s="69">
        <f t="shared" si="240"/>
        <v>715236.65000000014</v>
      </c>
      <c r="I123" s="70">
        <f t="shared" si="240"/>
        <v>1</v>
      </c>
      <c r="J123" s="69">
        <f t="shared" si="240"/>
        <v>500953.81</v>
      </c>
      <c r="K123" s="69">
        <f t="shared" si="240"/>
        <v>715236.65000000014</v>
      </c>
      <c r="L123" s="69">
        <f t="shared" si="240"/>
        <v>214282.84000000008</v>
      </c>
      <c r="M123" s="70">
        <f t="shared" si="31"/>
        <v>0.42774969612467884</v>
      </c>
      <c r="N123" s="69">
        <f>SUM(N72,N116,N122)</f>
        <v>0</v>
      </c>
      <c r="P123" s="69">
        <f>SUM(P72,P116,P122)</f>
        <v>500953.81</v>
      </c>
      <c r="Q123" s="69">
        <f t="shared" si="3"/>
        <v>0</v>
      </c>
      <c r="R123" s="69">
        <f>SUM(R72,R116,R122)</f>
        <v>500953.81</v>
      </c>
      <c r="T123" s="69">
        <f>SUM(T72,T116,T122)</f>
        <v>620646.84000000008</v>
      </c>
      <c r="U123" s="69">
        <f t="shared" si="4"/>
        <v>0</v>
      </c>
      <c r="V123" s="69">
        <f t="shared" si="5"/>
        <v>94589.810000000056</v>
      </c>
      <c r="W123" s="69">
        <f>SUM(W72,W116,W122)</f>
        <v>715236.65000000014</v>
      </c>
      <c r="X123" s="90">
        <f t="shared" si="182"/>
        <v>0.15240520680005404</v>
      </c>
      <c r="Y123" s="90">
        <f>((F72*Y72)+IFERROR((F116*Y116),0)+IFERROR((F122*Y122),0))/(F123)</f>
        <v>0.15400559062461031</v>
      </c>
      <c r="Z123" s="90">
        <f>((T72*Z72)+IFERROR((T116*Z116),0)+IFERROR((T122*Z122),0))/(T123)</f>
        <v>0.13798233064337276</v>
      </c>
      <c r="AA123" s="110"/>
      <c r="AB123" s="31"/>
    </row>
  </sheetData>
  <mergeCells count="1">
    <mergeCell ref="T4:Z4"/>
  </mergeCells>
  <pageMargins left="0.25" right="0.25" top="0.75" bottom="0.75" header="0.3" footer="0.3"/>
  <pageSetup scale="5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ED43A-FC50-48BB-B3A5-201C636F81A8}">
  <sheetPr>
    <tabColor theme="4" tint="0.39997558519241921"/>
  </sheetPr>
  <dimension ref="A1:I13"/>
  <sheetViews>
    <sheetView showGridLines="0" workbookViewId="0">
      <selection activeCell="B1" sqref="B1"/>
    </sheetView>
  </sheetViews>
  <sheetFormatPr defaultRowHeight="13.2" x14ac:dyDescent="0.25"/>
  <cols>
    <col min="1" max="1" width="20.5546875" bestFit="1" customWidth="1"/>
    <col min="2" max="2" width="18.5546875" bestFit="1" customWidth="1"/>
    <col min="3" max="3" width="19.88671875" bestFit="1" customWidth="1"/>
    <col min="4" max="4" width="31.6640625" customWidth="1"/>
    <col min="5" max="5" width="61.88671875" bestFit="1" customWidth="1"/>
    <col min="6" max="6" width="8.21875" bestFit="1" customWidth="1"/>
    <col min="7" max="7" width="12.21875" bestFit="1" customWidth="1"/>
    <col min="8" max="8" width="9.6640625" bestFit="1" customWidth="1"/>
    <col min="9" max="9" width="11.88671875" bestFit="1" customWidth="1"/>
    <col min="10" max="10" width="14" bestFit="1" customWidth="1"/>
    <col min="11" max="11" width="18.33203125" bestFit="1" customWidth="1"/>
    <col min="12" max="12" width="15.33203125" bestFit="1" customWidth="1"/>
    <col min="13" max="13" width="17.6640625" bestFit="1" customWidth="1"/>
  </cols>
  <sheetData>
    <row r="1" spans="1:9" x14ac:dyDescent="0.25">
      <c r="A1" s="45" t="s">
        <v>37</v>
      </c>
      <c r="B1" t="s">
        <v>274</v>
      </c>
    </row>
    <row r="2" spans="1:9" x14ac:dyDescent="0.25">
      <c r="A2" s="45" t="s">
        <v>192</v>
      </c>
      <c r="B2" t="s">
        <v>190</v>
      </c>
    </row>
    <row r="4" spans="1:9" x14ac:dyDescent="0.25">
      <c r="A4" s="45" t="s">
        <v>140</v>
      </c>
      <c r="B4" s="45" t="s">
        <v>4</v>
      </c>
      <c r="C4" s="45" t="s">
        <v>138</v>
      </c>
      <c r="D4" s="45" t="s">
        <v>126</v>
      </c>
      <c r="E4" s="45" t="s">
        <v>39</v>
      </c>
      <c r="F4" t="s">
        <v>150</v>
      </c>
      <c r="G4" t="s">
        <v>151</v>
      </c>
      <c r="H4" t="s">
        <v>152</v>
      </c>
      <c r="I4" t="s">
        <v>153</v>
      </c>
    </row>
    <row r="5" spans="1:9" x14ac:dyDescent="0.25">
      <c r="A5" t="s">
        <v>8</v>
      </c>
      <c r="B5" t="s">
        <v>31</v>
      </c>
      <c r="C5" t="s">
        <v>12</v>
      </c>
      <c r="D5" t="s">
        <v>105</v>
      </c>
      <c r="E5" t="s">
        <v>178</v>
      </c>
      <c r="F5" s="44">
        <v>50000</v>
      </c>
      <c r="G5" s="44">
        <v>64295.199999999997</v>
      </c>
      <c r="H5" s="44">
        <v>14295.199999999997</v>
      </c>
      <c r="I5" s="46">
        <v>0.28590399999999994</v>
      </c>
    </row>
    <row r="6" spans="1:9" x14ac:dyDescent="0.25">
      <c r="A6" t="s">
        <v>8</v>
      </c>
      <c r="B6" t="s">
        <v>31</v>
      </c>
      <c r="C6" t="s">
        <v>13</v>
      </c>
      <c r="D6" t="s">
        <v>100</v>
      </c>
      <c r="E6" t="s">
        <v>271</v>
      </c>
      <c r="F6" s="44">
        <v>113000</v>
      </c>
      <c r="G6" s="44">
        <v>158035.91</v>
      </c>
      <c r="H6" s="44">
        <v>45035.91</v>
      </c>
      <c r="I6" s="46">
        <v>0.39854787610619474</v>
      </c>
    </row>
    <row r="7" spans="1:9" x14ac:dyDescent="0.25">
      <c r="A7" t="s">
        <v>8</v>
      </c>
      <c r="B7" t="s">
        <v>31</v>
      </c>
      <c r="C7" t="s">
        <v>13</v>
      </c>
      <c r="D7" t="s">
        <v>100</v>
      </c>
      <c r="E7" t="s">
        <v>272</v>
      </c>
      <c r="F7" s="44">
        <v>30000</v>
      </c>
      <c r="G7" s="44">
        <v>50337.3</v>
      </c>
      <c r="H7" s="44">
        <v>20337.300000000003</v>
      </c>
      <c r="I7" s="46">
        <v>0.67791000000000012</v>
      </c>
    </row>
    <row r="8" spans="1:9" x14ac:dyDescent="0.25">
      <c r="A8" t="s">
        <v>8</v>
      </c>
      <c r="B8" t="s">
        <v>31</v>
      </c>
      <c r="C8" t="s">
        <v>14</v>
      </c>
      <c r="D8" t="s">
        <v>101</v>
      </c>
      <c r="E8" t="s">
        <v>173</v>
      </c>
      <c r="F8" s="44">
        <v>45000</v>
      </c>
      <c r="G8" s="44">
        <v>69669.210000000006</v>
      </c>
      <c r="H8" s="44">
        <v>24669.210000000006</v>
      </c>
      <c r="I8" s="46">
        <v>0.54820466666666678</v>
      </c>
    </row>
    <row r="9" spans="1:9" x14ac:dyDescent="0.25">
      <c r="A9" t="s">
        <v>8</v>
      </c>
      <c r="B9" t="s">
        <v>31</v>
      </c>
      <c r="C9" t="s">
        <v>15</v>
      </c>
      <c r="D9" t="s">
        <v>102</v>
      </c>
      <c r="E9" t="s">
        <v>175</v>
      </c>
      <c r="F9" s="44">
        <v>105000</v>
      </c>
      <c r="G9" s="44">
        <v>179649.68</v>
      </c>
      <c r="H9" s="44">
        <v>74649.679999999993</v>
      </c>
      <c r="I9" s="46">
        <v>0.71094933333333332</v>
      </c>
    </row>
    <row r="10" spans="1:9" x14ac:dyDescent="0.25">
      <c r="A10" t="s">
        <v>8</v>
      </c>
      <c r="B10" t="s">
        <v>31</v>
      </c>
      <c r="C10" t="s">
        <v>16</v>
      </c>
      <c r="D10" t="s">
        <v>121</v>
      </c>
      <c r="E10" t="s">
        <v>181</v>
      </c>
      <c r="F10" s="44">
        <v>20000</v>
      </c>
      <c r="G10" s="44">
        <v>26406.41</v>
      </c>
      <c r="H10" s="44">
        <v>6406.41</v>
      </c>
      <c r="I10" s="46">
        <v>0.32032050000000001</v>
      </c>
    </row>
    <row r="11" spans="1:9" x14ac:dyDescent="0.25">
      <c r="A11" t="s">
        <v>10</v>
      </c>
      <c r="B11" t="s">
        <v>146</v>
      </c>
      <c r="C11" t="s">
        <v>33</v>
      </c>
      <c r="D11" t="s">
        <v>112</v>
      </c>
      <c r="E11" t="s">
        <v>273</v>
      </c>
      <c r="F11" s="44">
        <v>100000</v>
      </c>
      <c r="G11" s="44">
        <v>120708.34</v>
      </c>
      <c r="H11" s="44">
        <v>20708.339999999997</v>
      </c>
      <c r="I11" s="46">
        <v>0.20708339999999997</v>
      </c>
    </row>
    <row r="12" spans="1:9" x14ac:dyDescent="0.25">
      <c r="A12" t="s">
        <v>10</v>
      </c>
      <c r="B12" t="s">
        <v>146</v>
      </c>
      <c r="C12" t="s">
        <v>30</v>
      </c>
      <c r="D12" t="s">
        <v>113</v>
      </c>
      <c r="E12" t="s">
        <v>185</v>
      </c>
      <c r="F12" s="44">
        <v>37953.81</v>
      </c>
      <c r="G12" s="44">
        <v>46134.6</v>
      </c>
      <c r="H12" s="44">
        <v>8180.7900000000009</v>
      </c>
      <c r="I12" s="46">
        <v>0.21554594914186484</v>
      </c>
    </row>
    <row r="13" spans="1:9" x14ac:dyDescent="0.25">
      <c r="A13" t="s">
        <v>149</v>
      </c>
      <c r="F13" s="44">
        <v>500953.81</v>
      </c>
      <c r="G13" s="44">
        <v>715236.64999999991</v>
      </c>
      <c r="H13" s="44">
        <v>214282.83999999991</v>
      </c>
      <c r="I13" s="46">
        <v>0.42774969612467845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DCB36-F6DB-4C0E-8EBB-28DC651D2BA8}">
  <sheetPr>
    <tabColor rgb="FFFFFF00"/>
  </sheetPr>
  <dimension ref="A1:F9"/>
  <sheetViews>
    <sheetView workbookViewId="0">
      <selection activeCell="C10" sqref="C10"/>
    </sheetView>
  </sheetViews>
  <sheetFormatPr defaultRowHeight="13.2" x14ac:dyDescent="0.25"/>
  <cols>
    <col min="1" max="1" width="43.44140625" bestFit="1" customWidth="1"/>
    <col min="3" max="3" width="8.88671875" style="81"/>
    <col min="4" max="4" width="35.5546875" bestFit="1" customWidth="1"/>
    <col min="5" max="5" width="71.44140625" bestFit="1" customWidth="1"/>
    <col min="6" max="6" width="12.6640625" style="100" bestFit="1" customWidth="1"/>
  </cols>
  <sheetData>
    <row r="1" spans="1:6" x14ac:dyDescent="0.25">
      <c r="A1" t="s">
        <v>252</v>
      </c>
      <c r="B1" t="s">
        <v>253</v>
      </c>
      <c r="C1" s="81" t="s">
        <v>250</v>
      </c>
      <c r="D1" t="s">
        <v>126</v>
      </c>
      <c r="E1" t="s">
        <v>251</v>
      </c>
      <c r="F1" s="100" t="s">
        <v>24</v>
      </c>
    </row>
    <row r="2" spans="1:6" x14ac:dyDescent="0.25">
      <c r="A2" t="str">
        <f t="shared" ref="A2:A9" si="0">B2&amp;C2&amp;D2</f>
        <v>SN0011Equity-Managed-Mutual Funds-International</v>
      </c>
      <c r="B2" t="s">
        <v>274</v>
      </c>
      <c r="C2" s="81">
        <v>1</v>
      </c>
      <c r="D2" t="s">
        <v>105</v>
      </c>
      <c r="E2" t="s">
        <v>178</v>
      </c>
      <c r="F2" s="100">
        <v>64295.199999999997</v>
      </c>
    </row>
    <row r="3" spans="1:6" x14ac:dyDescent="0.25">
      <c r="A3" t="str">
        <f t="shared" si="0"/>
        <v>SN0011Equity-Managed-Mutual Funds-Large Cap</v>
      </c>
      <c r="B3" t="s">
        <v>274</v>
      </c>
      <c r="C3" s="81">
        <f t="shared" ref="C3:C9" si="1">IF(D3=D2,C2+1,1)</f>
        <v>1</v>
      </c>
      <c r="D3" t="s">
        <v>100</v>
      </c>
      <c r="E3" t="s">
        <v>271</v>
      </c>
      <c r="F3" s="100">
        <v>158035.91</v>
      </c>
    </row>
    <row r="4" spans="1:6" x14ac:dyDescent="0.25">
      <c r="A4" t="str">
        <f t="shared" si="0"/>
        <v>SN0012Equity-Managed-Mutual Funds-Large Cap</v>
      </c>
      <c r="B4" t="s">
        <v>274</v>
      </c>
      <c r="C4" s="81">
        <f t="shared" si="1"/>
        <v>2</v>
      </c>
      <c r="D4" t="s">
        <v>100</v>
      </c>
      <c r="E4" t="s">
        <v>272</v>
      </c>
      <c r="F4" s="100">
        <v>50337.3</v>
      </c>
    </row>
    <row r="5" spans="1:6" x14ac:dyDescent="0.25">
      <c r="A5" t="str">
        <f t="shared" si="0"/>
        <v>SN0011Equity-Managed-Mutual Funds-Mid Cap</v>
      </c>
      <c r="B5" t="s">
        <v>274</v>
      </c>
      <c r="C5" s="81">
        <f t="shared" si="1"/>
        <v>1</v>
      </c>
      <c r="D5" t="s">
        <v>101</v>
      </c>
      <c r="E5" t="s">
        <v>173</v>
      </c>
      <c r="F5" s="100">
        <v>69669.210000000006</v>
      </c>
    </row>
    <row r="6" spans="1:6" x14ac:dyDescent="0.25">
      <c r="A6" t="str">
        <f t="shared" si="0"/>
        <v>SN0011Equity-Managed-Mutual Funds-Small Cap</v>
      </c>
      <c r="B6" t="s">
        <v>274</v>
      </c>
      <c r="C6" s="81">
        <f t="shared" si="1"/>
        <v>1</v>
      </c>
      <c r="D6" t="s">
        <v>102</v>
      </c>
      <c r="E6" t="s">
        <v>175</v>
      </c>
      <c r="F6" s="100">
        <v>179649.68</v>
      </c>
    </row>
    <row r="7" spans="1:6" x14ac:dyDescent="0.25">
      <c r="A7" t="str">
        <f t="shared" si="0"/>
        <v>SN0011Equity-Managed-Mutual Funds-Sectoral</v>
      </c>
      <c r="B7" t="s">
        <v>274</v>
      </c>
      <c r="C7" s="81">
        <f t="shared" si="1"/>
        <v>1</v>
      </c>
      <c r="D7" t="s">
        <v>121</v>
      </c>
      <c r="E7" t="s">
        <v>181</v>
      </c>
      <c r="F7" s="100">
        <v>26406.41</v>
      </c>
    </row>
    <row r="8" spans="1:6" x14ac:dyDescent="0.25">
      <c r="A8" t="str">
        <f t="shared" si="0"/>
        <v>SN0011Debt-Managed-Mutual Funds-Dynamic</v>
      </c>
      <c r="B8" t="s">
        <v>274</v>
      </c>
      <c r="C8" s="81">
        <f t="shared" si="1"/>
        <v>1</v>
      </c>
      <c r="D8" t="s">
        <v>112</v>
      </c>
      <c r="E8" t="s">
        <v>273</v>
      </c>
      <c r="F8" s="100">
        <v>120708.34</v>
      </c>
    </row>
    <row r="9" spans="1:6" x14ac:dyDescent="0.25">
      <c r="A9" t="str">
        <f t="shared" si="0"/>
        <v>SN0011Debt-Managed-Mutual Funds-Credit Risk</v>
      </c>
      <c r="B9" t="s">
        <v>274</v>
      </c>
      <c r="C9" s="81">
        <f t="shared" si="1"/>
        <v>1</v>
      </c>
      <c r="D9" t="s">
        <v>113</v>
      </c>
      <c r="E9" t="s">
        <v>185</v>
      </c>
      <c r="F9" s="100">
        <v>46134.6</v>
      </c>
    </row>
  </sheetData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18874-20B8-47BF-977F-ACB4B86ED47C}">
  <sheetPr>
    <tabColor rgb="FFFFFF00"/>
  </sheetPr>
  <dimension ref="A1:S21"/>
  <sheetViews>
    <sheetView workbookViewId="0">
      <pane ySplit="1" topLeftCell="A2" activePane="bottomLeft" state="frozen"/>
      <selection pane="bottomLeft" activeCell="I13" sqref="I13"/>
    </sheetView>
  </sheetViews>
  <sheetFormatPr defaultRowHeight="13.2" x14ac:dyDescent="0.25"/>
  <cols>
    <col min="1" max="1" width="36.88671875" bestFit="1" customWidth="1"/>
    <col min="2" max="2" width="10.109375" bestFit="1" customWidth="1"/>
    <col min="3" max="3" width="10.109375" customWidth="1"/>
    <col min="4" max="4" width="13.6640625" customWidth="1"/>
    <col min="5" max="5" width="16.33203125" customWidth="1"/>
    <col min="7" max="7" width="18.33203125" bestFit="1" customWidth="1"/>
    <col min="8" max="8" width="14.109375" bestFit="1" customWidth="1"/>
    <col min="9" max="9" width="41.44140625" bestFit="1" customWidth="1"/>
    <col min="10" max="10" width="12.88671875" bestFit="1" customWidth="1"/>
    <col min="11" max="11" width="11" bestFit="1" customWidth="1"/>
    <col min="12" max="12" width="11" customWidth="1"/>
    <col min="13" max="13" width="10" bestFit="1" customWidth="1"/>
    <col min="14" max="14" width="14.88671875" bestFit="1" customWidth="1"/>
    <col min="15" max="15" width="10.5546875" bestFit="1" customWidth="1"/>
    <col min="19" max="19" width="11.5546875" bestFit="1" customWidth="1"/>
  </cols>
  <sheetData>
    <row r="1" spans="1:19" ht="14.4" x14ac:dyDescent="0.3">
      <c r="A1" s="50" t="s">
        <v>126</v>
      </c>
      <c r="B1" s="50" t="s">
        <v>140</v>
      </c>
      <c r="C1" s="50" t="s">
        <v>145</v>
      </c>
      <c r="D1" s="50" t="s">
        <v>4</v>
      </c>
      <c r="E1" s="50" t="s">
        <v>138</v>
      </c>
      <c r="F1" s="51" t="s">
        <v>141</v>
      </c>
      <c r="G1" s="52" t="s">
        <v>37</v>
      </c>
      <c r="H1" s="52" t="s">
        <v>38</v>
      </c>
      <c r="I1" s="52" t="s">
        <v>39</v>
      </c>
      <c r="J1" s="52" t="s">
        <v>40</v>
      </c>
      <c r="K1" s="52" t="s">
        <v>41</v>
      </c>
      <c r="L1" s="52" t="s">
        <v>42</v>
      </c>
      <c r="M1" s="52" t="s">
        <v>22</v>
      </c>
      <c r="N1" s="52" t="s">
        <v>43</v>
      </c>
      <c r="O1" s="52" t="s">
        <v>24</v>
      </c>
      <c r="P1" s="52" t="s">
        <v>188</v>
      </c>
      <c r="Q1" s="52" t="s">
        <v>192</v>
      </c>
      <c r="R1" s="52" t="s">
        <v>198</v>
      </c>
      <c r="S1" s="52" t="s">
        <v>208</v>
      </c>
    </row>
    <row r="2" spans="1:19" x14ac:dyDescent="0.25">
      <c r="A2" s="33" t="str">
        <f>VLOOKUP(I2,'Instruments &amp; Categorise'!B:C,2,0)</f>
        <v>Equity-Managed-Mutual Funds-Mid Cap</v>
      </c>
      <c r="B2" t="str">
        <f>VLOOKUP(A2,'Category level Benchmark and tr'!$A:$E,2,0)</f>
        <v>Equity</v>
      </c>
      <c r="C2" t="str">
        <f>VLOOKUP(A2,'Category level Benchmark and tr'!$A:$E,3,0)</f>
        <v>Managed</v>
      </c>
      <c r="D2" t="str">
        <f>VLOOKUP(A2,'Category level Benchmark and tr'!$A:$E,4,0)</f>
        <v>Mutual Funds</v>
      </c>
      <c r="E2" t="str">
        <f>VLOOKUP(A2,'Category level Benchmark and tr'!$A:$E,5,0)</f>
        <v>MF Mid Cap</v>
      </c>
      <c r="F2" t="s">
        <v>142</v>
      </c>
      <c r="G2" t="s">
        <v>274</v>
      </c>
      <c r="I2" t="s">
        <v>173</v>
      </c>
      <c r="J2" s="32">
        <v>45291</v>
      </c>
      <c r="K2">
        <v>556.33000000000004</v>
      </c>
      <c r="L2">
        <v>80.89</v>
      </c>
      <c r="M2">
        <v>98.51</v>
      </c>
      <c r="N2">
        <v>45000</v>
      </c>
      <c r="O2">
        <v>54804.07</v>
      </c>
      <c r="P2" s="80" t="s">
        <v>189</v>
      </c>
      <c r="Q2" t="s">
        <v>191</v>
      </c>
      <c r="R2" t="str">
        <f>VLOOKUP(A2,'Category level Benchmark and tr'!$A:$G,6,0)</f>
        <v>NSE Mid Cap</v>
      </c>
      <c r="S2" s="89">
        <f>VLOOKUP(A2,'Category level Benchmark and tr'!$A:$K,7,0)</f>
        <v>0.23856649294372545</v>
      </c>
    </row>
    <row r="3" spans="1:19" x14ac:dyDescent="0.25">
      <c r="A3" s="33" t="str">
        <f>VLOOKUP(I3,'Instruments &amp; Categorise'!B:C,2,0)</f>
        <v>Equity-Managed-Mutual Funds-Small Cap</v>
      </c>
      <c r="B3" t="str">
        <f>VLOOKUP(A3,'Category level Benchmark and tr'!$A:$E,2,0)</f>
        <v>Equity</v>
      </c>
      <c r="C3" t="str">
        <f>VLOOKUP(A3,'Category level Benchmark and tr'!$A:$E,3,0)</f>
        <v>Managed</v>
      </c>
      <c r="D3" t="str">
        <f>VLOOKUP(A3,'Category level Benchmark and tr'!$A:$E,4,0)</f>
        <v>Mutual Funds</v>
      </c>
      <c r="E3" t="str">
        <f>VLOOKUP(A3,'Category level Benchmark and tr'!$A:$E,5,0)</f>
        <v>MF Small Cap</v>
      </c>
      <c r="F3" t="s">
        <v>142</v>
      </c>
      <c r="G3" t="s">
        <v>274</v>
      </c>
      <c r="I3" t="s">
        <v>175</v>
      </c>
      <c r="J3" s="32">
        <v>45291</v>
      </c>
      <c r="K3">
        <v>1480.9690000000001</v>
      </c>
      <c r="L3">
        <v>67.52</v>
      </c>
      <c r="M3">
        <v>97.15</v>
      </c>
      <c r="N3">
        <v>100000</v>
      </c>
      <c r="O3">
        <v>143876.14000000001</v>
      </c>
      <c r="P3" s="80" t="s">
        <v>189</v>
      </c>
      <c r="Q3" t="s">
        <v>191</v>
      </c>
      <c r="R3" t="str">
        <f>VLOOKUP(A3,'Category level Benchmark and tr'!$A:$G,6,0)</f>
        <v>NSE Small Cap</v>
      </c>
      <c r="S3" s="89">
        <f>VLOOKUP(A3,'Category level Benchmark and tr'!$A:$K,7,0)</f>
        <v>0.23466989530660198</v>
      </c>
    </row>
    <row r="4" spans="1:19" x14ac:dyDescent="0.25">
      <c r="A4" s="33" t="str">
        <f>VLOOKUP(I4,'Instruments &amp; Categorise'!B:C,2,0)</f>
        <v>Equity-Managed-Mutual Funds-Small Cap</v>
      </c>
      <c r="B4" t="str">
        <f>VLOOKUP(A4,'Category level Benchmark and tr'!$A:$E,2,0)</f>
        <v>Equity</v>
      </c>
      <c r="C4" t="str">
        <f>VLOOKUP(A4,'Category level Benchmark and tr'!$A:$E,3,0)</f>
        <v>Managed</v>
      </c>
      <c r="D4" t="str">
        <f>VLOOKUP(A4,'Category level Benchmark and tr'!$A:$E,4,0)</f>
        <v>Mutual Funds</v>
      </c>
      <c r="E4" t="str">
        <f>VLOOKUP(A4,'Category level Benchmark and tr'!$A:$E,5,0)</f>
        <v>MF Small Cap</v>
      </c>
      <c r="F4" t="s">
        <v>142</v>
      </c>
      <c r="G4" t="s">
        <v>274</v>
      </c>
      <c r="I4" t="s">
        <v>175</v>
      </c>
      <c r="J4" s="32">
        <v>45291</v>
      </c>
      <c r="K4">
        <v>70.141999999999996</v>
      </c>
      <c r="L4">
        <v>71.28</v>
      </c>
      <c r="M4">
        <v>97.15</v>
      </c>
      <c r="N4">
        <v>5000</v>
      </c>
      <c r="O4">
        <v>6814.3</v>
      </c>
      <c r="P4" s="80" t="s">
        <v>189</v>
      </c>
      <c r="Q4" t="s">
        <v>191</v>
      </c>
      <c r="R4" t="str">
        <f>VLOOKUP(A4,'Category level Benchmark and tr'!$A:$G,6,0)</f>
        <v>NSE Small Cap</v>
      </c>
      <c r="S4" s="89">
        <f>VLOOKUP(A4,'Category level Benchmark and tr'!$A:$K,7,0)</f>
        <v>0.23466989530660198</v>
      </c>
    </row>
    <row r="5" spans="1:19" x14ac:dyDescent="0.25">
      <c r="A5" s="33" t="str">
        <f>VLOOKUP(I5,'Instruments &amp; Categorise'!B:C,2,0)</f>
        <v>Equity-Managed-Mutual Funds-Large Cap</v>
      </c>
      <c r="B5" t="str">
        <f>VLOOKUP(A5,'Category level Benchmark and tr'!$A:$E,2,0)</f>
        <v>Equity</v>
      </c>
      <c r="C5" t="str">
        <f>VLOOKUP(A5,'Category level Benchmark and tr'!$A:$E,3,0)</f>
        <v>Managed</v>
      </c>
      <c r="D5" t="str">
        <f>VLOOKUP(A5,'Category level Benchmark and tr'!$A:$E,4,0)</f>
        <v>Mutual Funds</v>
      </c>
      <c r="E5" t="str">
        <f>VLOOKUP(A5,'Category level Benchmark and tr'!$A:$E,5,0)</f>
        <v>MF Blue Chip</v>
      </c>
      <c r="F5" t="s">
        <v>142</v>
      </c>
      <c r="G5" t="s">
        <v>274</v>
      </c>
      <c r="I5" t="s">
        <v>271</v>
      </c>
      <c r="J5" s="32">
        <v>45291</v>
      </c>
      <c r="K5">
        <v>213.334</v>
      </c>
      <c r="L5">
        <v>178.12</v>
      </c>
      <c r="M5">
        <v>224.08160000000001</v>
      </c>
      <c r="N5">
        <v>38000</v>
      </c>
      <c r="O5">
        <v>47804.22</v>
      </c>
      <c r="P5" s="80" t="s">
        <v>189</v>
      </c>
      <c r="Q5" t="s">
        <v>191</v>
      </c>
      <c r="R5" t="str">
        <f>VLOOKUP(A5,'Category level Benchmark and tr'!$A:$G,6,0)</f>
        <v>NSE 100</v>
      </c>
      <c r="S5" s="89">
        <f>VLOOKUP(A5,'Category level Benchmark and tr'!$A:$K,7,0)</f>
        <v>0.15995255257995344</v>
      </c>
    </row>
    <row r="6" spans="1:19" x14ac:dyDescent="0.25">
      <c r="A6" s="33" t="str">
        <f>VLOOKUP(I6,'Instruments &amp; Categorise'!B:C,2,0)</f>
        <v>Equity-Managed-Mutual Funds-Large Cap</v>
      </c>
      <c r="B6" t="str">
        <f>VLOOKUP(A6,'Category level Benchmark and tr'!$A:$E,2,0)</f>
        <v>Equity</v>
      </c>
      <c r="C6" t="str">
        <f>VLOOKUP(A6,'Category level Benchmark and tr'!$A:$E,3,0)</f>
        <v>Managed</v>
      </c>
      <c r="D6" t="str">
        <f>VLOOKUP(A6,'Category level Benchmark and tr'!$A:$E,4,0)</f>
        <v>Mutual Funds</v>
      </c>
      <c r="E6" t="str">
        <f>VLOOKUP(A6,'Category level Benchmark and tr'!$A:$E,5,0)</f>
        <v>MF Blue Chip</v>
      </c>
      <c r="F6" t="s">
        <v>142</v>
      </c>
      <c r="G6" t="s">
        <v>274</v>
      </c>
      <c r="I6" t="s">
        <v>271</v>
      </c>
      <c r="J6" s="32">
        <v>45291</v>
      </c>
      <c r="K6">
        <v>411.46499999999997</v>
      </c>
      <c r="L6">
        <v>182.28</v>
      </c>
      <c r="M6">
        <v>224.08160000000001</v>
      </c>
      <c r="N6">
        <v>75000</v>
      </c>
      <c r="O6">
        <v>92201.74</v>
      </c>
      <c r="P6" s="80" t="s">
        <v>189</v>
      </c>
      <c r="Q6" t="s">
        <v>191</v>
      </c>
      <c r="R6" t="str">
        <f>VLOOKUP(A6,'Category level Benchmark and tr'!$A:$G,6,0)</f>
        <v>NSE 100</v>
      </c>
      <c r="S6" s="89">
        <f>VLOOKUP(A6,'Category level Benchmark and tr'!$A:$K,7,0)</f>
        <v>0.15995255257995344</v>
      </c>
    </row>
    <row r="7" spans="1:19" x14ac:dyDescent="0.25">
      <c r="A7" s="33" t="str">
        <f>VLOOKUP(I7,'Instruments &amp; Categorise'!B:C,2,0)</f>
        <v>Equity-Managed-Mutual Funds-Large Cap</v>
      </c>
      <c r="B7" t="str">
        <f>VLOOKUP(A7,'Category level Benchmark and tr'!$A:$E,2,0)</f>
        <v>Equity</v>
      </c>
      <c r="C7" t="str">
        <f>VLOOKUP(A7,'Category level Benchmark and tr'!$A:$E,3,0)</f>
        <v>Managed</v>
      </c>
      <c r="D7" t="str">
        <f>VLOOKUP(A7,'Category level Benchmark and tr'!$A:$E,4,0)</f>
        <v>Mutual Funds</v>
      </c>
      <c r="E7" t="str">
        <f>VLOOKUP(A7,'Category level Benchmark and tr'!$A:$E,5,0)</f>
        <v>MF Blue Chip</v>
      </c>
      <c r="F7" t="s">
        <v>142</v>
      </c>
      <c r="G7" t="s">
        <v>274</v>
      </c>
      <c r="I7" t="s">
        <v>272</v>
      </c>
      <c r="J7" s="32">
        <v>45291</v>
      </c>
      <c r="K7">
        <v>748.94100000000003</v>
      </c>
      <c r="L7">
        <v>40.06</v>
      </c>
      <c r="M7">
        <v>49.202100000000002</v>
      </c>
      <c r="N7">
        <v>30000</v>
      </c>
      <c r="O7">
        <v>36849.47</v>
      </c>
      <c r="P7" s="80" t="s">
        <v>189</v>
      </c>
      <c r="Q7" t="s">
        <v>191</v>
      </c>
      <c r="R7" t="str">
        <f>VLOOKUP(A7,'Category level Benchmark and tr'!$A:$G,6,0)</f>
        <v>NSE 100</v>
      </c>
      <c r="S7" s="89">
        <f>VLOOKUP(A7,'Category level Benchmark and tr'!$A:$K,7,0)</f>
        <v>0.15995255257995344</v>
      </c>
    </row>
    <row r="8" spans="1:19" x14ac:dyDescent="0.25">
      <c r="A8" s="33" t="str">
        <f>VLOOKUP(I8,'Instruments &amp; Categorise'!B:C,2,0)</f>
        <v>Equity-Managed-Mutual Funds-International</v>
      </c>
      <c r="B8" t="str">
        <f>VLOOKUP(A8,'Category level Benchmark and tr'!$A:$E,2,0)</f>
        <v>Equity</v>
      </c>
      <c r="C8" t="str">
        <f>VLOOKUP(A8,'Category level Benchmark and tr'!$A:$E,3,0)</f>
        <v>Managed</v>
      </c>
      <c r="D8" t="str">
        <f>VLOOKUP(A8,'Category level Benchmark and tr'!$A:$E,4,0)</f>
        <v>Mutual Funds</v>
      </c>
      <c r="E8" t="str">
        <f>VLOOKUP(A8,'Category level Benchmark and tr'!$A:$E,5,0)</f>
        <v>MF International</v>
      </c>
      <c r="F8" t="s">
        <v>142</v>
      </c>
      <c r="G8" t="s">
        <v>274</v>
      </c>
      <c r="I8" t="s">
        <v>178</v>
      </c>
      <c r="J8" s="32">
        <v>45291</v>
      </c>
      <c r="K8">
        <v>1981.4169999999999</v>
      </c>
      <c r="L8">
        <v>25.23</v>
      </c>
      <c r="M8">
        <v>29.164200000000001</v>
      </c>
      <c r="N8">
        <v>50000</v>
      </c>
      <c r="O8">
        <v>57786.44</v>
      </c>
      <c r="P8" s="80" t="s">
        <v>189</v>
      </c>
      <c r="Q8" t="s">
        <v>191</v>
      </c>
      <c r="R8" t="str">
        <f>VLOOKUP(A8,'Category level Benchmark and tr'!$A:$G,6,0)</f>
        <v>S&amp;P 500</v>
      </c>
      <c r="S8" s="89">
        <f>VLOOKUP(A8,'Category level Benchmark and tr'!$A:$K,7,0)</f>
        <v>0.12674678473539958</v>
      </c>
    </row>
    <row r="9" spans="1:19" x14ac:dyDescent="0.25">
      <c r="A9" s="33" t="str">
        <f>VLOOKUP(I9,'Instruments &amp; Categorise'!B:C,2,0)</f>
        <v>Equity-Managed-Mutual Funds-Sectoral</v>
      </c>
      <c r="B9" t="str">
        <f>VLOOKUP(A9,'Category level Benchmark and tr'!$A:$E,2,0)</f>
        <v>Equity</v>
      </c>
      <c r="C9" t="str">
        <f>VLOOKUP(A9,'Category level Benchmark and tr'!$A:$E,3,0)</f>
        <v>Managed</v>
      </c>
      <c r="D9" t="str">
        <f>VLOOKUP(A9,'Category level Benchmark and tr'!$A:$E,4,0)</f>
        <v>Mutual Funds</v>
      </c>
      <c r="E9" t="str">
        <f>VLOOKUP(A9,'Category level Benchmark and tr'!$A:$E,5,0)</f>
        <v>MF Sectoral</v>
      </c>
      <c r="F9" t="s">
        <v>142</v>
      </c>
      <c r="G9" t="s">
        <v>274</v>
      </c>
      <c r="I9" t="s">
        <v>181</v>
      </c>
      <c r="J9" s="32">
        <v>45291</v>
      </c>
      <c r="K9">
        <v>116.342</v>
      </c>
      <c r="L9">
        <v>171.91</v>
      </c>
      <c r="M9">
        <v>194.0975</v>
      </c>
      <c r="N9">
        <v>20000</v>
      </c>
      <c r="O9">
        <v>22581.69</v>
      </c>
      <c r="P9" s="80" t="s">
        <v>189</v>
      </c>
      <c r="Q9" t="s">
        <v>191</v>
      </c>
      <c r="R9" t="str">
        <f>VLOOKUP(A9,'Category level Benchmark and tr'!$A:$G,6,0)</f>
        <v>NSE 500</v>
      </c>
      <c r="S9" s="89">
        <f>VLOOKUP(A9,'Category level Benchmark and tr'!$A:$K,7,0)</f>
        <v>0.17988573781460704</v>
      </c>
    </row>
    <row r="10" spans="1:19" x14ac:dyDescent="0.25">
      <c r="A10" s="33" t="str">
        <f>VLOOKUP(I10,'Instruments &amp; Categorise'!B:C,2,0)</f>
        <v>Debt-Managed-Mutual Funds-Dynamic</v>
      </c>
      <c r="B10" t="str">
        <f>VLOOKUP(A10,'Category level Benchmark and tr'!$A:$E,2,0)</f>
        <v>Debt</v>
      </c>
      <c r="C10" t="str">
        <f>VLOOKUP(A10,'Category level Benchmark and tr'!$A:$E,3,0)</f>
        <v>Managed</v>
      </c>
      <c r="D10" t="str">
        <f>VLOOKUP(A10,'Category level Benchmark and tr'!$A:$E,4,0)</f>
        <v>Managed Debt</v>
      </c>
      <c r="E10" t="str">
        <f>VLOOKUP(A10,'Category level Benchmark and tr'!$A:$E,5,0)</f>
        <v>Dynamic</v>
      </c>
      <c r="F10" t="s">
        <v>142</v>
      </c>
      <c r="G10" t="s">
        <v>274</v>
      </c>
      <c r="I10" t="s">
        <v>273</v>
      </c>
      <c r="J10" s="32">
        <v>45291</v>
      </c>
      <c r="K10">
        <v>3278.3629999999998</v>
      </c>
      <c r="L10">
        <v>30.5</v>
      </c>
      <c r="M10">
        <v>34.885199999999998</v>
      </c>
      <c r="N10">
        <v>100000</v>
      </c>
      <c r="O10">
        <v>114366.35</v>
      </c>
      <c r="P10" s="80" t="s">
        <v>189</v>
      </c>
      <c r="Q10" t="s">
        <v>191</v>
      </c>
      <c r="R10" t="str">
        <f>VLOOKUP(A10,'Category level Benchmark and tr'!$A:$G,6,0)</f>
        <v>SBI FD 3-5Y</v>
      </c>
      <c r="S10" s="89">
        <f>VLOOKUP(A10,'Category level Benchmark and tr'!$A:$K,7,0)</f>
        <v>4.0130136986301371E-2</v>
      </c>
    </row>
    <row r="11" spans="1:19" x14ac:dyDescent="0.25">
      <c r="A11" s="33" t="str">
        <f>VLOOKUP(I11,'Instruments &amp; Categorise'!B:C,2,0)</f>
        <v>Debt-Managed-Mutual Funds-Credit Risk</v>
      </c>
      <c r="B11" t="str">
        <f>VLOOKUP(A11,'Category level Benchmark and tr'!$A:$E,2,0)</f>
        <v>Debt</v>
      </c>
      <c r="C11" t="str">
        <f>VLOOKUP(A11,'Category level Benchmark and tr'!$A:$E,3,0)</f>
        <v>Managed</v>
      </c>
      <c r="D11" t="str">
        <f>VLOOKUP(A11,'Category level Benchmark and tr'!$A:$E,4,0)</f>
        <v>Managed Debt</v>
      </c>
      <c r="E11" t="str">
        <f>VLOOKUP(A11,'Category level Benchmark and tr'!$A:$E,5,0)</f>
        <v>Credit Risk</v>
      </c>
      <c r="F11" t="s">
        <v>142</v>
      </c>
      <c r="G11" t="s">
        <v>274</v>
      </c>
      <c r="I11" t="s">
        <v>185</v>
      </c>
      <c r="J11" s="32">
        <v>45291</v>
      </c>
      <c r="K11">
        <v>1428.59</v>
      </c>
      <c r="L11">
        <v>26.57</v>
      </c>
      <c r="M11">
        <v>30.493300000000001</v>
      </c>
      <c r="N11">
        <v>37953.81</v>
      </c>
      <c r="O11">
        <v>43562.42</v>
      </c>
      <c r="P11" s="80" t="s">
        <v>189</v>
      </c>
      <c r="Q11" t="s">
        <v>191</v>
      </c>
      <c r="R11" t="str">
        <f>VLOOKUP(A11,'Category level Benchmark and tr'!$A:$G,6,0)</f>
        <v>SBI FD 3-5Y</v>
      </c>
      <c r="S11" s="89">
        <f>VLOOKUP(A11,'Category level Benchmark and tr'!$A:$K,7,0)</f>
        <v>4.0130136986301371E-2</v>
      </c>
    </row>
    <row r="12" spans="1:19" x14ac:dyDescent="0.25">
      <c r="A12" s="33" t="str">
        <f>VLOOKUP(I12,'Instruments &amp; Categorise'!B:C,2,0)</f>
        <v>Equity-Managed-Mutual Funds-Mid Cap</v>
      </c>
      <c r="B12" t="str">
        <f>VLOOKUP(A12,'Category level Benchmark and tr'!$A:$E,2,0)</f>
        <v>Equity</v>
      </c>
      <c r="C12" t="str">
        <f>VLOOKUP(A12,'Category level Benchmark and tr'!$A:$E,3,0)</f>
        <v>Managed</v>
      </c>
      <c r="D12" t="str">
        <f>VLOOKUP(A12,'Category level Benchmark and tr'!$A:$E,4,0)</f>
        <v>Mutual Funds</v>
      </c>
      <c r="E12" t="str">
        <f>VLOOKUP(A12,'Category level Benchmark and tr'!$A:$E,5,0)</f>
        <v>MF Mid Cap</v>
      </c>
      <c r="F12" t="s">
        <v>142</v>
      </c>
      <c r="G12" t="s">
        <v>274</v>
      </c>
      <c r="I12" t="s">
        <v>173</v>
      </c>
      <c r="J12" s="32">
        <v>45514</v>
      </c>
      <c r="K12">
        <v>556.33000000000004</v>
      </c>
      <c r="L12">
        <v>80.89</v>
      </c>
      <c r="M12">
        <v>125.23</v>
      </c>
      <c r="N12">
        <v>45000</v>
      </c>
      <c r="O12">
        <v>69669.210000000006</v>
      </c>
      <c r="P12" t="s">
        <v>190</v>
      </c>
      <c r="Q12" t="s">
        <v>190</v>
      </c>
      <c r="R12" t="str">
        <f>VLOOKUP(A12,'Category level Benchmark and tr'!$A:$G,6,0)</f>
        <v>NSE Mid Cap</v>
      </c>
      <c r="S12" s="89">
        <f>VLOOKUP(A12,'Category level Benchmark and tr'!$A:$K,7,0)</f>
        <v>0.23856649294372545</v>
      </c>
    </row>
    <row r="13" spans="1:19" x14ac:dyDescent="0.25">
      <c r="A13" s="33" t="str">
        <f>VLOOKUP(I13,'Instruments &amp; Categorise'!B:C,2,0)</f>
        <v>Equity-Managed-Mutual Funds-Small Cap</v>
      </c>
      <c r="B13" t="str">
        <f>VLOOKUP(A13,'Category level Benchmark and tr'!$A:$E,2,0)</f>
        <v>Equity</v>
      </c>
      <c r="C13" t="str">
        <f>VLOOKUP(A13,'Category level Benchmark and tr'!$A:$E,3,0)</f>
        <v>Managed</v>
      </c>
      <c r="D13" t="str">
        <f>VLOOKUP(A13,'Category level Benchmark and tr'!$A:$E,4,0)</f>
        <v>Mutual Funds</v>
      </c>
      <c r="E13" t="str">
        <f>VLOOKUP(A13,'Category level Benchmark and tr'!$A:$E,5,0)</f>
        <v>MF Small Cap</v>
      </c>
      <c r="F13" t="s">
        <v>142</v>
      </c>
      <c r="G13" t="s">
        <v>274</v>
      </c>
      <c r="I13" t="s">
        <v>175</v>
      </c>
      <c r="J13" s="32">
        <v>45514</v>
      </c>
      <c r="K13">
        <v>1480.9690000000001</v>
      </c>
      <c r="L13">
        <v>67.52</v>
      </c>
      <c r="M13">
        <v>115.82</v>
      </c>
      <c r="N13">
        <v>100000</v>
      </c>
      <c r="O13">
        <v>171525.83</v>
      </c>
      <c r="P13" t="s">
        <v>190</v>
      </c>
      <c r="Q13" t="s">
        <v>190</v>
      </c>
      <c r="R13" t="str">
        <f>VLOOKUP(A13,'Category level Benchmark and tr'!$A:$G,6,0)</f>
        <v>NSE Small Cap</v>
      </c>
      <c r="S13" s="89">
        <f>VLOOKUP(A13,'Category level Benchmark and tr'!$A:$K,7,0)</f>
        <v>0.23466989530660198</v>
      </c>
    </row>
    <row r="14" spans="1:19" x14ac:dyDescent="0.25">
      <c r="A14" s="33" t="str">
        <f>VLOOKUP(I14,'Instruments &amp; Categorise'!B:C,2,0)</f>
        <v>Equity-Managed-Mutual Funds-Small Cap</v>
      </c>
      <c r="B14" t="str">
        <f>VLOOKUP(A14,'Category level Benchmark and tr'!$A:$E,2,0)</f>
        <v>Equity</v>
      </c>
      <c r="C14" t="str">
        <f>VLOOKUP(A14,'Category level Benchmark and tr'!$A:$E,3,0)</f>
        <v>Managed</v>
      </c>
      <c r="D14" t="str">
        <f>VLOOKUP(A14,'Category level Benchmark and tr'!$A:$E,4,0)</f>
        <v>Mutual Funds</v>
      </c>
      <c r="E14" t="str">
        <f>VLOOKUP(A14,'Category level Benchmark and tr'!$A:$E,5,0)</f>
        <v>MF Small Cap</v>
      </c>
      <c r="F14" t="s">
        <v>142</v>
      </c>
      <c r="G14" t="s">
        <v>274</v>
      </c>
      <c r="I14" t="s">
        <v>175</v>
      </c>
      <c r="J14" s="32">
        <v>45514</v>
      </c>
      <c r="K14">
        <v>70.141999999999996</v>
      </c>
      <c r="L14">
        <v>71.28</v>
      </c>
      <c r="M14">
        <v>115.82</v>
      </c>
      <c r="N14">
        <v>5000</v>
      </c>
      <c r="O14">
        <v>8123.85</v>
      </c>
      <c r="P14" t="s">
        <v>190</v>
      </c>
      <c r="Q14" t="s">
        <v>190</v>
      </c>
      <c r="R14" t="str">
        <f>VLOOKUP(A14,'Category level Benchmark and tr'!$A:$G,6,0)</f>
        <v>NSE Small Cap</v>
      </c>
      <c r="S14" s="89">
        <f>VLOOKUP(A14,'Category level Benchmark and tr'!$A:$K,7,0)</f>
        <v>0.23466989530660198</v>
      </c>
    </row>
    <row r="15" spans="1:19" x14ac:dyDescent="0.25">
      <c r="A15" s="33" t="str">
        <f>VLOOKUP(I15,'Instruments &amp; Categorise'!B:C,2,0)</f>
        <v>Equity-Managed-Mutual Funds-Large Cap</v>
      </c>
      <c r="B15" t="str">
        <f>VLOOKUP(A15,'Category level Benchmark and tr'!$A:$E,2,0)</f>
        <v>Equity</v>
      </c>
      <c r="C15" t="str">
        <f>VLOOKUP(A15,'Category level Benchmark and tr'!$A:$E,3,0)</f>
        <v>Managed</v>
      </c>
      <c r="D15" t="str">
        <f>VLOOKUP(A15,'Category level Benchmark and tr'!$A:$E,4,0)</f>
        <v>Mutual Funds</v>
      </c>
      <c r="E15" t="str">
        <f>VLOOKUP(A15,'Category level Benchmark and tr'!$A:$E,5,0)</f>
        <v>MF Blue Chip</v>
      </c>
      <c r="F15" t="s">
        <v>142</v>
      </c>
      <c r="G15" t="s">
        <v>274</v>
      </c>
      <c r="I15" t="s">
        <v>271</v>
      </c>
      <c r="J15" s="32">
        <v>45514</v>
      </c>
      <c r="K15">
        <v>213.334</v>
      </c>
      <c r="L15">
        <v>178.12</v>
      </c>
      <c r="M15">
        <v>252.93879999999999</v>
      </c>
      <c r="N15">
        <v>38000</v>
      </c>
      <c r="O15">
        <v>53960.45</v>
      </c>
      <c r="P15" t="s">
        <v>190</v>
      </c>
      <c r="Q15" t="s">
        <v>190</v>
      </c>
      <c r="R15" t="str">
        <f>VLOOKUP(A15,'Category level Benchmark and tr'!$A:$G,6,0)</f>
        <v>NSE 100</v>
      </c>
      <c r="S15" s="89">
        <f>VLOOKUP(A15,'Category level Benchmark and tr'!$A:$K,7,0)</f>
        <v>0.15995255257995344</v>
      </c>
    </row>
    <row r="16" spans="1:19" x14ac:dyDescent="0.25">
      <c r="A16" s="33" t="str">
        <f>VLOOKUP(I16,'Instruments &amp; Categorise'!B:C,2,0)</f>
        <v>Equity-Managed-Mutual Funds-Large Cap</v>
      </c>
      <c r="B16" t="str">
        <f>VLOOKUP(A16,'Category level Benchmark and tr'!$A:$E,2,0)</f>
        <v>Equity</v>
      </c>
      <c r="C16" t="str">
        <f>VLOOKUP(A16,'Category level Benchmark and tr'!$A:$E,3,0)</f>
        <v>Managed</v>
      </c>
      <c r="D16" t="str">
        <f>VLOOKUP(A16,'Category level Benchmark and tr'!$A:$E,4,0)</f>
        <v>Mutual Funds</v>
      </c>
      <c r="E16" t="str">
        <f>VLOOKUP(A16,'Category level Benchmark and tr'!$A:$E,5,0)</f>
        <v>MF Blue Chip</v>
      </c>
      <c r="F16" t="s">
        <v>142</v>
      </c>
      <c r="G16" t="s">
        <v>274</v>
      </c>
      <c r="I16" t="s">
        <v>271</v>
      </c>
      <c r="J16" s="32">
        <v>45514</v>
      </c>
      <c r="K16">
        <v>411.46499999999997</v>
      </c>
      <c r="L16">
        <v>182.28</v>
      </c>
      <c r="M16">
        <v>252.93879999999999</v>
      </c>
      <c r="N16">
        <v>75000</v>
      </c>
      <c r="O16">
        <v>104075.46</v>
      </c>
      <c r="P16" t="s">
        <v>190</v>
      </c>
      <c r="Q16" t="s">
        <v>190</v>
      </c>
      <c r="R16" t="str">
        <f>VLOOKUP(A16,'Category level Benchmark and tr'!$A:$G,6,0)</f>
        <v>NSE 100</v>
      </c>
      <c r="S16" s="89">
        <f>VLOOKUP(A16,'Category level Benchmark and tr'!$A:$K,7,0)</f>
        <v>0.15995255257995344</v>
      </c>
    </row>
    <row r="17" spans="1:19" x14ac:dyDescent="0.25">
      <c r="A17" s="33" t="str">
        <f>VLOOKUP(I17,'Instruments &amp; Categorise'!B:C,2,0)</f>
        <v>Equity-Managed-Mutual Funds-Large Cap</v>
      </c>
      <c r="B17" t="str">
        <f>VLOOKUP(A17,'Category level Benchmark and tr'!$A:$E,2,0)</f>
        <v>Equity</v>
      </c>
      <c r="C17" t="str">
        <f>VLOOKUP(A17,'Category level Benchmark and tr'!$A:$E,3,0)</f>
        <v>Managed</v>
      </c>
      <c r="D17" t="str">
        <f>VLOOKUP(A17,'Category level Benchmark and tr'!$A:$E,4,0)</f>
        <v>Mutual Funds</v>
      </c>
      <c r="E17" t="str">
        <f>VLOOKUP(A17,'Category level Benchmark and tr'!$A:$E,5,0)</f>
        <v>MF Blue Chip</v>
      </c>
      <c r="F17" t="s">
        <v>142</v>
      </c>
      <c r="G17" t="s">
        <v>274</v>
      </c>
      <c r="I17" t="s">
        <v>272</v>
      </c>
      <c r="J17" s="32">
        <v>45514</v>
      </c>
      <c r="K17">
        <v>748.94100000000003</v>
      </c>
      <c r="L17">
        <v>40.06</v>
      </c>
      <c r="M17">
        <v>67.211299999999994</v>
      </c>
      <c r="N17">
        <v>30000</v>
      </c>
      <c r="O17">
        <v>50337.3</v>
      </c>
      <c r="P17" t="s">
        <v>190</v>
      </c>
      <c r="Q17" t="s">
        <v>190</v>
      </c>
      <c r="R17" t="str">
        <f>VLOOKUP(A17,'Category level Benchmark and tr'!$A:$G,6,0)</f>
        <v>NSE 100</v>
      </c>
      <c r="S17" s="89">
        <f>VLOOKUP(A17,'Category level Benchmark and tr'!$A:$K,7,0)</f>
        <v>0.15995255257995344</v>
      </c>
    </row>
    <row r="18" spans="1:19" x14ac:dyDescent="0.25">
      <c r="A18" s="33" t="str">
        <f>VLOOKUP(I18,'Instruments &amp; Categorise'!B:C,2,0)</f>
        <v>Equity-Managed-Mutual Funds-International</v>
      </c>
      <c r="B18" t="str">
        <f>VLOOKUP(A18,'Category level Benchmark and tr'!$A:$E,2,0)</f>
        <v>Equity</v>
      </c>
      <c r="C18" t="str">
        <f>VLOOKUP(A18,'Category level Benchmark and tr'!$A:$E,3,0)</f>
        <v>Managed</v>
      </c>
      <c r="D18" t="str">
        <f>VLOOKUP(A18,'Category level Benchmark and tr'!$A:$E,4,0)</f>
        <v>Mutual Funds</v>
      </c>
      <c r="E18" t="str">
        <f>VLOOKUP(A18,'Category level Benchmark and tr'!$A:$E,5,0)</f>
        <v>MF International</v>
      </c>
      <c r="F18" t="s">
        <v>142</v>
      </c>
      <c r="G18" t="s">
        <v>274</v>
      </c>
      <c r="I18" t="s">
        <v>178</v>
      </c>
      <c r="J18" s="32">
        <v>45514</v>
      </c>
      <c r="K18">
        <v>1981.4169999999999</v>
      </c>
      <c r="L18">
        <v>25.23</v>
      </c>
      <c r="M18">
        <v>32.449100000000001</v>
      </c>
      <c r="N18">
        <v>50000</v>
      </c>
      <c r="O18">
        <v>64295.199999999997</v>
      </c>
      <c r="P18" t="s">
        <v>190</v>
      </c>
      <c r="Q18" t="s">
        <v>190</v>
      </c>
      <c r="R18" t="str">
        <f>VLOOKUP(A18,'Category level Benchmark and tr'!$A:$G,6,0)</f>
        <v>S&amp;P 500</v>
      </c>
      <c r="S18" s="89">
        <f>VLOOKUP(A18,'Category level Benchmark and tr'!$A:$K,7,0)</f>
        <v>0.12674678473539958</v>
      </c>
    </row>
    <row r="19" spans="1:19" x14ac:dyDescent="0.25">
      <c r="A19" s="33" t="str">
        <f>VLOOKUP(I19,'Instruments &amp; Categorise'!B:C,2,0)</f>
        <v>Equity-Managed-Mutual Funds-Sectoral</v>
      </c>
      <c r="B19" t="str">
        <f>VLOOKUP(A19,'Category level Benchmark and tr'!$A:$E,2,0)</f>
        <v>Equity</v>
      </c>
      <c r="C19" t="str">
        <f>VLOOKUP(A19,'Category level Benchmark and tr'!$A:$E,3,0)</f>
        <v>Managed</v>
      </c>
      <c r="D19" t="str">
        <f>VLOOKUP(A19,'Category level Benchmark and tr'!$A:$E,4,0)</f>
        <v>Mutual Funds</v>
      </c>
      <c r="E19" t="str">
        <f>VLOOKUP(A19,'Category level Benchmark and tr'!$A:$E,5,0)</f>
        <v>MF Sectoral</v>
      </c>
      <c r="F19" t="s">
        <v>142</v>
      </c>
      <c r="G19" t="s">
        <v>274</v>
      </c>
      <c r="I19" t="s">
        <v>181</v>
      </c>
      <c r="J19" s="32">
        <v>45514</v>
      </c>
      <c r="K19">
        <v>116.342</v>
      </c>
      <c r="L19">
        <v>171.91</v>
      </c>
      <c r="M19">
        <v>226.97229999999999</v>
      </c>
      <c r="N19">
        <v>20000</v>
      </c>
      <c r="O19">
        <v>26406.41</v>
      </c>
      <c r="P19" t="s">
        <v>190</v>
      </c>
      <c r="Q19" t="s">
        <v>190</v>
      </c>
      <c r="R19" t="str">
        <f>VLOOKUP(A19,'Category level Benchmark and tr'!$A:$G,6,0)</f>
        <v>NSE 500</v>
      </c>
      <c r="S19" s="89">
        <f>VLOOKUP(A19,'Category level Benchmark and tr'!$A:$K,7,0)</f>
        <v>0.17988573781460704</v>
      </c>
    </row>
    <row r="20" spans="1:19" x14ac:dyDescent="0.25">
      <c r="A20" s="33" t="str">
        <f>VLOOKUP(I20,'Instruments &amp; Categorise'!B:C,2,0)</f>
        <v>Debt-Managed-Mutual Funds-Dynamic</v>
      </c>
      <c r="B20" t="str">
        <f>VLOOKUP(A20,'Category level Benchmark and tr'!$A:$E,2,0)</f>
        <v>Debt</v>
      </c>
      <c r="C20" t="str">
        <f>VLOOKUP(A20,'Category level Benchmark and tr'!$A:$E,3,0)</f>
        <v>Managed</v>
      </c>
      <c r="D20" t="str">
        <f>VLOOKUP(A20,'Category level Benchmark and tr'!$A:$E,4,0)</f>
        <v>Managed Debt</v>
      </c>
      <c r="E20" t="str">
        <f>VLOOKUP(A20,'Category level Benchmark and tr'!$A:$E,5,0)</f>
        <v>Dynamic</v>
      </c>
      <c r="F20" t="s">
        <v>142</v>
      </c>
      <c r="G20" t="s">
        <v>274</v>
      </c>
      <c r="I20" t="s">
        <v>273</v>
      </c>
      <c r="J20" s="32">
        <v>45514</v>
      </c>
      <c r="K20">
        <v>3278.3629999999998</v>
      </c>
      <c r="L20">
        <v>30.5</v>
      </c>
      <c r="M20">
        <v>36.819699999999997</v>
      </c>
      <c r="N20">
        <v>100000</v>
      </c>
      <c r="O20">
        <v>120708.34</v>
      </c>
      <c r="P20" t="s">
        <v>190</v>
      </c>
      <c r="Q20" t="s">
        <v>190</v>
      </c>
      <c r="R20" t="str">
        <f>VLOOKUP(A20,'Category level Benchmark and tr'!$A:$G,6,0)</f>
        <v>SBI FD 3-5Y</v>
      </c>
      <c r="S20" s="89">
        <f>VLOOKUP(A20,'Category level Benchmark and tr'!$A:$K,7,0)</f>
        <v>4.0130136986301371E-2</v>
      </c>
    </row>
    <row r="21" spans="1:19" x14ac:dyDescent="0.25">
      <c r="A21" s="33" t="str">
        <f>VLOOKUP(I21,'Instruments &amp; Categorise'!B:C,2,0)</f>
        <v>Debt-Managed-Mutual Funds-Credit Risk</v>
      </c>
      <c r="B21" t="str">
        <f>VLOOKUP(A21,'Category level Benchmark and tr'!$A:$E,2,0)</f>
        <v>Debt</v>
      </c>
      <c r="C21" t="str">
        <f>VLOOKUP(A21,'Category level Benchmark and tr'!$A:$E,3,0)</f>
        <v>Managed</v>
      </c>
      <c r="D21" t="str">
        <f>VLOOKUP(A21,'Category level Benchmark and tr'!$A:$E,4,0)</f>
        <v>Managed Debt</v>
      </c>
      <c r="E21" t="str">
        <f>VLOOKUP(A21,'Category level Benchmark and tr'!$A:$E,5,0)</f>
        <v>Credit Risk</v>
      </c>
      <c r="F21" t="s">
        <v>142</v>
      </c>
      <c r="G21" t="s">
        <v>274</v>
      </c>
      <c r="I21" t="s">
        <v>185</v>
      </c>
      <c r="J21" s="32">
        <v>45514</v>
      </c>
      <c r="K21">
        <v>1428.59</v>
      </c>
      <c r="L21">
        <v>26.57</v>
      </c>
      <c r="M21">
        <v>32.293799999999997</v>
      </c>
      <c r="N21">
        <v>37953.81</v>
      </c>
      <c r="O21">
        <v>46134.6</v>
      </c>
      <c r="P21" t="s">
        <v>190</v>
      </c>
      <c r="Q21" t="s">
        <v>190</v>
      </c>
      <c r="R21" t="str">
        <f>VLOOKUP(A21,'Category level Benchmark and tr'!$A:$G,6,0)</f>
        <v>SBI FD 3-5Y</v>
      </c>
      <c r="S21" s="89">
        <f>VLOOKUP(A21,'Category level Benchmark and tr'!$A:$K,7,0)</f>
        <v>4.0130136986301371E-2</v>
      </c>
    </row>
  </sheetData>
  <autoFilter ref="A1:O21" xr:uid="{2E018874-20B8-47BF-977F-ACB4B86ED47C}"/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F4C08-53B0-4A01-92FF-B8741619A3F9}">
  <sheetPr>
    <tabColor rgb="FFFFFF00"/>
  </sheetPr>
  <dimension ref="A1:Y39"/>
  <sheetViews>
    <sheetView showGridLines="0" zoomScale="90" zoomScaleNormal="90" workbookViewId="0">
      <selection activeCell="A15" sqref="A15"/>
    </sheetView>
  </sheetViews>
  <sheetFormatPr defaultRowHeight="13.2" outlineLevelCol="1" x14ac:dyDescent="0.25"/>
  <cols>
    <col min="2" max="4" width="8.88671875" hidden="1" customWidth="1" outlineLevel="1"/>
    <col min="5" max="5" width="10.6640625" customWidth="1" collapsed="1"/>
    <col min="6" max="6" width="9.33203125" customWidth="1"/>
    <col min="7" max="7" width="16.44140625" bestFit="1" customWidth="1"/>
    <col min="8" max="8" width="10.6640625" customWidth="1"/>
    <col min="9" max="9" width="14.44140625" customWidth="1"/>
    <col min="10" max="10" width="11.5546875" bestFit="1" customWidth="1"/>
    <col min="11" max="11" width="19.33203125" bestFit="1" customWidth="1"/>
    <col min="12" max="12" width="9" bestFit="1" customWidth="1" outlineLevel="1"/>
    <col min="13" max="13" width="8.33203125" bestFit="1" customWidth="1" outlineLevel="1"/>
    <col min="14" max="14" width="10.88671875" customWidth="1" outlineLevel="1"/>
    <col min="15" max="15" width="9.109375" bestFit="1" customWidth="1"/>
    <col min="16" max="16" width="36.88671875" bestFit="1" customWidth="1"/>
    <col min="17" max="17" width="12.6640625" bestFit="1" customWidth="1"/>
    <col min="18" max="18" width="9" bestFit="1" customWidth="1"/>
    <col min="19" max="19" width="11.6640625" bestFit="1" customWidth="1"/>
    <col min="20" max="20" width="8.6640625" bestFit="1" customWidth="1"/>
    <col min="21" max="21" width="12.88671875" bestFit="1" customWidth="1"/>
    <col min="22" max="22" width="11.6640625" bestFit="1" customWidth="1"/>
    <col min="23" max="23" width="16.88671875" bestFit="1" customWidth="1"/>
    <col min="24" max="24" width="11.6640625" bestFit="1" customWidth="1"/>
    <col min="25" max="25" width="16.88671875" bestFit="1" customWidth="1"/>
  </cols>
  <sheetData>
    <row r="1" spans="1:25" ht="15.6" x14ac:dyDescent="0.3">
      <c r="E1" s="1" t="s">
        <v>17</v>
      </c>
      <c r="I1" s="91" t="str">
        <f>'AA Status'!G1</f>
        <v>SN001</v>
      </c>
    </row>
    <row r="2" spans="1:25" x14ac:dyDescent="0.25">
      <c r="G2" s="17"/>
      <c r="I2" s="17"/>
    </row>
    <row r="3" spans="1:25" hidden="1" x14ac:dyDescent="0.25">
      <c r="A3" t="s">
        <v>135</v>
      </c>
      <c r="F3" s="16"/>
      <c r="G3" s="27"/>
      <c r="H3" s="16"/>
      <c r="I3" s="27"/>
      <c r="J3" s="16"/>
      <c r="K3" s="16"/>
      <c r="L3" s="16"/>
      <c r="M3" s="16"/>
      <c r="N3" s="16"/>
      <c r="O3" s="16"/>
    </row>
    <row r="4" spans="1:25" hidden="1" x14ac:dyDescent="0.25">
      <c r="E4" t="s">
        <v>127</v>
      </c>
      <c r="F4" s="16" t="s">
        <v>128</v>
      </c>
      <c r="H4" s="16"/>
      <c r="J4" s="16"/>
      <c r="K4" s="16"/>
      <c r="L4" s="16"/>
      <c r="M4" s="16"/>
      <c r="N4" s="16"/>
      <c r="O4" s="16"/>
    </row>
    <row r="5" spans="1:25" hidden="1" x14ac:dyDescent="0.25">
      <c r="E5" t="s">
        <v>129</v>
      </c>
      <c r="F5" s="16" t="s">
        <v>130</v>
      </c>
      <c r="H5" s="16"/>
      <c r="J5" s="16"/>
      <c r="K5" s="16"/>
      <c r="L5" s="16"/>
      <c r="M5" s="28"/>
      <c r="N5" s="28"/>
      <c r="O5" s="28"/>
    </row>
    <row r="6" spans="1:25" hidden="1" x14ac:dyDescent="0.25">
      <c r="E6" t="s">
        <v>131</v>
      </c>
      <c r="F6" s="16" t="s">
        <v>132</v>
      </c>
      <c r="H6" s="16"/>
      <c r="J6" s="16"/>
      <c r="K6" s="16"/>
      <c r="L6" s="16"/>
      <c r="M6" s="28"/>
      <c r="N6" s="28"/>
      <c r="O6" s="28"/>
    </row>
    <row r="7" spans="1:25" hidden="1" x14ac:dyDescent="0.25">
      <c r="E7" t="s">
        <v>133</v>
      </c>
      <c r="F7" s="16" t="s">
        <v>134</v>
      </c>
      <c r="H7" s="16"/>
      <c r="K7" s="16"/>
      <c r="M7" s="28"/>
      <c r="N7" s="28"/>
      <c r="O7" s="28"/>
    </row>
    <row r="8" spans="1:25" hidden="1" x14ac:dyDescent="0.25">
      <c r="A8" t="s">
        <v>136</v>
      </c>
    </row>
    <row r="9" spans="1:25" hidden="1" x14ac:dyDescent="0.25">
      <c r="E9" t="s">
        <v>127</v>
      </c>
      <c r="F9" s="16" t="s">
        <v>137</v>
      </c>
    </row>
    <row r="10" spans="1:25" hidden="1" x14ac:dyDescent="0.25">
      <c r="E10" t="s">
        <v>129</v>
      </c>
      <c r="F10" s="16" t="s">
        <v>130</v>
      </c>
    </row>
    <row r="11" spans="1:25" hidden="1" x14ac:dyDescent="0.25">
      <c r="E11" t="s">
        <v>131</v>
      </c>
      <c r="F11" s="16" t="s">
        <v>132</v>
      </c>
    </row>
    <row r="12" spans="1:25" hidden="1" x14ac:dyDescent="0.25">
      <c r="E12" t="s">
        <v>133</v>
      </c>
      <c r="F12" s="16" t="s">
        <v>134</v>
      </c>
    </row>
    <row r="14" spans="1:25" x14ac:dyDescent="0.25">
      <c r="E14" s="2" t="s">
        <v>0</v>
      </c>
      <c r="F14" s="2" t="s">
        <v>1</v>
      </c>
      <c r="G14" s="2" t="s">
        <v>2</v>
      </c>
      <c r="H14" s="2" t="s">
        <v>3</v>
      </c>
      <c r="I14" s="2" t="s">
        <v>4</v>
      </c>
      <c r="J14" s="2" t="s">
        <v>125</v>
      </c>
      <c r="K14" s="2" t="s">
        <v>138</v>
      </c>
      <c r="L14" s="2" t="s">
        <v>5</v>
      </c>
      <c r="M14" s="2" t="s">
        <v>6</v>
      </c>
      <c r="N14" s="2" t="s">
        <v>7</v>
      </c>
      <c r="O14" s="2" t="s">
        <v>1</v>
      </c>
      <c r="P14" s="2" t="s">
        <v>119</v>
      </c>
      <c r="Q14" s="2" t="s">
        <v>156</v>
      </c>
      <c r="R14" s="2" t="s">
        <v>157</v>
      </c>
      <c r="S14" s="2" t="s">
        <v>155</v>
      </c>
      <c r="T14" s="2" t="s">
        <v>154</v>
      </c>
      <c r="U14" s="2" t="s">
        <v>158</v>
      </c>
      <c r="V14" s="2" t="s">
        <v>159</v>
      </c>
      <c r="W14" s="2" t="s">
        <v>162</v>
      </c>
      <c r="X14" s="2" t="s">
        <v>163</v>
      </c>
      <c r="Y14" s="2" t="s">
        <v>164</v>
      </c>
    </row>
    <row r="15" spans="1:25" x14ac:dyDescent="0.25">
      <c r="B15" t="str">
        <f>$I$1&amp;E15</f>
        <v>SN001Equity</v>
      </c>
      <c r="C15" t="str">
        <f>$I$1&amp;"Eq-MF"</f>
        <v>SN001Eq-MF</v>
      </c>
      <c r="D15" t="str">
        <f>$I$1&amp;"Eq-MF-MF"</f>
        <v>SN001Eq-MF-MF</v>
      </c>
      <c r="E15" s="125" t="s">
        <v>8</v>
      </c>
      <c r="F15" s="127">
        <f>VLOOKUP(B15,'AA Decision Input'!$A:$D,4,0)</f>
        <v>0.75</v>
      </c>
      <c r="G15" s="129" t="s">
        <v>25</v>
      </c>
      <c r="H15" s="117">
        <f>VLOOKUP(C15,'AA Decision Input'!$A:$D,4,0)</f>
        <v>0.9</v>
      </c>
      <c r="I15" s="129" t="s">
        <v>31</v>
      </c>
      <c r="J15" s="117">
        <f>VLOOKUP(D15,'AA Decision Input'!$A:$D,4,0)</f>
        <v>1</v>
      </c>
      <c r="K15" s="3" t="s">
        <v>12</v>
      </c>
      <c r="L15" s="18">
        <v>0.1</v>
      </c>
      <c r="M15" s="4">
        <f t="shared" ref="M15:M22" si="0">$J$15*L15</f>
        <v>0.1</v>
      </c>
      <c r="N15" s="4">
        <f t="shared" ref="N15:N22" si="1">M15*$H$15</f>
        <v>9.0000000000000011E-2</v>
      </c>
      <c r="O15" s="4">
        <f t="shared" ref="O15:O27" si="2">N15*$F$15</f>
        <v>6.7500000000000004E-2</v>
      </c>
      <c r="P15" s="3" t="s">
        <v>105</v>
      </c>
      <c r="Q15" s="35">
        <f t="shared" ref="Q15:Q38" si="3">O15*Q$39</f>
        <v>48278.473875000003</v>
      </c>
      <c r="R15" s="4">
        <f t="shared" ref="R15:R39" si="4">Q15/SUM(Q$15:Q$38)</f>
        <v>6.7499999999999991E-2</v>
      </c>
      <c r="S15" s="35">
        <f>SUMIFS('PF Holdings_diff dates'!$O:$O,'PF Holdings_diff dates'!$A:$A,P15,'PF Holdings_diff dates'!$P:$P,"As of Today",'PF Holdings_diff dates'!$G:$G,$I$1)</f>
        <v>64295.199999999997</v>
      </c>
      <c r="T15" s="4">
        <f t="shared" ref="T15:T39" si="5">S15/SUM(S$15:S$38)</f>
        <v>8.9893603746396378E-2</v>
      </c>
      <c r="U15" s="35">
        <f t="shared" ref="U15:U38" si="6">Q15-S15</f>
        <v>-16016.726124999994</v>
      </c>
      <c r="V15" s="35">
        <f>SUMIFS('PF Holdings_diff dates'!$N:$N,'PF Holdings_diff dates'!$A:$A,P15,'PF Holdings_diff dates'!$P:$P,"As of today",'PF Holdings_diff dates'!$G:$G,$I$1)</f>
        <v>50000</v>
      </c>
      <c r="W15" s="35">
        <f>S15</f>
        <v>64295.199999999997</v>
      </c>
      <c r="X15" s="35">
        <f>W15-V15</f>
        <v>14295.199999999997</v>
      </c>
      <c r="Y15" s="71">
        <f>IFERROR(X15/V15,"n/a")</f>
        <v>0.28590399999999994</v>
      </c>
    </row>
    <row r="16" spans="1:25" x14ac:dyDescent="0.25">
      <c r="E16" s="126"/>
      <c r="F16" s="128"/>
      <c r="G16" s="130"/>
      <c r="H16" s="118"/>
      <c r="I16" s="130"/>
      <c r="J16" s="118"/>
      <c r="K16" s="3" t="s">
        <v>104</v>
      </c>
      <c r="L16" s="18">
        <v>0.2</v>
      </c>
      <c r="M16" s="4">
        <f t="shared" si="0"/>
        <v>0.2</v>
      </c>
      <c r="N16" s="4">
        <f t="shared" si="1"/>
        <v>0.18000000000000002</v>
      </c>
      <c r="O16" s="4">
        <f t="shared" si="2"/>
        <v>0.13500000000000001</v>
      </c>
      <c r="P16" s="3" t="s">
        <v>103</v>
      </c>
      <c r="Q16" s="35">
        <f t="shared" si="3"/>
        <v>96556.947750000007</v>
      </c>
      <c r="R16" s="4">
        <f t="shared" si="4"/>
        <v>0.13499999999999998</v>
      </c>
      <c r="S16" s="35">
        <f>SUMIFS('PF Holdings_diff dates'!$O:$O,'PF Holdings_diff dates'!$A:$A,P16,'PF Holdings_diff dates'!$P:$P,"As of Today",'PF Holdings_diff dates'!$G:$G,$I$1)</f>
        <v>0</v>
      </c>
      <c r="T16" s="4">
        <f t="shared" si="5"/>
        <v>0</v>
      </c>
      <c r="U16" s="35">
        <f t="shared" si="6"/>
        <v>96556.947750000007</v>
      </c>
      <c r="V16" s="35">
        <f>SUMIFS('PF Holdings_diff dates'!$N:$N,'PF Holdings_diff dates'!$A:$A,P16,'PF Holdings_diff dates'!$P:$P,"As of today",'PF Holdings_diff dates'!$G:$G,$I$1)</f>
        <v>0</v>
      </c>
      <c r="W16" s="35">
        <f t="shared" ref="W16:W38" si="7">S16</f>
        <v>0</v>
      </c>
      <c r="X16" s="35">
        <f t="shared" ref="X16:X38" si="8">W16-V16</f>
        <v>0</v>
      </c>
      <c r="Y16" s="71" t="str">
        <f t="shared" ref="Y16:Y39" si="9">IFERROR(X16/V16,"n/a")</f>
        <v>n/a</v>
      </c>
    </row>
    <row r="17" spans="2:25" x14ac:dyDescent="0.25">
      <c r="E17" s="126"/>
      <c r="F17" s="128"/>
      <c r="G17" s="130"/>
      <c r="H17" s="118"/>
      <c r="I17" s="130"/>
      <c r="J17" s="118"/>
      <c r="K17" s="3" t="s">
        <v>13</v>
      </c>
      <c r="L17" s="18">
        <v>0.2</v>
      </c>
      <c r="M17" s="4">
        <f t="shared" si="0"/>
        <v>0.2</v>
      </c>
      <c r="N17" s="4">
        <f t="shared" si="1"/>
        <v>0.18000000000000002</v>
      </c>
      <c r="O17" s="4">
        <f t="shared" si="2"/>
        <v>0.13500000000000001</v>
      </c>
      <c r="P17" s="3" t="s">
        <v>100</v>
      </c>
      <c r="Q17" s="35">
        <f t="shared" si="3"/>
        <v>96556.947750000007</v>
      </c>
      <c r="R17" s="4">
        <f t="shared" si="4"/>
        <v>0.13499999999999998</v>
      </c>
      <c r="S17" s="35">
        <f>SUMIFS('PF Holdings_diff dates'!$O:$O,'PF Holdings_diff dates'!$A:$A,P17,'PF Holdings_diff dates'!$P:$P,"As of Today",'PF Holdings_diff dates'!$G:$G,$I$1)</f>
        <v>208373.21000000002</v>
      </c>
      <c r="T17" s="4">
        <f t="shared" si="5"/>
        <v>0.29133463728403741</v>
      </c>
      <c r="U17" s="35">
        <f t="shared" si="6"/>
        <v>-111816.26225000001</v>
      </c>
      <c r="V17" s="35">
        <f>SUMIFS('PF Holdings_diff dates'!$N:$N,'PF Holdings_diff dates'!$A:$A,P17,'PF Holdings_diff dates'!$P:$P,"As of today",'PF Holdings_diff dates'!$G:$G,$I$1)</f>
        <v>143000</v>
      </c>
      <c r="W17" s="35">
        <f t="shared" si="7"/>
        <v>208373.21000000002</v>
      </c>
      <c r="X17" s="35">
        <f t="shared" si="8"/>
        <v>65373.210000000021</v>
      </c>
      <c r="Y17" s="71">
        <f t="shared" si="9"/>
        <v>0.45715531468531484</v>
      </c>
    </row>
    <row r="18" spans="2:25" x14ac:dyDescent="0.25">
      <c r="E18" s="126"/>
      <c r="F18" s="128"/>
      <c r="G18" s="130"/>
      <c r="H18" s="118"/>
      <c r="I18" s="130"/>
      <c r="J18" s="118"/>
      <c r="K18" s="3" t="s">
        <v>14</v>
      </c>
      <c r="L18" s="18">
        <v>0.15</v>
      </c>
      <c r="M18" s="4">
        <f t="shared" si="0"/>
        <v>0.15</v>
      </c>
      <c r="N18" s="4">
        <f t="shared" si="1"/>
        <v>0.13500000000000001</v>
      </c>
      <c r="O18" s="4">
        <f t="shared" si="2"/>
        <v>0.10125000000000001</v>
      </c>
      <c r="P18" s="3" t="s">
        <v>101</v>
      </c>
      <c r="Q18" s="35">
        <f t="shared" si="3"/>
        <v>72417.710812500009</v>
      </c>
      <c r="R18" s="4">
        <f t="shared" si="4"/>
        <v>0.10124999999999999</v>
      </c>
      <c r="S18" s="35">
        <f>SUMIFS('PF Holdings_diff dates'!$O:$O,'PF Holdings_diff dates'!$A:$A,P18,'PF Holdings_diff dates'!$P:$P,"As of Today",'PF Holdings_diff dates'!$G:$G,$I$1)</f>
        <v>69669.210000000006</v>
      </c>
      <c r="T18" s="4">
        <f t="shared" si="5"/>
        <v>9.7407214800863465E-2</v>
      </c>
      <c r="U18" s="35">
        <f t="shared" si="6"/>
        <v>2748.5008125000022</v>
      </c>
      <c r="V18" s="35">
        <f>SUMIFS('PF Holdings_diff dates'!$N:$N,'PF Holdings_diff dates'!$A:$A,P18,'PF Holdings_diff dates'!$P:$P,"As of today",'PF Holdings_diff dates'!$G:$G,$I$1)</f>
        <v>45000</v>
      </c>
      <c r="W18" s="35">
        <f t="shared" si="7"/>
        <v>69669.210000000006</v>
      </c>
      <c r="X18" s="35">
        <f t="shared" si="8"/>
        <v>24669.210000000006</v>
      </c>
      <c r="Y18" s="71">
        <f t="shared" si="9"/>
        <v>0.54820466666666678</v>
      </c>
    </row>
    <row r="19" spans="2:25" x14ac:dyDescent="0.25">
      <c r="E19" s="126"/>
      <c r="F19" s="128"/>
      <c r="G19" s="130"/>
      <c r="H19" s="118"/>
      <c r="I19" s="130"/>
      <c r="J19" s="118"/>
      <c r="K19" s="3" t="s">
        <v>15</v>
      </c>
      <c r="L19" s="18">
        <v>0.1</v>
      </c>
      <c r="M19" s="4">
        <f t="shared" si="0"/>
        <v>0.1</v>
      </c>
      <c r="N19" s="4">
        <f t="shared" si="1"/>
        <v>9.0000000000000011E-2</v>
      </c>
      <c r="O19" s="4">
        <f t="shared" si="2"/>
        <v>6.7500000000000004E-2</v>
      </c>
      <c r="P19" s="3" t="s">
        <v>102</v>
      </c>
      <c r="Q19" s="35">
        <f t="shared" si="3"/>
        <v>48278.473875000003</v>
      </c>
      <c r="R19" s="4">
        <f t="shared" si="4"/>
        <v>6.7499999999999991E-2</v>
      </c>
      <c r="S19" s="35">
        <f>SUMIFS('PF Holdings_diff dates'!$O:$O,'PF Holdings_diff dates'!$A:$A,P19,'PF Holdings_diff dates'!$P:$P,"As of Today",'PF Holdings_diff dates'!$G:$G,$I$1)</f>
        <v>179649.68</v>
      </c>
      <c r="T19" s="4">
        <f t="shared" si="5"/>
        <v>0.25117515999774337</v>
      </c>
      <c r="U19" s="35">
        <f t="shared" si="6"/>
        <v>-131371.206125</v>
      </c>
      <c r="V19" s="35">
        <f>SUMIFS('PF Holdings_diff dates'!$N:$N,'PF Holdings_diff dates'!$A:$A,P19,'PF Holdings_diff dates'!$P:$P,"As of today",'PF Holdings_diff dates'!$G:$G,$I$1)</f>
        <v>105000</v>
      </c>
      <c r="W19" s="35">
        <f t="shared" si="7"/>
        <v>179649.68</v>
      </c>
      <c r="X19" s="35">
        <f t="shared" si="8"/>
        <v>74649.679999999993</v>
      </c>
      <c r="Y19" s="71">
        <f t="shared" si="9"/>
        <v>0.71094933333333332</v>
      </c>
    </row>
    <row r="20" spans="2:25" x14ac:dyDescent="0.25">
      <c r="E20" s="126"/>
      <c r="F20" s="128"/>
      <c r="G20" s="130"/>
      <c r="H20" s="118"/>
      <c r="I20" s="130"/>
      <c r="J20" s="118"/>
      <c r="K20" s="3" t="s">
        <v>16</v>
      </c>
      <c r="L20" s="18">
        <v>0.05</v>
      </c>
      <c r="M20" s="4">
        <f t="shared" si="0"/>
        <v>0.05</v>
      </c>
      <c r="N20" s="4">
        <f t="shared" si="1"/>
        <v>4.5000000000000005E-2</v>
      </c>
      <c r="O20" s="4">
        <f t="shared" si="2"/>
        <v>3.3750000000000002E-2</v>
      </c>
      <c r="P20" s="3" t="s">
        <v>121</v>
      </c>
      <c r="Q20" s="35">
        <f t="shared" si="3"/>
        <v>24139.236937500002</v>
      </c>
      <c r="R20" s="4">
        <f t="shared" si="4"/>
        <v>3.3749999999999995E-2</v>
      </c>
      <c r="S20" s="35">
        <f>SUMIFS('PF Holdings_diff dates'!$O:$O,'PF Holdings_diff dates'!$A:$A,P20,'PF Holdings_diff dates'!$P:$P,"As of Today",'PF Holdings_diff dates'!$G:$G,$I$1)</f>
        <v>26406.41</v>
      </c>
      <c r="T20" s="4">
        <f t="shared" si="5"/>
        <v>3.6919822271411842E-2</v>
      </c>
      <c r="U20" s="35">
        <f t="shared" si="6"/>
        <v>-2267.1730624999982</v>
      </c>
      <c r="V20" s="35">
        <f>SUMIFS('PF Holdings_diff dates'!$N:$N,'PF Holdings_diff dates'!$A:$A,P20,'PF Holdings_diff dates'!$P:$P,"As of today",'PF Holdings_diff dates'!$G:$G,$I$1)</f>
        <v>20000</v>
      </c>
      <c r="W20" s="35">
        <f t="shared" si="7"/>
        <v>26406.41</v>
      </c>
      <c r="X20" s="35">
        <f t="shared" si="8"/>
        <v>6406.41</v>
      </c>
      <c r="Y20" s="71">
        <f t="shared" si="9"/>
        <v>0.32032050000000001</v>
      </c>
    </row>
    <row r="21" spans="2:25" x14ac:dyDescent="0.25">
      <c r="E21" s="126"/>
      <c r="F21" s="128"/>
      <c r="G21" s="130"/>
      <c r="H21" s="118"/>
      <c r="I21" s="130"/>
      <c r="J21" s="118"/>
      <c r="K21" s="3" t="s">
        <v>120</v>
      </c>
      <c r="L21" s="18">
        <v>0.05</v>
      </c>
      <c r="M21" s="4">
        <f t="shared" si="0"/>
        <v>0.05</v>
      </c>
      <c r="N21" s="4">
        <f t="shared" si="1"/>
        <v>4.5000000000000005E-2</v>
      </c>
      <c r="O21" s="4">
        <f t="shared" si="2"/>
        <v>3.3750000000000002E-2</v>
      </c>
      <c r="P21" s="3" t="s">
        <v>122</v>
      </c>
      <c r="Q21" s="35">
        <f t="shared" si="3"/>
        <v>24139.236937500002</v>
      </c>
      <c r="R21" s="4">
        <f t="shared" si="4"/>
        <v>3.3749999999999995E-2</v>
      </c>
      <c r="S21" s="35">
        <f>SUMIFS('PF Holdings_diff dates'!$O:$O,'PF Holdings_diff dates'!$A:$A,P21,'PF Holdings_diff dates'!$P:$P,"As of Today",'PF Holdings_diff dates'!$G:$G,$I$1)</f>
        <v>0</v>
      </c>
      <c r="T21" s="4">
        <f t="shared" si="5"/>
        <v>0</v>
      </c>
      <c r="U21" s="35">
        <f t="shared" si="6"/>
        <v>24139.236937500002</v>
      </c>
      <c r="V21" s="35">
        <f>SUMIFS('PF Holdings_diff dates'!$N:$N,'PF Holdings_diff dates'!$A:$A,P21,'PF Holdings_diff dates'!$P:$P,"As of today",'PF Holdings_diff dates'!$G:$G,$I$1)</f>
        <v>0</v>
      </c>
      <c r="W21" s="35">
        <f t="shared" si="7"/>
        <v>0</v>
      </c>
      <c r="X21" s="35">
        <f t="shared" si="8"/>
        <v>0</v>
      </c>
      <c r="Y21" s="71" t="str">
        <f t="shared" si="9"/>
        <v>n/a</v>
      </c>
    </row>
    <row r="22" spans="2:25" x14ac:dyDescent="0.25">
      <c r="E22" s="126"/>
      <c r="F22" s="128"/>
      <c r="G22" s="130"/>
      <c r="H22" s="118"/>
      <c r="I22" s="130"/>
      <c r="J22" s="118"/>
      <c r="K22" s="3" t="s">
        <v>123</v>
      </c>
      <c r="L22" s="18">
        <v>0.15</v>
      </c>
      <c r="M22" s="4">
        <f t="shared" si="0"/>
        <v>0.15</v>
      </c>
      <c r="N22" s="4">
        <f t="shared" si="1"/>
        <v>0.13500000000000001</v>
      </c>
      <c r="O22" s="4">
        <f t="shared" si="2"/>
        <v>0.10125000000000001</v>
      </c>
      <c r="P22" s="3" t="s">
        <v>124</v>
      </c>
      <c r="Q22" s="35">
        <f t="shared" si="3"/>
        <v>72417.710812500009</v>
      </c>
      <c r="R22" s="4">
        <f t="shared" si="4"/>
        <v>0.10124999999999999</v>
      </c>
      <c r="S22" s="35">
        <f>SUMIFS('PF Holdings_diff dates'!$O:$O,'PF Holdings_diff dates'!$A:$A,P22,'PF Holdings_diff dates'!$P:$P,"As of Today",'PF Holdings_diff dates'!$G:$G,$I$1)</f>
        <v>0</v>
      </c>
      <c r="T22" s="4">
        <f t="shared" si="5"/>
        <v>0</v>
      </c>
      <c r="U22" s="35">
        <f t="shared" si="6"/>
        <v>72417.710812500009</v>
      </c>
      <c r="V22" s="35">
        <f>SUMIFS('PF Holdings_diff dates'!$N:$N,'PF Holdings_diff dates'!$A:$A,P22,'PF Holdings_diff dates'!$P:$P,"As of today",'PF Holdings_diff dates'!$G:$G,$I$1)</f>
        <v>0</v>
      </c>
      <c r="W22" s="35">
        <f t="shared" si="7"/>
        <v>0</v>
      </c>
      <c r="X22" s="35">
        <f t="shared" si="8"/>
        <v>0</v>
      </c>
      <c r="Y22" s="71" t="str">
        <f t="shared" si="9"/>
        <v>n/a</v>
      </c>
    </row>
    <row r="23" spans="2:25" x14ac:dyDescent="0.25">
      <c r="C23" t="str">
        <f>$I$1&amp;"Eq-Self"</f>
        <v>SN001Eq-Self</v>
      </c>
      <c r="D23" t="str">
        <f>$I$1&amp;"Eq-Self-Dir"</f>
        <v>SN001Eq-Self-Dir</v>
      </c>
      <c r="E23" s="126"/>
      <c r="F23" s="128"/>
      <c r="G23" s="119" t="s">
        <v>9</v>
      </c>
      <c r="H23" s="121">
        <f>VLOOKUP(C23,'AA Decision Input'!$A:$D,4,0)</f>
        <v>0.1</v>
      </c>
      <c r="I23" s="119" t="s">
        <v>26</v>
      </c>
      <c r="J23" s="123">
        <f>VLOOKUP(D23,'AA Decision Input'!$A:$D,4,0)</f>
        <v>1</v>
      </c>
      <c r="K23" s="5" t="s">
        <v>18</v>
      </c>
      <c r="L23" s="19">
        <v>0.5</v>
      </c>
      <c r="M23" s="6">
        <f>$J$23*L23</f>
        <v>0.5</v>
      </c>
      <c r="N23" s="6">
        <f>M23*$H$23</f>
        <v>0.05</v>
      </c>
      <c r="O23" s="6">
        <f t="shared" si="2"/>
        <v>3.7500000000000006E-2</v>
      </c>
      <c r="P23" s="5" t="s">
        <v>106</v>
      </c>
      <c r="Q23" s="36">
        <f t="shared" si="3"/>
        <v>26821.374375000003</v>
      </c>
      <c r="R23" s="6">
        <f t="shared" si="4"/>
        <v>3.7499999999999999E-2</v>
      </c>
      <c r="S23" s="36">
        <f>SUMIFS('PF Holdings_diff dates'!$O:$O,'PF Holdings_diff dates'!$A:$A,P23,'PF Holdings_diff dates'!$P:$P,"As of Today",'PF Holdings_diff dates'!$G:$G,$I$1)</f>
        <v>0</v>
      </c>
      <c r="T23" s="6">
        <f t="shared" si="5"/>
        <v>0</v>
      </c>
      <c r="U23" s="36">
        <f t="shared" si="6"/>
        <v>26821.374375000003</v>
      </c>
      <c r="V23" s="36">
        <f>SUMIFS('PF Holdings_diff dates'!$N:$N,'PF Holdings_diff dates'!$A:$A,P23,'PF Holdings_diff dates'!$P:$P,"As of today",'PF Holdings_diff dates'!$G:$G,$I$1)</f>
        <v>0</v>
      </c>
      <c r="W23" s="36">
        <f t="shared" si="7"/>
        <v>0</v>
      </c>
      <c r="X23" s="36">
        <f t="shared" si="8"/>
        <v>0</v>
      </c>
      <c r="Y23" s="72" t="str">
        <f t="shared" si="9"/>
        <v>n/a</v>
      </c>
    </row>
    <row r="24" spans="2:25" x14ac:dyDescent="0.25">
      <c r="E24" s="126"/>
      <c r="F24" s="128"/>
      <c r="G24" s="120"/>
      <c r="H24" s="122"/>
      <c r="I24" s="120"/>
      <c r="J24" s="124"/>
      <c r="K24" s="5" t="s">
        <v>19</v>
      </c>
      <c r="L24" s="19">
        <v>0.3</v>
      </c>
      <c r="M24" s="6">
        <f>$J$23*L24</f>
        <v>0.3</v>
      </c>
      <c r="N24" s="6">
        <f>M24*$H$23</f>
        <v>0.03</v>
      </c>
      <c r="O24" s="6">
        <f t="shared" si="2"/>
        <v>2.2499999999999999E-2</v>
      </c>
      <c r="P24" s="5" t="s">
        <v>107</v>
      </c>
      <c r="Q24" s="36">
        <f t="shared" si="3"/>
        <v>16092.824624999999</v>
      </c>
      <c r="R24" s="6">
        <f t="shared" si="4"/>
        <v>2.2499999999999996E-2</v>
      </c>
      <c r="S24" s="36">
        <f>SUMIFS('PF Holdings_diff dates'!$O:$O,'PF Holdings_diff dates'!$A:$A,P24,'PF Holdings_diff dates'!$P:$P,"As of Today",'PF Holdings_diff dates'!$G:$G,$I$1)</f>
        <v>0</v>
      </c>
      <c r="T24" s="6">
        <f t="shared" si="5"/>
        <v>0</v>
      </c>
      <c r="U24" s="36">
        <f t="shared" si="6"/>
        <v>16092.824624999999</v>
      </c>
      <c r="V24" s="36">
        <f>SUMIFS('PF Holdings_diff dates'!$N:$N,'PF Holdings_diff dates'!$A:$A,P24,'PF Holdings_diff dates'!$P:$P,"As of today",'PF Holdings_diff dates'!$G:$G,$I$1)</f>
        <v>0</v>
      </c>
      <c r="W24" s="36">
        <f t="shared" si="7"/>
        <v>0</v>
      </c>
      <c r="X24" s="36">
        <f t="shared" si="8"/>
        <v>0</v>
      </c>
      <c r="Y24" s="72" t="str">
        <f t="shared" si="9"/>
        <v>n/a</v>
      </c>
    </row>
    <row r="25" spans="2:25" x14ac:dyDescent="0.25">
      <c r="E25" s="126"/>
      <c r="F25" s="128"/>
      <c r="G25" s="120"/>
      <c r="H25" s="122"/>
      <c r="I25" s="120"/>
      <c r="J25" s="124"/>
      <c r="K25" s="20" t="s">
        <v>20</v>
      </c>
      <c r="L25" s="19">
        <v>0.2</v>
      </c>
      <c r="M25" s="6">
        <f>$J$23*L25</f>
        <v>0.2</v>
      </c>
      <c r="N25" s="6">
        <f>M25*$H$23</f>
        <v>2.0000000000000004E-2</v>
      </c>
      <c r="O25" s="6">
        <f t="shared" si="2"/>
        <v>1.5000000000000003E-2</v>
      </c>
      <c r="P25" s="20" t="s">
        <v>108</v>
      </c>
      <c r="Q25" s="37">
        <f t="shared" si="3"/>
        <v>10728.549750000002</v>
      </c>
      <c r="R25" s="48">
        <f t="shared" si="4"/>
        <v>1.4999999999999999E-2</v>
      </c>
      <c r="S25" s="37">
        <f>SUMIFS('PF Holdings_diff dates'!$O:$O,'PF Holdings_diff dates'!$A:$A,P25,'PF Holdings_diff dates'!$P:$P,"As of Today",'PF Holdings_diff dates'!$G:$G,$I$1)</f>
        <v>0</v>
      </c>
      <c r="T25" s="48">
        <f t="shared" si="5"/>
        <v>0</v>
      </c>
      <c r="U25" s="37">
        <f t="shared" si="6"/>
        <v>10728.549750000002</v>
      </c>
      <c r="V25" s="37">
        <f>SUMIFS('PF Holdings_diff dates'!$N:$N,'PF Holdings_diff dates'!$A:$A,P25,'PF Holdings_diff dates'!$P:$P,"As of today",'PF Holdings_diff dates'!$G:$G,$I$1)</f>
        <v>0</v>
      </c>
      <c r="W25" s="37">
        <f t="shared" si="7"/>
        <v>0</v>
      </c>
      <c r="X25" s="37">
        <f t="shared" si="8"/>
        <v>0</v>
      </c>
      <c r="Y25" s="73" t="str">
        <f t="shared" si="9"/>
        <v>n/a</v>
      </c>
    </row>
    <row r="26" spans="2:25" x14ac:dyDescent="0.25">
      <c r="E26" s="126"/>
      <c r="F26" s="128"/>
      <c r="G26" s="120"/>
      <c r="H26" s="122"/>
      <c r="I26" s="120"/>
      <c r="J26" s="124"/>
      <c r="K26" s="21" t="s">
        <v>21</v>
      </c>
      <c r="L26" s="19">
        <v>0</v>
      </c>
      <c r="M26" s="6">
        <f>$J$23*L26</f>
        <v>0</v>
      </c>
      <c r="N26" s="6">
        <f>M26*$H$23</f>
        <v>0</v>
      </c>
      <c r="O26" s="6">
        <f t="shared" si="2"/>
        <v>0</v>
      </c>
      <c r="P26" s="21" t="s">
        <v>109</v>
      </c>
      <c r="Q26" s="38">
        <f t="shared" si="3"/>
        <v>0</v>
      </c>
      <c r="R26" s="49">
        <f t="shared" si="4"/>
        <v>0</v>
      </c>
      <c r="S26" s="38">
        <f>SUMIFS('PF Holdings_diff dates'!$O:$O,'PF Holdings_diff dates'!$A:$A,P26,'PF Holdings_diff dates'!$P:$P,"As of Today",'PF Holdings_diff dates'!$G:$G,$I$1)</f>
        <v>0</v>
      </c>
      <c r="T26" s="49">
        <f t="shared" si="5"/>
        <v>0</v>
      </c>
      <c r="U26" s="38">
        <f t="shared" si="6"/>
        <v>0</v>
      </c>
      <c r="V26" s="38">
        <f>SUMIFS('PF Holdings_diff dates'!$N:$N,'PF Holdings_diff dates'!$A:$A,P26,'PF Holdings_diff dates'!$P:$P,"As of today",'PF Holdings_diff dates'!$G:$G,$I$1)</f>
        <v>0</v>
      </c>
      <c r="W26" s="38">
        <f t="shared" si="7"/>
        <v>0</v>
      </c>
      <c r="X26" s="38">
        <f t="shared" si="8"/>
        <v>0</v>
      </c>
      <c r="Y26" s="74" t="str">
        <f t="shared" si="9"/>
        <v>n/a</v>
      </c>
    </row>
    <row r="27" spans="2:25" x14ac:dyDescent="0.25">
      <c r="D27" t="str">
        <f>$I$1&amp;"Eq-Self-Tac"</f>
        <v>SN001Eq-Self-Tac</v>
      </c>
      <c r="E27" s="126"/>
      <c r="F27" s="128"/>
      <c r="G27" s="120"/>
      <c r="H27" s="122"/>
      <c r="I27" s="29" t="s">
        <v>144</v>
      </c>
      <c r="J27" s="30">
        <f>VLOOKUP(D27,'AA Decision Input'!$A:$D,4,0)</f>
        <v>0</v>
      </c>
      <c r="K27" s="22" t="s">
        <v>35</v>
      </c>
      <c r="L27" s="23">
        <v>1</v>
      </c>
      <c r="M27" s="24">
        <f>$J$27*L27</f>
        <v>0</v>
      </c>
      <c r="N27" s="24">
        <f>M27*$H$23</f>
        <v>0</v>
      </c>
      <c r="O27" s="24">
        <f t="shared" si="2"/>
        <v>0</v>
      </c>
      <c r="P27" s="22" t="s">
        <v>110</v>
      </c>
      <c r="Q27" s="39">
        <f t="shared" si="3"/>
        <v>0</v>
      </c>
      <c r="R27" s="24">
        <f t="shared" si="4"/>
        <v>0</v>
      </c>
      <c r="S27" s="39">
        <f>SUMIFS('PF Holdings_diff dates'!$O:$O,'PF Holdings_diff dates'!$A:$A,P27,'PF Holdings_diff dates'!$P:$P,"As of Today",'PF Holdings_diff dates'!$G:$G,$I$1)</f>
        <v>0</v>
      </c>
      <c r="T27" s="24">
        <f t="shared" si="5"/>
        <v>0</v>
      </c>
      <c r="U27" s="39">
        <f t="shared" si="6"/>
        <v>0</v>
      </c>
      <c r="V27" s="39">
        <f>SUMIFS('PF Holdings_diff dates'!$N:$N,'PF Holdings_diff dates'!$A:$A,P27,'PF Holdings_diff dates'!$P:$P,"As of today",'PF Holdings_diff dates'!$G:$G,$I$1)</f>
        <v>0</v>
      </c>
      <c r="W27" s="39">
        <f t="shared" si="7"/>
        <v>0</v>
      </c>
      <c r="X27" s="39">
        <f t="shared" si="8"/>
        <v>0</v>
      </c>
      <c r="Y27" s="75" t="str">
        <f t="shared" si="9"/>
        <v>n/a</v>
      </c>
    </row>
    <row r="28" spans="2:25" x14ac:dyDescent="0.25">
      <c r="B28" t="str">
        <f>$I$1&amp;E28</f>
        <v>SN001Debt</v>
      </c>
      <c r="C28" t="str">
        <f>$I$1&amp;"Db-MF"</f>
        <v>SN001Db-MF</v>
      </c>
      <c r="D28" t="str">
        <f>$I$1&amp;"Db-MF-MF"</f>
        <v>SN001Db-MF-MF</v>
      </c>
      <c r="E28" s="125" t="s">
        <v>10</v>
      </c>
      <c r="F28" s="136">
        <f>VLOOKUP(B28,'AA Decision Input'!$A:$D,4,0)</f>
        <v>0.2</v>
      </c>
      <c r="G28" s="129" t="s">
        <v>25</v>
      </c>
      <c r="H28" s="117">
        <f>VLOOKUP(C28,'AA Decision Input'!$A:$D,4,0)</f>
        <v>0.6</v>
      </c>
      <c r="I28" s="129" t="s">
        <v>31</v>
      </c>
      <c r="J28" s="117">
        <f>VLOOKUP(D28,'AA Decision Input'!$A:$D,4,0)</f>
        <v>1</v>
      </c>
      <c r="K28" s="7" t="s">
        <v>27</v>
      </c>
      <c r="L28" s="25">
        <v>0.2</v>
      </c>
      <c r="M28" s="8">
        <v>0.2</v>
      </c>
      <c r="N28" s="8">
        <f>M28*$H$28</f>
        <v>0.12</v>
      </c>
      <c r="O28" s="8">
        <f>N28*$F$28</f>
        <v>2.4E-2</v>
      </c>
      <c r="P28" s="7" t="s">
        <v>111</v>
      </c>
      <c r="Q28" s="40">
        <f t="shared" si="3"/>
        <v>17165.679599999999</v>
      </c>
      <c r="R28" s="8">
        <f t="shared" si="4"/>
        <v>2.3999999999999994E-2</v>
      </c>
      <c r="S28" s="40">
        <f>SUMIFS('PF Holdings_diff dates'!$O:$O,'PF Holdings_diff dates'!$A:$A,P28,'PF Holdings_diff dates'!$P:$P,"As of Today",'PF Holdings_diff dates'!$G:$G,$I$1)</f>
        <v>0</v>
      </c>
      <c r="T28" s="8">
        <f t="shared" si="5"/>
        <v>0</v>
      </c>
      <c r="U28" s="40">
        <f t="shared" si="6"/>
        <v>17165.679599999999</v>
      </c>
      <c r="V28" s="40">
        <f>SUMIFS('PF Holdings_diff dates'!$N:$N,'PF Holdings_diff dates'!$A:$A,P28,'PF Holdings_diff dates'!$P:$P,"As of today",'PF Holdings_diff dates'!$G:$G,$I$1)</f>
        <v>0</v>
      </c>
      <c r="W28" s="40">
        <f t="shared" si="7"/>
        <v>0</v>
      </c>
      <c r="X28" s="40">
        <f t="shared" si="8"/>
        <v>0</v>
      </c>
      <c r="Y28" s="76" t="str">
        <f t="shared" si="9"/>
        <v>n/a</v>
      </c>
    </row>
    <row r="29" spans="2:25" x14ac:dyDescent="0.25">
      <c r="E29" s="126"/>
      <c r="F29" s="137"/>
      <c r="G29" s="130"/>
      <c r="H29" s="118"/>
      <c r="I29" s="130"/>
      <c r="J29" s="118"/>
      <c r="K29" s="7" t="s">
        <v>28</v>
      </c>
      <c r="L29" s="25">
        <v>0.3</v>
      </c>
      <c r="M29" s="8">
        <f>$J$28*L29</f>
        <v>0.3</v>
      </c>
      <c r="N29" s="8">
        <f>M29*$H$28</f>
        <v>0.18</v>
      </c>
      <c r="O29" s="8">
        <f>N29*$F$28</f>
        <v>3.5999999999999997E-2</v>
      </c>
      <c r="P29" s="7" t="s">
        <v>245</v>
      </c>
      <c r="Q29" s="40">
        <f t="shared" ref="Q29" si="10">O29*Q$39</f>
        <v>25748.519399999997</v>
      </c>
      <c r="R29" s="8">
        <f t="shared" ref="R29" si="11">Q29/SUM(Q$15:Q$38)</f>
        <v>3.599999999999999E-2</v>
      </c>
      <c r="S29" s="40">
        <f>SUMIFS('PF Holdings_diff dates'!$O:$O,'PF Holdings_diff dates'!$A:$A,P29,'PF Holdings_diff dates'!$P:$P,"As of Today",'PF Holdings_diff dates'!$G:$G,$I$1)</f>
        <v>0</v>
      </c>
      <c r="T29" s="8">
        <f t="shared" si="5"/>
        <v>0</v>
      </c>
      <c r="U29" s="40">
        <f t="shared" ref="U29" si="12">Q29-S29</f>
        <v>25748.519399999997</v>
      </c>
      <c r="V29" s="40">
        <f>SUMIFS('PF Holdings_diff dates'!$N:$N,'PF Holdings_diff dates'!$A:$A,P29,'PF Holdings_diff dates'!$P:$P,"As of today",'PF Holdings_diff dates'!$G:$G,$I$1)</f>
        <v>0</v>
      </c>
      <c r="W29" s="40">
        <f t="shared" ref="W29" si="13">S29</f>
        <v>0</v>
      </c>
      <c r="X29" s="40">
        <f t="shared" ref="X29" si="14">W29-V29</f>
        <v>0</v>
      </c>
      <c r="Y29" s="76" t="str">
        <f t="shared" ref="Y29" si="15">IFERROR(X29/V29,"n/a")</f>
        <v>n/a</v>
      </c>
    </row>
    <row r="30" spans="2:25" x14ac:dyDescent="0.25">
      <c r="E30" s="126"/>
      <c r="F30" s="137"/>
      <c r="G30" s="130"/>
      <c r="H30" s="118"/>
      <c r="I30" s="130"/>
      <c r="J30" s="118"/>
      <c r="K30" s="7" t="s">
        <v>29</v>
      </c>
      <c r="L30" s="25">
        <v>0.2</v>
      </c>
      <c r="M30" s="8">
        <f>$J$28*L30</f>
        <v>0.2</v>
      </c>
      <c r="N30" s="8">
        <f>M30*$H$28</f>
        <v>0.12</v>
      </c>
      <c r="O30" s="8">
        <f>N30*$F$28</f>
        <v>2.4E-2</v>
      </c>
      <c r="P30" s="7" t="s">
        <v>246</v>
      </c>
      <c r="Q30" s="40">
        <f t="shared" ref="Q30" si="16">O30*Q$39</f>
        <v>17165.679599999999</v>
      </c>
      <c r="R30" s="8">
        <f t="shared" ref="R30" si="17">Q30/SUM(Q$15:Q$38)</f>
        <v>2.3999999999999994E-2</v>
      </c>
      <c r="S30" s="40">
        <f>SUMIFS('PF Holdings_diff dates'!$O:$O,'PF Holdings_diff dates'!$A:$A,P30,'PF Holdings_diff dates'!$P:$P,"As of Today",'PF Holdings_diff dates'!$G:$G,$I$1)</f>
        <v>0</v>
      </c>
      <c r="T30" s="8">
        <f t="shared" si="5"/>
        <v>0</v>
      </c>
      <c r="U30" s="40">
        <f t="shared" ref="U30" si="18">Q30-S30</f>
        <v>17165.679599999999</v>
      </c>
      <c r="V30" s="40">
        <f>SUMIFS('PF Holdings_diff dates'!$N:$N,'PF Holdings_diff dates'!$A:$A,P30,'PF Holdings_diff dates'!$P:$P,"As of today",'PF Holdings_diff dates'!$G:$G,$I$1)</f>
        <v>0</v>
      </c>
      <c r="W30" s="40">
        <f t="shared" ref="W30" si="19">S30</f>
        <v>0</v>
      </c>
      <c r="X30" s="40">
        <f t="shared" ref="X30" si="20">W30-V30</f>
        <v>0</v>
      </c>
      <c r="Y30" s="76" t="str">
        <f t="shared" ref="Y30" si="21">IFERROR(X30/V30,"n/a")</f>
        <v>n/a</v>
      </c>
    </row>
    <row r="31" spans="2:25" x14ac:dyDescent="0.25">
      <c r="E31" s="126"/>
      <c r="F31" s="137"/>
      <c r="G31" s="130"/>
      <c r="H31" s="118"/>
      <c r="I31" s="130"/>
      <c r="J31" s="118"/>
      <c r="K31" s="7" t="s">
        <v>33</v>
      </c>
      <c r="L31" s="25">
        <v>0.2</v>
      </c>
      <c r="M31" s="8">
        <f t="shared" ref="M31:M32" si="22">$J$28*L31</f>
        <v>0.2</v>
      </c>
      <c r="N31" s="8">
        <f>M31*$H$28</f>
        <v>0.12</v>
      </c>
      <c r="O31" s="8">
        <f t="shared" ref="O31:O37" si="23">N31*$F$28</f>
        <v>2.4E-2</v>
      </c>
      <c r="P31" s="7" t="s">
        <v>112</v>
      </c>
      <c r="Q31" s="40">
        <f t="shared" si="3"/>
        <v>17165.679599999999</v>
      </c>
      <c r="R31" s="8">
        <f t="shared" si="4"/>
        <v>2.3999999999999994E-2</v>
      </c>
      <c r="S31" s="40">
        <f>SUMIFS('PF Holdings_diff dates'!$O:$O,'PF Holdings_diff dates'!$A:$A,P31,'PF Holdings_diff dates'!$P:$P,"As of Today",'PF Holdings_diff dates'!$G:$G,$I$1)</f>
        <v>120708.34</v>
      </c>
      <c r="T31" s="8">
        <f t="shared" si="5"/>
        <v>0.16876699481213664</v>
      </c>
      <c r="U31" s="40">
        <f t="shared" si="6"/>
        <v>-103542.66039999999</v>
      </c>
      <c r="V31" s="40">
        <f>SUMIFS('PF Holdings_diff dates'!$N:$N,'PF Holdings_diff dates'!$A:$A,P31,'PF Holdings_diff dates'!$P:$P,"As of today",'PF Holdings_diff dates'!$G:$G,$I$1)</f>
        <v>100000</v>
      </c>
      <c r="W31" s="40">
        <f t="shared" si="7"/>
        <v>120708.34</v>
      </c>
      <c r="X31" s="40">
        <f t="shared" si="8"/>
        <v>20708.339999999997</v>
      </c>
      <c r="Y31" s="76">
        <f t="shared" si="9"/>
        <v>0.20708339999999997</v>
      </c>
    </row>
    <row r="32" spans="2:25" x14ac:dyDescent="0.25">
      <c r="E32" s="126"/>
      <c r="F32" s="137"/>
      <c r="G32" s="130"/>
      <c r="H32" s="118"/>
      <c r="I32" s="130"/>
      <c r="J32" s="118"/>
      <c r="K32" s="7" t="s">
        <v>30</v>
      </c>
      <c r="L32" s="25">
        <v>0.1</v>
      </c>
      <c r="M32" s="8">
        <f t="shared" si="22"/>
        <v>0.1</v>
      </c>
      <c r="N32" s="8">
        <f>M32*$H$28</f>
        <v>0.06</v>
      </c>
      <c r="O32" s="8">
        <f t="shared" si="23"/>
        <v>1.2E-2</v>
      </c>
      <c r="P32" s="7" t="s">
        <v>113</v>
      </c>
      <c r="Q32" s="40">
        <f t="shared" si="3"/>
        <v>8582.8397999999997</v>
      </c>
      <c r="R32" s="8">
        <f t="shared" si="4"/>
        <v>1.1999999999999997E-2</v>
      </c>
      <c r="S32" s="40">
        <f>SUMIFS('PF Holdings_diff dates'!$O:$O,'PF Holdings_diff dates'!$A:$A,P32,'PF Holdings_diff dates'!$P:$P,"As of Today",'PF Holdings_diff dates'!$G:$G,$I$1)</f>
        <v>46134.6</v>
      </c>
      <c r="T32" s="8">
        <f t="shared" si="5"/>
        <v>6.4502567087410853E-2</v>
      </c>
      <c r="U32" s="40">
        <f t="shared" si="6"/>
        <v>-37551.760199999997</v>
      </c>
      <c r="V32" s="40">
        <f>SUMIFS('PF Holdings_diff dates'!$N:$N,'PF Holdings_diff dates'!$A:$A,P32,'PF Holdings_diff dates'!$P:$P,"As of today",'PF Holdings_diff dates'!$G:$G,$I$1)</f>
        <v>37953.81</v>
      </c>
      <c r="W32" s="40">
        <f t="shared" si="7"/>
        <v>46134.6</v>
      </c>
      <c r="X32" s="40">
        <f t="shared" si="8"/>
        <v>8180.7900000000009</v>
      </c>
      <c r="Y32" s="76">
        <f t="shared" si="9"/>
        <v>0.21554594914186484</v>
      </c>
    </row>
    <row r="33" spans="2:25" x14ac:dyDescent="0.25">
      <c r="C33" t="str">
        <f>$I$1&amp;"Db-Self"</f>
        <v>SN001Db-Self</v>
      </c>
      <c r="D33" t="str">
        <f>$I$1&amp;"Db-Self-Bnd"</f>
        <v>SN001Db-Self-Bnd</v>
      </c>
      <c r="E33" s="126"/>
      <c r="F33" s="137"/>
      <c r="G33" s="138" t="s">
        <v>9</v>
      </c>
      <c r="H33" s="140">
        <f>VLOOKUP(C33,'AA Decision Input'!$A:$D,4,0)</f>
        <v>0.4</v>
      </c>
      <c r="I33" s="142" t="s">
        <v>34</v>
      </c>
      <c r="J33" s="123">
        <f>VLOOKUP(D33,'AA Decision Input'!$A:$D,4,0)</f>
        <v>0.3</v>
      </c>
      <c r="K33" s="5" t="s">
        <v>27</v>
      </c>
      <c r="L33" s="19">
        <v>0</v>
      </c>
      <c r="M33" s="6">
        <f>$J$33*L33</f>
        <v>0</v>
      </c>
      <c r="N33" s="6">
        <f>M33*$H$33</f>
        <v>0</v>
      </c>
      <c r="O33" s="6">
        <f t="shared" si="23"/>
        <v>0</v>
      </c>
      <c r="P33" s="5" t="s">
        <v>247</v>
      </c>
      <c r="Q33" s="36">
        <f t="shared" si="3"/>
        <v>0</v>
      </c>
      <c r="R33" s="6">
        <f t="shared" si="4"/>
        <v>0</v>
      </c>
      <c r="S33" s="36">
        <f>SUMIFS('PF Holdings_diff dates'!$O:$O,'PF Holdings_diff dates'!$A:$A,P33,'PF Holdings_diff dates'!$P:$P,"As of Today",'PF Holdings_diff dates'!$G:$G,$I$1)</f>
        <v>0</v>
      </c>
      <c r="T33" s="6">
        <f t="shared" si="5"/>
        <v>0</v>
      </c>
      <c r="U33" s="36">
        <f t="shared" si="6"/>
        <v>0</v>
      </c>
      <c r="V33" s="36">
        <f>SUMIFS('PF Holdings_diff dates'!$N:$N,'PF Holdings_diff dates'!$A:$A,P33,'PF Holdings_diff dates'!$P:$P,"As of today",'PF Holdings_diff dates'!$G:$G,$I$1)</f>
        <v>0</v>
      </c>
      <c r="W33" s="36">
        <f t="shared" si="7"/>
        <v>0</v>
      </c>
      <c r="X33" s="36">
        <f t="shared" si="8"/>
        <v>0</v>
      </c>
      <c r="Y33" s="72" t="str">
        <f t="shared" si="9"/>
        <v>n/a</v>
      </c>
    </row>
    <row r="34" spans="2:25" x14ac:dyDescent="0.25">
      <c r="E34" s="126"/>
      <c r="F34" s="137"/>
      <c r="G34" s="139"/>
      <c r="H34" s="141"/>
      <c r="I34" s="143"/>
      <c r="J34" s="124"/>
      <c r="K34" s="5" t="s">
        <v>28</v>
      </c>
      <c r="L34" s="19">
        <v>0.7</v>
      </c>
      <c r="M34" s="6">
        <f>$J$33*L34</f>
        <v>0.21</v>
      </c>
      <c r="N34" s="6">
        <f>M34*$H$33</f>
        <v>8.4000000000000005E-2</v>
      </c>
      <c r="O34" s="6">
        <f t="shared" ref="O34" si="24">N34*$F$28</f>
        <v>1.6800000000000002E-2</v>
      </c>
      <c r="P34" s="5" t="s">
        <v>114</v>
      </c>
      <c r="Q34" s="36">
        <f t="shared" ref="Q34" si="25">O34*Q$39</f>
        <v>12015.975720000002</v>
      </c>
      <c r="R34" s="6">
        <f t="shared" ref="R34" si="26">Q34/SUM(Q$15:Q$38)</f>
        <v>1.6799999999999999E-2</v>
      </c>
      <c r="S34" s="36">
        <f>SUMIFS('PF Holdings_diff dates'!$O:$O,'PF Holdings_diff dates'!$A:$A,P34,'PF Holdings_diff dates'!$P:$P,"As of Today",'PF Holdings_diff dates'!$G:$G,$I$1)</f>
        <v>0</v>
      </c>
      <c r="T34" s="6">
        <f t="shared" si="5"/>
        <v>0</v>
      </c>
      <c r="U34" s="36">
        <f t="shared" ref="U34" si="27">Q34-S34</f>
        <v>12015.975720000002</v>
      </c>
      <c r="V34" s="36">
        <f>SUMIFS('PF Holdings_diff dates'!$N:$N,'PF Holdings_diff dates'!$A:$A,P34,'PF Holdings_diff dates'!$P:$P,"As of today",'PF Holdings_diff dates'!$G:$G,$I$1)</f>
        <v>0</v>
      </c>
      <c r="W34" s="36">
        <f t="shared" ref="W34" si="28">S34</f>
        <v>0</v>
      </c>
      <c r="X34" s="36">
        <f t="shared" ref="X34" si="29">W34-V34</f>
        <v>0</v>
      </c>
      <c r="Y34" s="72" t="str">
        <f t="shared" ref="Y34" si="30">IFERROR(X34/V34,"n/a")</f>
        <v>n/a</v>
      </c>
    </row>
    <row r="35" spans="2:25" x14ac:dyDescent="0.25">
      <c r="E35" s="126"/>
      <c r="F35" s="137"/>
      <c r="G35" s="139"/>
      <c r="H35" s="141"/>
      <c r="I35" s="143"/>
      <c r="J35" s="124"/>
      <c r="K35" s="5" t="s">
        <v>29</v>
      </c>
      <c r="L35" s="19">
        <v>0.3</v>
      </c>
      <c r="M35" s="6">
        <f>$J$33*L35</f>
        <v>0.09</v>
      </c>
      <c r="N35" s="6">
        <f>M35*$H$33</f>
        <v>3.5999999999999997E-2</v>
      </c>
      <c r="O35" s="6">
        <f t="shared" si="23"/>
        <v>7.1999999999999998E-3</v>
      </c>
      <c r="P35" s="5" t="s">
        <v>115</v>
      </c>
      <c r="Q35" s="36">
        <f t="shared" si="3"/>
        <v>5149.70388</v>
      </c>
      <c r="R35" s="6">
        <f t="shared" si="4"/>
        <v>7.1999999999999989E-3</v>
      </c>
      <c r="S35" s="36">
        <f>SUMIFS('PF Holdings_diff dates'!$O:$O,'PF Holdings_diff dates'!$A:$A,P35,'PF Holdings_diff dates'!$P:$P,"As of Today",'PF Holdings_diff dates'!$G:$G,$I$1)</f>
        <v>0</v>
      </c>
      <c r="T35" s="6">
        <f t="shared" si="5"/>
        <v>0</v>
      </c>
      <c r="U35" s="36">
        <f t="shared" si="6"/>
        <v>5149.70388</v>
      </c>
      <c r="V35" s="36">
        <f>SUMIFS('PF Holdings_diff dates'!$N:$N,'PF Holdings_diff dates'!$A:$A,P35,'PF Holdings_diff dates'!$P:$P,"As of today",'PF Holdings_diff dates'!$G:$G,$I$1)</f>
        <v>0</v>
      </c>
      <c r="W35" s="36">
        <f t="shared" si="7"/>
        <v>0</v>
      </c>
      <c r="X35" s="36">
        <f t="shared" si="8"/>
        <v>0</v>
      </c>
      <c r="Y35" s="72" t="str">
        <f t="shared" si="9"/>
        <v>n/a</v>
      </c>
    </row>
    <row r="36" spans="2:25" x14ac:dyDescent="0.25">
      <c r="D36" t="str">
        <f>$I$1&amp;"Db-Self-VD"</f>
        <v>SN001Db-Self-VD</v>
      </c>
      <c r="E36" s="126"/>
      <c r="F36" s="137"/>
      <c r="G36" s="139"/>
      <c r="H36" s="139"/>
      <c r="I36" s="131" t="s">
        <v>32</v>
      </c>
      <c r="J36" s="133">
        <f>VLOOKUP(D36,'AA Decision Input'!$A:$D,4,0)</f>
        <v>0.7</v>
      </c>
      <c r="K36" s="22" t="s">
        <v>27</v>
      </c>
      <c r="L36" s="23">
        <v>0.5</v>
      </c>
      <c r="M36" s="24">
        <f>$J$36*L36</f>
        <v>0.35</v>
      </c>
      <c r="N36" s="24">
        <f t="shared" ref="N36:N37" si="31">M36*$H$33</f>
        <v>0.13999999999999999</v>
      </c>
      <c r="O36" s="24">
        <f t="shared" si="23"/>
        <v>2.7999999999999997E-2</v>
      </c>
      <c r="P36" s="22" t="s">
        <v>116</v>
      </c>
      <c r="Q36" s="39">
        <f t="shared" si="3"/>
        <v>20026.626199999999</v>
      </c>
      <c r="R36" s="24">
        <f t="shared" si="4"/>
        <v>2.7999999999999994E-2</v>
      </c>
      <c r="S36" s="39">
        <f>SUMIFS('PF Holdings_diff dates'!$O:$O,'PF Holdings_diff dates'!$A:$A,P36,'PF Holdings_diff dates'!$P:$P,"As of Today",'PF Holdings_diff dates'!$G:$G,$I$1)</f>
        <v>0</v>
      </c>
      <c r="T36" s="24">
        <f t="shared" si="5"/>
        <v>0</v>
      </c>
      <c r="U36" s="39">
        <f t="shared" si="6"/>
        <v>20026.626199999999</v>
      </c>
      <c r="V36" s="39">
        <f>SUMIFS('PF Holdings_diff dates'!$N:$N,'PF Holdings_diff dates'!$A:$A,P36,'PF Holdings_diff dates'!$P:$P,"As of today",'PF Holdings_diff dates'!$G:$G,$I$1)</f>
        <v>0</v>
      </c>
      <c r="W36" s="39">
        <f t="shared" si="7"/>
        <v>0</v>
      </c>
      <c r="X36" s="39">
        <f t="shared" si="8"/>
        <v>0</v>
      </c>
      <c r="Y36" s="75" t="str">
        <f t="shared" si="9"/>
        <v>n/a</v>
      </c>
    </row>
    <row r="37" spans="2:25" x14ac:dyDescent="0.25">
      <c r="E37" s="135"/>
      <c r="F37" s="137"/>
      <c r="G37" s="139"/>
      <c r="H37" s="139"/>
      <c r="I37" s="132"/>
      <c r="J37" s="134"/>
      <c r="K37" s="22" t="s">
        <v>28</v>
      </c>
      <c r="L37" s="23">
        <v>0.5</v>
      </c>
      <c r="M37" s="24">
        <f>$J$36*L37</f>
        <v>0.35</v>
      </c>
      <c r="N37" s="24">
        <f t="shared" si="31"/>
        <v>0.13999999999999999</v>
      </c>
      <c r="O37" s="24">
        <f t="shared" si="23"/>
        <v>2.7999999999999997E-2</v>
      </c>
      <c r="P37" s="22" t="s">
        <v>117</v>
      </c>
      <c r="Q37" s="39">
        <f t="shared" si="3"/>
        <v>20026.626199999999</v>
      </c>
      <c r="R37" s="24">
        <f t="shared" si="4"/>
        <v>2.7999999999999994E-2</v>
      </c>
      <c r="S37" s="39">
        <f>SUMIFS('PF Holdings_diff dates'!$O:$O,'PF Holdings_diff dates'!$A:$A,P37,'PF Holdings_diff dates'!$P:$P,"As of Today",'PF Holdings_diff dates'!$G:$G,$I$1)</f>
        <v>0</v>
      </c>
      <c r="T37" s="24">
        <f t="shared" si="5"/>
        <v>0</v>
      </c>
      <c r="U37" s="39">
        <f t="shared" si="6"/>
        <v>20026.626199999999</v>
      </c>
      <c r="V37" s="39">
        <f>SUMIFS('PF Holdings_diff dates'!$N:$N,'PF Holdings_diff dates'!$A:$A,P37,'PF Holdings_diff dates'!$P:$P,"As of today",'PF Holdings_diff dates'!$G:$G,$I$1)</f>
        <v>0</v>
      </c>
      <c r="W37" s="39">
        <f t="shared" si="7"/>
        <v>0</v>
      </c>
      <c r="X37" s="39">
        <f t="shared" si="8"/>
        <v>0</v>
      </c>
      <c r="Y37" s="75" t="str">
        <f t="shared" si="9"/>
        <v>n/a</v>
      </c>
    </row>
    <row r="38" spans="2:25" x14ac:dyDescent="0.25">
      <c r="B38" t="str">
        <f>$I$1&amp;E38</f>
        <v>SN001Commodity</v>
      </c>
      <c r="C38" t="str">
        <f>$I$1&amp;"Co-MF"</f>
        <v>SN001Co-MF</v>
      </c>
      <c r="D38" t="str">
        <f>$I$1&amp;"Co-MF-MF"</f>
        <v>SN001Co-MF-MF</v>
      </c>
      <c r="E38" s="9" t="s">
        <v>11</v>
      </c>
      <c r="F38" s="10">
        <f>VLOOKUP(B38,'AA Decision Input'!$A:$D,4,0)</f>
        <v>0.05</v>
      </c>
      <c r="G38" s="11" t="s">
        <v>25</v>
      </c>
      <c r="H38" s="12">
        <f>VLOOKUP(C38,'AA Decision Input'!$A:$D,4,0)</f>
        <v>1</v>
      </c>
      <c r="I38" s="11" t="s">
        <v>31</v>
      </c>
      <c r="J38" s="12">
        <f>VLOOKUP(D38,'AA Decision Input'!$A:$D,4,0)</f>
        <v>1</v>
      </c>
      <c r="K38" s="13" t="s">
        <v>36</v>
      </c>
      <c r="L38" s="26">
        <v>1</v>
      </c>
      <c r="M38" s="14">
        <f>$J$38*L38</f>
        <v>1</v>
      </c>
      <c r="N38" s="14">
        <f>M38*$H$38</f>
        <v>1</v>
      </c>
      <c r="O38" s="14">
        <f>N38*$F$38</f>
        <v>0.05</v>
      </c>
      <c r="P38" s="13" t="s">
        <v>118</v>
      </c>
      <c r="Q38" s="41">
        <f t="shared" si="3"/>
        <v>35761.832500000004</v>
      </c>
      <c r="R38" s="14">
        <f t="shared" si="4"/>
        <v>4.9999999999999996E-2</v>
      </c>
      <c r="S38" s="41">
        <f>SUMIFS('PF Holdings_diff dates'!$O:$O,'PF Holdings_diff dates'!$A:$A,P38,'PF Holdings_diff dates'!$P:$P,"As of Today",'PF Holdings_diff dates'!$G:$G,$I$1)</f>
        <v>0</v>
      </c>
      <c r="T38" s="14">
        <f t="shared" si="5"/>
        <v>0</v>
      </c>
      <c r="U38" s="41">
        <f t="shared" si="6"/>
        <v>35761.832500000004</v>
      </c>
      <c r="V38" s="41">
        <f>SUMIFS('PF Holdings_diff dates'!$N:$N,'PF Holdings_diff dates'!$A:$A,P38,'PF Holdings_diff dates'!$P:$P,"As of today",'PF Holdings_diff dates'!$G:$G,$I$1)</f>
        <v>0</v>
      </c>
      <c r="W38" s="41">
        <f t="shared" si="7"/>
        <v>0</v>
      </c>
      <c r="X38" s="41">
        <f t="shared" si="8"/>
        <v>0</v>
      </c>
      <c r="Y38" s="77" t="str">
        <f t="shared" si="9"/>
        <v>n/a</v>
      </c>
    </row>
    <row r="39" spans="2:25" x14ac:dyDescent="0.25">
      <c r="F39" s="15">
        <f>SUM(F15:F38)</f>
        <v>1</v>
      </c>
      <c r="H39" s="16"/>
      <c r="O39" s="15">
        <f>SUM(O15:O38)</f>
        <v>1.0000000000000002</v>
      </c>
      <c r="Q39" s="34">
        <f>S39</f>
        <v>715236.65</v>
      </c>
      <c r="R39" s="47">
        <f t="shared" si="4"/>
        <v>0.99999999999999989</v>
      </c>
      <c r="S39" s="34">
        <f>SUM(S15:S38)</f>
        <v>715236.65</v>
      </c>
      <c r="T39" s="47">
        <f t="shared" si="5"/>
        <v>1</v>
      </c>
      <c r="U39" s="34">
        <f>SUM(U15:U38)</f>
        <v>0</v>
      </c>
      <c r="V39" s="34">
        <f>SUM(V15:V38)</f>
        <v>500953.81</v>
      </c>
      <c r="W39" s="34">
        <f>SUM(W15:W38)</f>
        <v>715236.65</v>
      </c>
      <c r="X39" s="34">
        <f>SUM(X15:X38)</f>
        <v>214282.84000000003</v>
      </c>
      <c r="Y39" s="78">
        <f t="shared" si="9"/>
        <v>0.42774969612467867</v>
      </c>
    </row>
  </sheetData>
  <mergeCells count="22">
    <mergeCell ref="I36:I37"/>
    <mergeCell ref="J36:J37"/>
    <mergeCell ref="E28:E37"/>
    <mergeCell ref="F28:F37"/>
    <mergeCell ref="G28:G32"/>
    <mergeCell ref="H28:H32"/>
    <mergeCell ref="I28:I32"/>
    <mergeCell ref="J28:J32"/>
    <mergeCell ref="G33:G37"/>
    <mergeCell ref="H33:H37"/>
    <mergeCell ref="I33:I35"/>
    <mergeCell ref="J33:J35"/>
    <mergeCell ref="E15:E27"/>
    <mergeCell ref="F15:F27"/>
    <mergeCell ref="G15:G22"/>
    <mergeCell ref="H15:H22"/>
    <mergeCell ref="I15:I22"/>
    <mergeCell ref="J15:J22"/>
    <mergeCell ref="G23:G27"/>
    <mergeCell ref="H23:H27"/>
    <mergeCell ref="I23:I26"/>
    <mergeCell ref="J23:J2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1CD8C-3F6D-42DB-91B5-20F3DB0DC322}">
  <sheetPr>
    <tabColor rgb="FFFFFF00"/>
  </sheetPr>
  <dimension ref="A1:D16"/>
  <sheetViews>
    <sheetView workbookViewId="0"/>
  </sheetViews>
  <sheetFormatPr defaultRowHeight="13.2" x14ac:dyDescent="0.25"/>
  <cols>
    <col min="1" max="1" width="17.88671875" bestFit="1" customWidth="1"/>
    <col min="2" max="2" width="15.44140625" bestFit="1" customWidth="1"/>
    <col min="3" max="3" width="11" bestFit="1" customWidth="1"/>
  </cols>
  <sheetData>
    <row r="1" spans="1:4" x14ac:dyDescent="0.25">
      <c r="A1" s="17" t="s">
        <v>119</v>
      </c>
      <c r="B1" s="17" t="s">
        <v>37</v>
      </c>
      <c r="C1" s="17" t="s">
        <v>257</v>
      </c>
      <c r="D1" s="17" t="s">
        <v>269</v>
      </c>
    </row>
    <row r="2" spans="1:4" x14ac:dyDescent="0.25">
      <c r="A2" t="str">
        <f t="shared" ref="A2:A16" si="0">B2&amp;C2</f>
        <v>SN001Equity</v>
      </c>
      <c r="B2" t="s">
        <v>274</v>
      </c>
      <c r="C2" t="s">
        <v>8</v>
      </c>
      <c r="D2" s="46">
        <v>0.75</v>
      </c>
    </row>
    <row r="3" spans="1:4" x14ac:dyDescent="0.25">
      <c r="A3" t="str">
        <f t="shared" si="0"/>
        <v>SN001Debt</v>
      </c>
      <c r="B3" t="s">
        <v>274</v>
      </c>
      <c r="C3" t="s">
        <v>10</v>
      </c>
      <c r="D3" s="46">
        <v>0.2</v>
      </c>
    </row>
    <row r="4" spans="1:4" x14ac:dyDescent="0.25">
      <c r="A4" t="str">
        <f t="shared" si="0"/>
        <v>SN001Commodity</v>
      </c>
      <c r="B4" t="s">
        <v>274</v>
      </c>
      <c r="C4" t="s">
        <v>11</v>
      </c>
      <c r="D4" s="46">
        <v>0.05</v>
      </c>
    </row>
    <row r="5" spans="1:4" x14ac:dyDescent="0.25">
      <c r="A5" t="str">
        <f t="shared" si="0"/>
        <v>SN001Eq-MF</v>
      </c>
      <c r="B5" t="s">
        <v>274</v>
      </c>
      <c r="C5" t="s">
        <v>258</v>
      </c>
      <c r="D5" s="46">
        <v>0.9</v>
      </c>
    </row>
    <row r="6" spans="1:4" x14ac:dyDescent="0.25">
      <c r="A6" t="str">
        <f t="shared" si="0"/>
        <v>SN001Eq-Self</v>
      </c>
      <c r="B6" t="s">
        <v>274</v>
      </c>
      <c r="C6" t="s">
        <v>259</v>
      </c>
      <c r="D6" s="46">
        <v>0.1</v>
      </c>
    </row>
    <row r="7" spans="1:4" x14ac:dyDescent="0.25">
      <c r="A7" t="str">
        <f t="shared" si="0"/>
        <v>SN001Db-MF</v>
      </c>
      <c r="B7" t="s">
        <v>274</v>
      </c>
      <c r="C7" t="s">
        <v>260</v>
      </c>
      <c r="D7" s="46">
        <v>0.6</v>
      </c>
    </row>
    <row r="8" spans="1:4" x14ac:dyDescent="0.25">
      <c r="A8" t="str">
        <f t="shared" si="0"/>
        <v>SN001Db-Self</v>
      </c>
      <c r="B8" t="s">
        <v>274</v>
      </c>
      <c r="C8" t="s">
        <v>261</v>
      </c>
      <c r="D8" s="46">
        <v>0.4</v>
      </c>
    </row>
    <row r="9" spans="1:4" x14ac:dyDescent="0.25">
      <c r="A9" t="str">
        <f t="shared" si="0"/>
        <v>SN001Co-MF</v>
      </c>
      <c r="B9" t="s">
        <v>274</v>
      </c>
      <c r="C9" t="s">
        <v>262</v>
      </c>
      <c r="D9" s="46">
        <v>1</v>
      </c>
    </row>
    <row r="10" spans="1:4" x14ac:dyDescent="0.25">
      <c r="A10" t="str">
        <f t="shared" si="0"/>
        <v>SN001Eq-MF-MF</v>
      </c>
      <c r="B10" t="s">
        <v>274</v>
      </c>
      <c r="C10" t="s">
        <v>263</v>
      </c>
      <c r="D10" s="46">
        <v>1</v>
      </c>
    </row>
    <row r="11" spans="1:4" x14ac:dyDescent="0.25">
      <c r="A11" t="str">
        <f t="shared" si="0"/>
        <v>SN001Eq-Self-Dir</v>
      </c>
      <c r="B11" t="s">
        <v>274</v>
      </c>
      <c r="C11" t="s">
        <v>264</v>
      </c>
      <c r="D11" s="46">
        <v>1</v>
      </c>
    </row>
    <row r="12" spans="1:4" x14ac:dyDescent="0.25">
      <c r="A12" t="str">
        <f t="shared" si="0"/>
        <v>SN001Eq-Self-Tac</v>
      </c>
      <c r="B12" t="s">
        <v>274</v>
      </c>
      <c r="C12" t="s">
        <v>265</v>
      </c>
      <c r="D12" s="46">
        <v>0</v>
      </c>
    </row>
    <row r="13" spans="1:4" x14ac:dyDescent="0.25">
      <c r="A13" t="str">
        <f t="shared" si="0"/>
        <v>SN001Db-MF-MF</v>
      </c>
      <c r="B13" t="s">
        <v>274</v>
      </c>
      <c r="C13" t="s">
        <v>270</v>
      </c>
      <c r="D13" s="46">
        <v>1</v>
      </c>
    </row>
    <row r="14" spans="1:4" x14ac:dyDescent="0.25">
      <c r="A14" t="str">
        <f t="shared" si="0"/>
        <v>SN001Db-Self-Bnd</v>
      </c>
      <c r="B14" t="s">
        <v>274</v>
      </c>
      <c r="C14" t="s">
        <v>266</v>
      </c>
      <c r="D14" s="46">
        <v>0.3</v>
      </c>
    </row>
    <row r="15" spans="1:4" x14ac:dyDescent="0.25">
      <c r="A15" t="str">
        <f t="shared" si="0"/>
        <v>SN001Db-Self-VD</v>
      </c>
      <c r="B15" t="s">
        <v>274</v>
      </c>
      <c r="C15" t="s">
        <v>267</v>
      </c>
      <c r="D15" s="46">
        <v>0.7</v>
      </c>
    </row>
    <row r="16" spans="1:4" x14ac:dyDescent="0.25">
      <c r="A16" t="str">
        <f t="shared" si="0"/>
        <v>SN001Co-MF-MF</v>
      </c>
      <c r="B16" t="s">
        <v>274</v>
      </c>
      <c r="C16" t="s">
        <v>268</v>
      </c>
      <c r="D16" s="46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C2FCA-E089-4384-B663-693385744696}">
  <sheetPr>
    <tabColor theme="0" tint="-0.14999847407452621"/>
  </sheetPr>
  <dimension ref="A1:C111"/>
  <sheetViews>
    <sheetView workbookViewId="0">
      <selection activeCell="C94" sqref="C94"/>
    </sheetView>
  </sheetViews>
  <sheetFormatPr defaultRowHeight="13.2" x14ac:dyDescent="0.25"/>
  <cols>
    <col min="1" max="1" width="14" bestFit="1" customWidth="1"/>
    <col min="2" max="2" width="84.109375" bestFit="1" customWidth="1"/>
    <col min="3" max="3" width="36.88671875" bestFit="1" customWidth="1"/>
  </cols>
  <sheetData>
    <row r="1" spans="1:3" x14ac:dyDescent="0.25">
      <c r="A1" s="79" t="s">
        <v>38</v>
      </c>
      <c r="B1" s="79" t="s">
        <v>39</v>
      </c>
      <c r="C1" s="79" t="s">
        <v>126</v>
      </c>
    </row>
    <row r="2" spans="1:3" x14ac:dyDescent="0.25">
      <c r="A2" t="s">
        <v>50</v>
      </c>
      <c r="B2" t="s">
        <v>51</v>
      </c>
      <c r="C2" t="s">
        <v>100</v>
      </c>
    </row>
    <row r="3" spans="1:3" x14ac:dyDescent="0.25">
      <c r="A3" t="s">
        <v>52</v>
      </c>
      <c r="B3" t="s">
        <v>53</v>
      </c>
      <c r="C3" t="s">
        <v>100</v>
      </c>
    </row>
    <row r="4" spans="1:3" x14ac:dyDescent="0.25">
      <c r="A4" t="s">
        <v>46</v>
      </c>
      <c r="B4" t="s">
        <v>47</v>
      </c>
      <c r="C4" t="s">
        <v>102</v>
      </c>
    </row>
    <row r="5" spans="1:3" x14ac:dyDescent="0.25">
      <c r="A5" t="s">
        <v>44</v>
      </c>
      <c r="B5" t="s">
        <v>45</v>
      </c>
      <c r="C5" t="s">
        <v>101</v>
      </c>
    </row>
    <row r="6" spans="1:3" x14ac:dyDescent="0.25">
      <c r="A6" t="s">
        <v>54</v>
      </c>
      <c r="B6" t="s">
        <v>55</v>
      </c>
      <c r="C6" t="s">
        <v>111</v>
      </c>
    </row>
    <row r="7" spans="1:3" x14ac:dyDescent="0.25">
      <c r="A7" t="s">
        <v>56</v>
      </c>
      <c r="B7" t="s">
        <v>57</v>
      </c>
      <c r="C7" t="s">
        <v>113</v>
      </c>
    </row>
    <row r="8" spans="1:3" x14ac:dyDescent="0.25">
      <c r="A8" t="s">
        <v>58</v>
      </c>
      <c r="B8" t="s">
        <v>59</v>
      </c>
      <c r="C8" t="s">
        <v>101</v>
      </c>
    </row>
    <row r="9" spans="1:3" x14ac:dyDescent="0.25">
      <c r="A9" t="s">
        <v>60</v>
      </c>
      <c r="B9" t="s">
        <v>61</v>
      </c>
      <c r="C9" t="s">
        <v>111</v>
      </c>
    </row>
    <row r="10" spans="1:3" x14ac:dyDescent="0.25">
      <c r="A10" t="s">
        <v>62</v>
      </c>
      <c r="B10" t="s">
        <v>63</v>
      </c>
      <c r="C10" t="s">
        <v>102</v>
      </c>
    </row>
    <row r="11" spans="1:3" x14ac:dyDescent="0.25">
      <c r="A11" t="s">
        <v>64</v>
      </c>
      <c r="B11" t="s">
        <v>65</v>
      </c>
      <c r="C11" t="s">
        <v>100</v>
      </c>
    </row>
    <row r="12" spans="1:3" x14ac:dyDescent="0.25">
      <c r="A12">
        <v>149478</v>
      </c>
      <c r="B12" t="s">
        <v>66</v>
      </c>
      <c r="C12" t="s">
        <v>111</v>
      </c>
    </row>
    <row r="13" spans="1:3" x14ac:dyDescent="0.25">
      <c r="A13" t="s">
        <v>67</v>
      </c>
      <c r="B13" t="s">
        <v>68</v>
      </c>
      <c r="C13" t="s">
        <v>100</v>
      </c>
    </row>
    <row r="14" spans="1:3" x14ac:dyDescent="0.25">
      <c r="A14" t="s">
        <v>69</v>
      </c>
      <c r="B14" t="s">
        <v>70</v>
      </c>
      <c r="C14" t="s">
        <v>100</v>
      </c>
    </row>
    <row r="15" spans="1:3" x14ac:dyDescent="0.25">
      <c r="A15" t="s">
        <v>71</v>
      </c>
      <c r="B15" t="s">
        <v>72</v>
      </c>
      <c r="C15" t="s">
        <v>113</v>
      </c>
    </row>
    <row r="16" spans="1:3" x14ac:dyDescent="0.25">
      <c r="A16" t="s">
        <v>73</v>
      </c>
      <c r="B16" t="s">
        <v>74</v>
      </c>
      <c r="C16" t="s">
        <v>122</v>
      </c>
    </row>
    <row r="17" spans="1:3" x14ac:dyDescent="0.25">
      <c r="A17" t="s">
        <v>75</v>
      </c>
      <c r="B17" t="s">
        <v>76</v>
      </c>
      <c r="C17" t="s">
        <v>124</v>
      </c>
    </row>
    <row r="18" spans="1:3" x14ac:dyDescent="0.25">
      <c r="A18" t="s">
        <v>77</v>
      </c>
      <c r="B18" t="s">
        <v>78</v>
      </c>
      <c r="C18" t="s">
        <v>105</v>
      </c>
    </row>
    <row r="19" spans="1:3" x14ac:dyDescent="0.25">
      <c r="A19" t="s">
        <v>79</v>
      </c>
      <c r="B19" t="s">
        <v>80</v>
      </c>
      <c r="C19" t="s">
        <v>100</v>
      </c>
    </row>
    <row r="20" spans="1:3" x14ac:dyDescent="0.25">
      <c r="A20" t="s">
        <v>81</v>
      </c>
      <c r="B20" t="s">
        <v>82</v>
      </c>
      <c r="C20" t="s">
        <v>112</v>
      </c>
    </row>
    <row r="21" spans="1:3" x14ac:dyDescent="0.25">
      <c r="A21" t="s">
        <v>83</v>
      </c>
      <c r="B21" t="s">
        <v>84</v>
      </c>
      <c r="C21" t="s">
        <v>124</v>
      </c>
    </row>
    <row r="22" spans="1:3" x14ac:dyDescent="0.25">
      <c r="A22" t="s">
        <v>85</v>
      </c>
      <c r="B22" t="s">
        <v>86</v>
      </c>
      <c r="C22" t="s">
        <v>101</v>
      </c>
    </row>
    <row r="23" spans="1:3" x14ac:dyDescent="0.25">
      <c r="A23" t="s">
        <v>48</v>
      </c>
      <c r="B23" t="s">
        <v>49</v>
      </c>
      <c r="C23" t="s">
        <v>121</v>
      </c>
    </row>
    <row r="24" spans="1:3" x14ac:dyDescent="0.25">
      <c r="A24" t="s">
        <v>87</v>
      </c>
      <c r="B24" t="s">
        <v>88</v>
      </c>
      <c r="C24" t="s">
        <v>121</v>
      </c>
    </row>
    <row r="25" spans="1:3" x14ac:dyDescent="0.25">
      <c r="A25" t="s">
        <v>89</v>
      </c>
      <c r="B25" t="s">
        <v>90</v>
      </c>
      <c r="C25" t="s">
        <v>121</v>
      </c>
    </row>
    <row r="26" spans="1:3" x14ac:dyDescent="0.25">
      <c r="B26" t="s">
        <v>91</v>
      </c>
      <c r="C26" t="s">
        <v>111</v>
      </c>
    </row>
    <row r="27" spans="1:3" x14ac:dyDescent="0.25">
      <c r="B27" t="s">
        <v>92</v>
      </c>
      <c r="C27" t="s">
        <v>103</v>
      </c>
    </row>
    <row r="28" spans="1:3" x14ac:dyDescent="0.25">
      <c r="B28" t="s">
        <v>93</v>
      </c>
      <c r="C28" t="s">
        <v>103</v>
      </c>
    </row>
    <row r="29" spans="1:3" x14ac:dyDescent="0.25">
      <c r="B29" t="s">
        <v>94</v>
      </c>
      <c r="C29" t="s">
        <v>106</v>
      </c>
    </row>
    <row r="30" spans="1:3" x14ac:dyDescent="0.25">
      <c r="B30" t="s">
        <v>95</v>
      </c>
      <c r="C30" t="s">
        <v>106</v>
      </c>
    </row>
    <row r="31" spans="1:3" x14ac:dyDescent="0.25">
      <c r="B31" t="s">
        <v>96</v>
      </c>
      <c r="C31" t="s">
        <v>106</v>
      </c>
    </row>
    <row r="32" spans="1:3" x14ac:dyDescent="0.25">
      <c r="B32" t="s">
        <v>97</v>
      </c>
      <c r="C32" t="s">
        <v>106</v>
      </c>
    </row>
    <row r="33" spans="2:3" x14ac:dyDescent="0.25">
      <c r="B33" t="s">
        <v>98</v>
      </c>
      <c r="C33" t="s">
        <v>106</v>
      </c>
    </row>
    <row r="34" spans="2:3" x14ac:dyDescent="0.25">
      <c r="B34" t="s">
        <v>99</v>
      </c>
      <c r="C34" t="s">
        <v>111</v>
      </c>
    </row>
    <row r="35" spans="2:3" x14ac:dyDescent="0.25">
      <c r="B35" t="s">
        <v>165</v>
      </c>
      <c r="C35" t="s">
        <v>111</v>
      </c>
    </row>
    <row r="36" spans="2:3" x14ac:dyDescent="0.25">
      <c r="B36" t="s">
        <v>139</v>
      </c>
      <c r="C36" t="s">
        <v>106</v>
      </c>
    </row>
    <row r="37" spans="2:3" x14ac:dyDescent="0.25">
      <c r="B37" t="s">
        <v>166</v>
      </c>
      <c r="C37" t="s">
        <v>103</v>
      </c>
    </row>
    <row r="38" spans="2:3" x14ac:dyDescent="0.25">
      <c r="B38" t="s">
        <v>167</v>
      </c>
      <c r="C38" t="s">
        <v>106</v>
      </c>
    </row>
    <row r="39" spans="2:3" x14ac:dyDescent="0.25">
      <c r="B39" t="s">
        <v>168</v>
      </c>
      <c r="C39" t="s">
        <v>106</v>
      </c>
    </row>
    <row r="40" spans="2:3" x14ac:dyDescent="0.25">
      <c r="B40" t="s">
        <v>169</v>
      </c>
      <c r="C40" t="s">
        <v>106</v>
      </c>
    </row>
    <row r="41" spans="2:3" x14ac:dyDescent="0.25">
      <c r="B41" t="s">
        <v>187</v>
      </c>
      <c r="C41" t="s">
        <v>106</v>
      </c>
    </row>
    <row r="42" spans="2:3" x14ac:dyDescent="0.25">
      <c r="B42" t="s">
        <v>170</v>
      </c>
      <c r="C42" t="s">
        <v>106</v>
      </c>
    </row>
    <row r="43" spans="2:3" x14ac:dyDescent="0.25">
      <c r="B43" t="s">
        <v>171</v>
      </c>
      <c r="C43" t="s">
        <v>100</v>
      </c>
    </row>
    <row r="44" spans="2:3" x14ac:dyDescent="0.25">
      <c r="B44" t="s">
        <v>53</v>
      </c>
      <c r="C44" t="s">
        <v>100</v>
      </c>
    </row>
    <row r="45" spans="2:3" x14ac:dyDescent="0.25">
      <c r="B45" t="s">
        <v>172</v>
      </c>
      <c r="C45" t="s">
        <v>100</v>
      </c>
    </row>
    <row r="46" spans="2:3" x14ac:dyDescent="0.25">
      <c r="B46" t="s">
        <v>173</v>
      </c>
      <c r="C46" t="s">
        <v>101</v>
      </c>
    </row>
    <row r="47" spans="2:3" x14ac:dyDescent="0.25">
      <c r="B47" t="s">
        <v>174</v>
      </c>
      <c r="C47" t="s">
        <v>101</v>
      </c>
    </row>
    <row r="48" spans="2:3" x14ac:dyDescent="0.25">
      <c r="B48" t="s">
        <v>175</v>
      </c>
      <c r="C48" t="s">
        <v>102</v>
      </c>
    </row>
    <row r="49" spans="2:3" x14ac:dyDescent="0.25">
      <c r="B49" t="s">
        <v>63</v>
      </c>
      <c r="C49" t="s">
        <v>102</v>
      </c>
    </row>
    <row r="50" spans="2:3" x14ac:dyDescent="0.25">
      <c r="B50" t="s">
        <v>176</v>
      </c>
      <c r="C50" t="s">
        <v>100</v>
      </c>
    </row>
    <row r="51" spans="2:3" x14ac:dyDescent="0.25">
      <c r="B51" t="s">
        <v>70</v>
      </c>
      <c r="C51" t="s">
        <v>100</v>
      </c>
    </row>
    <row r="52" spans="2:3" x14ac:dyDescent="0.25">
      <c r="B52" t="s">
        <v>177</v>
      </c>
      <c r="C52" t="s">
        <v>122</v>
      </c>
    </row>
    <row r="53" spans="2:3" x14ac:dyDescent="0.25">
      <c r="B53" t="s">
        <v>76</v>
      </c>
      <c r="C53" t="s">
        <v>124</v>
      </c>
    </row>
    <row r="54" spans="2:3" x14ac:dyDescent="0.25">
      <c r="B54" t="s">
        <v>178</v>
      </c>
      <c r="C54" t="s">
        <v>105</v>
      </c>
    </row>
    <row r="55" spans="2:3" x14ac:dyDescent="0.25">
      <c r="B55" t="s">
        <v>80</v>
      </c>
      <c r="C55" t="s">
        <v>100</v>
      </c>
    </row>
    <row r="56" spans="2:3" x14ac:dyDescent="0.25">
      <c r="B56" t="s">
        <v>179</v>
      </c>
      <c r="C56" t="s">
        <v>124</v>
      </c>
    </row>
    <row r="57" spans="2:3" x14ac:dyDescent="0.25">
      <c r="B57" t="s">
        <v>180</v>
      </c>
      <c r="C57" t="s">
        <v>101</v>
      </c>
    </row>
    <row r="58" spans="2:3" x14ac:dyDescent="0.25">
      <c r="B58" t="s">
        <v>90</v>
      </c>
      <c r="C58" t="s">
        <v>121</v>
      </c>
    </row>
    <row r="59" spans="2:3" x14ac:dyDescent="0.25">
      <c r="B59" t="s">
        <v>181</v>
      </c>
      <c r="C59" t="s">
        <v>121</v>
      </c>
    </row>
    <row r="60" spans="2:3" x14ac:dyDescent="0.25">
      <c r="B60" t="s">
        <v>182</v>
      </c>
      <c r="C60" t="s">
        <v>121</v>
      </c>
    </row>
    <row r="61" spans="2:3" x14ac:dyDescent="0.25">
      <c r="B61" t="s">
        <v>57</v>
      </c>
      <c r="C61" t="s">
        <v>113</v>
      </c>
    </row>
    <row r="62" spans="2:3" x14ac:dyDescent="0.25">
      <c r="B62" t="s">
        <v>183</v>
      </c>
      <c r="C62" t="s">
        <v>111</v>
      </c>
    </row>
    <row r="63" spans="2:3" x14ac:dyDescent="0.25">
      <c r="B63" t="s">
        <v>184</v>
      </c>
      <c r="C63" t="s">
        <v>111</v>
      </c>
    </row>
    <row r="64" spans="2:3" x14ac:dyDescent="0.25">
      <c r="B64" t="s">
        <v>66</v>
      </c>
      <c r="C64" t="s">
        <v>111</v>
      </c>
    </row>
    <row r="65" spans="2:3" x14ac:dyDescent="0.25">
      <c r="B65" t="s">
        <v>185</v>
      </c>
      <c r="C65" t="s">
        <v>113</v>
      </c>
    </row>
    <row r="66" spans="2:3" x14ac:dyDescent="0.25">
      <c r="B66" t="s">
        <v>186</v>
      </c>
      <c r="C66" t="s">
        <v>112</v>
      </c>
    </row>
    <row r="67" spans="2:3" x14ac:dyDescent="0.25">
      <c r="B67" t="s">
        <v>213</v>
      </c>
      <c r="C67" t="s">
        <v>106</v>
      </c>
    </row>
    <row r="68" spans="2:3" x14ac:dyDescent="0.25">
      <c r="B68" t="s">
        <v>214</v>
      </c>
      <c r="C68" t="s">
        <v>101</v>
      </c>
    </row>
    <row r="69" spans="2:3" x14ac:dyDescent="0.25">
      <c r="B69" t="s">
        <v>215</v>
      </c>
      <c r="C69" t="s">
        <v>103</v>
      </c>
    </row>
    <row r="70" spans="2:3" x14ac:dyDescent="0.25">
      <c r="B70" t="s">
        <v>216</v>
      </c>
      <c r="C70" t="s">
        <v>100</v>
      </c>
    </row>
    <row r="71" spans="2:3" x14ac:dyDescent="0.25">
      <c r="B71" t="s">
        <v>217</v>
      </c>
      <c r="C71" t="s">
        <v>100</v>
      </c>
    </row>
    <row r="72" spans="2:3" x14ac:dyDescent="0.25">
      <c r="B72" t="s">
        <v>173</v>
      </c>
      <c r="C72" t="s">
        <v>101</v>
      </c>
    </row>
    <row r="73" spans="2:3" x14ac:dyDescent="0.25">
      <c r="B73" t="s">
        <v>218</v>
      </c>
      <c r="C73" t="s">
        <v>122</v>
      </c>
    </row>
    <row r="74" spans="2:3" x14ac:dyDescent="0.25">
      <c r="B74" t="s">
        <v>175</v>
      </c>
      <c r="C74" t="s">
        <v>102</v>
      </c>
    </row>
    <row r="75" spans="2:3" x14ac:dyDescent="0.25">
      <c r="B75" t="s">
        <v>219</v>
      </c>
      <c r="C75" t="s">
        <v>100</v>
      </c>
    </row>
    <row r="76" spans="2:3" x14ac:dyDescent="0.25">
      <c r="B76" t="s">
        <v>220</v>
      </c>
      <c r="C76" t="s">
        <v>100</v>
      </c>
    </row>
    <row r="77" spans="2:3" x14ac:dyDescent="0.25">
      <c r="B77" t="s">
        <v>221</v>
      </c>
      <c r="C77" t="s">
        <v>121</v>
      </c>
    </row>
    <row r="78" spans="2:3" x14ac:dyDescent="0.25">
      <c r="B78" t="s">
        <v>222</v>
      </c>
      <c r="C78" t="s">
        <v>100</v>
      </c>
    </row>
    <row r="79" spans="2:3" x14ac:dyDescent="0.25">
      <c r="B79" t="s">
        <v>223</v>
      </c>
      <c r="C79" t="s">
        <v>121</v>
      </c>
    </row>
    <row r="80" spans="2:3" x14ac:dyDescent="0.25">
      <c r="B80" t="s">
        <v>224</v>
      </c>
      <c r="C80" t="s">
        <v>100</v>
      </c>
    </row>
    <row r="81" spans="2:3" x14ac:dyDescent="0.25">
      <c r="B81" t="s">
        <v>225</v>
      </c>
      <c r="C81" t="s">
        <v>102</v>
      </c>
    </row>
    <row r="82" spans="2:3" x14ac:dyDescent="0.25">
      <c r="B82" t="s">
        <v>226</v>
      </c>
      <c r="C82" t="s">
        <v>122</v>
      </c>
    </row>
    <row r="83" spans="2:3" x14ac:dyDescent="0.25">
      <c r="B83" t="s">
        <v>227</v>
      </c>
      <c r="C83" t="s">
        <v>102</v>
      </c>
    </row>
    <row r="84" spans="2:3" x14ac:dyDescent="0.25">
      <c r="B84" t="s">
        <v>228</v>
      </c>
      <c r="C84" t="s">
        <v>100</v>
      </c>
    </row>
    <row r="85" spans="2:3" x14ac:dyDescent="0.25">
      <c r="B85" t="s">
        <v>229</v>
      </c>
      <c r="C85" t="s">
        <v>100</v>
      </c>
    </row>
    <row r="86" spans="2:3" x14ac:dyDescent="0.25">
      <c r="B86" t="s">
        <v>230</v>
      </c>
      <c r="C86" t="s">
        <v>101</v>
      </c>
    </row>
    <row r="87" spans="2:3" x14ac:dyDescent="0.25">
      <c r="B87" t="s">
        <v>231</v>
      </c>
      <c r="C87" t="s">
        <v>102</v>
      </c>
    </row>
    <row r="88" spans="2:3" x14ac:dyDescent="0.25">
      <c r="B88" t="s">
        <v>232</v>
      </c>
      <c r="C88" t="s">
        <v>103</v>
      </c>
    </row>
    <row r="89" spans="2:3" x14ac:dyDescent="0.25">
      <c r="B89" t="s">
        <v>233</v>
      </c>
      <c r="C89" t="s">
        <v>111</v>
      </c>
    </row>
    <row r="90" spans="2:3" x14ac:dyDescent="0.25">
      <c r="B90" t="s">
        <v>234</v>
      </c>
      <c r="C90" t="s">
        <v>245</v>
      </c>
    </row>
    <row r="91" spans="2:3" x14ac:dyDescent="0.25">
      <c r="B91" t="s">
        <v>235</v>
      </c>
      <c r="C91" t="s">
        <v>245</v>
      </c>
    </row>
    <row r="92" spans="2:3" x14ac:dyDescent="0.25">
      <c r="B92" t="s">
        <v>236</v>
      </c>
      <c r="C92" t="s">
        <v>246</v>
      </c>
    </row>
    <row r="93" spans="2:3" x14ac:dyDescent="0.25">
      <c r="B93" t="s">
        <v>237</v>
      </c>
      <c r="C93" t="s">
        <v>112</v>
      </c>
    </row>
    <row r="94" spans="2:3" x14ac:dyDescent="0.25">
      <c r="B94" t="s">
        <v>238</v>
      </c>
      <c r="C94" t="s">
        <v>114</v>
      </c>
    </row>
    <row r="95" spans="2:3" x14ac:dyDescent="0.25">
      <c r="B95" t="s">
        <v>239</v>
      </c>
      <c r="C95" t="s">
        <v>114</v>
      </c>
    </row>
    <row r="96" spans="2:3" x14ac:dyDescent="0.25">
      <c r="B96" t="s">
        <v>240</v>
      </c>
      <c r="C96" t="s">
        <v>247</v>
      </c>
    </row>
    <row r="97" spans="2:3" x14ac:dyDescent="0.25">
      <c r="B97" t="s">
        <v>241</v>
      </c>
      <c r="C97" t="s">
        <v>247</v>
      </c>
    </row>
    <row r="98" spans="2:3" x14ac:dyDescent="0.25">
      <c r="B98" t="s">
        <v>242</v>
      </c>
      <c r="C98" t="s">
        <v>247</v>
      </c>
    </row>
    <row r="99" spans="2:3" x14ac:dyDescent="0.25">
      <c r="B99" t="s">
        <v>243</v>
      </c>
      <c r="C99" t="s">
        <v>117</v>
      </c>
    </row>
    <row r="100" spans="2:3" x14ac:dyDescent="0.25">
      <c r="B100" t="s">
        <v>244</v>
      </c>
      <c r="C100" t="s">
        <v>114</v>
      </c>
    </row>
    <row r="101" spans="2:3" x14ac:dyDescent="0.25">
      <c r="B101" t="s">
        <v>271</v>
      </c>
      <c r="C101" t="s">
        <v>100</v>
      </c>
    </row>
    <row r="102" spans="2:3" x14ac:dyDescent="0.25">
      <c r="B102" t="s">
        <v>272</v>
      </c>
      <c r="C102" t="s">
        <v>100</v>
      </c>
    </row>
    <row r="103" spans="2:3" x14ac:dyDescent="0.25">
      <c r="B103" t="s">
        <v>273</v>
      </c>
      <c r="C103" t="s">
        <v>112</v>
      </c>
    </row>
    <row r="104" spans="2:3" x14ac:dyDescent="0.25">
      <c r="B104" t="s">
        <v>276</v>
      </c>
      <c r="C104" t="s">
        <v>106</v>
      </c>
    </row>
    <row r="105" spans="2:3" x14ac:dyDescent="0.25">
      <c r="B105" t="s">
        <v>288</v>
      </c>
      <c r="C105" t="s">
        <v>106</v>
      </c>
    </row>
    <row r="106" spans="2:3" x14ac:dyDescent="0.25">
      <c r="B106" t="s">
        <v>289</v>
      </c>
      <c r="C106" t="s">
        <v>108</v>
      </c>
    </row>
    <row r="107" spans="2:3" x14ac:dyDescent="0.25">
      <c r="B107" t="s">
        <v>277</v>
      </c>
      <c r="C107" t="s">
        <v>108</v>
      </c>
    </row>
    <row r="108" spans="2:3" x14ac:dyDescent="0.25">
      <c r="B108" t="s">
        <v>290</v>
      </c>
      <c r="C108" t="s">
        <v>108</v>
      </c>
    </row>
    <row r="109" spans="2:3" x14ac:dyDescent="0.25">
      <c r="B109" t="s">
        <v>291</v>
      </c>
      <c r="C109" t="s">
        <v>111</v>
      </c>
    </row>
    <row r="110" spans="2:3" x14ac:dyDescent="0.25">
      <c r="B110" t="s">
        <v>292</v>
      </c>
      <c r="C110" t="s">
        <v>112</v>
      </c>
    </row>
    <row r="111" spans="2:3" x14ac:dyDescent="0.25">
      <c r="B111" t="s">
        <v>293</v>
      </c>
      <c r="C111" t="s">
        <v>116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71809-6F9C-4B6A-BF2A-4F5F03F7F492}">
  <sheetPr>
    <tabColor theme="0" tint="-0.14999847407452621"/>
  </sheetPr>
  <dimension ref="A1:K25"/>
  <sheetViews>
    <sheetView workbookViewId="0">
      <selection activeCell="G2" sqref="G2"/>
    </sheetView>
  </sheetViews>
  <sheetFormatPr defaultRowHeight="13.2" x14ac:dyDescent="0.25"/>
  <cols>
    <col min="1" max="1" width="36.88671875" bestFit="1" customWidth="1"/>
    <col min="2" max="2" width="11.33203125" bestFit="1" customWidth="1"/>
    <col min="4" max="4" width="18.33203125" bestFit="1" customWidth="1"/>
    <col min="5" max="5" width="19.33203125" bestFit="1" customWidth="1"/>
    <col min="6" max="6" width="10.88671875" bestFit="1" customWidth="1"/>
    <col min="7" max="7" width="13.5546875" bestFit="1" customWidth="1"/>
    <col min="8" max="8" width="13.5546875" customWidth="1"/>
    <col min="9" max="10" width="13.6640625" bestFit="1" customWidth="1"/>
    <col min="11" max="11" width="10.6640625" bestFit="1" customWidth="1"/>
  </cols>
  <sheetData>
    <row r="1" spans="1:11" x14ac:dyDescent="0.25">
      <c r="A1" s="42" t="s">
        <v>126</v>
      </c>
      <c r="B1" s="42" t="s">
        <v>140</v>
      </c>
      <c r="C1" s="42" t="s">
        <v>145</v>
      </c>
      <c r="D1" s="42" t="s">
        <v>4</v>
      </c>
      <c r="E1" s="42" t="s">
        <v>138</v>
      </c>
      <c r="F1" s="42" t="s">
        <v>198</v>
      </c>
      <c r="G1" s="87" t="s">
        <v>205</v>
      </c>
      <c r="H1" s="87">
        <v>45514</v>
      </c>
      <c r="I1" s="87">
        <v>45464</v>
      </c>
      <c r="J1" s="87">
        <v>45429</v>
      </c>
      <c r="K1" s="87">
        <v>45291</v>
      </c>
    </row>
    <row r="2" spans="1:11" x14ac:dyDescent="0.25">
      <c r="A2" t="s">
        <v>105</v>
      </c>
      <c r="B2" t="s">
        <v>8</v>
      </c>
      <c r="C2" t="s">
        <v>2</v>
      </c>
      <c r="D2" t="s">
        <v>31</v>
      </c>
      <c r="E2" t="s">
        <v>12</v>
      </c>
      <c r="F2" t="s">
        <v>199</v>
      </c>
      <c r="G2" s="89">
        <f>H2/K2-1</f>
        <v>0.12674678473539958</v>
      </c>
      <c r="H2">
        <v>5344.16</v>
      </c>
      <c r="I2">
        <v>5473</v>
      </c>
      <c r="J2">
        <v>5295</v>
      </c>
      <c r="K2">
        <v>4743</v>
      </c>
    </row>
    <row r="3" spans="1:11" x14ac:dyDescent="0.25">
      <c r="A3" t="s">
        <v>103</v>
      </c>
      <c r="B3" t="s">
        <v>8</v>
      </c>
      <c r="C3" t="s">
        <v>2</v>
      </c>
      <c r="D3" t="s">
        <v>31</v>
      </c>
      <c r="E3" t="s">
        <v>104</v>
      </c>
      <c r="F3" t="s">
        <v>200</v>
      </c>
      <c r="G3" s="89">
        <f t="shared" ref="G3:G14" si="0">H3/K3-1</f>
        <v>0.15995255257995344</v>
      </c>
      <c r="H3">
        <v>25425</v>
      </c>
      <c r="I3">
        <v>24555</v>
      </c>
      <c r="J3">
        <v>23444</v>
      </c>
      <c r="K3">
        <v>21919</v>
      </c>
    </row>
    <row r="4" spans="1:11" x14ac:dyDescent="0.25">
      <c r="A4" t="s">
        <v>100</v>
      </c>
      <c r="B4" t="s">
        <v>8</v>
      </c>
      <c r="C4" t="s">
        <v>2</v>
      </c>
      <c r="D4" t="s">
        <v>31</v>
      </c>
      <c r="E4" t="s">
        <v>13</v>
      </c>
      <c r="F4" t="s">
        <v>200</v>
      </c>
      <c r="G4" s="89">
        <f t="shared" si="0"/>
        <v>0.15995255257995344</v>
      </c>
      <c r="H4">
        <v>25425</v>
      </c>
      <c r="I4">
        <v>24555</v>
      </c>
      <c r="J4">
        <v>23444</v>
      </c>
      <c r="K4">
        <v>21919</v>
      </c>
    </row>
    <row r="5" spans="1:11" x14ac:dyDescent="0.25">
      <c r="A5" t="s">
        <v>101</v>
      </c>
      <c r="B5" t="s">
        <v>8</v>
      </c>
      <c r="C5" t="s">
        <v>2</v>
      </c>
      <c r="D5" t="s">
        <v>31</v>
      </c>
      <c r="E5" t="s">
        <v>14</v>
      </c>
      <c r="F5" t="s">
        <v>201</v>
      </c>
      <c r="G5" s="89">
        <f t="shared" si="0"/>
        <v>0.23856649294372545</v>
      </c>
      <c r="H5">
        <v>21151</v>
      </c>
      <c r="I5">
        <v>20735</v>
      </c>
      <c r="J5">
        <v>19249</v>
      </c>
      <c r="K5">
        <v>17077</v>
      </c>
    </row>
    <row r="6" spans="1:11" x14ac:dyDescent="0.25">
      <c r="A6" t="s">
        <v>102</v>
      </c>
      <c r="B6" t="s">
        <v>8</v>
      </c>
      <c r="C6" t="s">
        <v>2</v>
      </c>
      <c r="D6" t="s">
        <v>31</v>
      </c>
      <c r="E6" t="s">
        <v>15</v>
      </c>
      <c r="F6" t="s">
        <v>202</v>
      </c>
      <c r="G6" s="89">
        <f t="shared" si="0"/>
        <v>0.23466989530660198</v>
      </c>
      <c r="H6">
        <v>17336</v>
      </c>
      <c r="I6">
        <v>17046</v>
      </c>
      <c r="J6">
        <v>15793</v>
      </c>
      <c r="K6">
        <v>14041</v>
      </c>
    </row>
    <row r="7" spans="1:11" x14ac:dyDescent="0.25">
      <c r="A7" t="s">
        <v>121</v>
      </c>
      <c r="B7" t="s">
        <v>8</v>
      </c>
      <c r="C7" t="s">
        <v>2</v>
      </c>
      <c r="D7" t="s">
        <v>31</v>
      </c>
      <c r="E7" t="s">
        <v>16</v>
      </c>
      <c r="F7" t="s">
        <v>203</v>
      </c>
      <c r="G7" s="89">
        <f t="shared" si="0"/>
        <v>0.17988573781460704</v>
      </c>
      <c r="H7">
        <v>22924</v>
      </c>
      <c r="I7">
        <v>22236</v>
      </c>
      <c r="J7">
        <v>21065</v>
      </c>
      <c r="K7">
        <v>19429</v>
      </c>
    </row>
    <row r="8" spans="1:11" x14ac:dyDescent="0.25">
      <c r="A8" t="s">
        <v>122</v>
      </c>
      <c r="B8" t="s">
        <v>8</v>
      </c>
      <c r="C8" t="s">
        <v>2</v>
      </c>
      <c r="D8" t="s">
        <v>31</v>
      </c>
      <c r="E8" t="s">
        <v>120</v>
      </c>
      <c r="F8" t="s">
        <v>203</v>
      </c>
      <c r="G8" s="89">
        <f t="shared" si="0"/>
        <v>0.17988573781460704</v>
      </c>
      <c r="H8">
        <v>22924</v>
      </c>
      <c r="I8">
        <v>22236</v>
      </c>
      <c r="J8">
        <v>21065</v>
      </c>
      <c r="K8">
        <v>19429</v>
      </c>
    </row>
    <row r="9" spans="1:11" x14ac:dyDescent="0.25">
      <c r="A9" t="s">
        <v>124</v>
      </c>
      <c r="B9" t="s">
        <v>8</v>
      </c>
      <c r="C9" t="s">
        <v>2</v>
      </c>
      <c r="D9" t="s">
        <v>31</v>
      </c>
      <c r="E9" t="s">
        <v>123</v>
      </c>
      <c r="F9" t="s">
        <v>203</v>
      </c>
      <c r="G9" s="89">
        <f t="shared" si="0"/>
        <v>0.17988573781460704</v>
      </c>
      <c r="H9">
        <v>22924</v>
      </c>
      <c r="I9">
        <v>22236</v>
      </c>
      <c r="J9">
        <v>21065</v>
      </c>
      <c r="K9">
        <v>19429</v>
      </c>
    </row>
    <row r="10" spans="1:11" x14ac:dyDescent="0.25">
      <c r="A10" t="s">
        <v>106</v>
      </c>
      <c r="B10" t="s">
        <v>8</v>
      </c>
      <c r="C10" t="s">
        <v>9</v>
      </c>
      <c r="D10" t="s">
        <v>26</v>
      </c>
      <c r="E10" t="s">
        <v>18</v>
      </c>
      <c r="F10" t="s">
        <v>200</v>
      </c>
      <c r="G10" s="89">
        <f t="shared" si="0"/>
        <v>0.15995255257995344</v>
      </c>
      <c r="H10">
        <v>25425</v>
      </c>
      <c r="I10">
        <v>24555</v>
      </c>
      <c r="J10">
        <v>23444</v>
      </c>
      <c r="K10">
        <v>21919</v>
      </c>
    </row>
    <row r="11" spans="1:11" x14ac:dyDescent="0.25">
      <c r="A11" t="s">
        <v>107</v>
      </c>
      <c r="B11" t="s">
        <v>8</v>
      </c>
      <c r="C11" t="s">
        <v>9</v>
      </c>
      <c r="D11" t="s">
        <v>26</v>
      </c>
      <c r="E11" t="s">
        <v>19</v>
      </c>
      <c r="F11" t="s">
        <v>201</v>
      </c>
      <c r="G11" s="89">
        <f t="shared" si="0"/>
        <v>0.23856649294372545</v>
      </c>
      <c r="H11">
        <v>21151</v>
      </c>
      <c r="I11">
        <v>20735</v>
      </c>
      <c r="J11">
        <v>19249</v>
      </c>
      <c r="K11">
        <v>17077</v>
      </c>
    </row>
    <row r="12" spans="1:11" x14ac:dyDescent="0.25">
      <c r="A12" t="s">
        <v>108</v>
      </c>
      <c r="B12" t="s">
        <v>8</v>
      </c>
      <c r="C12" t="s">
        <v>9</v>
      </c>
      <c r="D12" t="s">
        <v>26</v>
      </c>
      <c r="E12" t="s">
        <v>20</v>
      </c>
      <c r="F12" t="s">
        <v>202</v>
      </c>
      <c r="G12" s="89">
        <f t="shared" si="0"/>
        <v>0.23466989530660198</v>
      </c>
      <c r="H12">
        <v>17336</v>
      </c>
      <c r="I12">
        <v>17046</v>
      </c>
      <c r="J12">
        <v>15793</v>
      </c>
      <c r="K12">
        <v>14041</v>
      </c>
    </row>
    <row r="13" spans="1:11" x14ac:dyDescent="0.25">
      <c r="A13" t="s">
        <v>109</v>
      </c>
      <c r="B13" t="s">
        <v>8</v>
      </c>
      <c r="C13" t="s">
        <v>9</v>
      </c>
      <c r="D13" t="s">
        <v>26</v>
      </c>
      <c r="E13" t="s">
        <v>21</v>
      </c>
      <c r="F13" t="s">
        <v>203</v>
      </c>
      <c r="G13" s="89">
        <f t="shared" si="0"/>
        <v>0.17988573781460704</v>
      </c>
      <c r="H13">
        <v>22924</v>
      </c>
      <c r="I13">
        <v>22236</v>
      </c>
      <c r="J13">
        <v>21065</v>
      </c>
      <c r="K13">
        <v>19429</v>
      </c>
    </row>
    <row r="14" spans="1:11" x14ac:dyDescent="0.25">
      <c r="A14" t="s">
        <v>110</v>
      </c>
      <c r="B14" t="s">
        <v>8</v>
      </c>
      <c r="C14" t="s">
        <v>9</v>
      </c>
      <c r="D14" t="s">
        <v>144</v>
      </c>
      <c r="E14" t="s">
        <v>35</v>
      </c>
      <c r="F14" t="s">
        <v>203</v>
      </c>
      <c r="G14" s="89">
        <f t="shared" si="0"/>
        <v>0.17988573781460704</v>
      </c>
      <c r="H14">
        <v>22924</v>
      </c>
      <c r="I14">
        <v>22236</v>
      </c>
      <c r="J14">
        <v>21065</v>
      </c>
      <c r="K14">
        <v>19429</v>
      </c>
    </row>
    <row r="15" spans="1:11" x14ac:dyDescent="0.25">
      <c r="A15" t="s">
        <v>111</v>
      </c>
      <c r="B15" t="s">
        <v>10</v>
      </c>
      <c r="C15" t="s">
        <v>2</v>
      </c>
      <c r="D15" t="s">
        <v>146</v>
      </c>
      <c r="E15" t="s">
        <v>27</v>
      </c>
      <c r="F15" t="s">
        <v>209</v>
      </c>
      <c r="G15" s="89">
        <f>6.8%*((31+29+31+30+31+30+31+4)/365)</f>
        <v>4.0427397260273973E-2</v>
      </c>
      <c r="H15" s="89"/>
      <c r="I15" s="88"/>
      <c r="J15" s="88"/>
      <c r="K15" s="88"/>
    </row>
    <row r="16" spans="1:11" x14ac:dyDescent="0.25">
      <c r="A16" t="s">
        <v>245</v>
      </c>
      <c r="B16" t="s">
        <v>10</v>
      </c>
      <c r="C16" t="s">
        <v>2</v>
      </c>
      <c r="D16" t="s">
        <v>146</v>
      </c>
      <c r="E16" t="s">
        <v>28</v>
      </c>
      <c r="F16" t="s">
        <v>211</v>
      </c>
      <c r="G16" s="89">
        <f>6.75%*((31+29+31+30+31+30+31+4)/365)</f>
        <v>4.0130136986301371E-2</v>
      </c>
      <c r="H16" s="89"/>
      <c r="I16" s="88"/>
      <c r="J16" s="88"/>
      <c r="K16" s="88"/>
    </row>
    <row r="17" spans="1:11" x14ac:dyDescent="0.25">
      <c r="A17" t="s">
        <v>246</v>
      </c>
      <c r="B17" t="s">
        <v>10</v>
      </c>
      <c r="C17" t="s">
        <v>2</v>
      </c>
      <c r="D17" t="s">
        <v>146</v>
      </c>
      <c r="E17" t="s">
        <v>29</v>
      </c>
      <c r="F17" t="s">
        <v>210</v>
      </c>
      <c r="G17" s="89">
        <f>6.5%*((31+29+31+30+31+30+31+4)/365)</f>
        <v>3.864383561643836E-2</v>
      </c>
      <c r="H17" s="89"/>
      <c r="I17" s="88"/>
      <c r="J17" s="88"/>
      <c r="K17" s="88"/>
    </row>
    <row r="18" spans="1:11" x14ac:dyDescent="0.25">
      <c r="A18" t="s">
        <v>112</v>
      </c>
      <c r="B18" t="s">
        <v>10</v>
      </c>
      <c r="C18" t="s">
        <v>2</v>
      </c>
      <c r="D18" t="s">
        <v>146</v>
      </c>
      <c r="E18" t="s">
        <v>33</v>
      </c>
      <c r="F18" t="s">
        <v>211</v>
      </c>
      <c r="G18" s="89">
        <f t="shared" ref="G18:G23" si="1">6.75%*((31+29+31+30+31+30+31+4)/365)</f>
        <v>4.0130136986301371E-2</v>
      </c>
      <c r="H18" s="89"/>
      <c r="I18" s="88"/>
      <c r="J18" s="88"/>
      <c r="K18" s="88"/>
    </row>
    <row r="19" spans="1:11" x14ac:dyDescent="0.25">
      <c r="A19" t="s">
        <v>113</v>
      </c>
      <c r="B19" t="s">
        <v>10</v>
      </c>
      <c r="C19" t="s">
        <v>2</v>
      </c>
      <c r="D19" t="s">
        <v>146</v>
      </c>
      <c r="E19" t="s">
        <v>30</v>
      </c>
      <c r="F19" t="s">
        <v>211</v>
      </c>
      <c r="G19" s="89">
        <f t="shared" si="1"/>
        <v>4.0130136986301371E-2</v>
      </c>
      <c r="H19" s="89"/>
      <c r="I19" s="88"/>
      <c r="J19" s="88"/>
      <c r="K19" s="88"/>
    </row>
    <row r="20" spans="1:11" x14ac:dyDescent="0.25">
      <c r="A20" t="s">
        <v>247</v>
      </c>
      <c r="B20" t="s">
        <v>10</v>
      </c>
      <c r="C20" t="s">
        <v>9</v>
      </c>
      <c r="D20" t="s">
        <v>147</v>
      </c>
      <c r="E20" t="s">
        <v>27</v>
      </c>
      <c r="F20" t="s">
        <v>209</v>
      </c>
      <c r="G20" s="89">
        <f>6.8%*((31+29+31+30+31+30+31+4)/365)</f>
        <v>4.0427397260273973E-2</v>
      </c>
      <c r="H20" s="89"/>
      <c r="I20" s="88"/>
      <c r="J20" s="88"/>
      <c r="K20" s="88"/>
    </row>
    <row r="21" spans="1:11" x14ac:dyDescent="0.25">
      <c r="A21" t="s">
        <v>114</v>
      </c>
      <c r="B21" t="s">
        <v>10</v>
      </c>
      <c r="C21" t="s">
        <v>9</v>
      </c>
      <c r="D21" t="s">
        <v>147</v>
      </c>
      <c r="E21" t="s">
        <v>28</v>
      </c>
      <c r="F21" t="s">
        <v>211</v>
      </c>
      <c r="G21" s="89">
        <f t="shared" si="1"/>
        <v>4.0130136986301371E-2</v>
      </c>
      <c r="H21" s="89"/>
      <c r="I21" s="88"/>
      <c r="J21" s="88"/>
      <c r="K21" s="88"/>
    </row>
    <row r="22" spans="1:11" x14ac:dyDescent="0.25">
      <c r="A22" t="s">
        <v>115</v>
      </c>
      <c r="B22" t="s">
        <v>10</v>
      </c>
      <c r="C22" t="s">
        <v>9</v>
      </c>
      <c r="D22" t="s">
        <v>147</v>
      </c>
      <c r="E22" t="s">
        <v>29</v>
      </c>
      <c r="F22" t="s">
        <v>210</v>
      </c>
      <c r="G22" s="89">
        <f>6.5%*((31+29+31+30+31+30+31+4)/365)</f>
        <v>3.864383561643836E-2</v>
      </c>
      <c r="H22" s="89"/>
      <c r="I22" s="88"/>
      <c r="J22" s="88"/>
      <c r="K22" s="88"/>
    </row>
    <row r="23" spans="1:11" x14ac:dyDescent="0.25">
      <c r="A23" t="s">
        <v>116</v>
      </c>
      <c r="B23" t="s">
        <v>10</v>
      </c>
      <c r="C23" t="s">
        <v>9</v>
      </c>
      <c r="D23" t="s">
        <v>32</v>
      </c>
      <c r="E23" t="s">
        <v>27</v>
      </c>
      <c r="F23" t="s">
        <v>209</v>
      </c>
      <c r="G23" s="89">
        <f t="shared" si="1"/>
        <v>4.0130136986301371E-2</v>
      </c>
      <c r="H23" s="89"/>
      <c r="I23" s="88"/>
      <c r="J23" s="88"/>
      <c r="K23" s="88"/>
    </row>
    <row r="24" spans="1:11" x14ac:dyDescent="0.25">
      <c r="A24" t="s">
        <v>117</v>
      </c>
      <c r="B24" t="s">
        <v>10</v>
      </c>
      <c r="C24" t="s">
        <v>9</v>
      </c>
      <c r="D24" t="s">
        <v>32</v>
      </c>
      <c r="E24" t="s">
        <v>28</v>
      </c>
      <c r="F24" t="s">
        <v>211</v>
      </c>
      <c r="G24" s="89">
        <f t="shared" ref="G24" si="2">6.75%*((31+29+31+30+31+30+31+4)/365)</f>
        <v>4.0130136986301371E-2</v>
      </c>
      <c r="H24" s="89"/>
      <c r="I24" s="88"/>
      <c r="J24" s="88"/>
      <c r="K24" s="88"/>
    </row>
    <row r="25" spans="1:11" x14ac:dyDescent="0.25">
      <c r="A25" t="s">
        <v>118</v>
      </c>
      <c r="B25" t="s">
        <v>11</v>
      </c>
      <c r="C25" t="s">
        <v>2</v>
      </c>
      <c r="D25" t="s">
        <v>148</v>
      </c>
      <c r="E25" t="s">
        <v>36</v>
      </c>
      <c r="F25" t="s">
        <v>204</v>
      </c>
      <c r="G25" s="89">
        <f>H25/K25-1</f>
        <v>0.18078791149487317</v>
      </c>
      <c r="H25" s="88">
        <v>6564</v>
      </c>
      <c r="I25" s="88">
        <v>6261</v>
      </c>
      <c r="J25" s="88">
        <v>6464</v>
      </c>
      <c r="K25" s="88">
        <v>5559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AA Status</vt:lpstr>
      <vt:lpstr>Pivot</vt:lpstr>
      <vt:lpstr>Sort</vt:lpstr>
      <vt:lpstr>PF Holdings_diff dates</vt:lpstr>
      <vt:lpstr>AA Decision View</vt:lpstr>
      <vt:lpstr>AA Decision Input</vt:lpstr>
      <vt:lpstr>Instruments &amp; Categorise</vt:lpstr>
      <vt:lpstr>Category level Benchmark and tr</vt:lpstr>
      <vt:lpstr>'AA Status'!Print_Area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 Manchiraju</dc:creator>
  <cp:lastModifiedBy>Account Payable Ext</cp:lastModifiedBy>
  <cp:lastPrinted>2024-08-04T17:19:57Z</cp:lastPrinted>
  <dcterms:created xsi:type="dcterms:W3CDTF">2024-03-03T07:35:55Z</dcterms:created>
  <dcterms:modified xsi:type="dcterms:W3CDTF">2025-07-03T04:59:14Z</dcterms:modified>
</cp:coreProperties>
</file>