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h11/Downloads/"/>
    </mc:Choice>
  </mc:AlternateContent>
  <xr:revisionPtr revIDLastSave="0" documentId="13_ncr:1_{38B6D0C0-EC3B-5944-B1A9-37D7F0ED9741}" xr6:coauthVersionLast="47" xr6:coauthVersionMax="47" xr10:uidLastSave="{00000000-0000-0000-0000-000000000000}"/>
  <bookViews>
    <workbookView xWindow="0" yWindow="740" windowWidth="29400" windowHeight="17140" activeTab="1" xr2:uid="{B1A808D9-4CC0-9346-BCE2-FF7E2A31893A}"/>
  </bookViews>
  <sheets>
    <sheet name="Assumptions" sheetId="2" r:id="rId1"/>
    <sheet name="Mode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3" l="1"/>
  <c r="B21" i="3"/>
  <c r="R41" i="3"/>
  <c r="R42" i="3" s="1"/>
  <c r="S41" i="3"/>
  <c r="S42" i="3" s="1"/>
  <c r="T41" i="3"/>
  <c r="T42" i="3" s="1"/>
  <c r="U41" i="3"/>
  <c r="U42" i="3" s="1"/>
  <c r="V41" i="3"/>
  <c r="V42" i="3" s="1"/>
  <c r="W41" i="3"/>
  <c r="W42" i="3" s="1"/>
  <c r="X41" i="3"/>
  <c r="X42" i="3" s="1"/>
  <c r="Y41" i="3"/>
  <c r="Y42" i="3" s="1"/>
  <c r="Z41" i="3"/>
  <c r="Z42" i="3" s="1"/>
  <c r="AA41" i="3"/>
  <c r="AA42" i="3" s="1"/>
  <c r="AB41" i="3"/>
  <c r="AB42" i="3" s="1"/>
  <c r="AC41" i="3"/>
  <c r="AC42" i="3" s="1"/>
  <c r="AD41" i="3"/>
  <c r="AD42" i="3" s="1"/>
  <c r="AE41" i="3"/>
  <c r="AE42" i="3" s="1"/>
  <c r="AF41" i="3"/>
  <c r="AF42" i="3" s="1"/>
  <c r="AG41" i="3"/>
  <c r="AG42" i="3" s="1"/>
  <c r="AH41" i="3"/>
  <c r="AH42" i="3" s="1"/>
  <c r="AI41" i="3"/>
  <c r="AI42" i="3" s="1"/>
  <c r="AJ41" i="3"/>
  <c r="AJ42" i="3" s="1"/>
  <c r="AK41" i="3"/>
  <c r="AK42" i="3" s="1"/>
  <c r="AL41" i="3"/>
  <c r="AL42" i="3" s="1"/>
  <c r="AM41" i="3"/>
  <c r="AM42" i="3" s="1"/>
  <c r="AN41" i="3"/>
  <c r="AN42" i="3" s="1"/>
  <c r="AO41" i="3"/>
  <c r="AO42" i="3" s="1"/>
  <c r="AP41" i="3"/>
  <c r="AP42" i="3" s="1"/>
  <c r="AQ41" i="3"/>
  <c r="AQ42" i="3" s="1"/>
  <c r="AG33" i="3"/>
  <c r="AH33" i="3"/>
  <c r="AI33" i="3"/>
  <c r="AJ33" i="3"/>
  <c r="AK33" i="3"/>
  <c r="AL33" i="3"/>
  <c r="AM33" i="3"/>
  <c r="AN33" i="3"/>
  <c r="AO33" i="3"/>
  <c r="AP33" i="3"/>
  <c r="AQ33" i="3"/>
  <c r="AF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G33" i="3"/>
  <c r="C33" i="3"/>
  <c r="D33" i="3"/>
  <c r="E33" i="3"/>
  <c r="F33" i="3"/>
  <c r="B33" i="3"/>
  <c r="B18" i="3"/>
  <c r="B41" i="3" s="1"/>
  <c r="B42" i="3" s="1"/>
  <c r="B17" i="3"/>
  <c r="B19" i="3" l="1"/>
  <c r="B20" i="3" s="1"/>
  <c r="C14" i="3"/>
  <c r="C11" i="2"/>
  <c r="C9" i="2"/>
  <c r="B23" i="3" l="1"/>
  <c r="C15" i="3"/>
  <c r="C17" i="3" s="1"/>
  <c r="C18" i="3"/>
  <c r="C41" i="3" s="1"/>
  <c r="C42" i="3" s="1"/>
  <c r="D14" i="3"/>
  <c r="B30" i="3"/>
  <c r="B27" i="3"/>
  <c r="B24" i="3" l="1"/>
  <c r="B35" i="3"/>
  <c r="E14" i="3"/>
  <c r="D18" i="3"/>
  <c r="D41" i="3" s="1"/>
  <c r="D42" i="3" s="1"/>
  <c r="D17" i="3"/>
  <c r="D19" i="3" s="1"/>
  <c r="C19" i="3"/>
  <c r="D21" i="3" l="1"/>
  <c r="C21" i="3"/>
  <c r="B37" i="3"/>
  <c r="B43" i="3" s="1"/>
  <c r="B45" i="3" s="1"/>
  <c r="C20" i="3"/>
  <c r="C22" i="3" s="1"/>
  <c r="D20" i="3"/>
  <c r="D22" i="3" s="1"/>
  <c r="E15" i="3"/>
  <c r="E18" i="3"/>
  <c r="E41" i="3" s="1"/>
  <c r="E42" i="3" s="1"/>
  <c r="E16" i="3"/>
  <c r="F14" i="3" s="1"/>
  <c r="D23" i="3" l="1"/>
  <c r="D24" i="3" s="1"/>
  <c r="C23" i="3"/>
  <c r="F17" i="3"/>
  <c r="F18" i="3"/>
  <c r="F41" i="3" s="1"/>
  <c r="F42" i="3" s="1"/>
  <c r="G14" i="3"/>
  <c r="E17" i="3"/>
  <c r="E19" i="3" s="1"/>
  <c r="D30" i="3"/>
  <c r="D27" i="3"/>
  <c r="C27" i="3"/>
  <c r="C30" i="3"/>
  <c r="E21" i="3" l="1"/>
  <c r="C24" i="3"/>
  <c r="C35" i="3"/>
  <c r="D35" i="3"/>
  <c r="E20" i="3"/>
  <c r="E22" i="3" s="1"/>
  <c r="H14" i="3"/>
  <c r="G15" i="3"/>
  <c r="G17" i="3" s="1"/>
  <c r="G18" i="3"/>
  <c r="G41" i="3" s="1"/>
  <c r="G42" i="3" s="1"/>
  <c r="F19" i="3"/>
  <c r="F21" i="3" l="1"/>
  <c r="E23" i="3"/>
  <c r="E24" i="3" s="1"/>
  <c r="D37" i="3"/>
  <c r="D43" i="3" s="1"/>
  <c r="D45" i="3" s="1"/>
  <c r="C37" i="3"/>
  <c r="C43" i="3" s="1"/>
  <c r="C45" i="3" s="1"/>
  <c r="F20" i="3"/>
  <c r="F22" i="3" s="1"/>
  <c r="G19" i="3"/>
  <c r="H17" i="3"/>
  <c r="H18" i="3"/>
  <c r="H41" i="3" s="1"/>
  <c r="H42" i="3" s="1"/>
  <c r="I14" i="3"/>
  <c r="E27" i="3"/>
  <c r="E30" i="3"/>
  <c r="G21" i="3" l="1"/>
  <c r="F23" i="3"/>
  <c r="F24" i="3"/>
  <c r="E35" i="3"/>
  <c r="E37" i="3" s="1"/>
  <c r="I18" i="3"/>
  <c r="I41" i="3" s="1"/>
  <c r="I42" i="3" s="1"/>
  <c r="I15" i="3"/>
  <c r="I16" i="3"/>
  <c r="J14" i="3" s="1"/>
  <c r="H19" i="3"/>
  <c r="G20" i="3"/>
  <c r="G22" i="3" s="1"/>
  <c r="F27" i="3"/>
  <c r="F30" i="3"/>
  <c r="H21" i="3" l="1"/>
  <c r="E43" i="3"/>
  <c r="E45" i="3" s="1"/>
  <c r="G23" i="3"/>
  <c r="G24" i="3" s="1"/>
  <c r="F35" i="3"/>
  <c r="G30" i="3"/>
  <c r="G27" i="3"/>
  <c r="G32" i="3"/>
  <c r="H20" i="3"/>
  <c r="H22" i="3" s="1"/>
  <c r="J18" i="3"/>
  <c r="J41" i="3" s="1"/>
  <c r="J42" i="3" s="1"/>
  <c r="J17" i="3"/>
  <c r="K14" i="3"/>
  <c r="I17" i="3"/>
  <c r="I19" i="3" s="1"/>
  <c r="I21" i="3" l="1"/>
  <c r="J19" i="3"/>
  <c r="J20" i="3" s="1"/>
  <c r="H23" i="3"/>
  <c r="H24" i="3"/>
  <c r="F37" i="3"/>
  <c r="F43" i="3" s="1"/>
  <c r="F45" i="3" s="1"/>
  <c r="G35" i="3"/>
  <c r="G37" i="3" s="1"/>
  <c r="H30" i="3"/>
  <c r="H27" i="3"/>
  <c r="H32" i="3"/>
  <c r="I20" i="3"/>
  <c r="I22" i="3" s="1"/>
  <c r="K18" i="3"/>
  <c r="K41" i="3" s="1"/>
  <c r="K42" i="3" s="1"/>
  <c r="K15" i="3"/>
  <c r="K17" i="3" s="1"/>
  <c r="L14" i="3"/>
  <c r="J21" i="3" l="1"/>
  <c r="J22" i="3"/>
  <c r="J27" i="3" s="1"/>
  <c r="J23" i="3"/>
  <c r="J24" i="3" s="1"/>
  <c r="G43" i="3"/>
  <c r="G45" i="3" s="1"/>
  <c r="I32" i="3"/>
  <c r="I23" i="3"/>
  <c r="I24" i="3" s="1"/>
  <c r="K19" i="3"/>
  <c r="H35" i="3"/>
  <c r="H37" i="3" s="1"/>
  <c r="I30" i="3"/>
  <c r="I27" i="3"/>
  <c r="L18" i="3"/>
  <c r="L41" i="3" s="1"/>
  <c r="L42" i="3" s="1"/>
  <c r="L17" i="3"/>
  <c r="M14" i="3"/>
  <c r="J30" i="3" l="1"/>
  <c r="J32" i="3"/>
  <c r="K20" i="3"/>
  <c r="K21" i="3"/>
  <c r="K22" i="3" s="1"/>
  <c r="H43" i="3"/>
  <c r="H45" i="3" s="1"/>
  <c r="I35" i="3"/>
  <c r="J35" i="3"/>
  <c r="J37" i="3" s="1"/>
  <c r="L19" i="3"/>
  <c r="M18" i="3"/>
  <c r="M41" i="3" s="1"/>
  <c r="M42" i="3" s="1"/>
  <c r="M15" i="3"/>
  <c r="M16" i="3"/>
  <c r="N14" i="3" s="1"/>
  <c r="K27" i="3" l="1"/>
  <c r="K23" i="3"/>
  <c r="K24" i="3" s="1"/>
  <c r="K32" i="3"/>
  <c r="K30" i="3"/>
  <c r="L20" i="3"/>
  <c r="L22" i="3" s="1"/>
  <c r="L21" i="3"/>
  <c r="I37" i="3"/>
  <c r="I43" i="3" s="1"/>
  <c r="I45" i="3" s="1"/>
  <c r="J43" i="3"/>
  <c r="J45" i="3" s="1"/>
  <c r="M17" i="3"/>
  <c r="M19" i="3" s="1"/>
  <c r="N17" i="3"/>
  <c r="N18" i="3"/>
  <c r="N41" i="3" s="1"/>
  <c r="N42" i="3" s="1"/>
  <c r="O14" i="3"/>
  <c r="K35" i="3" l="1"/>
  <c r="L23" i="3"/>
  <c r="L24" i="3" s="1"/>
  <c r="L27" i="3"/>
  <c r="L30" i="3"/>
  <c r="L32" i="3"/>
  <c r="M20" i="3"/>
  <c r="M21" i="3"/>
  <c r="K37" i="3"/>
  <c r="K43" i="3" s="1"/>
  <c r="K45" i="3" s="1"/>
  <c r="O15" i="3"/>
  <c r="O17" i="3" s="1"/>
  <c r="O18" i="3"/>
  <c r="O41" i="3" s="1"/>
  <c r="O42" i="3" s="1"/>
  <c r="P14" i="3"/>
  <c r="N19" i="3"/>
  <c r="M22" i="3" l="1"/>
  <c r="M23" i="3" s="1"/>
  <c r="L35" i="3"/>
  <c r="M32" i="3"/>
  <c r="N21" i="3"/>
  <c r="M27" i="3"/>
  <c r="M35" i="3" s="1"/>
  <c r="M37" i="3" s="1"/>
  <c r="M24" i="3"/>
  <c r="M30" i="3"/>
  <c r="L37" i="3"/>
  <c r="L43" i="3" s="1"/>
  <c r="L45" i="3" s="1"/>
  <c r="O19" i="3"/>
  <c r="N20" i="3"/>
  <c r="P17" i="3"/>
  <c r="P18" i="3"/>
  <c r="P41" i="3" s="1"/>
  <c r="P42" i="3" s="1"/>
  <c r="Q14" i="3"/>
  <c r="N22" i="3" l="1"/>
  <c r="O21" i="3"/>
  <c r="O20" i="3"/>
  <c r="O22" i="3" s="1"/>
  <c r="N23" i="3"/>
  <c r="N24" i="3" s="1"/>
  <c r="M43" i="3"/>
  <c r="M45" i="3" s="1"/>
  <c r="Q18" i="3"/>
  <c r="Q41" i="3" s="1"/>
  <c r="Q42" i="3" s="1"/>
  <c r="Q15" i="3"/>
  <c r="Q16" i="3"/>
  <c r="R14" i="3" s="1"/>
  <c r="P19" i="3"/>
  <c r="N32" i="3"/>
  <c r="N27" i="3"/>
  <c r="N30" i="3"/>
  <c r="O23" i="3" l="1"/>
  <c r="O24" i="3" s="1"/>
  <c r="O32" i="3"/>
  <c r="O30" i="3"/>
  <c r="O27" i="3"/>
  <c r="P21" i="3"/>
  <c r="N35" i="3"/>
  <c r="O35" i="3"/>
  <c r="P20" i="3"/>
  <c r="R17" i="3"/>
  <c r="R19" i="3" s="1"/>
  <c r="S14" i="3"/>
  <c r="Q17" i="3"/>
  <c r="Q19" i="3" s="1"/>
  <c r="P22" i="3" l="1"/>
  <c r="P27" i="3" s="1"/>
  <c r="Q21" i="3"/>
  <c r="R21" i="3"/>
  <c r="P23" i="3"/>
  <c r="P24" i="3" s="1"/>
  <c r="O37" i="3"/>
  <c r="O43" i="3" s="1"/>
  <c r="O45" i="3" s="1"/>
  <c r="N37" i="3"/>
  <c r="N43" i="3" s="1"/>
  <c r="N45" i="3" s="1"/>
  <c r="Q20" i="3"/>
  <c r="Q22" i="3" s="1"/>
  <c r="S15" i="3"/>
  <c r="S17" i="3" s="1"/>
  <c r="S19" i="3" s="1"/>
  <c r="T14" i="3"/>
  <c r="R20" i="3"/>
  <c r="R22" i="3" l="1"/>
  <c r="R23" i="3" s="1"/>
  <c r="P30" i="3"/>
  <c r="P32" i="3"/>
  <c r="S21" i="3"/>
  <c r="Q32" i="3"/>
  <c r="Q23" i="3"/>
  <c r="Q24" i="3" s="1"/>
  <c r="P35" i="3"/>
  <c r="Q27" i="3"/>
  <c r="Q30" i="3"/>
  <c r="T17" i="3"/>
  <c r="T19" i="3" s="1"/>
  <c r="U14" i="3"/>
  <c r="S20" i="3"/>
  <c r="S22" i="3" s="1"/>
  <c r="R30" i="3"/>
  <c r="R27" i="3" l="1"/>
  <c r="R32" i="3"/>
  <c r="R24" i="3"/>
  <c r="T21" i="3"/>
  <c r="S23" i="3"/>
  <c r="S24" i="3" s="1"/>
  <c r="P37" i="3"/>
  <c r="P43" i="3" s="1"/>
  <c r="P45" i="3" s="1"/>
  <c r="R35" i="3"/>
  <c r="R37" i="3" s="1"/>
  <c r="Q35" i="3"/>
  <c r="U15" i="3"/>
  <c r="U16" i="3"/>
  <c r="V14" i="3" s="1"/>
  <c r="S32" i="3"/>
  <c r="S27" i="3"/>
  <c r="S30" i="3"/>
  <c r="T20" i="3"/>
  <c r="T22" i="3" s="1"/>
  <c r="T23" i="3" l="1"/>
  <c r="T24" i="3" s="1"/>
  <c r="R43" i="3"/>
  <c r="R45" i="3" s="1"/>
  <c r="Q37" i="3"/>
  <c r="Q43" i="3" s="1"/>
  <c r="Q45" i="3" s="1"/>
  <c r="S35" i="3"/>
  <c r="T30" i="3"/>
  <c r="T32" i="3"/>
  <c r="T27" i="3"/>
  <c r="V17" i="3"/>
  <c r="V19" i="3" s="1"/>
  <c r="W14" i="3"/>
  <c r="U17" i="3"/>
  <c r="U19" i="3" s="1"/>
  <c r="V21" i="3" l="1"/>
  <c r="U21" i="3"/>
  <c r="S37" i="3"/>
  <c r="S43" i="3" s="1"/>
  <c r="S45" i="3" s="1"/>
  <c r="T35" i="3"/>
  <c r="W15" i="3"/>
  <c r="W17" i="3"/>
  <c r="W19" i="3" s="1"/>
  <c r="X14" i="3"/>
  <c r="V20" i="3"/>
  <c r="V22" i="3" s="1"/>
  <c r="U20" i="3"/>
  <c r="U22" i="3" s="1"/>
  <c r="W21" i="3" l="1"/>
  <c r="V23" i="3"/>
  <c r="V24" i="3" s="1"/>
  <c r="U32" i="3"/>
  <c r="U23" i="3"/>
  <c r="U24" i="3" s="1"/>
  <c r="T37" i="3"/>
  <c r="T43" i="3" s="1"/>
  <c r="T45" i="3" s="1"/>
  <c r="U30" i="3"/>
  <c r="U27" i="3"/>
  <c r="V30" i="3"/>
  <c r="V32" i="3"/>
  <c r="V27" i="3"/>
  <c r="X17" i="3"/>
  <c r="X19" i="3" s="1"/>
  <c r="Y14" i="3"/>
  <c r="W20" i="3"/>
  <c r="W22" i="3" s="1"/>
  <c r="X21" i="3" l="1"/>
  <c r="W23" i="3"/>
  <c r="W24" i="3"/>
  <c r="V35" i="3"/>
  <c r="U35" i="3"/>
  <c r="U37" i="3" s="1"/>
  <c r="W32" i="3"/>
  <c r="W30" i="3"/>
  <c r="W27" i="3"/>
  <c r="Y15" i="3"/>
  <c r="Y16" i="3"/>
  <c r="Z14" i="3" s="1"/>
  <c r="X20" i="3"/>
  <c r="X22" i="3" s="1"/>
  <c r="X23" i="3" l="1"/>
  <c r="X24" i="3"/>
  <c r="U43" i="3"/>
  <c r="U45" i="3" s="1"/>
  <c r="V37" i="3"/>
  <c r="V43" i="3" s="1"/>
  <c r="V45" i="3" s="1"/>
  <c r="W35" i="3"/>
  <c r="X30" i="3"/>
  <c r="X32" i="3"/>
  <c r="X27" i="3"/>
  <c r="Z17" i="3"/>
  <c r="Z19" i="3" s="1"/>
  <c r="AA14" i="3"/>
  <c r="Y17" i="3"/>
  <c r="Y19" i="3" s="1"/>
  <c r="Y21" i="3" l="1"/>
  <c r="Z21" i="3"/>
  <c r="W37" i="3"/>
  <c r="W43" i="3" s="1"/>
  <c r="W45" i="3" s="1"/>
  <c r="X35" i="3"/>
  <c r="Y20" i="3"/>
  <c r="Y22" i="3" s="1"/>
  <c r="AA15" i="3"/>
  <c r="AA17" i="3" s="1"/>
  <c r="AA19" i="3" s="1"/>
  <c r="AB14" i="3"/>
  <c r="Z20" i="3"/>
  <c r="Z22" i="3" l="1"/>
  <c r="AA21" i="3"/>
  <c r="Z23" i="3"/>
  <c r="Z24" i="3" s="1"/>
  <c r="Y23" i="3"/>
  <c r="Y24" i="3" s="1"/>
  <c r="X37" i="3"/>
  <c r="X43" i="3" s="1"/>
  <c r="X45" i="3" s="1"/>
  <c r="Z32" i="3"/>
  <c r="Z27" i="3"/>
  <c r="Z30" i="3"/>
  <c r="Y30" i="3"/>
  <c r="Y32" i="3"/>
  <c r="Y27" i="3"/>
  <c r="AB17" i="3"/>
  <c r="AB19" i="3" s="1"/>
  <c r="AC14" i="3"/>
  <c r="AA20" i="3"/>
  <c r="AA22" i="3" s="1"/>
  <c r="AB21" i="3" l="1"/>
  <c r="AA23" i="3"/>
  <c r="AA24" i="3" s="1"/>
  <c r="Y35" i="3"/>
  <c r="Z35" i="3"/>
  <c r="AA32" i="3"/>
  <c r="AA27" i="3"/>
  <c r="AA30" i="3"/>
  <c r="AC15" i="3"/>
  <c r="AC16" i="3"/>
  <c r="AD14" i="3" s="1"/>
  <c r="AB20" i="3"/>
  <c r="AB22" i="3" s="1"/>
  <c r="AB23" i="3" l="1"/>
  <c r="AB24" i="3"/>
  <c r="Z37" i="3"/>
  <c r="Z43" i="3" s="1"/>
  <c r="Z45" i="3" s="1"/>
  <c r="Y37" i="3"/>
  <c r="Y43" i="3" s="1"/>
  <c r="Y45" i="3" s="1"/>
  <c r="AC17" i="3"/>
  <c r="AC19" i="3" s="1"/>
  <c r="AA35" i="3"/>
  <c r="AD17" i="3"/>
  <c r="AD19" i="3" s="1"/>
  <c r="AE14" i="3"/>
  <c r="AB30" i="3"/>
  <c r="AB32" i="3"/>
  <c r="AB27" i="3"/>
  <c r="AD21" i="3" l="1"/>
  <c r="AC20" i="3"/>
  <c r="AC21" i="3"/>
  <c r="AC22" i="3" s="1"/>
  <c r="AA37" i="3"/>
  <c r="AA43" i="3" s="1"/>
  <c r="AA45" i="3" s="1"/>
  <c r="AB35" i="3"/>
  <c r="AB37" i="3" s="1"/>
  <c r="AB43" i="3" s="1"/>
  <c r="AB45" i="3" s="1"/>
  <c r="AE15" i="3"/>
  <c r="AE17" i="3"/>
  <c r="AE19" i="3" s="1"/>
  <c r="AF14" i="3"/>
  <c r="AD20" i="3"/>
  <c r="AD22" i="3" s="1"/>
  <c r="AC32" i="3" l="1"/>
  <c r="AC23" i="3"/>
  <c r="AC24" i="3" s="1"/>
  <c r="AC27" i="3"/>
  <c r="AC30" i="3"/>
  <c r="AE21" i="3"/>
  <c r="AD23" i="3"/>
  <c r="AD24" i="3" s="1"/>
  <c r="AC35" i="3"/>
  <c r="AD27" i="3"/>
  <c r="AD32" i="3"/>
  <c r="AD30" i="3"/>
  <c r="AF17" i="3"/>
  <c r="AF19" i="3" s="1"/>
  <c r="AG14" i="3"/>
  <c r="AE20" i="3"/>
  <c r="AE22" i="3" s="1"/>
  <c r="AF21" i="3" l="1"/>
  <c r="AC37" i="3"/>
  <c r="AC43" i="3" s="1"/>
  <c r="AC45" i="3" s="1"/>
  <c r="AE23" i="3"/>
  <c r="AE24" i="3" s="1"/>
  <c r="AD35" i="3"/>
  <c r="AD37" i="3" s="1"/>
  <c r="AD43" i="3" s="1"/>
  <c r="AD45" i="3" s="1"/>
  <c r="AE30" i="3"/>
  <c r="AE32" i="3"/>
  <c r="AE27" i="3"/>
  <c r="AG15" i="3"/>
  <c r="AG16" i="3"/>
  <c r="AH14" i="3" s="1"/>
  <c r="AF20" i="3"/>
  <c r="AF22" i="3" s="1"/>
  <c r="AF23" i="3" l="1"/>
  <c r="AF24" i="3" s="1"/>
  <c r="AE35" i="3"/>
  <c r="AH17" i="3"/>
  <c r="AH19" i="3" s="1"/>
  <c r="AI14" i="3"/>
  <c r="AF30" i="3"/>
  <c r="AF27" i="3"/>
  <c r="AG17" i="3"/>
  <c r="AG19" i="3" s="1"/>
  <c r="AG21" i="3" l="1"/>
  <c r="AH21" i="3"/>
  <c r="AE37" i="3"/>
  <c r="AE43" i="3" s="1"/>
  <c r="AE45" i="3" s="1"/>
  <c r="AG20" i="3"/>
  <c r="AG22" i="3" s="1"/>
  <c r="AI15" i="3"/>
  <c r="AI17" i="3" s="1"/>
  <c r="AI19" i="3" s="1"/>
  <c r="AJ14" i="3"/>
  <c r="AH20" i="3"/>
  <c r="AH22" i="3" l="1"/>
  <c r="AI21" i="3"/>
  <c r="AH23" i="3"/>
  <c r="AH24" i="3" s="1"/>
  <c r="AG23" i="3"/>
  <c r="AG24" i="3" s="1"/>
  <c r="AH27" i="3"/>
  <c r="AH30" i="3"/>
  <c r="AJ17" i="3"/>
  <c r="AJ19" i="3" s="1"/>
  <c r="AK14" i="3"/>
  <c r="AI20" i="3"/>
  <c r="AG30" i="3"/>
  <c r="AG27" i="3"/>
  <c r="AI22" i="3" l="1"/>
  <c r="AJ21" i="3"/>
  <c r="AI23" i="3"/>
  <c r="AI24" i="3" s="1"/>
  <c r="AI27" i="3"/>
  <c r="AI30" i="3"/>
  <c r="AK15" i="3"/>
  <c r="AK16" i="3"/>
  <c r="AL14" i="3" s="1"/>
  <c r="AJ20" i="3"/>
  <c r="AJ22" i="3" s="1"/>
  <c r="AJ23" i="3" l="1"/>
  <c r="AJ24" i="3" s="1"/>
  <c r="AJ30" i="3"/>
  <c r="AJ27" i="3"/>
  <c r="AL17" i="3"/>
  <c r="AL19" i="3" s="1"/>
  <c r="AM14" i="3"/>
  <c r="AK17" i="3"/>
  <c r="AK19" i="3" s="1"/>
  <c r="AK21" i="3" l="1"/>
  <c r="AL21" i="3"/>
  <c r="AK20" i="3"/>
  <c r="AK22" i="3" s="1"/>
  <c r="AM15" i="3"/>
  <c r="AM17" i="3" s="1"/>
  <c r="AM19" i="3" s="1"/>
  <c r="AN14" i="3"/>
  <c r="AL20" i="3"/>
  <c r="AL22" i="3" s="1"/>
  <c r="AM21" i="3" l="1"/>
  <c r="AL23" i="3"/>
  <c r="AL24" i="3"/>
  <c r="AK23" i="3"/>
  <c r="AK24" i="3"/>
  <c r="AM20" i="3"/>
  <c r="AL27" i="3"/>
  <c r="AL30" i="3"/>
  <c r="AN17" i="3"/>
  <c r="AN19" i="3" s="1"/>
  <c r="AO14" i="3"/>
  <c r="AK30" i="3"/>
  <c r="AK27" i="3"/>
  <c r="AM22" i="3" l="1"/>
  <c r="AN21" i="3"/>
  <c r="AM23" i="3"/>
  <c r="AM24" i="3" s="1"/>
  <c r="AO15" i="3"/>
  <c r="AO16" i="3"/>
  <c r="AP14" i="3" s="1"/>
  <c r="AN20" i="3"/>
  <c r="AN22" i="3" s="1"/>
  <c r="AM30" i="3"/>
  <c r="AM27" i="3"/>
  <c r="AN23" i="3" l="1"/>
  <c r="AN24" i="3" s="1"/>
  <c r="AN30" i="3"/>
  <c r="AN27" i="3"/>
  <c r="AP17" i="3"/>
  <c r="AP19" i="3" s="1"/>
  <c r="AQ14" i="3"/>
  <c r="AQ15" i="3" s="1"/>
  <c r="AQ17" i="3" s="1"/>
  <c r="AQ19" i="3" s="1"/>
  <c r="AO17" i="3"/>
  <c r="AO19" i="3" s="1"/>
  <c r="AO21" i="3" l="1"/>
  <c r="AQ21" i="3"/>
  <c r="AP21" i="3"/>
  <c r="AO20" i="3"/>
  <c r="AO22" i="3" s="1"/>
  <c r="AQ20" i="3"/>
  <c r="AQ22" i="3" s="1"/>
  <c r="AP20" i="3"/>
  <c r="AP22" i="3" l="1"/>
  <c r="AQ23" i="3"/>
  <c r="AO23" i="3"/>
  <c r="AO24" i="3" s="1"/>
  <c r="AP23" i="3"/>
  <c r="AP24" i="3" s="1"/>
  <c r="AQ27" i="3"/>
  <c r="AQ30" i="3"/>
  <c r="AO30" i="3"/>
  <c r="AO27" i="3"/>
  <c r="AP27" i="3"/>
  <c r="AP30" i="3"/>
  <c r="AQ24" i="3" l="1"/>
  <c r="B46" i="3"/>
  <c r="AF35" i="3" l="1"/>
  <c r="AQ35" i="3"/>
  <c r="AL35" i="3"/>
  <c r="AO35" i="3"/>
  <c r="AK35" i="3"/>
  <c r="AP35" i="3"/>
  <c r="AI35" i="3"/>
  <c r="AI37" i="3" s="1"/>
  <c r="AI43" i="3" s="1"/>
  <c r="AI45" i="3" s="1"/>
  <c r="AH35" i="3"/>
  <c r="AM35" i="3"/>
  <c r="AJ35" i="3"/>
  <c r="AN35" i="3"/>
  <c r="AG35" i="3"/>
  <c r="AG37" i="3" l="1"/>
  <c r="AG43" i="3" s="1"/>
  <c r="AG45" i="3" s="1"/>
  <c r="AJ37" i="3"/>
  <c r="AJ43" i="3" s="1"/>
  <c r="AJ45" i="3" s="1"/>
  <c r="AK37" i="3"/>
  <c r="AK43" i="3" s="1"/>
  <c r="AK45" i="3" s="1"/>
  <c r="AN37" i="3"/>
  <c r="AN43" i="3" s="1"/>
  <c r="AN45" i="3" s="1"/>
  <c r="AL37" i="3"/>
  <c r="AL43" i="3" s="1"/>
  <c r="AL45" i="3" s="1"/>
  <c r="AP37" i="3"/>
  <c r="AP43" i="3" s="1"/>
  <c r="AP45" i="3" s="1"/>
  <c r="AO37" i="3"/>
  <c r="AO43" i="3" s="1"/>
  <c r="AO45" i="3" s="1"/>
  <c r="AM37" i="3"/>
  <c r="AM43" i="3" s="1"/>
  <c r="AM45" i="3" s="1"/>
  <c r="AQ37" i="3"/>
  <c r="AQ43" i="3" s="1"/>
  <c r="AQ45" i="3" s="1"/>
  <c r="AH37" i="3"/>
  <c r="AH43" i="3" s="1"/>
  <c r="AH45" i="3" s="1"/>
  <c r="AF37" i="3"/>
  <c r="AF43" i="3" s="1"/>
  <c r="AF45" i="3" s="1"/>
  <c r="B47" i="3" l="1"/>
  <c r="B49" i="3" s="1"/>
</calcChain>
</file>

<file path=xl/sharedStrings.xml><?xml version="1.0" encoding="utf-8"?>
<sst xmlns="http://schemas.openxmlformats.org/spreadsheetml/2006/main" count="105" uniqueCount="53">
  <si>
    <t>Name</t>
  </si>
  <si>
    <t>Inflation rate</t>
  </si>
  <si>
    <t>Year</t>
  </si>
  <si>
    <t>Bonus</t>
  </si>
  <si>
    <t>Net Income</t>
  </si>
  <si>
    <t>Yash Landge</t>
  </si>
  <si>
    <t>Birth Year</t>
  </si>
  <si>
    <t>Personal Information</t>
  </si>
  <si>
    <t>Current Age</t>
  </si>
  <si>
    <t>Retirement Age</t>
  </si>
  <si>
    <t>Number of Working Years</t>
  </si>
  <si>
    <t>Expected Death Age</t>
  </si>
  <si>
    <t>Number of Years after retirement</t>
  </si>
  <si>
    <t>Economic Assumptions</t>
  </si>
  <si>
    <t>Place of Employment</t>
  </si>
  <si>
    <t>Chicago</t>
  </si>
  <si>
    <t>Starting Salary</t>
  </si>
  <si>
    <t>$85K</t>
  </si>
  <si>
    <t>Increament per year</t>
  </si>
  <si>
    <t>Bonus every 2 years</t>
  </si>
  <si>
    <t>Promotion every 4 years (expected salary increase)</t>
  </si>
  <si>
    <t>City after retirement</t>
  </si>
  <si>
    <t>Columbus</t>
  </si>
  <si>
    <t>Annual Income (Including increament)</t>
  </si>
  <si>
    <t>EARNINGS</t>
  </si>
  <si>
    <t>Total Earnings</t>
  </si>
  <si>
    <t xml:space="preserve">Promotion </t>
  </si>
  <si>
    <t>Earnings after 401K deduction</t>
  </si>
  <si>
    <t>401K Plan-(5% contribution, max $22500)</t>
  </si>
  <si>
    <t>In Hand Salary</t>
  </si>
  <si>
    <t>EXPENSES</t>
  </si>
  <si>
    <t xml:space="preserve">Vehicle Purchase (Expected resale value =0) </t>
  </si>
  <si>
    <t>Yearly Vacation</t>
  </si>
  <si>
    <t>Miscellaneous Expense</t>
  </si>
  <si>
    <t>Child Expenses (Education, Clothes, Games etc)</t>
  </si>
  <si>
    <t>Life Insurance premium (Annually)</t>
  </si>
  <si>
    <t>Total Expenses</t>
  </si>
  <si>
    <t>Home Purchase</t>
  </si>
  <si>
    <t>Average Return expected (8.7%)</t>
  </si>
  <si>
    <t>401K Compounded return (Expected 6.5%)</t>
  </si>
  <si>
    <t>Savings at Retirement</t>
  </si>
  <si>
    <t>Total Savings Amount at Retirement</t>
  </si>
  <si>
    <t>Living Expense (Rent, Food, Fuel etc) [47.5% + 2.5% Inflation]</t>
  </si>
  <si>
    <t>INVESTMENTS</t>
  </si>
  <si>
    <t>-</t>
  </si>
  <si>
    <t>Monthly Income from Savings After Retirement</t>
  </si>
  <si>
    <t>Marriage Expense</t>
  </si>
  <si>
    <t>Emergency Fund Contribution (5%)</t>
  </si>
  <si>
    <t>Emergency Fund (Assuming emergency fund not used)</t>
  </si>
  <si>
    <t>Federal Tax</t>
  </si>
  <si>
    <t>State Tax (4.95% flat)</t>
  </si>
  <si>
    <t>SAVINGS</t>
  </si>
  <si>
    <t>Total Investment in 401K (Personal + Employer Contribution)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</si>
</sst>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5" xfId="0" applyBorder="1"/>
    <xf numFmtId="0" fontId="2" fillId="0" borderId="0" xfId="0" applyFont="1"/>
    <xf numFmtId="0" fontId="0" fillId="0" borderId="0" xfId="0" applyAlignment="1">
      <alignment horizontal="center"/>
    </xf>
    <xf numFmtId="44" fontId="0" fillId="0" borderId="0" xfId="1" applyFont="1"/>
    <xf numFmtId="1" fontId="0" fillId="0" borderId="0" xfId="0" applyNumberFormat="1" applyAlignment="1">
      <alignment horizontal="center"/>
    </xf>
    <xf numFmtId="0" fontId="2" fillId="2" borderId="0" xfId="0" applyFont="1" applyFill="1"/>
    <xf numFmtId="9" fontId="0" fillId="0" borderId="0" xfId="0" applyNumberFormat="1"/>
    <xf numFmtId="0" fontId="2" fillId="0" borderId="10" xfId="0" applyFont="1" applyBorder="1" applyAlignment="1">
      <alignment horizontal="center"/>
    </xf>
    <xf numFmtId="0" fontId="2" fillId="0" borderId="12" xfId="0" applyFont="1" applyBorder="1"/>
    <xf numFmtId="0" fontId="0" fillId="0" borderId="15" xfId="0" applyBorder="1"/>
    <xf numFmtId="0" fontId="2" fillId="0" borderId="13" xfId="0" applyFont="1" applyBorder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2" fillId="0" borderId="1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2" fillId="2" borderId="20" xfId="0" applyFont="1" applyFill="1" applyBorder="1"/>
    <xf numFmtId="0" fontId="0" fillId="0" borderId="21" xfId="0" applyBorder="1"/>
    <xf numFmtId="0" fontId="0" fillId="0" borderId="21" xfId="1" applyNumberFormat="1" applyFont="1" applyBorder="1"/>
    <xf numFmtId="0" fontId="0" fillId="0" borderId="21" xfId="1" applyNumberFormat="1" applyFont="1" applyFill="1" applyBorder="1"/>
    <xf numFmtId="0" fontId="0" fillId="0" borderId="22" xfId="1" applyNumberFormat="1" applyFont="1" applyBorder="1"/>
    <xf numFmtId="44" fontId="2" fillId="4" borderId="4" xfId="1" applyFont="1" applyFill="1" applyBorder="1"/>
    <xf numFmtId="0" fontId="2" fillId="3" borderId="21" xfId="0" applyFont="1" applyFill="1" applyBorder="1"/>
    <xf numFmtId="0" fontId="2" fillId="3" borderId="22" xfId="0" applyFont="1" applyFill="1" applyBorder="1"/>
    <xf numFmtId="44" fontId="2" fillId="5" borderId="1" xfId="1" applyFont="1" applyFill="1" applyBorder="1"/>
    <xf numFmtId="0" fontId="0" fillId="0" borderId="23" xfId="0" applyBorder="1" applyAlignment="1">
      <alignment horizontal="center"/>
    </xf>
    <xf numFmtId="0" fontId="2" fillId="2" borderId="24" xfId="0" applyFont="1" applyFill="1" applyBorder="1"/>
    <xf numFmtId="0" fontId="0" fillId="0" borderId="7" xfId="0" applyBorder="1"/>
    <xf numFmtId="1" fontId="0" fillId="0" borderId="10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1" fontId="0" fillId="0" borderId="25" xfId="0" applyNumberFormat="1" applyBorder="1" applyAlignment="1">
      <alignment horizontal="center"/>
    </xf>
    <xf numFmtId="44" fontId="0" fillId="0" borderId="5" xfId="1" applyFont="1" applyBorder="1"/>
    <xf numFmtId="44" fontId="0" fillId="0" borderId="0" xfId="1" applyFont="1" applyBorder="1"/>
    <xf numFmtId="44" fontId="0" fillId="0" borderId="6" xfId="1" applyFont="1" applyBorder="1"/>
    <xf numFmtId="44" fontId="0" fillId="0" borderId="5" xfId="1" applyFont="1" applyBorder="1" applyAlignment="1">
      <alignment horizontal="center"/>
    </xf>
    <xf numFmtId="44" fontId="0" fillId="0" borderId="0" xfId="1" applyFont="1" applyBorder="1" applyAlignment="1">
      <alignment horizontal="center"/>
    </xf>
    <xf numFmtId="44" fontId="0" fillId="0" borderId="6" xfId="1" applyFont="1" applyBorder="1" applyAlignment="1">
      <alignment horizontal="center"/>
    </xf>
    <xf numFmtId="44" fontId="0" fillId="0" borderId="7" xfId="1" applyFont="1" applyBorder="1"/>
    <xf numFmtId="44" fontId="0" fillId="0" borderId="8" xfId="1" applyFont="1" applyBorder="1"/>
    <xf numFmtId="44" fontId="0" fillId="0" borderId="9" xfId="1" applyFont="1" applyBorder="1"/>
    <xf numFmtId="44" fontId="0" fillId="0" borderId="24" xfId="1" applyFont="1" applyBorder="1"/>
    <xf numFmtId="44" fontId="0" fillId="0" borderId="26" xfId="1" applyFont="1" applyBorder="1"/>
    <xf numFmtId="44" fontId="0" fillId="0" borderId="27" xfId="1" applyFont="1" applyBorder="1"/>
    <xf numFmtId="44" fontId="0" fillId="0" borderId="2" xfId="1" applyFont="1" applyBorder="1"/>
    <xf numFmtId="44" fontId="0" fillId="0" borderId="3" xfId="1" applyFont="1" applyBorder="1"/>
    <xf numFmtId="44" fontId="0" fillId="0" borderId="4" xfId="1" applyFont="1" applyBorder="1"/>
    <xf numFmtId="0" fontId="2" fillId="0" borderId="19" xfId="0" applyFont="1" applyBorder="1"/>
    <xf numFmtId="0" fontId="2" fillId="0" borderId="18" xfId="0" applyFont="1" applyBorder="1" applyAlignment="1">
      <alignment horizontal="center"/>
    </xf>
    <xf numFmtId="0" fontId="2" fillId="0" borderId="13" xfId="0" applyFont="1" applyBorder="1"/>
    <xf numFmtId="10" fontId="2" fillId="0" borderId="16" xfId="0" applyNumberFormat="1" applyFont="1" applyBorder="1" applyAlignment="1">
      <alignment horizontal="center"/>
    </xf>
    <xf numFmtId="164" fontId="2" fillId="0" borderId="16" xfId="1" applyNumberFormat="1" applyFont="1" applyBorder="1" applyAlignment="1">
      <alignment horizontal="center"/>
    </xf>
    <xf numFmtId="9" fontId="2" fillId="0" borderId="16" xfId="0" applyNumberFormat="1" applyFont="1" applyBorder="1" applyAlignment="1">
      <alignment horizontal="center"/>
    </xf>
    <xf numFmtId="0" fontId="2" fillId="0" borderId="14" xfId="0" applyFont="1" applyBorder="1"/>
    <xf numFmtId="9" fontId="2" fillId="0" borderId="17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89310-5ED5-4D41-B05A-873936E42B3C}">
  <dimension ref="B2:I12"/>
  <sheetViews>
    <sheetView zoomScale="130" zoomScaleNormal="130" workbookViewId="0">
      <selection activeCell="B17" sqref="B17"/>
    </sheetView>
  </sheetViews>
  <sheetFormatPr baseColWidth="10" defaultRowHeight="15" x14ac:dyDescent="0.2"/>
  <cols>
    <col min="2" max="2" width="39.6640625" bestFit="1" customWidth="1"/>
    <col min="3" max="3" width="14.33203125" bestFit="1" customWidth="1"/>
    <col min="4" max="4" width="26.6640625" bestFit="1" customWidth="1"/>
    <col min="5" max="5" width="17.83203125" bestFit="1" customWidth="1"/>
    <col min="8" max="8" width="17.83203125" bestFit="1" customWidth="1"/>
    <col min="9" max="9" width="9.5" customWidth="1"/>
  </cols>
  <sheetData>
    <row r="2" spans="2:9" ht="16" thickBot="1" x14ac:dyDescent="0.25"/>
    <row r="3" spans="2:9" ht="16" thickBot="1" x14ac:dyDescent="0.25">
      <c r="B3" s="54" t="s">
        <v>7</v>
      </c>
      <c r="C3" s="55"/>
      <c r="D3" s="2"/>
    </row>
    <row r="4" spans="2:9" x14ac:dyDescent="0.2">
      <c r="B4" s="9"/>
      <c r="C4" s="10"/>
      <c r="H4" s="2"/>
      <c r="I4" s="7"/>
    </row>
    <row r="5" spans="2:9" x14ac:dyDescent="0.2">
      <c r="B5" s="11" t="s">
        <v>0</v>
      </c>
      <c r="C5" s="12" t="s">
        <v>5</v>
      </c>
      <c r="H5" s="2"/>
    </row>
    <row r="6" spans="2:9" x14ac:dyDescent="0.2">
      <c r="B6" s="11" t="s">
        <v>6</v>
      </c>
      <c r="C6" s="12">
        <v>1998</v>
      </c>
      <c r="H6" s="2"/>
    </row>
    <row r="7" spans="2:9" x14ac:dyDescent="0.2">
      <c r="B7" s="11" t="s">
        <v>8</v>
      </c>
      <c r="C7" s="12">
        <v>24</v>
      </c>
      <c r="H7" s="2"/>
      <c r="I7" s="7"/>
    </row>
    <row r="8" spans="2:9" x14ac:dyDescent="0.2">
      <c r="B8" s="11" t="s">
        <v>9</v>
      </c>
      <c r="C8" s="12">
        <v>65</v>
      </c>
      <c r="H8" s="2"/>
      <c r="I8" s="7"/>
    </row>
    <row r="9" spans="2:9" x14ac:dyDescent="0.2">
      <c r="B9" s="11" t="s">
        <v>10</v>
      </c>
      <c r="C9" s="12">
        <f>C8-C7</f>
        <v>41</v>
      </c>
      <c r="H9" s="2"/>
    </row>
    <row r="10" spans="2:9" x14ac:dyDescent="0.2">
      <c r="B10" s="11" t="s">
        <v>11</v>
      </c>
      <c r="C10" s="12">
        <v>84</v>
      </c>
      <c r="H10" s="2"/>
      <c r="I10" s="7"/>
    </row>
    <row r="11" spans="2:9" ht="16" thickBot="1" x14ac:dyDescent="0.25">
      <c r="B11" s="13" t="s">
        <v>12</v>
      </c>
      <c r="C11" s="14">
        <f>C10-C8</f>
        <v>19</v>
      </c>
      <c r="H11" s="2"/>
    </row>
    <row r="12" spans="2:9" x14ac:dyDescent="0.2">
      <c r="H12" s="2"/>
      <c r="I12" s="7"/>
    </row>
  </sheetData>
  <mergeCells count="1">
    <mergeCell ref="B3:C3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82D98-A508-EE4F-BD33-437D33FA8A81}">
  <dimension ref="A1:AT49"/>
  <sheetViews>
    <sheetView tabSelected="1" topLeftCell="A21" zoomScaleNormal="100" workbookViewId="0">
      <pane xSplit="1" topLeftCell="B1" activePane="topRight" state="frozen"/>
      <selection pane="topRight" activeCell="B49" sqref="B49"/>
    </sheetView>
  </sheetViews>
  <sheetFormatPr baseColWidth="10" defaultRowHeight="15" x14ac:dyDescent="0.2"/>
  <cols>
    <col min="1" max="1" width="46.6640625" customWidth="1"/>
    <col min="2" max="2" width="14.6640625" style="4" bestFit="1" customWidth="1"/>
    <col min="3" max="3" width="12.1640625" style="4" bestFit="1" customWidth="1"/>
    <col min="4" max="6" width="13.6640625" style="4" bestFit="1" customWidth="1"/>
    <col min="7" max="8" width="12.1640625" style="4" bestFit="1" customWidth="1"/>
    <col min="9" max="9" width="13.6640625" style="4" bestFit="1" customWidth="1"/>
    <col min="10" max="12" width="12.1640625" style="4" bestFit="1" customWidth="1"/>
    <col min="13" max="13" width="13.6640625" style="4" bestFit="1" customWidth="1"/>
    <col min="14" max="14" width="12.1640625" style="4" bestFit="1" customWidth="1"/>
    <col min="15" max="15" width="13.6640625" style="4" bestFit="1" customWidth="1"/>
    <col min="16" max="16" width="12.1640625" style="4" bestFit="1" customWidth="1"/>
    <col min="17" max="26" width="13.6640625" style="4" bestFit="1" customWidth="1"/>
    <col min="27" max="27" width="14.33203125" style="4" bestFit="1" customWidth="1"/>
    <col min="28" max="36" width="13.6640625" style="4" bestFit="1" customWidth="1"/>
    <col min="37" max="37" width="14.6640625" style="4" bestFit="1" customWidth="1"/>
    <col min="38" max="38" width="13.6640625" style="4" bestFit="1" customWidth="1"/>
    <col min="39" max="39" width="14.6640625" style="4" bestFit="1" customWidth="1"/>
    <col min="40" max="40" width="13.6640625" style="4" bestFit="1" customWidth="1"/>
    <col min="41" max="41" width="14.6640625" style="4" bestFit="1" customWidth="1"/>
    <col min="42" max="42" width="13.6640625" style="4" bestFit="1" customWidth="1"/>
    <col min="43" max="43" width="14.6640625" style="4" bestFit="1" customWidth="1"/>
    <col min="44" max="16384" width="10.83203125" style="4"/>
  </cols>
  <sheetData>
    <row r="1" spans="1:46" customFormat="1" ht="16" thickBot="1" x14ac:dyDescent="0.25"/>
    <row r="2" spans="1:46" customFormat="1" ht="16" thickBot="1" x14ac:dyDescent="0.25">
      <c r="A2" s="8" t="s">
        <v>13</v>
      </c>
      <c r="B2" s="15"/>
    </row>
    <row r="3" spans="1:46" customFormat="1" x14ac:dyDescent="0.2">
      <c r="A3" s="46" t="s">
        <v>14</v>
      </c>
      <c r="B3" s="47" t="s">
        <v>15</v>
      </c>
    </row>
    <row r="4" spans="1:46" customFormat="1" x14ac:dyDescent="0.2">
      <c r="A4" s="48" t="s">
        <v>21</v>
      </c>
      <c r="B4" s="12" t="s">
        <v>22</v>
      </c>
    </row>
    <row r="5" spans="1:46" customFormat="1" x14ac:dyDescent="0.2">
      <c r="A5" s="48" t="s">
        <v>1</v>
      </c>
      <c r="B5" s="49">
        <v>2.5000000000000001E-2</v>
      </c>
    </row>
    <row r="6" spans="1:46" customFormat="1" x14ac:dyDescent="0.2">
      <c r="A6" s="48" t="s">
        <v>16</v>
      </c>
      <c r="B6" s="50" t="s">
        <v>17</v>
      </c>
    </row>
    <row r="7" spans="1:46" customFormat="1" x14ac:dyDescent="0.2">
      <c r="A7" s="48" t="s">
        <v>18</v>
      </c>
      <c r="B7" s="51">
        <v>0.05</v>
      </c>
    </row>
    <row r="8" spans="1:46" customFormat="1" x14ac:dyDescent="0.2">
      <c r="A8" s="48" t="s">
        <v>19</v>
      </c>
      <c r="B8" s="51">
        <v>0.05</v>
      </c>
    </row>
    <row r="9" spans="1:46" customFormat="1" ht="16" thickBot="1" x14ac:dyDescent="0.25">
      <c r="A9" s="52" t="s">
        <v>20</v>
      </c>
      <c r="B9" s="53">
        <v>0.1</v>
      </c>
    </row>
    <row r="10" spans="1:46" customFormat="1" x14ac:dyDescent="0.2"/>
    <row r="11" spans="1:46" customFormat="1" ht="16" thickBot="1" x14ac:dyDescent="0.25"/>
    <row r="12" spans="1:46" s="3" customFormat="1" ht="16" thickBot="1" x14ac:dyDescent="0.25">
      <c r="A12" s="25" t="s">
        <v>2</v>
      </c>
      <c r="B12" s="28">
        <v>2023</v>
      </c>
      <c r="C12" s="29">
        <v>2024</v>
      </c>
      <c r="D12" s="30">
        <v>2025</v>
      </c>
      <c r="E12" s="29">
        <v>2026</v>
      </c>
      <c r="F12" s="30">
        <v>2027</v>
      </c>
      <c r="G12" s="29">
        <v>2028</v>
      </c>
      <c r="H12" s="30">
        <v>2029</v>
      </c>
      <c r="I12" s="29">
        <v>2030</v>
      </c>
      <c r="J12" s="30">
        <v>2031</v>
      </c>
      <c r="K12" s="29">
        <v>2032</v>
      </c>
      <c r="L12" s="30">
        <v>2033</v>
      </c>
      <c r="M12" s="29">
        <v>2034</v>
      </c>
      <c r="N12" s="30">
        <v>2035</v>
      </c>
      <c r="O12" s="29">
        <v>2036</v>
      </c>
      <c r="P12" s="30">
        <v>2037</v>
      </c>
      <c r="Q12" s="29">
        <v>2038</v>
      </c>
      <c r="R12" s="30">
        <v>2039</v>
      </c>
      <c r="S12" s="29">
        <v>2040</v>
      </c>
      <c r="T12" s="30">
        <v>2041</v>
      </c>
      <c r="U12" s="29">
        <v>2042</v>
      </c>
      <c r="V12" s="30">
        <v>2043</v>
      </c>
      <c r="W12" s="29">
        <v>2044</v>
      </c>
      <c r="X12" s="30">
        <v>2045</v>
      </c>
      <c r="Y12" s="29">
        <v>2046</v>
      </c>
      <c r="Z12" s="30">
        <v>2047</v>
      </c>
      <c r="AA12" s="29">
        <v>2048</v>
      </c>
      <c r="AB12" s="30">
        <v>2049</v>
      </c>
      <c r="AC12" s="29">
        <v>2050</v>
      </c>
      <c r="AD12" s="30">
        <v>2051</v>
      </c>
      <c r="AE12" s="29">
        <v>2052</v>
      </c>
      <c r="AF12" s="30">
        <v>2053</v>
      </c>
      <c r="AG12" s="29">
        <v>2054</v>
      </c>
      <c r="AH12" s="30">
        <v>2055</v>
      </c>
      <c r="AI12" s="29">
        <v>2056</v>
      </c>
      <c r="AJ12" s="30">
        <v>2057</v>
      </c>
      <c r="AK12" s="29">
        <v>2058</v>
      </c>
      <c r="AL12" s="30">
        <v>2059</v>
      </c>
      <c r="AM12" s="29">
        <v>2060</v>
      </c>
      <c r="AN12" s="30">
        <v>2061</v>
      </c>
      <c r="AO12" s="29">
        <v>2062</v>
      </c>
      <c r="AP12" s="30">
        <v>2063</v>
      </c>
      <c r="AQ12" s="15">
        <v>2064</v>
      </c>
      <c r="AR12" s="5"/>
      <c r="AT12" s="5"/>
    </row>
    <row r="13" spans="1:46" x14ac:dyDescent="0.2">
      <c r="A13" s="26" t="s">
        <v>24</v>
      </c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3"/>
    </row>
    <row r="14" spans="1:46" x14ac:dyDescent="0.2">
      <c r="A14" s="1" t="s">
        <v>23</v>
      </c>
      <c r="B14" s="31">
        <v>85000</v>
      </c>
      <c r="C14" s="32">
        <f>B14*(1+$B$7)</f>
        <v>89250</v>
      </c>
      <c r="D14" s="32">
        <f t="shared" ref="D14:AQ14" si="0">C14*(1+$B$7)</f>
        <v>93712.5</v>
      </c>
      <c r="E14" s="32">
        <f t="shared" si="0"/>
        <v>98398.125</v>
      </c>
      <c r="F14" s="32">
        <f>E16</f>
        <v>108237.93750000001</v>
      </c>
      <c r="G14" s="32">
        <f t="shared" si="0"/>
        <v>113649.83437500002</v>
      </c>
      <c r="H14" s="32">
        <f t="shared" si="0"/>
        <v>119332.32609375003</v>
      </c>
      <c r="I14" s="32">
        <f t="shared" si="0"/>
        <v>125298.94239843753</v>
      </c>
      <c r="J14" s="32">
        <f>I16</f>
        <v>137828.8366382813</v>
      </c>
      <c r="K14" s="32">
        <f t="shared" si="0"/>
        <v>144720.27847019536</v>
      </c>
      <c r="L14" s="32">
        <f t="shared" si="0"/>
        <v>151956.29239370514</v>
      </c>
      <c r="M14" s="32">
        <f t="shared" si="0"/>
        <v>159554.1070133904</v>
      </c>
      <c r="N14" s="32">
        <f>M16</f>
        <v>175509.51771472945</v>
      </c>
      <c r="O14" s="32">
        <f t="shared" si="0"/>
        <v>184284.99360046594</v>
      </c>
      <c r="P14" s="32">
        <f t="shared" si="0"/>
        <v>193499.24328048923</v>
      </c>
      <c r="Q14" s="32">
        <f t="shared" si="0"/>
        <v>203174.2054445137</v>
      </c>
      <c r="R14" s="32">
        <f>Q16</f>
        <v>223491.6259889651</v>
      </c>
      <c r="S14" s="32">
        <f t="shared" si="0"/>
        <v>234666.20728841337</v>
      </c>
      <c r="T14" s="32">
        <f t="shared" si="0"/>
        <v>246399.51765283404</v>
      </c>
      <c r="U14" s="32">
        <f t="shared" si="0"/>
        <v>258719.49353547575</v>
      </c>
      <c r="V14" s="32">
        <f>U16</f>
        <v>284591.44288902334</v>
      </c>
      <c r="W14" s="32">
        <f t="shared" si="0"/>
        <v>298821.01503347454</v>
      </c>
      <c r="X14" s="32">
        <f t="shared" si="0"/>
        <v>313762.0657851483</v>
      </c>
      <c r="Y14" s="32">
        <f t="shared" si="0"/>
        <v>329450.16907440574</v>
      </c>
      <c r="Z14" s="32">
        <f>Y16</f>
        <v>362395.18598184636</v>
      </c>
      <c r="AA14" s="32">
        <f t="shared" si="0"/>
        <v>380514.9452809387</v>
      </c>
      <c r="AB14" s="32">
        <f t="shared" si="0"/>
        <v>399540.69254498568</v>
      </c>
      <c r="AC14" s="32">
        <f t="shared" si="0"/>
        <v>419517.72717223497</v>
      </c>
      <c r="AD14" s="32">
        <f>AC16</f>
        <v>461469.49988945853</v>
      </c>
      <c r="AE14" s="32">
        <f t="shared" si="0"/>
        <v>484542.97488393146</v>
      </c>
      <c r="AF14" s="32">
        <f t="shared" si="0"/>
        <v>508770.12362812803</v>
      </c>
      <c r="AG14" s="32">
        <f t="shared" si="0"/>
        <v>534208.62980953441</v>
      </c>
      <c r="AH14" s="32">
        <f>AG16</f>
        <v>587629.49279048794</v>
      </c>
      <c r="AI14" s="32">
        <f t="shared" si="0"/>
        <v>617010.96743001242</v>
      </c>
      <c r="AJ14" s="32">
        <f t="shared" si="0"/>
        <v>647861.5158015131</v>
      </c>
      <c r="AK14" s="32">
        <f t="shared" si="0"/>
        <v>680254.5915915888</v>
      </c>
      <c r="AL14" s="32">
        <f>AK16</f>
        <v>748280.05075074779</v>
      </c>
      <c r="AM14" s="32">
        <f t="shared" si="0"/>
        <v>785694.05328828515</v>
      </c>
      <c r="AN14" s="32">
        <f t="shared" si="0"/>
        <v>824978.75595269946</v>
      </c>
      <c r="AO14" s="32">
        <f t="shared" si="0"/>
        <v>866227.69375033444</v>
      </c>
      <c r="AP14" s="32">
        <f>AO16</f>
        <v>952850.463125368</v>
      </c>
      <c r="AQ14" s="33">
        <f t="shared" si="0"/>
        <v>1000492.9862816364</v>
      </c>
    </row>
    <row r="15" spans="1:46" x14ac:dyDescent="0.2">
      <c r="A15" s="1" t="s">
        <v>3</v>
      </c>
      <c r="B15" s="34" t="s">
        <v>44</v>
      </c>
      <c r="C15" s="32">
        <f>C14*($B$8)</f>
        <v>4462.5</v>
      </c>
      <c r="D15" s="35" t="s">
        <v>44</v>
      </c>
      <c r="E15" s="32">
        <f t="shared" ref="E15:AQ15" si="1">E14*($B$8)</f>
        <v>4919.90625</v>
      </c>
      <c r="F15" s="35" t="s">
        <v>44</v>
      </c>
      <c r="G15" s="32">
        <f t="shared" si="1"/>
        <v>5682.4917187500014</v>
      </c>
      <c r="H15" s="35" t="s">
        <v>44</v>
      </c>
      <c r="I15" s="32">
        <f t="shared" si="1"/>
        <v>6264.9471199218769</v>
      </c>
      <c r="J15" s="35" t="s">
        <v>44</v>
      </c>
      <c r="K15" s="32">
        <f t="shared" si="1"/>
        <v>7236.0139235097686</v>
      </c>
      <c r="L15" s="35" t="s">
        <v>44</v>
      </c>
      <c r="M15" s="32">
        <f t="shared" si="1"/>
        <v>7977.7053506695202</v>
      </c>
      <c r="N15" s="35" t="s">
        <v>44</v>
      </c>
      <c r="O15" s="32">
        <f t="shared" si="1"/>
        <v>9214.2496800232966</v>
      </c>
      <c r="P15" s="35" t="s">
        <v>44</v>
      </c>
      <c r="Q15" s="32">
        <f t="shared" si="1"/>
        <v>10158.710272225686</v>
      </c>
      <c r="R15" s="35" t="s">
        <v>44</v>
      </c>
      <c r="S15" s="32">
        <f t="shared" si="1"/>
        <v>11733.310364420669</v>
      </c>
      <c r="T15" s="35" t="s">
        <v>44</v>
      </c>
      <c r="U15" s="32">
        <f t="shared" si="1"/>
        <v>12935.974676773789</v>
      </c>
      <c r="V15" s="35" t="s">
        <v>44</v>
      </c>
      <c r="W15" s="32">
        <f t="shared" si="1"/>
        <v>14941.050751673727</v>
      </c>
      <c r="X15" s="35" t="s">
        <v>44</v>
      </c>
      <c r="Y15" s="32">
        <f t="shared" si="1"/>
        <v>16472.508453720289</v>
      </c>
      <c r="Z15" s="35" t="s">
        <v>44</v>
      </c>
      <c r="AA15" s="32">
        <f t="shared" si="1"/>
        <v>19025.747264046935</v>
      </c>
      <c r="AB15" s="35" t="s">
        <v>44</v>
      </c>
      <c r="AC15" s="32">
        <f t="shared" si="1"/>
        <v>20975.886358611751</v>
      </c>
      <c r="AD15" s="35" t="s">
        <v>44</v>
      </c>
      <c r="AE15" s="32">
        <f t="shared" si="1"/>
        <v>24227.148744196573</v>
      </c>
      <c r="AF15" s="35" t="s">
        <v>44</v>
      </c>
      <c r="AG15" s="32">
        <f t="shared" si="1"/>
        <v>26710.431490476723</v>
      </c>
      <c r="AH15" s="35" t="s">
        <v>44</v>
      </c>
      <c r="AI15" s="32">
        <f t="shared" si="1"/>
        <v>30850.548371500623</v>
      </c>
      <c r="AJ15" s="35" t="s">
        <v>44</v>
      </c>
      <c r="AK15" s="32">
        <f t="shared" si="1"/>
        <v>34012.729579579442</v>
      </c>
      <c r="AL15" s="35" t="s">
        <v>44</v>
      </c>
      <c r="AM15" s="32">
        <f t="shared" si="1"/>
        <v>39284.702664414261</v>
      </c>
      <c r="AN15" s="35" t="s">
        <v>44</v>
      </c>
      <c r="AO15" s="32">
        <f t="shared" si="1"/>
        <v>43311.384687516722</v>
      </c>
      <c r="AP15" s="35" t="s">
        <v>44</v>
      </c>
      <c r="AQ15" s="33">
        <f t="shared" si="1"/>
        <v>50024.64931408182</v>
      </c>
    </row>
    <row r="16" spans="1:46" x14ac:dyDescent="0.2">
      <c r="A16" s="1" t="s">
        <v>26</v>
      </c>
      <c r="B16" s="34" t="s">
        <v>44</v>
      </c>
      <c r="C16" s="35" t="s">
        <v>44</v>
      </c>
      <c r="D16" s="35" t="s">
        <v>44</v>
      </c>
      <c r="E16" s="32">
        <f>E14*(1+$B$9)</f>
        <v>108237.93750000001</v>
      </c>
      <c r="F16" s="35" t="s">
        <v>44</v>
      </c>
      <c r="G16" s="35" t="s">
        <v>44</v>
      </c>
      <c r="H16" s="35" t="s">
        <v>44</v>
      </c>
      <c r="I16" s="32">
        <f t="shared" ref="I16:AO16" si="2">I14*(1+$B$9)</f>
        <v>137828.8366382813</v>
      </c>
      <c r="J16" s="35" t="s">
        <v>44</v>
      </c>
      <c r="K16" s="35" t="s">
        <v>44</v>
      </c>
      <c r="L16" s="35" t="s">
        <v>44</v>
      </c>
      <c r="M16" s="32">
        <f t="shared" si="2"/>
        <v>175509.51771472945</v>
      </c>
      <c r="N16" s="35" t="s">
        <v>44</v>
      </c>
      <c r="O16" s="35" t="s">
        <v>44</v>
      </c>
      <c r="P16" s="35" t="s">
        <v>44</v>
      </c>
      <c r="Q16" s="32">
        <f t="shared" si="2"/>
        <v>223491.6259889651</v>
      </c>
      <c r="R16" s="35" t="s">
        <v>44</v>
      </c>
      <c r="S16" s="35" t="s">
        <v>44</v>
      </c>
      <c r="T16" s="35" t="s">
        <v>44</v>
      </c>
      <c r="U16" s="32">
        <f t="shared" si="2"/>
        <v>284591.44288902334</v>
      </c>
      <c r="V16" s="35" t="s">
        <v>44</v>
      </c>
      <c r="W16" s="35" t="s">
        <v>44</v>
      </c>
      <c r="X16" s="35" t="s">
        <v>44</v>
      </c>
      <c r="Y16" s="32">
        <f t="shared" si="2"/>
        <v>362395.18598184636</v>
      </c>
      <c r="Z16" s="35" t="s">
        <v>44</v>
      </c>
      <c r="AA16" s="35" t="s">
        <v>44</v>
      </c>
      <c r="AB16" s="35" t="s">
        <v>44</v>
      </c>
      <c r="AC16" s="32">
        <f t="shared" si="2"/>
        <v>461469.49988945853</v>
      </c>
      <c r="AD16" s="35" t="s">
        <v>44</v>
      </c>
      <c r="AE16" s="35" t="s">
        <v>44</v>
      </c>
      <c r="AF16" s="35" t="s">
        <v>44</v>
      </c>
      <c r="AG16" s="32">
        <f t="shared" si="2"/>
        <v>587629.49279048794</v>
      </c>
      <c r="AH16" s="35" t="s">
        <v>44</v>
      </c>
      <c r="AI16" s="35" t="s">
        <v>44</v>
      </c>
      <c r="AJ16" s="35" t="s">
        <v>44</v>
      </c>
      <c r="AK16" s="32">
        <f t="shared" si="2"/>
        <v>748280.05075074779</v>
      </c>
      <c r="AL16" s="35" t="s">
        <v>44</v>
      </c>
      <c r="AM16" s="35" t="s">
        <v>44</v>
      </c>
      <c r="AN16" s="35" t="s">
        <v>44</v>
      </c>
      <c r="AO16" s="32">
        <f t="shared" si="2"/>
        <v>952850.463125368</v>
      </c>
      <c r="AP16" s="35" t="s">
        <v>44</v>
      </c>
      <c r="AQ16" s="36" t="s">
        <v>44</v>
      </c>
    </row>
    <row r="17" spans="1:43" x14ac:dyDescent="0.2">
      <c r="A17" s="1" t="s">
        <v>25</v>
      </c>
      <c r="B17" s="31">
        <f>SUM(B14:B16)</f>
        <v>85000</v>
      </c>
      <c r="C17" s="32">
        <f t="shared" ref="C17:AQ17" si="3">SUM(C14:C16)</f>
        <v>93712.5</v>
      </c>
      <c r="D17" s="32">
        <f t="shared" si="3"/>
        <v>93712.5</v>
      </c>
      <c r="E17" s="32">
        <f t="shared" si="3"/>
        <v>211555.96875</v>
      </c>
      <c r="F17" s="32">
        <f t="shared" si="3"/>
        <v>108237.93750000001</v>
      </c>
      <c r="G17" s="32">
        <f t="shared" si="3"/>
        <v>119332.32609375002</v>
      </c>
      <c r="H17" s="32">
        <f t="shared" si="3"/>
        <v>119332.32609375003</v>
      </c>
      <c r="I17" s="32">
        <f t="shared" si="3"/>
        <v>269392.72615664068</v>
      </c>
      <c r="J17" s="32">
        <f t="shared" si="3"/>
        <v>137828.8366382813</v>
      </c>
      <c r="K17" s="32">
        <f t="shared" si="3"/>
        <v>151956.29239370514</v>
      </c>
      <c r="L17" s="32">
        <f t="shared" si="3"/>
        <v>151956.29239370514</v>
      </c>
      <c r="M17" s="32">
        <f t="shared" si="3"/>
        <v>343041.33007878938</v>
      </c>
      <c r="N17" s="32">
        <f t="shared" si="3"/>
        <v>175509.51771472945</v>
      </c>
      <c r="O17" s="32">
        <f t="shared" si="3"/>
        <v>193499.24328048923</v>
      </c>
      <c r="P17" s="32">
        <f t="shared" si="3"/>
        <v>193499.24328048923</v>
      </c>
      <c r="Q17" s="32">
        <f t="shared" si="3"/>
        <v>436824.54170570453</v>
      </c>
      <c r="R17" s="32">
        <f t="shared" si="3"/>
        <v>223491.6259889651</v>
      </c>
      <c r="S17" s="32">
        <f t="shared" si="3"/>
        <v>246399.51765283404</v>
      </c>
      <c r="T17" s="32">
        <f t="shared" si="3"/>
        <v>246399.51765283404</v>
      </c>
      <c r="U17" s="32">
        <f t="shared" si="3"/>
        <v>556246.9111012728</v>
      </c>
      <c r="V17" s="32">
        <f t="shared" si="3"/>
        <v>284591.44288902334</v>
      </c>
      <c r="W17" s="32">
        <f t="shared" si="3"/>
        <v>313762.0657851483</v>
      </c>
      <c r="X17" s="32">
        <f t="shared" si="3"/>
        <v>313762.0657851483</v>
      </c>
      <c r="Y17" s="32">
        <f t="shared" si="3"/>
        <v>708317.86350997235</v>
      </c>
      <c r="Z17" s="32">
        <f t="shared" si="3"/>
        <v>362395.18598184636</v>
      </c>
      <c r="AA17" s="32">
        <f t="shared" si="3"/>
        <v>399540.69254498562</v>
      </c>
      <c r="AB17" s="32">
        <f t="shared" si="3"/>
        <v>399540.69254498568</v>
      </c>
      <c r="AC17" s="32">
        <f t="shared" si="3"/>
        <v>901963.11342030531</v>
      </c>
      <c r="AD17" s="32">
        <f t="shared" si="3"/>
        <v>461469.49988945853</v>
      </c>
      <c r="AE17" s="32">
        <f t="shared" si="3"/>
        <v>508770.12362812803</v>
      </c>
      <c r="AF17" s="32">
        <f t="shared" si="3"/>
        <v>508770.12362812803</v>
      </c>
      <c r="AG17" s="32">
        <f t="shared" si="3"/>
        <v>1148548.5540904989</v>
      </c>
      <c r="AH17" s="32">
        <f t="shared" si="3"/>
        <v>587629.49279048794</v>
      </c>
      <c r="AI17" s="32">
        <f t="shared" si="3"/>
        <v>647861.51580151299</v>
      </c>
      <c r="AJ17" s="32">
        <f t="shared" si="3"/>
        <v>647861.5158015131</v>
      </c>
      <c r="AK17" s="32">
        <f t="shared" si="3"/>
        <v>1462547.371921916</v>
      </c>
      <c r="AL17" s="32">
        <f t="shared" si="3"/>
        <v>748280.05075074779</v>
      </c>
      <c r="AM17" s="32">
        <f t="shared" si="3"/>
        <v>824978.75595269946</v>
      </c>
      <c r="AN17" s="32">
        <f t="shared" si="3"/>
        <v>824978.75595269946</v>
      </c>
      <c r="AO17" s="32">
        <f t="shared" si="3"/>
        <v>1862389.5415632192</v>
      </c>
      <c r="AP17" s="32">
        <f t="shared" si="3"/>
        <v>952850.463125368</v>
      </c>
      <c r="AQ17" s="33">
        <f t="shared" si="3"/>
        <v>1050517.6355957182</v>
      </c>
    </row>
    <row r="18" spans="1:43" x14ac:dyDescent="0.2">
      <c r="A18" s="1" t="s">
        <v>28</v>
      </c>
      <c r="B18" s="31">
        <f>-B14*5%</f>
        <v>-4250</v>
      </c>
      <c r="C18" s="32">
        <f t="shared" ref="C18:Q18" si="4">-C14*5%</f>
        <v>-4462.5</v>
      </c>
      <c r="D18" s="32">
        <f t="shared" si="4"/>
        <v>-4685.625</v>
      </c>
      <c r="E18" s="32">
        <f t="shared" si="4"/>
        <v>-4919.90625</v>
      </c>
      <c r="F18" s="32">
        <f t="shared" si="4"/>
        <v>-5411.8968750000013</v>
      </c>
      <c r="G18" s="32">
        <f t="shared" si="4"/>
        <v>-5682.4917187500014</v>
      </c>
      <c r="H18" s="32">
        <f t="shared" si="4"/>
        <v>-5966.6163046875017</v>
      </c>
      <c r="I18" s="32">
        <f t="shared" si="4"/>
        <v>-6264.9471199218769</v>
      </c>
      <c r="J18" s="32">
        <f t="shared" si="4"/>
        <v>-6891.441831914065</v>
      </c>
      <c r="K18" s="32">
        <f t="shared" si="4"/>
        <v>-7236.0139235097686</v>
      </c>
      <c r="L18" s="32">
        <f t="shared" si="4"/>
        <v>-7597.8146196852576</v>
      </c>
      <c r="M18" s="32">
        <f t="shared" si="4"/>
        <v>-7977.7053506695202</v>
      </c>
      <c r="N18" s="32">
        <f t="shared" si="4"/>
        <v>-8775.4758857364723</v>
      </c>
      <c r="O18" s="32">
        <f t="shared" si="4"/>
        <v>-9214.2496800232966</v>
      </c>
      <c r="P18" s="32">
        <f t="shared" si="4"/>
        <v>-9674.9621640244623</v>
      </c>
      <c r="Q18" s="32">
        <f t="shared" si="4"/>
        <v>-10158.710272225686</v>
      </c>
      <c r="R18" s="32">
        <v>-22500</v>
      </c>
      <c r="S18" s="32">
        <v>-22500</v>
      </c>
      <c r="T18" s="32">
        <v>-22500</v>
      </c>
      <c r="U18" s="32">
        <v>-22500</v>
      </c>
      <c r="V18" s="32">
        <v>-22500</v>
      </c>
      <c r="W18" s="32">
        <v>-22500</v>
      </c>
      <c r="X18" s="32">
        <v>-22500</v>
      </c>
      <c r="Y18" s="32">
        <v>-22500</v>
      </c>
      <c r="Z18" s="32">
        <v>-22500</v>
      </c>
      <c r="AA18" s="32">
        <v>-22500</v>
      </c>
      <c r="AB18" s="32">
        <v>-22500</v>
      </c>
      <c r="AC18" s="32">
        <v>-22500</v>
      </c>
      <c r="AD18" s="32">
        <v>-22500</v>
      </c>
      <c r="AE18" s="32">
        <v>-22500</v>
      </c>
      <c r="AF18" s="32">
        <v>-22500</v>
      </c>
      <c r="AG18" s="32">
        <v>-22500</v>
      </c>
      <c r="AH18" s="32">
        <v>-22500</v>
      </c>
      <c r="AI18" s="32">
        <v>-22500</v>
      </c>
      <c r="AJ18" s="32">
        <v>-22500</v>
      </c>
      <c r="AK18" s="32">
        <v>-22500</v>
      </c>
      <c r="AL18" s="32">
        <v>-22500</v>
      </c>
      <c r="AM18" s="32">
        <v>-22500</v>
      </c>
      <c r="AN18" s="32">
        <v>-22500</v>
      </c>
      <c r="AO18" s="32">
        <v>-22500</v>
      </c>
      <c r="AP18" s="32">
        <v>-22500</v>
      </c>
      <c r="AQ18" s="33">
        <v>-22500</v>
      </c>
    </row>
    <row r="19" spans="1:43" x14ac:dyDescent="0.2">
      <c r="A19" s="1" t="s">
        <v>27</v>
      </c>
      <c r="B19" s="31">
        <f>SUM(B17:B18)</f>
        <v>80750</v>
      </c>
      <c r="C19" s="32">
        <f t="shared" ref="C19:H19" si="5">SUM(C17:C18)</f>
        <v>89250</v>
      </c>
      <c r="D19" s="32">
        <f t="shared" si="5"/>
        <v>89026.875</v>
      </c>
      <c r="E19" s="32">
        <f t="shared" si="5"/>
        <v>206636.0625</v>
      </c>
      <c r="F19" s="32">
        <f t="shared" si="5"/>
        <v>102826.04062500001</v>
      </c>
      <c r="G19" s="32">
        <f t="shared" si="5"/>
        <v>113649.83437500002</v>
      </c>
      <c r="H19" s="32">
        <f t="shared" si="5"/>
        <v>113365.70978906253</v>
      </c>
      <c r="I19" s="32">
        <f t="shared" ref="I19" si="6">SUM(I17:I18)</f>
        <v>263127.77903671883</v>
      </c>
      <c r="J19" s="32">
        <f t="shared" ref="J19" si="7">SUM(J17:J18)</f>
        <v>130937.39480636723</v>
      </c>
      <c r="K19" s="32">
        <f t="shared" ref="K19" si="8">SUM(K17:K18)</f>
        <v>144720.27847019536</v>
      </c>
      <c r="L19" s="32">
        <f t="shared" ref="L19" si="9">SUM(L17:L18)</f>
        <v>144358.47777401988</v>
      </c>
      <c r="M19" s="32">
        <f t="shared" ref="M19:N19" si="10">SUM(M17:M18)</f>
        <v>335063.62472811987</v>
      </c>
      <c r="N19" s="32">
        <f t="shared" si="10"/>
        <v>166734.04182899298</v>
      </c>
      <c r="O19" s="32">
        <f t="shared" ref="O19" si="11">SUM(O17:O18)</f>
        <v>184284.99360046594</v>
      </c>
      <c r="P19" s="32">
        <f t="shared" ref="P19" si="12">SUM(P17:P18)</f>
        <v>183824.28111646476</v>
      </c>
      <c r="Q19" s="32">
        <f t="shared" ref="Q19" si="13">SUM(Q17:Q18)</f>
        <v>426665.83143347886</v>
      </c>
      <c r="R19" s="32">
        <f t="shared" ref="R19" si="14">SUM(R17:R18)</f>
        <v>200991.6259889651</v>
      </c>
      <c r="S19" s="32">
        <f t="shared" ref="S19:T19" si="15">SUM(S17:S18)</f>
        <v>223899.51765283404</v>
      </c>
      <c r="T19" s="32">
        <f t="shared" si="15"/>
        <v>223899.51765283404</v>
      </c>
      <c r="U19" s="32">
        <f t="shared" ref="U19" si="16">SUM(U17:U18)</f>
        <v>533746.9111012728</v>
      </c>
      <c r="V19" s="32">
        <f t="shared" ref="V19" si="17">SUM(V17:V18)</f>
        <v>262091.44288902334</v>
      </c>
      <c r="W19" s="32">
        <f t="shared" ref="W19" si="18">SUM(W17:W18)</f>
        <v>291262.0657851483</v>
      </c>
      <c r="X19" s="32">
        <f t="shared" ref="X19" si="19">SUM(X17:X18)</f>
        <v>291262.0657851483</v>
      </c>
      <c r="Y19" s="32">
        <f t="shared" ref="Y19:Z19" si="20">SUM(Y17:Y18)</f>
        <v>685817.86350997235</v>
      </c>
      <c r="Z19" s="32">
        <f t="shared" si="20"/>
        <v>339895.18598184636</v>
      </c>
      <c r="AA19" s="32">
        <f t="shared" ref="AA19" si="21">SUM(AA17:AA18)</f>
        <v>377040.69254498562</v>
      </c>
      <c r="AB19" s="32">
        <f t="shared" ref="AB19" si="22">SUM(AB17:AB18)</f>
        <v>377040.69254498568</v>
      </c>
      <c r="AC19" s="32">
        <f t="shared" ref="AC19" si="23">SUM(AC17:AC18)</f>
        <v>879463.11342030531</v>
      </c>
      <c r="AD19" s="32">
        <f t="shared" ref="AD19" si="24">SUM(AD17:AD18)</f>
        <v>438969.49988945853</v>
      </c>
      <c r="AE19" s="32">
        <f t="shared" ref="AE19:AF19" si="25">SUM(AE17:AE18)</f>
        <v>486270.12362812803</v>
      </c>
      <c r="AF19" s="32">
        <f t="shared" si="25"/>
        <v>486270.12362812803</v>
      </c>
      <c r="AG19" s="32">
        <f t="shared" ref="AG19" si="26">SUM(AG17:AG18)</f>
        <v>1126048.5540904989</v>
      </c>
      <c r="AH19" s="32">
        <f t="shared" ref="AH19" si="27">SUM(AH17:AH18)</f>
        <v>565129.49279048794</v>
      </c>
      <c r="AI19" s="32">
        <f t="shared" ref="AI19" si="28">SUM(AI17:AI18)</f>
        <v>625361.51580151299</v>
      </c>
      <c r="AJ19" s="32">
        <f t="shared" ref="AJ19" si="29">SUM(AJ17:AJ18)</f>
        <v>625361.5158015131</v>
      </c>
      <c r="AK19" s="32">
        <f t="shared" ref="AK19:AL19" si="30">SUM(AK17:AK18)</f>
        <v>1440047.371921916</v>
      </c>
      <c r="AL19" s="32">
        <f t="shared" si="30"/>
        <v>725780.05075074779</v>
      </c>
      <c r="AM19" s="32">
        <f t="shared" ref="AM19" si="31">SUM(AM17:AM18)</f>
        <v>802478.75595269946</v>
      </c>
      <c r="AN19" s="32">
        <f t="shared" ref="AN19" si="32">SUM(AN17:AN18)</f>
        <v>802478.75595269946</v>
      </c>
      <c r="AO19" s="32">
        <f t="shared" ref="AO19" si="33">SUM(AO17:AO18)</f>
        <v>1839889.5415632192</v>
      </c>
      <c r="AP19" s="32">
        <f t="shared" ref="AP19" si="34">SUM(AP17:AP18)</f>
        <v>930350.463125368</v>
      </c>
      <c r="AQ19" s="33">
        <f t="shared" ref="AQ19" si="35">SUM(AQ17:AQ18)</f>
        <v>1028017.6355957182</v>
      </c>
    </row>
    <row r="20" spans="1:43" x14ac:dyDescent="0.2">
      <c r="A20" s="1" t="s">
        <v>49</v>
      </c>
      <c r="B20" s="31">
        <f>((B19-41775)*22%)+4807.5</f>
        <v>13382</v>
      </c>
      <c r="C20" s="32">
        <f>((C19-89075)*24%)+15213</f>
        <v>15255</v>
      </c>
      <c r="D20" s="32">
        <f>((D19-89075)*24%)+15213</f>
        <v>15201.45</v>
      </c>
      <c r="E20" s="32">
        <f>((E19-215950)*35%)+49335.5</f>
        <v>46075.621874999997</v>
      </c>
      <c r="F20" s="32">
        <f>((F19-89075)*24%)+15213.5</f>
        <v>18513.749750000003</v>
      </c>
      <c r="G20" s="32">
        <f t="shared" ref="G20:H20" si="36">((G19-89075)*24%)+15213.5</f>
        <v>21111.460250000004</v>
      </c>
      <c r="H20" s="32">
        <f t="shared" si="36"/>
        <v>21043.270349375009</v>
      </c>
      <c r="I20" s="32">
        <f>((I19-215950)*35%)+49335.5</f>
        <v>65847.722662851593</v>
      </c>
      <c r="J20" s="32">
        <f>((J19-170050)*32%)+34647.5</f>
        <v>22131.466338037513</v>
      </c>
      <c r="K20" s="32">
        <f>((K19-215950)*35%)+49335.5</f>
        <v>24405.097464568378</v>
      </c>
      <c r="L20" s="32">
        <f>((L19-215950)*35%)+49335.5</f>
        <v>24278.467220906958</v>
      </c>
      <c r="M20" s="32">
        <f>((M19-539901)*37%)+162718</f>
        <v>86928.171149404356</v>
      </c>
      <c r="N20" s="32">
        <f>((N19-215950)*35%)+49335.5</f>
        <v>32109.914640147545</v>
      </c>
      <c r="O20" s="32">
        <f t="shared" ref="O20:R20" si="37">((O19-215950)*35%)+49335.5</f>
        <v>38252.747760163082</v>
      </c>
      <c r="P20" s="32">
        <f t="shared" si="37"/>
        <v>38091.498390762667</v>
      </c>
      <c r="Q20" s="32">
        <f>((Q19-539901)*37%)+162718</f>
        <v>120820.98763038719</v>
      </c>
      <c r="R20" s="32">
        <f t="shared" si="37"/>
        <v>44100.069096137784</v>
      </c>
      <c r="S20" s="32">
        <f>((S19-539901)*37%)+162718</f>
        <v>45797.451531548606</v>
      </c>
      <c r="T20" s="32">
        <f t="shared" ref="T20:AQ20" si="38">((T19-539901)*37%)+162718</f>
        <v>45797.451531548606</v>
      </c>
      <c r="U20" s="32">
        <f t="shared" si="38"/>
        <v>160440.98710747092</v>
      </c>
      <c r="V20" s="32">
        <f t="shared" si="38"/>
        <v>59928.463868938634</v>
      </c>
      <c r="W20" s="32">
        <f t="shared" si="38"/>
        <v>70721.594340504875</v>
      </c>
      <c r="X20" s="32">
        <f t="shared" si="38"/>
        <v>70721.594340504875</v>
      </c>
      <c r="Y20" s="32">
        <f t="shared" si="38"/>
        <v>216707.23949868977</v>
      </c>
      <c r="Z20" s="32">
        <f t="shared" si="38"/>
        <v>88715.848813283155</v>
      </c>
      <c r="AA20" s="32">
        <f t="shared" si="38"/>
        <v>102459.68624164468</v>
      </c>
      <c r="AB20" s="32">
        <f t="shared" si="38"/>
        <v>102459.6862416447</v>
      </c>
      <c r="AC20" s="32">
        <f t="shared" si="38"/>
        <v>288355.98196551297</v>
      </c>
      <c r="AD20" s="32">
        <f t="shared" si="38"/>
        <v>125373.34495909966</v>
      </c>
      <c r="AE20" s="32">
        <f t="shared" si="38"/>
        <v>142874.57574240738</v>
      </c>
      <c r="AF20" s="32">
        <f t="shared" si="38"/>
        <v>142874.57574240738</v>
      </c>
      <c r="AG20" s="32">
        <f t="shared" si="38"/>
        <v>379592.59501348459</v>
      </c>
      <c r="AH20" s="32">
        <f t="shared" si="38"/>
        <v>172052.54233248055</v>
      </c>
      <c r="AI20" s="32">
        <f t="shared" si="38"/>
        <v>194338.39084655981</v>
      </c>
      <c r="AJ20" s="32">
        <f t="shared" si="38"/>
        <v>194338.39084655984</v>
      </c>
      <c r="AK20" s="32">
        <f t="shared" si="38"/>
        <v>495772.15761110891</v>
      </c>
      <c r="AL20" s="32">
        <f t="shared" si="38"/>
        <v>231493.24877777667</v>
      </c>
      <c r="AM20" s="32">
        <f t="shared" si="38"/>
        <v>259871.7697024988</v>
      </c>
      <c r="AN20" s="32">
        <f t="shared" si="38"/>
        <v>259871.7697024988</v>
      </c>
      <c r="AO20" s="32">
        <f t="shared" si="38"/>
        <v>643713.76037839102</v>
      </c>
      <c r="AP20" s="32">
        <f t="shared" si="38"/>
        <v>307184.30135638616</v>
      </c>
      <c r="AQ20" s="33">
        <f t="shared" si="38"/>
        <v>343321.15517041576</v>
      </c>
    </row>
    <row r="21" spans="1:43" x14ac:dyDescent="0.2">
      <c r="A21" s="1" t="s">
        <v>50</v>
      </c>
      <c r="B21" s="31">
        <f>B19*4.5%</f>
        <v>3633.75</v>
      </c>
      <c r="C21" s="32">
        <f t="shared" ref="C21:AQ21" si="39">C19*4.5%</f>
        <v>4016.25</v>
      </c>
      <c r="D21" s="32">
        <f t="shared" si="39"/>
        <v>4006.2093749999999</v>
      </c>
      <c r="E21" s="32">
        <f t="shared" si="39"/>
        <v>9298.6228124999998</v>
      </c>
      <c r="F21" s="32">
        <f t="shared" si="39"/>
        <v>4627.1718281250005</v>
      </c>
      <c r="G21" s="32">
        <f t="shared" si="39"/>
        <v>5114.2425468750007</v>
      </c>
      <c r="H21" s="32">
        <f t="shared" si="39"/>
        <v>5101.4569405078137</v>
      </c>
      <c r="I21" s="32">
        <f t="shared" si="39"/>
        <v>11840.750056652347</v>
      </c>
      <c r="J21" s="32">
        <f t="shared" si="39"/>
        <v>5892.1827662865253</v>
      </c>
      <c r="K21" s="32">
        <f t="shared" si="39"/>
        <v>6512.4125311587914</v>
      </c>
      <c r="L21" s="32">
        <f t="shared" si="39"/>
        <v>6496.1314998308944</v>
      </c>
      <c r="M21" s="32">
        <f t="shared" si="39"/>
        <v>15077.863112765393</v>
      </c>
      <c r="N21" s="32">
        <f t="shared" si="39"/>
        <v>7503.0318823046837</v>
      </c>
      <c r="O21" s="32">
        <f t="shared" si="39"/>
        <v>8292.8247120209671</v>
      </c>
      <c r="P21" s="32">
        <f t="shared" si="39"/>
        <v>8272.0926502409129</v>
      </c>
      <c r="Q21" s="32">
        <f t="shared" si="39"/>
        <v>19199.962414506546</v>
      </c>
      <c r="R21" s="32">
        <f t="shared" si="39"/>
        <v>9044.6231695034294</v>
      </c>
      <c r="S21" s="32">
        <f t="shared" si="39"/>
        <v>10075.478294377532</v>
      </c>
      <c r="T21" s="32">
        <f t="shared" si="39"/>
        <v>10075.478294377532</v>
      </c>
      <c r="U21" s="32">
        <f t="shared" si="39"/>
        <v>24018.610999557273</v>
      </c>
      <c r="V21" s="32">
        <f t="shared" si="39"/>
        <v>11794.11493000605</v>
      </c>
      <c r="W21" s="32">
        <f t="shared" si="39"/>
        <v>13106.792960331673</v>
      </c>
      <c r="X21" s="32">
        <f t="shared" si="39"/>
        <v>13106.792960331673</v>
      </c>
      <c r="Y21" s="32">
        <f t="shared" si="39"/>
        <v>30861.803857948755</v>
      </c>
      <c r="Z21" s="32">
        <f t="shared" si="39"/>
        <v>15295.283369183086</v>
      </c>
      <c r="AA21" s="32">
        <f t="shared" si="39"/>
        <v>16966.831164524352</v>
      </c>
      <c r="AB21" s="32">
        <f t="shared" si="39"/>
        <v>16966.831164524356</v>
      </c>
      <c r="AC21" s="32">
        <f t="shared" si="39"/>
        <v>39575.840103913739</v>
      </c>
      <c r="AD21" s="32">
        <f t="shared" si="39"/>
        <v>19753.627495025634</v>
      </c>
      <c r="AE21" s="32">
        <f t="shared" si="39"/>
        <v>21882.155563265762</v>
      </c>
      <c r="AF21" s="32">
        <f t="shared" si="39"/>
        <v>21882.155563265762</v>
      </c>
      <c r="AG21" s="32">
        <f t="shared" si="39"/>
        <v>50672.184934072451</v>
      </c>
      <c r="AH21" s="32">
        <f t="shared" si="39"/>
        <v>25430.827175571958</v>
      </c>
      <c r="AI21" s="32">
        <f t="shared" si="39"/>
        <v>28141.268211068083</v>
      </c>
      <c r="AJ21" s="32">
        <f t="shared" si="39"/>
        <v>28141.268211068087</v>
      </c>
      <c r="AK21" s="32">
        <f t="shared" si="39"/>
        <v>64802.131736486219</v>
      </c>
      <c r="AL21" s="32">
        <f t="shared" si="39"/>
        <v>32660.10228378365</v>
      </c>
      <c r="AM21" s="32">
        <f t="shared" si="39"/>
        <v>36111.544017871471</v>
      </c>
      <c r="AN21" s="32">
        <f t="shared" si="39"/>
        <v>36111.544017871471</v>
      </c>
      <c r="AO21" s="32">
        <f t="shared" si="39"/>
        <v>82795.029370344855</v>
      </c>
      <c r="AP21" s="32">
        <f t="shared" si="39"/>
        <v>41865.770840641555</v>
      </c>
      <c r="AQ21" s="33">
        <f t="shared" si="39"/>
        <v>46260.793601807316</v>
      </c>
    </row>
    <row r="22" spans="1:43" x14ac:dyDescent="0.2">
      <c r="A22" s="1" t="s">
        <v>29</v>
      </c>
      <c r="B22" s="31">
        <f>B19-B20-B21</f>
        <v>63734.25</v>
      </c>
      <c r="C22" s="32">
        <f t="shared" ref="C22:AQ22" si="40">C19-C20-C21</f>
        <v>69978.75</v>
      </c>
      <c r="D22" s="32">
        <f t="shared" si="40"/>
        <v>69819.215624999997</v>
      </c>
      <c r="E22" s="32">
        <f t="shared" si="40"/>
        <v>151261.8178125</v>
      </c>
      <c r="F22" s="32">
        <f t="shared" si="40"/>
        <v>79685.119046874999</v>
      </c>
      <c r="G22" s="32">
        <f t="shared" si="40"/>
        <v>87424.131578125016</v>
      </c>
      <c r="H22" s="32">
        <f t="shared" si="40"/>
        <v>87220.982499179721</v>
      </c>
      <c r="I22" s="32">
        <f t="shared" si="40"/>
        <v>185439.30631721488</v>
      </c>
      <c r="J22" s="32">
        <f t="shared" si="40"/>
        <v>102913.74570204319</v>
      </c>
      <c r="K22" s="32">
        <f t="shared" si="40"/>
        <v>113802.7684744682</v>
      </c>
      <c r="L22" s="32">
        <f t="shared" si="40"/>
        <v>113583.87905328203</v>
      </c>
      <c r="M22" s="32">
        <f t="shared" si="40"/>
        <v>233057.59046595011</v>
      </c>
      <c r="N22" s="32">
        <f t="shared" si="40"/>
        <v>127121.09530654074</v>
      </c>
      <c r="O22" s="32">
        <f t="shared" si="40"/>
        <v>137739.42112828189</v>
      </c>
      <c r="P22" s="32">
        <f t="shared" si="40"/>
        <v>137460.69007546117</v>
      </c>
      <c r="Q22" s="32">
        <f t="shared" si="40"/>
        <v>286644.88138858514</v>
      </c>
      <c r="R22" s="32">
        <f t="shared" si="40"/>
        <v>147846.93372332389</v>
      </c>
      <c r="S22" s="32">
        <f t="shared" si="40"/>
        <v>168026.5878269079</v>
      </c>
      <c r="T22" s="32">
        <f t="shared" si="40"/>
        <v>168026.5878269079</v>
      </c>
      <c r="U22" s="32">
        <f t="shared" si="40"/>
        <v>349287.31299424462</v>
      </c>
      <c r="V22" s="32">
        <f t="shared" si="40"/>
        <v>190368.86409007868</v>
      </c>
      <c r="W22" s="32">
        <f t="shared" si="40"/>
        <v>207433.67848431173</v>
      </c>
      <c r="X22" s="32">
        <f t="shared" si="40"/>
        <v>207433.67848431173</v>
      </c>
      <c r="Y22" s="32">
        <f t="shared" si="40"/>
        <v>438248.82015333383</v>
      </c>
      <c r="Z22" s="32">
        <f t="shared" si="40"/>
        <v>235884.05379938014</v>
      </c>
      <c r="AA22" s="32">
        <f t="shared" si="40"/>
        <v>257614.17513881659</v>
      </c>
      <c r="AB22" s="32">
        <f t="shared" si="40"/>
        <v>257614.17513881664</v>
      </c>
      <c r="AC22" s="32">
        <f t="shared" si="40"/>
        <v>551531.29135087854</v>
      </c>
      <c r="AD22" s="32">
        <f t="shared" si="40"/>
        <v>293842.52743533324</v>
      </c>
      <c r="AE22" s="32">
        <f t="shared" si="40"/>
        <v>321513.39232245483</v>
      </c>
      <c r="AF22" s="32">
        <f t="shared" si="40"/>
        <v>321513.39232245483</v>
      </c>
      <c r="AG22" s="32">
        <f t="shared" si="40"/>
        <v>695783.77414294193</v>
      </c>
      <c r="AH22" s="32">
        <f t="shared" si="40"/>
        <v>367646.12328243547</v>
      </c>
      <c r="AI22" s="32">
        <f t="shared" si="40"/>
        <v>402881.85674388515</v>
      </c>
      <c r="AJ22" s="32">
        <f t="shared" si="40"/>
        <v>402881.8567438852</v>
      </c>
      <c r="AK22" s="32">
        <f t="shared" si="40"/>
        <v>879473.08257432096</v>
      </c>
      <c r="AL22" s="32">
        <f t="shared" si="40"/>
        <v>461626.69968918746</v>
      </c>
      <c r="AM22" s="32">
        <f t="shared" si="40"/>
        <v>506495.44223232917</v>
      </c>
      <c r="AN22" s="32">
        <f t="shared" si="40"/>
        <v>506495.44223232917</v>
      </c>
      <c r="AO22" s="32">
        <f t="shared" si="40"/>
        <v>1113380.7518144832</v>
      </c>
      <c r="AP22" s="32">
        <f t="shared" si="40"/>
        <v>581300.39092834026</v>
      </c>
      <c r="AQ22" s="33">
        <f t="shared" si="40"/>
        <v>638435.68682349508</v>
      </c>
    </row>
    <row r="23" spans="1:43" x14ac:dyDescent="0.2">
      <c r="A23" s="1" t="s">
        <v>47</v>
      </c>
      <c r="B23" s="31">
        <f>B22*5%</f>
        <v>3186.7125000000001</v>
      </c>
      <c r="C23" s="32">
        <f t="shared" ref="C23:AQ23" si="41">C22*5%</f>
        <v>3498.9375</v>
      </c>
      <c r="D23" s="32">
        <f t="shared" si="41"/>
        <v>3490.9607812499999</v>
      </c>
      <c r="E23" s="32">
        <f t="shared" si="41"/>
        <v>7563.0908906250006</v>
      </c>
      <c r="F23" s="32">
        <f t="shared" si="41"/>
        <v>3984.2559523437503</v>
      </c>
      <c r="G23" s="32">
        <f t="shared" si="41"/>
        <v>4371.2065789062508</v>
      </c>
      <c r="H23" s="32">
        <f t="shared" si="41"/>
        <v>4361.0491249589859</v>
      </c>
      <c r="I23" s="32">
        <f t="shared" si="41"/>
        <v>9271.9653158607452</v>
      </c>
      <c r="J23" s="32">
        <f t="shared" si="41"/>
        <v>5145.6872851021599</v>
      </c>
      <c r="K23" s="32">
        <f t="shared" si="41"/>
        <v>5690.1384237234106</v>
      </c>
      <c r="L23" s="32">
        <f t="shared" si="41"/>
        <v>5679.1939526641017</v>
      </c>
      <c r="M23" s="32">
        <f t="shared" si="41"/>
        <v>11652.879523297506</v>
      </c>
      <c r="N23" s="32">
        <f t="shared" si="41"/>
        <v>6356.0547653270369</v>
      </c>
      <c r="O23" s="32">
        <f t="shared" si="41"/>
        <v>6886.9710564140951</v>
      </c>
      <c r="P23" s="32">
        <f t="shared" si="41"/>
        <v>6873.0345037730585</v>
      </c>
      <c r="Q23" s="32">
        <f t="shared" si="41"/>
        <v>14332.244069429258</v>
      </c>
      <c r="R23" s="32">
        <f t="shared" si="41"/>
        <v>7392.3466861661946</v>
      </c>
      <c r="S23" s="32">
        <f t="shared" si="41"/>
        <v>8401.3293913453945</v>
      </c>
      <c r="T23" s="32">
        <f t="shared" si="41"/>
        <v>8401.3293913453945</v>
      </c>
      <c r="U23" s="32">
        <f t="shared" si="41"/>
        <v>17464.365649712232</v>
      </c>
      <c r="V23" s="32">
        <f t="shared" si="41"/>
        <v>9518.4432045039339</v>
      </c>
      <c r="W23" s="32">
        <f t="shared" si="41"/>
        <v>10371.683924215587</v>
      </c>
      <c r="X23" s="32">
        <f t="shared" si="41"/>
        <v>10371.683924215587</v>
      </c>
      <c r="Y23" s="32">
        <f t="shared" si="41"/>
        <v>21912.441007666694</v>
      </c>
      <c r="Z23" s="32">
        <f t="shared" si="41"/>
        <v>11794.202689969008</v>
      </c>
      <c r="AA23" s="32">
        <f t="shared" si="41"/>
        <v>12880.70875694083</v>
      </c>
      <c r="AB23" s="32">
        <f t="shared" si="41"/>
        <v>12880.708756940832</v>
      </c>
      <c r="AC23" s="32">
        <f t="shared" si="41"/>
        <v>27576.56456754393</v>
      </c>
      <c r="AD23" s="32">
        <f t="shared" si="41"/>
        <v>14692.126371766662</v>
      </c>
      <c r="AE23" s="32">
        <f t="shared" si="41"/>
        <v>16075.669616122743</v>
      </c>
      <c r="AF23" s="32">
        <f t="shared" si="41"/>
        <v>16075.669616122743</v>
      </c>
      <c r="AG23" s="32">
        <f t="shared" si="41"/>
        <v>34789.188707147099</v>
      </c>
      <c r="AH23" s="32">
        <f t="shared" si="41"/>
        <v>18382.306164121776</v>
      </c>
      <c r="AI23" s="32">
        <f t="shared" si="41"/>
        <v>20144.092837194257</v>
      </c>
      <c r="AJ23" s="32">
        <f t="shared" si="41"/>
        <v>20144.092837194261</v>
      </c>
      <c r="AK23" s="32">
        <f t="shared" si="41"/>
        <v>43973.654128716051</v>
      </c>
      <c r="AL23" s="32">
        <f t="shared" si="41"/>
        <v>23081.334984459376</v>
      </c>
      <c r="AM23" s="32">
        <f t="shared" si="41"/>
        <v>25324.772111616461</v>
      </c>
      <c r="AN23" s="32">
        <f t="shared" si="41"/>
        <v>25324.772111616461</v>
      </c>
      <c r="AO23" s="32">
        <f t="shared" si="41"/>
        <v>55669.037590724161</v>
      </c>
      <c r="AP23" s="32">
        <f t="shared" si="41"/>
        <v>29065.019546417014</v>
      </c>
      <c r="AQ23" s="33">
        <f t="shared" si="41"/>
        <v>31921.784341174756</v>
      </c>
    </row>
    <row r="24" spans="1:43" ht="16" thickBot="1" x14ac:dyDescent="0.25">
      <c r="A24" s="27" t="s">
        <v>4</v>
      </c>
      <c r="B24" s="37">
        <f>B22-B23</f>
        <v>60547.537499999999</v>
      </c>
      <c r="C24" s="38">
        <f t="shared" ref="C24:AQ24" si="42">C22-C23</f>
        <v>66479.8125</v>
      </c>
      <c r="D24" s="38">
        <f t="shared" si="42"/>
        <v>66328.254843749994</v>
      </c>
      <c r="E24" s="38">
        <f t="shared" si="42"/>
        <v>143698.726921875</v>
      </c>
      <c r="F24" s="38">
        <f t="shared" si="42"/>
        <v>75700.863094531247</v>
      </c>
      <c r="G24" s="38">
        <f t="shared" si="42"/>
        <v>83052.924999218769</v>
      </c>
      <c r="H24" s="38">
        <f t="shared" si="42"/>
        <v>82859.933374220738</v>
      </c>
      <c r="I24" s="38">
        <f t="shared" si="42"/>
        <v>176167.34100135413</v>
      </c>
      <c r="J24" s="38">
        <f t="shared" si="42"/>
        <v>97768.058416941029</v>
      </c>
      <c r="K24" s="38">
        <f t="shared" si="42"/>
        <v>108112.63005074479</v>
      </c>
      <c r="L24" s="38">
        <f t="shared" si="42"/>
        <v>107904.68510061792</v>
      </c>
      <c r="M24" s="38">
        <f t="shared" si="42"/>
        <v>221404.7109426526</v>
      </c>
      <c r="N24" s="38">
        <f t="shared" si="42"/>
        <v>120765.0405412137</v>
      </c>
      <c r="O24" s="38">
        <f t="shared" si="42"/>
        <v>130852.45007186779</v>
      </c>
      <c r="P24" s="38">
        <f t="shared" si="42"/>
        <v>130587.65557168811</v>
      </c>
      <c r="Q24" s="38">
        <f t="shared" si="42"/>
        <v>272312.63731915591</v>
      </c>
      <c r="R24" s="38">
        <f t="shared" si="42"/>
        <v>140454.5870371577</v>
      </c>
      <c r="S24" s="38">
        <f t="shared" si="42"/>
        <v>159625.25843556251</v>
      </c>
      <c r="T24" s="38">
        <f t="shared" si="42"/>
        <v>159625.25843556251</v>
      </c>
      <c r="U24" s="38">
        <f t="shared" si="42"/>
        <v>331822.94734453241</v>
      </c>
      <c r="V24" s="38">
        <f t="shared" si="42"/>
        <v>180850.42088557474</v>
      </c>
      <c r="W24" s="38">
        <f t="shared" si="42"/>
        <v>197061.99456009615</v>
      </c>
      <c r="X24" s="38">
        <f t="shared" si="42"/>
        <v>197061.99456009615</v>
      </c>
      <c r="Y24" s="38">
        <f t="shared" si="42"/>
        <v>416336.37914566713</v>
      </c>
      <c r="Z24" s="38">
        <f t="shared" si="42"/>
        <v>224089.85110941113</v>
      </c>
      <c r="AA24" s="38">
        <f t="shared" si="42"/>
        <v>244733.46638187577</v>
      </c>
      <c r="AB24" s="38">
        <f t="shared" si="42"/>
        <v>244733.4663818758</v>
      </c>
      <c r="AC24" s="38">
        <f t="shared" si="42"/>
        <v>523954.72678333463</v>
      </c>
      <c r="AD24" s="38">
        <f t="shared" si="42"/>
        <v>279150.40106356656</v>
      </c>
      <c r="AE24" s="38">
        <f t="shared" si="42"/>
        <v>305437.7227063321</v>
      </c>
      <c r="AF24" s="38">
        <f t="shared" si="42"/>
        <v>305437.7227063321</v>
      </c>
      <c r="AG24" s="38">
        <f t="shared" si="42"/>
        <v>660994.58543579478</v>
      </c>
      <c r="AH24" s="38">
        <f t="shared" si="42"/>
        <v>349263.81711831369</v>
      </c>
      <c r="AI24" s="38">
        <f t="shared" si="42"/>
        <v>382737.76390669087</v>
      </c>
      <c r="AJ24" s="38">
        <f t="shared" si="42"/>
        <v>382737.76390669093</v>
      </c>
      <c r="AK24" s="38">
        <f t="shared" si="42"/>
        <v>835499.42844560486</v>
      </c>
      <c r="AL24" s="38">
        <f t="shared" si="42"/>
        <v>438545.36470472807</v>
      </c>
      <c r="AM24" s="38">
        <f t="shared" si="42"/>
        <v>481170.67012071272</v>
      </c>
      <c r="AN24" s="38">
        <f t="shared" si="42"/>
        <v>481170.67012071272</v>
      </c>
      <c r="AO24" s="38">
        <f t="shared" si="42"/>
        <v>1057711.714223759</v>
      </c>
      <c r="AP24" s="38">
        <f t="shared" si="42"/>
        <v>552235.37138192321</v>
      </c>
      <c r="AQ24" s="39">
        <f t="shared" si="42"/>
        <v>606513.90248232032</v>
      </c>
    </row>
    <row r="25" spans="1:43" ht="16" thickBot="1" x14ac:dyDescent="0.25"/>
    <row r="26" spans="1:43" ht="16" thickBot="1" x14ac:dyDescent="0.25">
      <c r="A26" s="16" t="s">
        <v>30</v>
      </c>
    </row>
    <row r="27" spans="1:43" x14ac:dyDescent="0.2">
      <c r="A27" s="17" t="s">
        <v>42</v>
      </c>
      <c r="B27" s="40">
        <f>B22*50%</f>
        <v>31867.125</v>
      </c>
      <c r="C27" s="41">
        <f t="shared" ref="C27:AQ27" si="43">C22*50%</f>
        <v>34989.375</v>
      </c>
      <c r="D27" s="41">
        <f t="shared" si="43"/>
        <v>34909.607812499999</v>
      </c>
      <c r="E27" s="41">
        <f t="shared" si="43"/>
        <v>75630.908906249999</v>
      </c>
      <c r="F27" s="41">
        <f t="shared" si="43"/>
        <v>39842.5595234375</v>
      </c>
      <c r="G27" s="41">
        <f t="shared" si="43"/>
        <v>43712.065789062508</v>
      </c>
      <c r="H27" s="41">
        <f t="shared" si="43"/>
        <v>43610.491249589861</v>
      </c>
      <c r="I27" s="41">
        <f t="shared" si="43"/>
        <v>92719.653158607442</v>
      </c>
      <c r="J27" s="41">
        <f t="shared" si="43"/>
        <v>51456.872851021595</v>
      </c>
      <c r="K27" s="41">
        <f t="shared" si="43"/>
        <v>56901.384237234102</v>
      </c>
      <c r="L27" s="41">
        <f t="shared" si="43"/>
        <v>56791.939526641014</v>
      </c>
      <c r="M27" s="41">
        <f t="shared" si="43"/>
        <v>116528.79523297506</v>
      </c>
      <c r="N27" s="41">
        <f t="shared" si="43"/>
        <v>63560.547653270369</v>
      </c>
      <c r="O27" s="41">
        <f t="shared" si="43"/>
        <v>68869.710564140943</v>
      </c>
      <c r="P27" s="41">
        <f t="shared" si="43"/>
        <v>68730.345037730585</v>
      </c>
      <c r="Q27" s="41">
        <f t="shared" si="43"/>
        <v>143322.44069429257</v>
      </c>
      <c r="R27" s="41">
        <f t="shared" si="43"/>
        <v>73923.466861661946</v>
      </c>
      <c r="S27" s="41">
        <f t="shared" si="43"/>
        <v>84013.293913453948</v>
      </c>
      <c r="T27" s="41">
        <f t="shared" si="43"/>
        <v>84013.293913453948</v>
      </c>
      <c r="U27" s="41">
        <f t="shared" si="43"/>
        <v>174643.65649712231</v>
      </c>
      <c r="V27" s="41">
        <f t="shared" si="43"/>
        <v>95184.432045039342</v>
      </c>
      <c r="W27" s="41">
        <f t="shared" si="43"/>
        <v>103716.83924215587</v>
      </c>
      <c r="X27" s="41">
        <f t="shared" si="43"/>
        <v>103716.83924215587</v>
      </c>
      <c r="Y27" s="41">
        <f t="shared" si="43"/>
        <v>219124.41007666691</v>
      </c>
      <c r="Z27" s="41">
        <f t="shared" si="43"/>
        <v>117942.02689969007</v>
      </c>
      <c r="AA27" s="41">
        <f t="shared" si="43"/>
        <v>128807.08756940829</v>
      </c>
      <c r="AB27" s="41">
        <f t="shared" si="43"/>
        <v>128807.08756940832</v>
      </c>
      <c r="AC27" s="41">
        <f t="shared" si="43"/>
        <v>275765.64567543927</v>
      </c>
      <c r="AD27" s="41">
        <f t="shared" si="43"/>
        <v>146921.26371766662</v>
      </c>
      <c r="AE27" s="41">
        <f t="shared" si="43"/>
        <v>160756.69616122742</v>
      </c>
      <c r="AF27" s="41">
        <f t="shared" si="43"/>
        <v>160756.69616122742</v>
      </c>
      <c r="AG27" s="41">
        <f t="shared" si="43"/>
        <v>347891.88707147096</v>
      </c>
      <c r="AH27" s="41">
        <f t="shared" si="43"/>
        <v>183823.06164121773</v>
      </c>
      <c r="AI27" s="41">
        <f t="shared" si="43"/>
        <v>201440.92837194257</v>
      </c>
      <c r="AJ27" s="41">
        <f t="shared" si="43"/>
        <v>201440.9283719426</v>
      </c>
      <c r="AK27" s="41">
        <f t="shared" si="43"/>
        <v>439736.54128716048</v>
      </c>
      <c r="AL27" s="41">
        <f t="shared" si="43"/>
        <v>230813.34984459373</v>
      </c>
      <c r="AM27" s="41">
        <f t="shared" si="43"/>
        <v>253247.72111616458</v>
      </c>
      <c r="AN27" s="41">
        <f t="shared" si="43"/>
        <v>253247.72111616458</v>
      </c>
      <c r="AO27" s="41">
        <f t="shared" si="43"/>
        <v>556690.3759072416</v>
      </c>
      <c r="AP27" s="41">
        <f t="shared" si="43"/>
        <v>290650.19546417013</v>
      </c>
      <c r="AQ27" s="42">
        <f t="shared" si="43"/>
        <v>319217.84341174754</v>
      </c>
    </row>
    <row r="28" spans="1:43" x14ac:dyDescent="0.2">
      <c r="A28" s="18" t="s">
        <v>31</v>
      </c>
      <c r="B28" s="34">
        <v>0</v>
      </c>
      <c r="C28" s="32">
        <v>25000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2">
        <v>50000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2">
        <v>58000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2">
        <v>75000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2">
        <v>100000</v>
      </c>
      <c r="AH28" s="35">
        <v>0</v>
      </c>
      <c r="AI28" s="35">
        <v>0</v>
      </c>
      <c r="AJ28" s="35">
        <v>0</v>
      </c>
      <c r="AK28" s="35">
        <v>0</v>
      </c>
      <c r="AL28" s="35">
        <v>0</v>
      </c>
      <c r="AM28" s="35">
        <v>0</v>
      </c>
      <c r="AN28" s="32">
        <v>60000</v>
      </c>
      <c r="AO28" s="35">
        <v>0</v>
      </c>
      <c r="AP28" s="35">
        <v>0</v>
      </c>
      <c r="AQ28" s="36">
        <v>0</v>
      </c>
    </row>
    <row r="29" spans="1:43" x14ac:dyDescent="0.2">
      <c r="A29" s="18" t="s">
        <v>32</v>
      </c>
      <c r="B29" s="31">
        <v>2000</v>
      </c>
      <c r="C29" s="32">
        <v>2000</v>
      </c>
      <c r="D29" s="32">
        <v>2000</v>
      </c>
      <c r="E29" s="32">
        <v>2000</v>
      </c>
      <c r="F29" s="32">
        <v>5000</v>
      </c>
      <c r="G29" s="32">
        <v>5000</v>
      </c>
      <c r="H29" s="32">
        <v>5000</v>
      </c>
      <c r="I29" s="32">
        <v>5000</v>
      </c>
      <c r="J29" s="32">
        <v>5000</v>
      </c>
      <c r="K29" s="32">
        <v>5000</v>
      </c>
      <c r="L29" s="32">
        <v>5000</v>
      </c>
      <c r="M29" s="32">
        <v>10000</v>
      </c>
      <c r="N29" s="32">
        <v>10000</v>
      </c>
      <c r="O29" s="32">
        <v>10000</v>
      </c>
      <c r="P29" s="32">
        <v>10000</v>
      </c>
      <c r="Q29" s="32">
        <v>10000</v>
      </c>
      <c r="R29" s="32">
        <v>10000</v>
      </c>
      <c r="S29" s="32">
        <v>10000</v>
      </c>
      <c r="T29" s="32">
        <v>10000</v>
      </c>
      <c r="U29" s="32">
        <v>20000</v>
      </c>
      <c r="V29" s="32">
        <v>20000</v>
      </c>
      <c r="W29" s="32">
        <v>20000</v>
      </c>
      <c r="X29" s="32">
        <v>20000</v>
      </c>
      <c r="Y29" s="32">
        <v>20000</v>
      </c>
      <c r="Z29" s="32">
        <v>20000</v>
      </c>
      <c r="AA29" s="32">
        <v>20000</v>
      </c>
      <c r="AB29" s="32">
        <v>30000</v>
      </c>
      <c r="AC29" s="32">
        <v>30000</v>
      </c>
      <c r="AD29" s="32">
        <v>30000</v>
      </c>
      <c r="AE29" s="32">
        <v>30000</v>
      </c>
      <c r="AF29" s="32">
        <v>30000</v>
      </c>
      <c r="AG29" s="32">
        <v>30000</v>
      </c>
      <c r="AH29" s="32">
        <v>30000</v>
      </c>
      <c r="AI29" s="32">
        <v>40000</v>
      </c>
      <c r="AJ29" s="32">
        <v>40000</v>
      </c>
      <c r="AK29" s="32">
        <v>40000</v>
      </c>
      <c r="AL29" s="32">
        <v>40000</v>
      </c>
      <c r="AM29" s="32">
        <v>40000</v>
      </c>
      <c r="AN29" s="32">
        <v>40000</v>
      </c>
      <c r="AO29" s="32">
        <v>50000</v>
      </c>
      <c r="AP29" s="32">
        <v>50000</v>
      </c>
      <c r="AQ29" s="33">
        <v>50000</v>
      </c>
    </row>
    <row r="30" spans="1:43" x14ac:dyDescent="0.2">
      <c r="A30" s="19" t="s">
        <v>33</v>
      </c>
      <c r="B30" s="31">
        <f>B22*3%</f>
        <v>1912.0274999999999</v>
      </c>
      <c r="C30" s="32">
        <f t="shared" ref="C30:AQ30" si="44">C22*3%</f>
        <v>2099.3624999999997</v>
      </c>
      <c r="D30" s="32">
        <f t="shared" si="44"/>
        <v>2094.57646875</v>
      </c>
      <c r="E30" s="32">
        <f t="shared" si="44"/>
        <v>4537.8545343750002</v>
      </c>
      <c r="F30" s="32">
        <f t="shared" si="44"/>
        <v>2390.5535714062498</v>
      </c>
      <c r="G30" s="32">
        <f t="shared" si="44"/>
        <v>2622.7239473437503</v>
      </c>
      <c r="H30" s="32">
        <f t="shared" si="44"/>
        <v>2616.6294749753915</v>
      </c>
      <c r="I30" s="32">
        <f t="shared" si="44"/>
        <v>5563.1791895164461</v>
      </c>
      <c r="J30" s="32">
        <f t="shared" si="44"/>
        <v>3087.4123710612957</v>
      </c>
      <c r="K30" s="32">
        <f t="shared" si="44"/>
        <v>3414.0830542340459</v>
      </c>
      <c r="L30" s="32">
        <f t="shared" si="44"/>
        <v>3407.5163715984609</v>
      </c>
      <c r="M30" s="32">
        <f t="shared" si="44"/>
        <v>6991.7277139785028</v>
      </c>
      <c r="N30" s="32">
        <f t="shared" si="44"/>
        <v>3813.6328591962219</v>
      </c>
      <c r="O30" s="32">
        <f t="shared" si="44"/>
        <v>4132.1826338484561</v>
      </c>
      <c r="P30" s="32">
        <f t="shared" si="44"/>
        <v>4123.8207022638353</v>
      </c>
      <c r="Q30" s="32">
        <f t="shared" si="44"/>
        <v>8599.3464416575534</v>
      </c>
      <c r="R30" s="32">
        <f t="shared" si="44"/>
        <v>4435.4080116997166</v>
      </c>
      <c r="S30" s="32">
        <f t="shared" si="44"/>
        <v>5040.797634807237</v>
      </c>
      <c r="T30" s="32">
        <f t="shared" si="44"/>
        <v>5040.797634807237</v>
      </c>
      <c r="U30" s="32">
        <f t="shared" si="44"/>
        <v>10478.619389827338</v>
      </c>
      <c r="V30" s="32">
        <f t="shared" si="44"/>
        <v>5711.0659227023607</v>
      </c>
      <c r="W30" s="32">
        <f t="shared" si="44"/>
        <v>6223.0103545293514</v>
      </c>
      <c r="X30" s="32">
        <f t="shared" si="44"/>
        <v>6223.0103545293514</v>
      </c>
      <c r="Y30" s="32">
        <f t="shared" si="44"/>
        <v>13147.464604600014</v>
      </c>
      <c r="Z30" s="32">
        <f t="shared" si="44"/>
        <v>7076.5216139814038</v>
      </c>
      <c r="AA30" s="32">
        <f t="shared" si="44"/>
        <v>7728.4252541644973</v>
      </c>
      <c r="AB30" s="32">
        <f t="shared" si="44"/>
        <v>7728.4252541644992</v>
      </c>
      <c r="AC30" s="32">
        <f t="shared" si="44"/>
        <v>16545.938740526355</v>
      </c>
      <c r="AD30" s="32">
        <f t="shared" si="44"/>
        <v>8815.2758230599975</v>
      </c>
      <c r="AE30" s="32">
        <f t="shared" si="44"/>
        <v>9645.4017696736446</v>
      </c>
      <c r="AF30" s="32">
        <f t="shared" si="44"/>
        <v>9645.4017696736446</v>
      </c>
      <c r="AG30" s="32">
        <f t="shared" si="44"/>
        <v>20873.513224288257</v>
      </c>
      <c r="AH30" s="32">
        <f t="shared" si="44"/>
        <v>11029.383698473064</v>
      </c>
      <c r="AI30" s="32">
        <f t="shared" si="44"/>
        <v>12086.455702316554</v>
      </c>
      <c r="AJ30" s="32">
        <f t="shared" si="44"/>
        <v>12086.455702316556</v>
      </c>
      <c r="AK30" s="32">
        <f t="shared" si="44"/>
        <v>26384.192477229626</v>
      </c>
      <c r="AL30" s="32">
        <f t="shared" si="44"/>
        <v>13848.800990675623</v>
      </c>
      <c r="AM30" s="32">
        <f t="shared" si="44"/>
        <v>15194.863266969875</v>
      </c>
      <c r="AN30" s="32">
        <f t="shared" si="44"/>
        <v>15194.863266969875</v>
      </c>
      <c r="AO30" s="32">
        <f t="shared" si="44"/>
        <v>33401.422554434495</v>
      </c>
      <c r="AP30" s="32">
        <f t="shared" si="44"/>
        <v>17439.011727850208</v>
      </c>
      <c r="AQ30" s="33">
        <f t="shared" si="44"/>
        <v>19153.070604704852</v>
      </c>
    </row>
    <row r="31" spans="1:43" x14ac:dyDescent="0.2">
      <c r="A31" s="19" t="s">
        <v>46</v>
      </c>
      <c r="B31" s="31">
        <v>0</v>
      </c>
      <c r="C31" s="32">
        <v>0</v>
      </c>
      <c r="D31" s="32">
        <v>0</v>
      </c>
      <c r="E31" s="32">
        <v>20000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0</v>
      </c>
      <c r="M31" s="32">
        <v>0</v>
      </c>
      <c r="N31" s="32">
        <v>0</v>
      </c>
      <c r="O31" s="32">
        <v>0</v>
      </c>
      <c r="P31" s="32">
        <v>0</v>
      </c>
      <c r="Q31" s="32">
        <v>0</v>
      </c>
      <c r="R31" s="32">
        <v>0</v>
      </c>
      <c r="S31" s="32">
        <v>0</v>
      </c>
      <c r="T31" s="32">
        <v>0</v>
      </c>
      <c r="U31" s="32">
        <v>0</v>
      </c>
      <c r="V31" s="32">
        <v>0</v>
      </c>
      <c r="W31" s="32">
        <v>0</v>
      </c>
      <c r="X31" s="32">
        <v>0</v>
      </c>
      <c r="Y31" s="32">
        <v>0</v>
      </c>
      <c r="Z31" s="32">
        <v>0</v>
      </c>
      <c r="AA31" s="32">
        <v>0</v>
      </c>
      <c r="AB31" s="32">
        <v>0</v>
      </c>
      <c r="AC31" s="32">
        <v>0</v>
      </c>
      <c r="AD31" s="32">
        <v>0</v>
      </c>
      <c r="AE31" s="32">
        <v>0</v>
      </c>
      <c r="AF31" s="32">
        <v>0</v>
      </c>
      <c r="AG31" s="32">
        <v>0</v>
      </c>
      <c r="AH31" s="32">
        <v>0</v>
      </c>
      <c r="AI31" s="32">
        <v>0</v>
      </c>
      <c r="AJ31" s="32">
        <v>0</v>
      </c>
      <c r="AK31" s="32">
        <v>0</v>
      </c>
      <c r="AL31" s="32">
        <v>0</v>
      </c>
      <c r="AM31" s="32">
        <v>0</v>
      </c>
      <c r="AN31" s="32">
        <v>0</v>
      </c>
      <c r="AO31" s="32">
        <v>0</v>
      </c>
      <c r="AP31" s="32">
        <v>0</v>
      </c>
      <c r="AQ31" s="33">
        <v>0</v>
      </c>
    </row>
    <row r="32" spans="1:43" x14ac:dyDescent="0.2">
      <c r="A32" s="18" t="s">
        <v>34</v>
      </c>
      <c r="B32" s="34">
        <v>0</v>
      </c>
      <c r="C32" s="35">
        <v>0</v>
      </c>
      <c r="D32" s="35">
        <v>0</v>
      </c>
      <c r="E32" s="35">
        <v>0</v>
      </c>
      <c r="F32" s="35">
        <v>0</v>
      </c>
      <c r="G32" s="32">
        <f>G22*10%</f>
        <v>8742.4131578125016</v>
      </c>
      <c r="H32" s="32">
        <f>H22*10%</f>
        <v>8722.0982499179718</v>
      </c>
      <c r="I32" s="32">
        <f>(I22-I16)*10%</f>
        <v>4761.0469678933587</v>
      </c>
      <c r="J32" s="32">
        <f>J22*10%</f>
        <v>10291.37457020432</v>
      </c>
      <c r="K32" s="32">
        <f>K22*10%</f>
        <v>11380.276847446821</v>
      </c>
      <c r="L32" s="32">
        <f>L22*10%</f>
        <v>11358.387905328203</v>
      </c>
      <c r="M32" s="32">
        <f>(M22-M16)*10%</f>
        <v>5754.807275122067</v>
      </c>
      <c r="N32" s="32">
        <f t="shared" ref="N32:T32" si="45">N22*10%</f>
        <v>12712.109530654074</v>
      </c>
      <c r="O32" s="32">
        <f t="shared" si="45"/>
        <v>13773.94211282819</v>
      </c>
      <c r="P32" s="32">
        <f t="shared" si="45"/>
        <v>13746.069007546117</v>
      </c>
      <c r="Q32" s="32">
        <f t="shared" si="45"/>
        <v>28664.488138858516</v>
      </c>
      <c r="R32" s="32">
        <f t="shared" si="45"/>
        <v>14784.693372332389</v>
      </c>
      <c r="S32" s="32">
        <f t="shared" si="45"/>
        <v>16802.658782690789</v>
      </c>
      <c r="T32" s="32">
        <f t="shared" si="45"/>
        <v>16802.658782690789</v>
      </c>
      <c r="U32" s="32">
        <f>(U22-U16)*10%</f>
        <v>6469.5870105221293</v>
      </c>
      <c r="V32" s="32">
        <f t="shared" ref="V32:AE32" si="46">V22*10%</f>
        <v>19036.886409007868</v>
      </c>
      <c r="W32" s="32">
        <f t="shared" si="46"/>
        <v>20743.367848431175</v>
      </c>
      <c r="X32" s="32">
        <f t="shared" si="46"/>
        <v>20743.367848431175</v>
      </c>
      <c r="Y32" s="32">
        <f t="shared" si="46"/>
        <v>43824.882015333387</v>
      </c>
      <c r="Z32" s="32">
        <f t="shared" si="46"/>
        <v>23588.405379938016</v>
      </c>
      <c r="AA32" s="32">
        <f t="shared" si="46"/>
        <v>25761.417513881661</v>
      </c>
      <c r="AB32" s="32">
        <f t="shared" si="46"/>
        <v>25761.417513881664</v>
      </c>
      <c r="AC32" s="32">
        <f t="shared" si="46"/>
        <v>55153.12913508786</v>
      </c>
      <c r="AD32" s="32">
        <f t="shared" si="46"/>
        <v>29384.252743533325</v>
      </c>
      <c r="AE32" s="32">
        <f t="shared" si="46"/>
        <v>32151.339232245486</v>
      </c>
      <c r="AF32" s="32">
        <v>0</v>
      </c>
      <c r="AG32" s="32">
        <v>0</v>
      </c>
      <c r="AH32" s="32">
        <v>0</v>
      </c>
      <c r="AI32" s="32">
        <v>0</v>
      </c>
      <c r="AJ32" s="32">
        <v>0</v>
      </c>
      <c r="AK32" s="32">
        <v>0</v>
      </c>
      <c r="AL32" s="32">
        <v>0</v>
      </c>
      <c r="AM32" s="32">
        <v>0</v>
      </c>
      <c r="AN32" s="32">
        <v>0</v>
      </c>
      <c r="AO32" s="32">
        <v>0</v>
      </c>
      <c r="AP32" s="32">
        <v>0</v>
      </c>
      <c r="AQ32" s="33">
        <v>0</v>
      </c>
    </row>
    <row r="33" spans="1:43" x14ac:dyDescent="0.2">
      <c r="A33" s="18" t="s">
        <v>35</v>
      </c>
      <c r="B33" s="31">
        <f>100*12</f>
        <v>1200</v>
      </c>
      <c r="C33" s="32">
        <f t="shared" ref="C33:F33" si="47">100*12</f>
        <v>1200</v>
      </c>
      <c r="D33" s="32">
        <f t="shared" si="47"/>
        <v>1200</v>
      </c>
      <c r="E33" s="32">
        <f t="shared" si="47"/>
        <v>1200</v>
      </c>
      <c r="F33" s="32">
        <f t="shared" si="47"/>
        <v>1200</v>
      </c>
      <c r="G33" s="32">
        <f>500*12</f>
        <v>6000</v>
      </c>
      <c r="H33" s="32">
        <f t="shared" ref="H33:AE33" si="48">500*12</f>
        <v>6000</v>
      </c>
      <c r="I33" s="32">
        <f t="shared" si="48"/>
        <v>6000</v>
      </c>
      <c r="J33" s="32">
        <f t="shared" si="48"/>
        <v>6000</v>
      </c>
      <c r="K33" s="32">
        <f t="shared" si="48"/>
        <v>6000</v>
      </c>
      <c r="L33" s="32">
        <f t="shared" si="48"/>
        <v>6000</v>
      </c>
      <c r="M33" s="32">
        <f t="shared" si="48"/>
        <v>6000</v>
      </c>
      <c r="N33" s="32">
        <f t="shared" si="48"/>
        <v>6000</v>
      </c>
      <c r="O33" s="32">
        <f t="shared" si="48"/>
        <v>6000</v>
      </c>
      <c r="P33" s="32">
        <f t="shared" si="48"/>
        <v>6000</v>
      </c>
      <c r="Q33" s="32">
        <f t="shared" si="48"/>
        <v>6000</v>
      </c>
      <c r="R33" s="32">
        <f t="shared" si="48"/>
        <v>6000</v>
      </c>
      <c r="S33" s="32">
        <f t="shared" si="48"/>
        <v>6000</v>
      </c>
      <c r="T33" s="32">
        <f t="shared" si="48"/>
        <v>6000</v>
      </c>
      <c r="U33" s="32">
        <f t="shared" si="48"/>
        <v>6000</v>
      </c>
      <c r="V33" s="32">
        <f t="shared" si="48"/>
        <v>6000</v>
      </c>
      <c r="W33" s="32">
        <f t="shared" si="48"/>
        <v>6000</v>
      </c>
      <c r="X33" s="32">
        <f t="shared" si="48"/>
        <v>6000</v>
      </c>
      <c r="Y33" s="32">
        <f t="shared" si="48"/>
        <v>6000</v>
      </c>
      <c r="Z33" s="32">
        <f t="shared" si="48"/>
        <v>6000</v>
      </c>
      <c r="AA33" s="32">
        <f t="shared" si="48"/>
        <v>6000</v>
      </c>
      <c r="AB33" s="32">
        <f t="shared" si="48"/>
        <v>6000</v>
      </c>
      <c r="AC33" s="32">
        <f t="shared" si="48"/>
        <v>6000</v>
      </c>
      <c r="AD33" s="32">
        <f t="shared" si="48"/>
        <v>6000</v>
      </c>
      <c r="AE33" s="32">
        <f t="shared" si="48"/>
        <v>6000</v>
      </c>
      <c r="AF33" s="32">
        <f>300*12</f>
        <v>3600</v>
      </c>
      <c r="AG33" s="32">
        <f t="shared" ref="AG33:AQ33" si="49">300*12</f>
        <v>3600</v>
      </c>
      <c r="AH33" s="32">
        <f t="shared" si="49"/>
        <v>3600</v>
      </c>
      <c r="AI33" s="32">
        <f t="shared" si="49"/>
        <v>3600</v>
      </c>
      <c r="AJ33" s="32">
        <f t="shared" si="49"/>
        <v>3600</v>
      </c>
      <c r="AK33" s="32">
        <f t="shared" si="49"/>
        <v>3600</v>
      </c>
      <c r="AL33" s="32">
        <f t="shared" si="49"/>
        <v>3600</v>
      </c>
      <c r="AM33" s="32">
        <f t="shared" si="49"/>
        <v>3600</v>
      </c>
      <c r="AN33" s="32">
        <f t="shared" si="49"/>
        <v>3600</v>
      </c>
      <c r="AO33" s="32">
        <f t="shared" si="49"/>
        <v>3600</v>
      </c>
      <c r="AP33" s="32">
        <f t="shared" si="49"/>
        <v>3600</v>
      </c>
      <c r="AQ33" s="33">
        <f t="shared" si="49"/>
        <v>3600</v>
      </c>
    </row>
    <row r="34" spans="1:43" x14ac:dyDescent="0.2">
      <c r="A34" s="18" t="s">
        <v>37</v>
      </c>
      <c r="B34" s="34">
        <v>0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  <c r="Z34" s="35">
        <v>0</v>
      </c>
      <c r="AA34" s="35">
        <v>0</v>
      </c>
      <c r="AB34" s="35">
        <v>0</v>
      </c>
      <c r="AC34" s="35">
        <v>0</v>
      </c>
      <c r="AD34" s="35">
        <v>0</v>
      </c>
      <c r="AE34" s="35">
        <v>0</v>
      </c>
      <c r="AF34" s="35">
        <v>0</v>
      </c>
      <c r="AG34" s="35">
        <v>0</v>
      </c>
      <c r="AH34" s="35">
        <v>0</v>
      </c>
      <c r="AI34" s="35">
        <v>0</v>
      </c>
      <c r="AJ34" s="35">
        <v>0</v>
      </c>
      <c r="AK34" s="32">
        <v>800000</v>
      </c>
      <c r="AL34" s="35">
        <v>0</v>
      </c>
      <c r="AM34" s="35">
        <v>0</v>
      </c>
      <c r="AN34" s="35">
        <v>0</v>
      </c>
      <c r="AO34" s="35">
        <v>0</v>
      </c>
      <c r="AP34" s="35">
        <v>0</v>
      </c>
      <c r="AQ34" s="36">
        <v>0</v>
      </c>
    </row>
    <row r="35" spans="1:43" ht="16" thickBot="1" x14ac:dyDescent="0.25">
      <c r="A35" s="20" t="s">
        <v>36</v>
      </c>
      <c r="B35" s="37">
        <f t="shared" ref="B35:AQ35" si="50">SUM(B27:B34)</f>
        <v>36979.152499999997</v>
      </c>
      <c r="C35" s="38">
        <f t="shared" si="50"/>
        <v>65288.737500000003</v>
      </c>
      <c r="D35" s="38">
        <f t="shared" si="50"/>
        <v>40204.184281249996</v>
      </c>
      <c r="E35" s="38">
        <f t="shared" si="50"/>
        <v>103368.763440625</v>
      </c>
      <c r="F35" s="38">
        <f t="shared" si="50"/>
        <v>48433.113094843749</v>
      </c>
      <c r="G35" s="38">
        <f t="shared" si="50"/>
        <v>66077.202894218761</v>
      </c>
      <c r="H35" s="38">
        <f t="shared" si="50"/>
        <v>65949.218974483229</v>
      </c>
      <c r="I35" s="38">
        <f t="shared" si="50"/>
        <v>164043.87931601721</v>
      </c>
      <c r="J35" s="38">
        <f t="shared" si="50"/>
        <v>75835.659792287217</v>
      </c>
      <c r="K35" s="38">
        <f t="shared" si="50"/>
        <v>82695.744138914975</v>
      </c>
      <c r="L35" s="38">
        <f t="shared" si="50"/>
        <v>82557.843803567681</v>
      </c>
      <c r="M35" s="38">
        <f t="shared" si="50"/>
        <v>145275.33022207563</v>
      </c>
      <c r="N35" s="38">
        <f t="shared" si="50"/>
        <v>96086.290043120651</v>
      </c>
      <c r="O35" s="38">
        <f t="shared" si="50"/>
        <v>102775.83531081758</v>
      </c>
      <c r="P35" s="38">
        <f t="shared" si="50"/>
        <v>102600.23474754054</v>
      </c>
      <c r="Q35" s="38">
        <f t="shared" si="50"/>
        <v>254586.27527480864</v>
      </c>
      <c r="R35" s="38">
        <f t="shared" si="50"/>
        <v>109143.56824569406</v>
      </c>
      <c r="S35" s="38">
        <f t="shared" si="50"/>
        <v>121856.75033095198</v>
      </c>
      <c r="T35" s="38">
        <f t="shared" si="50"/>
        <v>121856.75033095198</v>
      </c>
      <c r="U35" s="38">
        <f t="shared" si="50"/>
        <v>217591.86289747179</v>
      </c>
      <c r="V35" s="38">
        <f t="shared" si="50"/>
        <v>145932.38437674957</v>
      </c>
      <c r="W35" s="38">
        <f t="shared" si="50"/>
        <v>156683.2174451164</v>
      </c>
      <c r="X35" s="38">
        <f t="shared" si="50"/>
        <v>156683.2174451164</v>
      </c>
      <c r="Y35" s="38">
        <f t="shared" si="50"/>
        <v>377096.75669660035</v>
      </c>
      <c r="Z35" s="38">
        <f t="shared" si="50"/>
        <v>174606.95389360949</v>
      </c>
      <c r="AA35" s="38">
        <f t="shared" si="50"/>
        <v>188296.93033745445</v>
      </c>
      <c r="AB35" s="38">
        <f t="shared" si="50"/>
        <v>198296.93033745448</v>
      </c>
      <c r="AC35" s="38">
        <f t="shared" si="50"/>
        <v>383464.71355105343</v>
      </c>
      <c r="AD35" s="38">
        <f t="shared" si="50"/>
        <v>221120.79228425992</v>
      </c>
      <c r="AE35" s="38">
        <f t="shared" si="50"/>
        <v>238553.43716314656</v>
      </c>
      <c r="AF35" s="38">
        <f t="shared" si="50"/>
        <v>204002.09793090107</v>
      </c>
      <c r="AG35" s="38">
        <f t="shared" si="50"/>
        <v>502365.4002957592</v>
      </c>
      <c r="AH35" s="38">
        <f t="shared" si="50"/>
        <v>228452.44533969081</v>
      </c>
      <c r="AI35" s="38">
        <f t="shared" si="50"/>
        <v>257127.38407425914</v>
      </c>
      <c r="AJ35" s="38">
        <f t="shared" si="50"/>
        <v>257127.38407425917</v>
      </c>
      <c r="AK35" s="38">
        <f t="shared" si="50"/>
        <v>1309720.73376439</v>
      </c>
      <c r="AL35" s="38">
        <f t="shared" si="50"/>
        <v>288262.15083526936</v>
      </c>
      <c r="AM35" s="38">
        <f t="shared" si="50"/>
        <v>312042.58438313444</v>
      </c>
      <c r="AN35" s="38">
        <f t="shared" si="50"/>
        <v>372042.58438313444</v>
      </c>
      <c r="AO35" s="38">
        <f t="shared" si="50"/>
        <v>643691.79846167611</v>
      </c>
      <c r="AP35" s="38">
        <f t="shared" si="50"/>
        <v>361689.20719202032</v>
      </c>
      <c r="AQ35" s="39">
        <f t="shared" si="50"/>
        <v>391970.91401645239</v>
      </c>
    </row>
    <row r="36" spans="1:43" ht="16" thickBot="1" x14ac:dyDescent="0.25"/>
    <row r="37" spans="1:43" ht="16" thickBot="1" x14ac:dyDescent="0.25">
      <c r="A37" s="6" t="s">
        <v>51</v>
      </c>
      <c r="B37" s="43">
        <f>B24-B35</f>
        <v>23568.385000000002</v>
      </c>
      <c r="C37" s="44">
        <f t="shared" ref="C37:AQ37" si="51">C24-C35</f>
        <v>1191.0749999999971</v>
      </c>
      <c r="D37" s="44">
        <f t="shared" si="51"/>
        <v>26124.070562499997</v>
      </c>
      <c r="E37" s="44">
        <f t="shared" si="51"/>
        <v>40329.963481250001</v>
      </c>
      <c r="F37" s="44">
        <f t="shared" si="51"/>
        <v>27267.749999687498</v>
      </c>
      <c r="G37" s="44">
        <f t="shared" si="51"/>
        <v>16975.722105000008</v>
      </c>
      <c r="H37" s="44">
        <f t="shared" si="51"/>
        <v>16910.71439973751</v>
      </c>
      <c r="I37" s="44">
        <f t="shared" si="51"/>
        <v>12123.461685336923</v>
      </c>
      <c r="J37" s="44">
        <f t="shared" si="51"/>
        <v>21932.398624653812</v>
      </c>
      <c r="K37" s="44">
        <f t="shared" si="51"/>
        <v>25416.885911829813</v>
      </c>
      <c r="L37" s="44">
        <f t="shared" si="51"/>
        <v>25346.84129705024</v>
      </c>
      <c r="M37" s="44">
        <f t="shared" si="51"/>
        <v>76129.38072057697</v>
      </c>
      <c r="N37" s="44">
        <f t="shared" si="51"/>
        <v>24678.750498093053</v>
      </c>
      <c r="O37" s="44">
        <f t="shared" si="51"/>
        <v>28076.614761050208</v>
      </c>
      <c r="P37" s="44">
        <f t="shared" si="51"/>
        <v>27987.420824147572</v>
      </c>
      <c r="Q37" s="44">
        <f t="shared" si="51"/>
        <v>17726.362044347276</v>
      </c>
      <c r="R37" s="44">
        <f t="shared" si="51"/>
        <v>31311.018791463648</v>
      </c>
      <c r="S37" s="44">
        <f t="shared" si="51"/>
        <v>37768.508104610533</v>
      </c>
      <c r="T37" s="44">
        <f t="shared" si="51"/>
        <v>37768.508104610533</v>
      </c>
      <c r="U37" s="44">
        <f t="shared" si="51"/>
        <v>114231.08444706062</v>
      </c>
      <c r="V37" s="44">
        <f t="shared" si="51"/>
        <v>34918.036508825171</v>
      </c>
      <c r="W37" s="44">
        <f t="shared" si="51"/>
        <v>40378.777114979748</v>
      </c>
      <c r="X37" s="44">
        <f t="shared" si="51"/>
        <v>40378.777114979748</v>
      </c>
      <c r="Y37" s="44">
        <f t="shared" si="51"/>
        <v>39239.622449066781</v>
      </c>
      <c r="Z37" s="44">
        <f t="shared" si="51"/>
        <v>49482.89721580164</v>
      </c>
      <c r="AA37" s="44">
        <f t="shared" si="51"/>
        <v>56436.536044421315</v>
      </c>
      <c r="AB37" s="44">
        <f t="shared" si="51"/>
        <v>46436.536044421315</v>
      </c>
      <c r="AC37" s="44">
        <f t="shared" si="51"/>
        <v>140490.0132322812</v>
      </c>
      <c r="AD37" s="44">
        <f t="shared" si="51"/>
        <v>58029.60877930664</v>
      </c>
      <c r="AE37" s="44">
        <f t="shared" si="51"/>
        <v>66884.285543185542</v>
      </c>
      <c r="AF37" s="44">
        <f t="shared" si="51"/>
        <v>101435.62477543103</v>
      </c>
      <c r="AG37" s="44">
        <f t="shared" si="51"/>
        <v>158629.18514003558</v>
      </c>
      <c r="AH37" s="44">
        <f t="shared" si="51"/>
        <v>120811.37177862288</v>
      </c>
      <c r="AI37" s="44">
        <f t="shared" si="51"/>
        <v>125610.37983243173</v>
      </c>
      <c r="AJ37" s="44">
        <f t="shared" si="51"/>
        <v>125610.37983243176</v>
      </c>
      <c r="AK37" s="44">
        <f t="shared" si="51"/>
        <v>-474221.30531878513</v>
      </c>
      <c r="AL37" s="44">
        <f t="shared" si="51"/>
        <v>150283.2138694587</v>
      </c>
      <c r="AM37" s="44">
        <f t="shared" si="51"/>
        <v>169128.08573757828</v>
      </c>
      <c r="AN37" s="44">
        <f t="shared" si="51"/>
        <v>109128.08573757828</v>
      </c>
      <c r="AO37" s="44">
        <f t="shared" si="51"/>
        <v>414019.91576208291</v>
      </c>
      <c r="AP37" s="44">
        <f t="shared" si="51"/>
        <v>190546.16418990289</v>
      </c>
      <c r="AQ37" s="45">
        <f t="shared" si="51"/>
        <v>214542.98846586794</v>
      </c>
    </row>
    <row r="39" spans="1:43" ht="16" thickBot="1" x14ac:dyDescent="0.25"/>
    <row r="40" spans="1:43" ht="16" thickBot="1" x14ac:dyDescent="0.25">
      <c r="A40" s="16" t="s">
        <v>43</v>
      </c>
    </row>
    <row r="41" spans="1:43" x14ac:dyDescent="0.2">
      <c r="A41" s="17" t="s">
        <v>52</v>
      </c>
      <c r="B41" s="40">
        <f t="shared" ref="B41:AQ41" si="52">-B18*2</f>
        <v>8500</v>
      </c>
      <c r="C41" s="41">
        <f t="shared" si="52"/>
        <v>8925</v>
      </c>
      <c r="D41" s="41">
        <f t="shared" si="52"/>
        <v>9371.25</v>
      </c>
      <c r="E41" s="41">
        <f t="shared" si="52"/>
        <v>9839.8125</v>
      </c>
      <c r="F41" s="41">
        <f t="shared" si="52"/>
        <v>10823.793750000003</v>
      </c>
      <c r="G41" s="41">
        <f t="shared" si="52"/>
        <v>11364.983437500003</v>
      </c>
      <c r="H41" s="41">
        <f t="shared" si="52"/>
        <v>11933.232609375003</v>
      </c>
      <c r="I41" s="41">
        <f t="shared" si="52"/>
        <v>12529.894239843754</v>
      </c>
      <c r="J41" s="41">
        <f t="shared" si="52"/>
        <v>13782.88366382813</v>
      </c>
      <c r="K41" s="41">
        <f t="shared" si="52"/>
        <v>14472.027847019537</v>
      </c>
      <c r="L41" s="41">
        <f t="shared" si="52"/>
        <v>15195.629239370515</v>
      </c>
      <c r="M41" s="41">
        <f t="shared" si="52"/>
        <v>15955.41070133904</v>
      </c>
      <c r="N41" s="41">
        <f t="shared" si="52"/>
        <v>17550.951771472945</v>
      </c>
      <c r="O41" s="41">
        <f t="shared" si="52"/>
        <v>18428.499360046593</v>
      </c>
      <c r="P41" s="41">
        <f t="shared" si="52"/>
        <v>19349.924328048925</v>
      </c>
      <c r="Q41" s="41">
        <f t="shared" si="52"/>
        <v>20317.420544451372</v>
      </c>
      <c r="R41" s="41">
        <f t="shared" si="52"/>
        <v>45000</v>
      </c>
      <c r="S41" s="41">
        <f t="shared" si="52"/>
        <v>45000</v>
      </c>
      <c r="T41" s="41">
        <f t="shared" si="52"/>
        <v>45000</v>
      </c>
      <c r="U41" s="41">
        <f t="shared" si="52"/>
        <v>45000</v>
      </c>
      <c r="V41" s="41">
        <f t="shared" si="52"/>
        <v>45000</v>
      </c>
      <c r="W41" s="41">
        <f t="shared" si="52"/>
        <v>45000</v>
      </c>
      <c r="X41" s="41">
        <f t="shared" si="52"/>
        <v>45000</v>
      </c>
      <c r="Y41" s="41">
        <f t="shared" si="52"/>
        <v>45000</v>
      </c>
      <c r="Z41" s="41">
        <f t="shared" si="52"/>
        <v>45000</v>
      </c>
      <c r="AA41" s="41">
        <f t="shared" si="52"/>
        <v>45000</v>
      </c>
      <c r="AB41" s="41">
        <f t="shared" si="52"/>
        <v>45000</v>
      </c>
      <c r="AC41" s="41">
        <f t="shared" si="52"/>
        <v>45000</v>
      </c>
      <c r="AD41" s="41">
        <f t="shared" si="52"/>
        <v>45000</v>
      </c>
      <c r="AE41" s="41">
        <f t="shared" si="52"/>
        <v>45000</v>
      </c>
      <c r="AF41" s="41">
        <f t="shared" si="52"/>
        <v>45000</v>
      </c>
      <c r="AG41" s="41">
        <f t="shared" si="52"/>
        <v>45000</v>
      </c>
      <c r="AH41" s="41">
        <f t="shared" si="52"/>
        <v>45000</v>
      </c>
      <c r="AI41" s="41">
        <f t="shared" si="52"/>
        <v>45000</v>
      </c>
      <c r="AJ41" s="41">
        <f t="shared" si="52"/>
        <v>45000</v>
      </c>
      <c r="AK41" s="41">
        <f t="shared" si="52"/>
        <v>45000</v>
      </c>
      <c r="AL41" s="41">
        <f t="shared" si="52"/>
        <v>45000</v>
      </c>
      <c r="AM41" s="41">
        <f t="shared" si="52"/>
        <v>45000</v>
      </c>
      <c r="AN41" s="41">
        <f t="shared" si="52"/>
        <v>45000</v>
      </c>
      <c r="AO41" s="41">
        <f t="shared" si="52"/>
        <v>45000</v>
      </c>
      <c r="AP41" s="41">
        <f t="shared" si="52"/>
        <v>45000</v>
      </c>
      <c r="AQ41" s="42">
        <f t="shared" si="52"/>
        <v>45000</v>
      </c>
    </row>
    <row r="42" spans="1:43" x14ac:dyDescent="0.2">
      <c r="A42" s="17" t="s">
        <v>39</v>
      </c>
      <c r="B42" s="31">
        <f t="shared" ref="B42:AQ42" si="53">B41*(1+6.5%)^($AQ$12-B12)</f>
        <v>112396.51471590165</v>
      </c>
      <c r="C42" s="32">
        <f t="shared" si="53"/>
        <v>110813.46521286078</v>
      </c>
      <c r="D42" s="32">
        <f t="shared" si="53"/>
        <v>109252.71218169373</v>
      </c>
      <c r="E42" s="32">
        <f t="shared" si="53"/>
        <v>107713.94158758539</v>
      </c>
      <c r="F42" s="32">
        <f t="shared" si="53"/>
        <v>111253.83638154363</v>
      </c>
      <c r="G42" s="32">
        <f t="shared" si="53"/>
        <v>109686.88093955007</v>
      </c>
      <c r="H42" s="32">
        <f t="shared" si="53"/>
        <v>108141.99529251416</v>
      </c>
      <c r="I42" s="32">
        <f t="shared" si="53"/>
        <v>106618.86859825341</v>
      </c>
      <c r="J42" s="32">
        <f t="shared" si="53"/>
        <v>110122.77507800823</v>
      </c>
      <c r="K42" s="32">
        <f t="shared" si="53"/>
        <v>108571.75007690953</v>
      </c>
      <c r="L42" s="32">
        <f t="shared" si="53"/>
        <v>107042.57049836154</v>
      </c>
      <c r="M42" s="32">
        <f t="shared" si="53"/>
        <v>105534.92866035647</v>
      </c>
      <c r="N42" s="32">
        <f t="shared" si="53"/>
        <v>109003.21270083767</v>
      </c>
      <c r="O42" s="32">
        <f t="shared" si="53"/>
        <v>107467.95618392446</v>
      </c>
      <c r="P42" s="32">
        <f t="shared" si="53"/>
        <v>105954.32299823541</v>
      </c>
      <c r="Q42" s="32">
        <f t="shared" si="53"/>
        <v>104462.00858980957</v>
      </c>
      <c r="R42" s="32">
        <f t="shared" si="53"/>
        <v>217246.45986612621</v>
      </c>
      <c r="S42" s="32">
        <f t="shared" si="53"/>
        <v>203987.28625927345</v>
      </c>
      <c r="T42" s="32">
        <f t="shared" si="53"/>
        <v>191537.3579899281</v>
      </c>
      <c r="U42" s="32">
        <f t="shared" si="53"/>
        <v>179847.28449758512</v>
      </c>
      <c r="V42" s="32">
        <f t="shared" si="53"/>
        <v>168870.68966909402</v>
      </c>
      <c r="W42" s="32">
        <f t="shared" si="53"/>
        <v>158564.02785830427</v>
      </c>
      <c r="X42" s="32">
        <f t="shared" si="53"/>
        <v>148886.411134558</v>
      </c>
      <c r="Y42" s="32">
        <f t="shared" si="53"/>
        <v>139799.44707470236</v>
      </c>
      <c r="Z42" s="32">
        <f t="shared" si="53"/>
        <v>131267.0864551196</v>
      </c>
      <c r="AA42" s="32">
        <f t="shared" si="53"/>
        <v>123255.48023954892</v>
      </c>
      <c r="AB42" s="32">
        <f t="shared" si="53"/>
        <v>115732.8452953511</v>
      </c>
      <c r="AC42" s="32">
        <f t="shared" si="53"/>
        <v>108669.33830549402</v>
      </c>
      <c r="AD42" s="32">
        <f t="shared" si="53"/>
        <v>102036.93737605073</v>
      </c>
      <c r="AE42" s="32">
        <f t="shared" si="53"/>
        <v>95809.330869531201</v>
      </c>
      <c r="AF42" s="32">
        <f t="shared" si="53"/>
        <v>89961.813023034003</v>
      </c>
      <c r="AG42" s="32">
        <f t="shared" si="53"/>
        <v>84471.185937121132</v>
      </c>
      <c r="AH42" s="32">
        <f t="shared" si="53"/>
        <v>79315.667546592624</v>
      </c>
      <c r="AI42" s="32">
        <f t="shared" si="53"/>
        <v>74474.805208068195</v>
      </c>
      <c r="AJ42" s="32">
        <f t="shared" si="53"/>
        <v>69929.394561566383</v>
      </c>
      <c r="AK42" s="32">
        <f t="shared" si="53"/>
        <v>65661.403344193794</v>
      </c>
      <c r="AL42" s="32">
        <f t="shared" si="53"/>
        <v>61653.899853703108</v>
      </c>
      <c r="AM42" s="32">
        <f t="shared" si="53"/>
        <v>57890.985778124981</v>
      </c>
      <c r="AN42" s="32">
        <f t="shared" si="53"/>
        <v>54357.733124999984</v>
      </c>
      <c r="AO42" s="32">
        <f t="shared" si="53"/>
        <v>51040.124999999993</v>
      </c>
      <c r="AP42" s="32">
        <f t="shared" si="53"/>
        <v>47925</v>
      </c>
      <c r="AQ42" s="33">
        <f t="shared" si="53"/>
        <v>45000</v>
      </c>
    </row>
    <row r="43" spans="1:43" x14ac:dyDescent="0.2">
      <c r="A43" s="17" t="s">
        <v>38</v>
      </c>
      <c r="B43" s="31">
        <f t="shared" ref="B43:AQ43" si="54">B37*(1+8.7%)^($AQ$12-B12)</f>
        <v>720677.77904837357</v>
      </c>
      <c r="C43" s="32">
        <f t="shared" si="54"/>
        <v>33505.867952250861</v>
      </c>
      <c r="D43" s="32">
        <f t="shared" si="54"/>
        <v>676072.18340069626</v>
      </c>
      <c r="E43" s="32">
        <f t="shared" si="54"/>
        <v>960175.24307388719</v>
      </c>
      <c r="F43" s="32">
        <f t="shared" si="54"/>
        <v>597231.12727641477</v>
      </c>
      <c r="G43" s="32">
        <f t="shared" si="54"/>
        <v>342051.77170801623</v>
      </c>
      <c r="H43" s="32">
        <f t="shared" si="54"/>
        <v>313470.01013981208</v>
      </c>
      <c r="I43" s="32">
        <f t="shared" si="54"/>
        <v>206743.15674758051</v>
      </c>
      <c r="J43" s="32">
        <f t="shared" si="54"/>
        <v>344081.31196981826</v>
      </c>
      <c r="K43" s="32">
        <f t="shared" si="54"/>
        <v>366832.45329143555</v>
      </c>
      <c r="L43" s="32">
        <f t="shared" si="54"/>
        <v>336542.34171060979</v>
      </c>
      <c r="M43" s="32">
        <f t="shared" si="54"/>
        <v>929905.07863841869</v>
      </c>
      <c r="N43" s="32">
        <f t="shared" si="54"/>
        <v>277319.20453594922</v>
      </c>
      <c r="O43" s="32">
        <f t="shared" si="54"/>
        <v>290249.83231200208</v>
      </c>
      <c r="P43" s="32">
        <f t="shared" si="54"/>
        <v>266170.89707793808</v>
      </c>
      <c r="Q43" s="32">
        <f t="shared" si="54"/>
        <v>155091.41607633419</v>
      </c>
      <c r="R43" s="32">
        <f t="shared" si="54"/>
        <v>252020.46061647753</v>
      </c>
      <c r="S43" s="32">
        <f t="shared" si="54"/>
        <v>279665.4959850345</v>
      </c>
      <c r="T43" s="32">
        <f t="shared" si="54"/>
        <v>257281.96502763068</v>
      </c>
      <c r="U43" s="32">
        <f t="shared" si="54"/>
        <v>715870.17615430465</v>
      </c>
      <c r="V43" s="32">
        <f t="shared" si="54"/>
        <v>201312.26747413579</v>
      </c>
      <c r="W43" s="32">
        <f t="shared" si="54"/>
        <v>214162.8037094067</v>
      </c>
      <c r="X43" s="32">
        <f t="shared" si="54"/>
        <v>197021.89853671272</v>
      </c>
      <c r="Y43" s="32">
        <f t="shared" si="54"/>
        <v>176139.44096660102</v>
      </c>
      <c r="Z43" s="32">
        <f t="shared" si="54"/>
        <v>204341.87263778161</v>
      </c>
      <c r="AA43" s="32">
        <f t="shared" si="54"/>
        <v>214404.08478884757</v>
      </c>
      <c r="AB43" s="32">
        <f t="shared" si="54"/>
        <v>162294.1916628225</v>
      </c>
      <c r="AC43" s="32">
        <f t="shared" si="54"/>
        <v>451709.34004952852</v>
      </c>
      <c r="AD43" s="32">
        <f t="shared" si="54"/>
        <v>171646.01131002919</v>
      </c>
      <c r="AE43" s="32">
        <f t="shared" si="54"/>
        <v>182003.03131049627</v>
      </c>
      <c r="AF43" s="32">
        <f t="shared" si="54"/>
        <v>253930.86581293738</v>
      </c>
      <c r="AG43" s="32">
        <f t="shared" si="54"/>
        <v>365324.27759903797</v>
      </c>
      <c r="AH43" s="32">
        <f t="shared" si="54"/>
        <v>255960.94943181606</v>
      </c>
      <c r="AI43" s="32">
        <f t="shared" si="54"/>
        <v>244828.44914414184</v>
      </c>
      <c r="AJ43" s="32">
        <f t="shared" si="54"/>
        <v>225233.16388605512</v>
      </c>
      <c r="AK43" s="32">
        <f t="shared" si="54"/>
        <v>-782272.97336148773</v>
      </c>
      <c r="AL43" s="32">
        <f t="shared" si="54"/>
        <v>228064.76532228198</v>
      </c>
      <c r="AM43" s="32">
        <f t="shared" si="54"/>
        <v>236120.61717492194</v>
      </c>
      <c r="AN43" s="32">
        <f t="shared" si="54"/>
        <v>140160.34872977182</v>
      </c>
      <c r="AO43" s="32">
        <f t="shared" si="54"/>
        <v>489193.09784708847</v>
      </c>
      <c r="AP43" s="32">
        <f t="shared" si="54"/>
        <v>207123.68047442444</v>
      </c>
      <c r="AQ43" s="33">
        <f t="shared" si="54"/>
        <v>214542.98846586794</v>
      </c>
    </row>
    <row r="44" spans="1:43" x14ac:dyDescent="0.2">
      <c r="A44" s="17"/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3"/>
    </row>
    <row r="45" spans="1:43" ht="16" thickBot="1" x14ac:dyDescent="0.25">
      <c r="A45" s="17" t="s">
        <v>40</v>
      </c>
      <c r="B45" s="37">
        <f>B43+B42</f>
        <v>833074.29376427527</v>
      </c>
      <c r="C45" s="38">
        <f t="shared" ref="C45:AQ45" si="55">C43+C42</f>
        <v>144319.33316511166</v>
      </c>
      <c r="D45" s="38">
        <f t="shared" si="55"/>
        <v>785324.89558239002</v>
      </c>
      <c r="E45" s="38">
        <f t="shared" si="55"/>
        <v>1067889.1846614727</v>
      </c>
      <c r="F45" s="38">
        <f t="shared" si="55"/>
        <v>708484.96365795843</v>
      </c>
      <c r="G45" s="38">
        <f t="shared" si="55"/>
        <v>451738.65264756628</v>
      </c>
      <c r="H45" s="38">
        <f t="shared" si="55"/>
        <v>421612.00543232623</v>
      </c>
      <c r="I45" s="38">
        <f t="shared" si="55"/>
        <v>313362.02534583391</v>
      </c>
      <c r="J45" s="38">
        <f t="shared" si="55"/>
        <v>454204.0870478265</v>
      </c>
      <c r="K45" s="38">
        <f t="shared" si="55"/>
        <v>475404.2033683451</v>
      </c>
      <c r="L45" s="38">
        <f t="shared" si="55"/>
        <v>443584.91220897133</v>
      </c>
      <c r="M45" s="38">
        <f t="shared" si="55"/>
        <v>1035440.0072987751</v>
      </c>
      <c r="N45" s="38">
        <f t="shared" si="55"/>
        <v>386322.41723678692</v>
      </c>
      <c r="O45" s="38">
        <f t="shared" si="55"/>
        <v>397717.78849592654</v>
      </c>
      <c r="P45" s="38">
        <f t="shared" si="55"/>
        <v>372125.22007617349</v>
      </c>
      <c r="Q45" s="38">
        <f t="shared" si="55"/>
        <v>259553.42466614378</v>
      </c>
      <c r="R45" s="38">
        <f t="shared" si="55"/>
        <v>469266.92048260372</v>
      </c>
      <c r="S45" s="38">
        <f t="shared" si="55"/>
        <v>483652.78224430792</v>
      </c>
      <c r="T45" s="38">
        <f t="shared" si="55"/>
        <v>448819.32301755878</v>
      </c>
      <c r="U45" s="38">
        <f t="shared" si="55"/>
        <v>895717.46065188979</v>
      </c>
      <c r="V45" s="38">
        <f t="shared" si="55"/>
        <v>370182.95714322978</v>
      </c>
      <c r="W45" s="38">
        <f t="shared" si="55"/>
        <v>372726.83156771096</v>
      </c>
      <c r="X45" s="38">
        <f t="shared" si="55"/>
        <v>345908.30967127072</v>
      </c>
      <c r="Y45" s="38">
        <f t="shared" si="55"/>
        <v>315938.88804130338</v>
      </c>
      <c r="Z45" s="38">
        <f t="shared" si="55"/>
        <v>335608.9590929012</v>
      </c>
      <c r="AA45" s="38">
        <f t="shared" si="55"/>
        <v>337659.56502839649</v>
      </c>
      <c r="AB45" s="38">
        <f t="shared" si="55"/>
        <v>278027.03695817362</v>
      </c>
      <c r="AC45" s="38">
        <f t="shared" si="55"/>
        <v>560378.67835502257</v>
      </c>
      <c r="AD45" s="38">
        <f t="shared" si="55"/>
        <v>273682.94868607994</v>
      </c>
      <c r="AE45" s="38">
        <f t="shared" si="55"/>
        <v>277812.36218002747</v>
      </c>
      <c r="AF45" s="38">
        <f t="shared" si="55"/>
        <v>343892.6788359714</v>
      </c>
      <c r="AG45" s="38">
        <f t="shared" si="55"/>
        <v>449795.46353615914</v>
      </c>
      <c r="AH45" s="38">
        <f t="shared" si="55"/>
        <v>335276.61697840865</v>
      </c>
      <c r="AI45" s="38">
        <f t="shared" si="55"/>
        <v>319303.25435221003</v>
      </c>
      <c r="AJ45" s="38">
        <f t="shared" si="55"/>
        <v>295162.55844762153</v>
      </c>
      <c r="AK45" s="38">
        <f t="shared" si="55"/>
        <v>-716611.57001729391</v>
      </c>
      <c r="AL45" s="38">
        <f t="shared" si="55"/>
        <v>289718.66517598508</v>
      </c>
      <c r="AM45" s="38">
        <f t="shared" si="55"/>
        <v>294011.60295304691</v>
      </c>
      <c r="AN45" s="38">
        <f t="shared" si="55"/>
        <v>194518.08185477182</v>
      </c>
      <c r="AO45" s="38">
        <f t="shared" si="55"/>
        <v>540233.22284708847</v>
      </c>
      <c r="AP45" s="38">
        <f t="shared" si="55"/>
        <v>255048.68047442444</v>
      </c>
      <c r="AQ45" s="39">
        <f t="shared" si="55"/>
        <v>259542.98846586794</v>
      </c>
    </row>
    <row r="46" spans="1:43" ht="16" thickBot="1" x14ac:dyDescent="0.25">
      <c r="A46" s="17" t="s">
        <v>48</v>
      </c>
      <c r="B46" s="4">
        <f>SUM(B23:AQ23)</f>
        <v>635973.71113863483</v>
      </c>
    </row>
    <row r="47" spans="1:43" ht="16" thickBot="1" x14ac:dyDescent="0.25">
      <c r="A47" s="22" t="s">
        <v>41</v>
      </c>
      <c r="B47" s="21">
        <f>SUM(B45:AQ45)+B46</f>
        <v>17811406.392819259</v>
      </c>
    </row>
    <row r="48" spans="1:43" ht="16" thickBot="1" x14ac:dyDescent="0.25">
      <c r="A48" s="17"/>
    </row>
    <row r="49" spans="1:2" ht="16" thickBot="1" x14ac:dyDescent="0.25">
      <c r="A49" s="23" t="s">
        <v>45</v>
      </c>
      <c r="B49" s="24">
        <f>B47/(19*12)</f>
        <v>78120.20347727745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Assumptions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Landge</dc:creator>
  <cp:lastModifiedBy>Yash Landge</cp:lastModifiedBy>
  <dcterms:created xsi:type="dcterms:W3CDTF">2023-02-19T03:27:37Z</dcterms:created>
  <dcterms:modified xsi:type="dcterms:W3CDTF">2023-07-31T21:56:56Z</dcterms:modified>
</cp:coreProperties>
</file>