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11/Desktop/Fisher- SMF/Session 1-Spring/Investment Strategies/"/>
    </mc:Choice>
  </mc:AlternateContent>
  <xr:revisionPtr revIDLastSave="0" documentId="13_ncr:1_{DD01155C-B324-1143-8B8D-884BB337C442}" xr6:coauthVersionLast="47" xr6:coauthVersionMax="47" xr10:uidLastSave="{00000000-0000-0000-0000-000000000000}"/>
  <bookViews>
    <workbookView xWindow="0" yWindow="720" windowWidth="29400" windowHeight="18400" xr2:uid="{B1A808D9-4CC0-9346-BCE2-FF7E2A31893A}"/>
  </bookViews>
  <sheets>
    <sheet name="Assumptions" sheetId="2" r:id="rId1"/>
    <sheet name="Mode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3" l="1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B22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B21" i="3"/>
  <c r="R41" i="3"/>
  <c r="R42" i="3" s="1"/>
  <c r="S41" i="3"/>
  <c r="S42" i="3" s="1"/>
  <c r="T41" i="3"/>
  <c r="T42" i="3" s="1"/>
  <c r="U41" i="3"/>
  <c r="U42" i="3" s="1"/>
  <c r="V41" i="3"/>
  <c r="V42" i="3" s="1"/>
  <c r="W41" i="3"/>
  <c r="W42" i="3" s="1"/>
  <c r="X41" i="3"/>
  <c r="X42" i="3" s="1"/>
  <c r="Y41" i="3"/>
  <c r="Y42" i="3" s="1"/>
  <c r="Z41" i="3"/>
  <c r="Z42" i="3" s="1"/>
  <c r="AA41" i="3"/>
  <c r="AA42" i="3" s="1"/>
  <c r="AB41" i="3"/>
  <c r="AB42" i="3" s="1"/>
  <c r="AC41" i="3"/>
  <c r="AC42" i="3" s="1"/>
  <c r="AD41" i="3"/>
  <c r="AD42" i="3" s="1"/>
  <c r="AE41" i="3"/>
  <c r="AE42" i="3" s="1"/>
  <c r="AF41" i="3"/>
  <c r="AF42" i="3" s="1"/>
  <c r="AG41" i="3"/>
  <c r="AG42" i="3" s="1"/>
  <c r="AH41" i="3"/>
  <c r="AH42" i="3" s="1"/>
  <c r="AI41" i="3"/>
  <c r="AI42" i="3" s="1"/>
  <c r="AJ41" i="3"/>
  <c r="AJ42" i="3" s="1"/>
  <c r="AK41" i="3"/>
  <c r="AK42" i="3" s="1"/>
  <c r="AL41" i="3"/>
  <c r="AL42" i="3" s="1"/>
  <c r="AM41" i="3"/>
  <c r="AM42" i="3" s="1"/>
  <c r="AN41" i="3"/>
  <c r="AN42" i="3" s="1"/>
  <c r="AO41" i="3"/>
  <c r="AO42" i="3" s="1"/>
  <c r="AP41" i="3"/>
  <c r="AP42" i="3" s="1"/>
  <c r="AQ41" i="3"/>
  <c r="AQ42" i="3" s="1"/>
  <c r="AG33" i="3"/>
  <c r="AH33" i="3"/>
  <c r="AI33" i="3"/>
  <c r="AJ33" i="3"/>
  <c r="AK33" i="3"/>
  <c r="AL33" i="3"/>
  <c r="AM33" i="3"/>
  <c r="AN33" i="3"/>
  <c r="AO33" i="3"/>
  <c r="AP33" i="3"/>
  <c r="AQ33" i="3"/>
  <c r="AF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G33" i="3"/>
  <c r="C33" i="3"/>
  <c r="D33" i="3"/>
  <c r="E33" i="3"/>
  <c r="F33" i="3"/>
  <c r="B33" i="3"/>
  <c r="B18" i="3"/>
  <c r="B41" i="3" s="1"/>
  <c r="B42" i="3" s="1"/>
  <c r="B17" i="3"/>
  <c r="B19" i="3" l="1"/>
  <c r="B20" i="3" s="1"/>
  <c r="C14" i="3"/>
  <c r="C11" i="2"/>
  <c r="C9" i="2"/>
  <c r="B23" i="3" l="1"/>
  <c r="C15" i="3"/>
  <c r="C17" i="3" s="1"/>
  <c r="C18" i="3"/>
  <c r="C41" i="3" s="1"/>
  <c r="C42" i="3" s="1"/>
  <c r="D14" i="3"/>
  <c r="B30" i="3"/>
  <c r="B27" i="3"/>
  <c r="B24" i="3" l="1"/>
  <c r="B35" i="3"/>
  <c r="E14" i="3"/>
  <c r="D18" i="3"/>
  <c r="D41" i="3" s="1"/>
  <c r="D42" i="3" s="1"/>
  <c r="D17" i="3"/>
  <c r="D19" i="3" s="1"/>
  <c r="C19" i="3"/>
  <c r="B37" i="3" l="1"/>
  <c r="B43" i="3" s="1"/>
  <c r="B45" i="3" s="1"/>
  <c r="C20" i="3"/>
  <c r="D20" i="3"/>
  <c r="E15" i="3"/>
  <c r="E18" i="3"/>
  <c r="E41" i="3" s="1"/>
  <c r="E42" i="3" s="1"/>
  <c r="E16" i="3"/>
  <c r="F14" i="3" s="1"/>
  <c r="D23" i="3" l="1"/>
  <c r="D24" i="3" s="1"/>
  <c r="C23" i="3"/>
  <c r="F17" i="3"/>
  <c r="F18" i="3"/>
  <c r="F41" i="3" s="1"/>
  <c r="F42" i="3" s="1"/>
  <c r="G14" i="3"/>
  <c r="E17" i="3"/>
  <c r="E19" i="3" s="1"/>
  <c r="D30" i="3"/>
  <c r="D27" i="3"/>
  <c r="C27" i="3"/>
  <c r="C30" i="3"/>
  <c r="C24" i="3" l="1"/>
  <c r="C35" i="3"/>
  <c r="D35" i="3"/>
  <c r="E20" i="3"/>
  <c r="H14" i="3"/>
  <c r="G15" i="3"/>
  <c r="G17" i="3" s="1"/>
  <c r="G18" i="3"/>
  <c r="G41" i="3" s="1"/>
  <c r="G42" i="3" s="1"/>
  <c r="F19" i="3"/>
  <c r="E23" i="3" l="1"/>
  <c r="E24" i="3"/>
  <c r="D37" i="3"/>
  <c r="D43" i="3" s="1"/>
  <c r="D45" i="3" s="1"/>
  <c r="C37" i="3"/>
  <c r="C43" i="3" s="1"/>
  <c r="C45" i="3" s="1"/>
  <c r="F20" i="3"/>
  <c r="G19" i="3"/>
  <c r="H17" i="3"/>
  <c r="H18" i="3"/>
  <c r="H41" i="3" s="1"/>
  <c r="H42" i="3" s="1"/>
  <c r="I14" i="3"/>
  <c r="E27" i="3"/>
  <c r="E30" i="3"/>
  <c r="F23" i="3" l="1"/>
  <c r="F24" i="3"/>
  <c r="E35" i="3"/>
  <c r="E37" i="3" s="1"/>
  <c r="I18" i="3"/>
  <c r="I41" i="3" s="1"/>
  <c r="I42" i="3" s="1"/>
  <c r="I15" i="3"/>
  <c r="I16" i="3"/>
  <c r="J14" i="3" s="1"/>
  <c r="H19" i="3"/>
  <c r="G20" i="3"/>
  <c r="F27" i="3"/>
  <c r="F30" i="3"/>
  <c r="E43" i="3" l="1"/>
  <c r="E45" i="3" s="1"/>
  <c r="G23" i="3"/>
  <c r="G24" i="3"/>
  <c r="F35" i="3"/>
  <c r="G30" i="3"/>
  <c r="G27" i="3"/>
  <c r="G32" i="3"/>
  <c r="H20" i="3"/>
  <c r="J18" i="3"/>
  <c r="J41" i="3" s="1"/>
  <c r="J42" i="3" s="1"/>
  <c r="J17" i="3"/>
  <c r="K14" i="3"/>
  <c r="I17" i="3"/>
  <c r="I19" i="3" s="1"/>
  <c r="J19" i="3" l="1"/>
  <c r="H23" i="3"/>
  <c r="H24" i="3"/>
  <c r="F37" i="3"/>
  <c r="F43" i="3" s="1"/>
  <c r="F45" i="3" s="1"/>
  <c r="G35" i="3"/>
  <c r="G37" i="3" s="1"/>
  <c r="H30" i="3"/>
  <c r="H27" i="3"/>
  <c r="H32" i="3"/>
  <c r="J20" i="3"/>
  <c r="I20" i="3"/>
  <c r="K18" i="3"/>
  <c r="K41" i="3" s="1"/>
  <c r="K42" i="3" s="1"/>
  <c r="K15" i="3"/>
  <c r="K17" i="3" s="1"/>
  <c r="L14" i="3"/>
  <c r="J23" i="3" l="1"/>
  <c r="J24" i="3" s="1"/>
  <c r="G43" i="3"/>
  <c r="G45" i="3" s="1"/>
  <c r="I32" i="3"/>
  <c r="I23" i="3"/>
  <c r="I24" i="3" s="1"/>
  <c r="K19" i="3"/>
  <c r="K20" i="3" s="1"/>
  <c r="H35" i="3"/>
  <c r="H37" i="3" s="1"/>
  <c r="J27" i="3"/>
  <c r="J32" i="3"/>
  <c r="J30" i="3"/>
  <c r="I30" i="3"/>
  <c r="I27" i="3"/>
  <c r="L18" i="3"/>
  <c r="L41" i="3" s="1"/>
  <c r="L42" i="3" s="1"/>
  <c r="L17" i="3"/>
  <c r="M14" i="3"/>
  <c r="K23" i="3" l="1"/>
  <c r="K24" i="3" s="1"/>
  <c r="H43" i="3"/>
  <c r="H45" i="3" s="1"/>
  <c r="I35" i="3"/>
  <c r="J35" i="3"/>
  <c r="J37" i="3" s="1"/>
  <c r="L19" i="3"/>
  <c r="L20" i="3" s="1"/>
  <c r="K27" i="3"/>
  <c r="K32" i="3"/>
  <c r="K30" i="3"/>
  <c r="M18" i="3"/>
  <c r="M41" i="3" s="1"/>
  <c r="M42" i="3" s="1"/>
  <c r="M15" i="3"/>
  <c r="M16" i="3"/>
  <c r="N14" i="3" s="1"/>
  <c r="I37" i="3" l="1"/>
  <c r="I43" i="3" s="1"/>
  <c r="I45" i="3" s="1"/>
  <c r="L23" i="3"/>
  <c r="L24" i="3" s="1"/>
  <c r="J43" i="3"/>
  <c r="J45" i="3" s="1"/>
  <c r="K35" i="3"/>
  <c r="M17" i="3"/>
  <c r="M19" i="3" s="1"/>
  <c r="M20" i="3" s="1"/>
  <c r="N17" i="3"/>
  <c r="N18" i="3"/>
  <c r="N41" i="3" s="1"/>
  <c r="N42" i="3" s="1"/>
  <c r="O14" i="3"/>
  <c r="L30" i="3"/>
  <c r="L27" i="3"/>
  <c r="L32" i="3"/>
  <c r="M32" i="3" l="1"/>
  <c r="M23" i="3"/>
  <c r="M24" i="3"/>
  <c r="K37" i="3"/>
  <c r="K43" i="3" s="1"/>
  <c r="K45" i="3" s="1"/>
  <c r="L35" i="3"/>
  <c r="O15" i="3"/>
  <c r="O17" i="3" s="1"/>
  <c r="O18" i="3"/>
  <c r="O41" i="3" s="1"/>
  <c r="O42" i="3" s="1"/>
  <c r="P14" i="3"/>
  <c r="N19" i="3"/>
  <c r="M30" i="3"/>
  <c r="M27" i="3"/>
  <c r="L37" i="3" l="1"/>
  <c r="L43" i="3" s="1"/>
  <c r="L45" i="3" s="1"/>
  <c r="O19" i="3"/>
  <c r="M35" i="3"/>
  <c r="M37" i="3" s="1"/>
  <c r="O20" i="3"/>
  <c r="N20" i="3"/>
  <c r="P17" i="3"/>
  <c r="P18" i="3"/>
  <c r="P41" i="3" s="1"/>
  <c r="P42" i="3" s="1"/>
  <c r="Q14" i="3"/>
  <c r="O23" i="3" l="1"/>
  <c r="O24" i="3" s="1"/>
  <c r="N23" i="3"/>
  <c r="N24" i="3" s="1"/>
  <c r="M43" i="3"/>
  <c r="M45" i="3" s="1"/>
  <c r="Q18" i="3"/>
  <c r="Q41" i="3" s="1"/>
  <c r="Q42" i="3" s="1"/>
  <c r="Q15" i="3"/>
  <c r="Q16" i="3"/>
  <c r="R14" i="3" s="1"/>
  <c r="P19" i="3"/>
  <c r="N32" i="3"/>
  <c r="N27" i="3"/>
  <c r="N30" i="3"/>
  <c r="O30" i="3"/>
  <c r="O27" i="3"/>
  <c r="O32" i="3"/>
  <c r="N35" i="3" l="1"/>
  <c r="O35" i="3"/>
  <c r="P20" i="3"/>
  <c r="R17" i="3"/>
  <c r="R19" i="3" s="1"/>
  <c r="S14" i="3"/>
  <c r="Q17" i="3"/>
  <c r="Q19" i="3" s="1"/>
  <c r="P23" i="3" l="1"/>
  <c r="P24" i="3" s="1"/>
  <c r="O37" i="3"/>
  <c r="O43" i="3" s="1"/>
  <c r="O45" i="3" s="1"/>
  <c r="N37" i="3"/>
  <c r="N43" i="3" s="1"/>
  <c r="N45" i="3" s="1"/>
  <c r="P30" i="3"/>
  <c r="P27" i="3"/>
  <c r="P32" i="3"/>
  <c r="Q20" i="3"/>
  <c r="S15" i="3"/>
  <c r="S17" i="3" s="1"/>
  <c r="S19" i="3" s="1"/>
  <c r="T14" i="3"/>
  <c r="R20" i="3"/>
  <c r="R23" i="3" l="1"/>
  <c r="R24" i="3"/>
  <c r="Q32" i="3"/>
  <c r="Q23" i="3"/>
  <c r="Q24" i="3" s="1"/>
  <c r="P35" i="3"/>
  <c r="Q27" i="3"/>
  <c r="Q30" i="3"/>
  <c r="T17" i="3"/>
  <c r="T19" i="3" s="1"/>
  <c r="U14" i="3"/>
  <c r="S20" i="3"/>
  <c r="R32" i="3"/>
  <c r="R27" i="3"/>
  <c r="R30" i="3"/>
  <c r="S23" i="3" l="1"/>
  <c r="S24" i="3" s="1"/>
  <c r="P37" i="3"/>
  <c r="P43" i="3" s="1"/>
  <c r="P45" i="3" s="1"/>
  <c r="R35" i="3"/>
  <c r="R37" i="3" s="1"/>
  <c r="Q35" i="3"/>
  <c r="U15" i="3"/>
  <c r="U16" i="3"/>
  <c r="V14" i="3" s="1"/>
  <c r="S32" i="3"/>
  <c r="S27" i="3"/>
  <c r="S30" i="3"/>
  <c r="T20" i="3"/>
  <c r="T23" i="3" l="1"/>
  <c r="T24" i="3" s="1"/>
  <c r="R43" i="3"/>
  <c r="R45" i="3" s="1"/>
  <c r="Q37" i="3"/>
  <c r="Q43" i="3" s="1"/>
  <c r="Q45" i="3" s="1"/>
  <c r="S35" i="3"/>
  <c r="T30" i="3"/>
  <c r="T32" i="3"/>
  <c r="T27" i="3"/>
  <c r="V17" i="3"/>
  <c r="V19" i="3" s="1"/>
  <c r="W14" i="3"/>
  <c r="U17" i="3"/>
  <c r="U19" i="3" s="1"/>
  <c r="S37" i="3" l="1"/>
  <c r="S43" i="3" s="1"/>
  <c r="S45" i="3" s="1"/>
  <c r="T35" i="3"/>
  <c r="W15" i="3"/>
  <c r="W17" i="3"/>
  <c r="W19" i="3" s="1"/>
  <c r="X14" i="3"/>
  <c r="V20" i="3"/>
  <c r="U20" i="3"/>
  <c r="V23" i="3" l="1"/>
  <c r="V24" i="3" s="1"/>
  <c r="U32" i="3"/>
  <c r="U23" i="3"/>
  <c r="U24" i="3"/>
  <c r="T37" i="3"/>
  <c r="T43" i="3" s="1"/>
  <c r="T45" i="3" s="1"/>
  <c r="U30" i="3"/>
  <c r="U27" i="3"/>
  <c r="V30" i="3"/>
  <c r="V32" i="3"/>
  <c r="V27" i="3"/>
  <c r="X17" i="3"/>
  <c r="X19" i="3" s="1"/>
  <c r="Y14" i="3"/>
  <c r="W20" i="3"/>
  <c r="W23" i="3" l="1"/>
  <c r="W24" i="3"/>
  <c r="V35" i="3"/>
  <c r="U35" i="3"/>
  <c r="U37" i="3" s="1"/>
  <c r="W32" i="3"/>
  <c r="W30" i="3"/>
  <c r="W27" i="3"/>
  <c r="Y15" i="3"/>
  <c r="Y16" i="3"/>
  <c r="Z14" i="3" s="1"/>
  <c r="X20" i="3"/>
  <c r="X23" i="3" l="1"/>
  <c r="X24" i="3"/>
  <c r="U43" i="3"/>
  <c r="U45" i="3" s="1"/>
  <c r="V37" i="3"/>
  <c r="V43" i="3" s="1"/>
  <c r="V45" i="3" s="1"/>
  <c r="W35" i="3"/>
  <c r="X30" i="3"/>
  <c r="X32" i="3"/>
  <c r="X27" i="3"/>
  <c r="Z17" i="3"/>
  <c r="Z19" i="3" s="1"/>
  <c r="AA14" i="3"/>
  <c r="Y17" i="3"/>
  <c r="Y19" i="3" s="1"/>
  <c r="W37" i="3" l="1"/>
  <c r="W43" i="3" s="1"/>
  <c r="W45" i="3" s="1"/>
  <c r="X35" i="3"/>
  <c r="Y20" i="3"/>
  <c r="AA15" i="3"/>
  <c r="AA17" i="3" s="1"/>
  <c r="AA19" i="3" s="1"/>
  <c r="AB14" i="3"/>
  <c r="Z20" i="3"/>
  <c r="Z23" i="3" l="1"/>
  <c r="Z24" i="3" s="1"/>
  <c r="Y23" i="3"/>
  <c r="Y24" i="3" s="1"/>
  <c r="X37" i="3"/>
  <c r="X43" i="3" s="1"/>
  <c r="X45" i="3" s="1"/>
  <c r="Z32" i="3"/>
  <c r="Z27" i="3"/>
  <c r="Z30" i="3"/>
  <c r="Y30" i="3"/>
  <c r="Y32" i="3"/>
  <c r="Y27" i="3"/>
  <c r="AB17" i="3"/>
  <c r="AB19" i="3" s="1"/>
  <c r="AC14" i="3"/>
  <c r="AA20" i="3"/>
  <c r="AA23" i="3" l="1"/>
  <c r="AA24" i="3" s="1"/>
  <c r="Y35" i="3"/>
  <c r="Z35" i="3"/>
  <c r="AA32" i="3"/>
  <c r="AA27" i="3"/>
  <c r="AA30" i="3"/>
  <c r="AC15" i="3"/>
  <c r="AC16" i="3"/>
  <c r="AD14" i="3" s="1"/>
  <c r="AB20" i="3"/>
  <c r="AB23" i="3" l="1"/>
  <c r="AB24" i="3"/>
  <c r="Z37" i="3"/>
  <c r="Z43" i="3" s="1"/>
  <c r="Z45" i="3" s="1"/>
  <c r="Y37" i="3"/>
  <c r="Y43" i="3" s="1"/>
  <c r="Y45" i="3" s="1"/>
  <c r="AC17" i="3"/>
  <c r="AC19" i="3" s="1"/>
  <c r="AC20" i="3" s="1"/>
  <c r="AA35" i="3"/>
  <c r="AD17" i="3"/>
  <c r="AD19" i="3" s="1"/>
  <c r="AE14" i="3"/>
  <c r="AB30" i="3"/>
  <c r="AB32" i="3"/>
  <c r="AB27" i="3"/>
  <c r="AC23" i="3" l="1"/>
  <c r="AC24" i="3"/>
  <c r="AA37" i="3"/>
  <c r="AA43" i="3" s="1"/>
  <c r="AA45" i="3" s="1"/>
  <c r="AB35" i="3"/>
  <c r="AB37" i="3" s="1"/>
  <c r="AB43" i="3" s="1"/>
  <c r="AB45" i="3" s="1"/>
  <c r="AE15" i="3"/>
  <c r="AE17" i="3"/>
  <c r="AE19" i="3" s="1"/>
  <c r="AF14" i="3"/>
  <c r="AD20" i="3"/>
  <c r="AC27" i="3"/>
  <c r="AC30" i="3"/>
  <c r="AC32" i="3"/>
  <c r="AD23" i="3" l="1"/>
  <c r="AD24" i="3" s="1"/>
  <c r="AC35" i="3"/>
  <c r="AD27" i="3"/>
  <c r="AD32" i="3"/>
  <c r="AD30" i="3"/>
  <c r="AF17" i="3"/>
  <c r="AF19" i="3" s="1"/>
  <c r="AG14" i="3"/>
  <c r="AE20" i="3"/>
  <c r="AC37" i="3" l="1"/>
  <c r="AC43" i="3" s="1"/>
  <c r="AC45" i="3" s="1"/>
  <c r="AE23" i="3"/>
  <c r="AE24" i="3"/>
  <c r="AD35" i="3"/>
  <c r="AD37" i="3" s="1"/>
  <c r="AD43" i="3" s="1"/>
  <c r="AD45" i="3" s="1"/>
  <c r="AE30" i="3"/>
  <c r="AE32" i="3"/>
  <c r="AE27" i="3"/>
  <c r="AG15" i="3"/>
  <c r="AG16" i="3"/>
  <c r="AH14" i="3" s="1"/>
  <c r="AF20" i="3"/>
  <c r="AF23" i="3" l="1"/>
  <c r="AF24" i="3" s="1"/>
  <c r="AE35" i="3"/>
  <c r="AH17" i="3"/>
  <c r="AH19" i="3" s="1"/>
  <c r="AI14" i="3"/>
  <c r="AF30" i="3"/>
  <c r="AF27" i="3"/>
  <c r="AG17" i="3"/>
  <c r="AG19" i="3" s="1"/>
  <c r="AE37" i="3" l="1"/>
  <c r="AE43" i="3" s="1"/>
  <c r="AE45" i="3" s="1"/>
  <c r="AG20" i="3"/>
  <c r="AI15" i="3"/>
  <c r="AI17" i="3" s="1"/>
  <c r="AI19" i="3" s="1"/>
  <c r="AJ14" i="3"/>
  <c r="AH20" i="3"/>
  <c r="AH23" i="3" l="1"/>
  <c r="AH24" i="3" s="1"/>
  <c r="AG23" i="3"/>
  <c r="AG24" i="3" s="1"/>
  <c r="AH27" i="3"/>
  <c r="AH30" i="3"/>
  <c r="AJ17" i="3"/>
  <c r="AJ19" i="3" s="1"/>
  <c r="AK14" i="3"/>
  <c r="AI20" i="3"/>
  <c r="AG30" i="3"/>
  <c r="AG27" i="3"/>
  <c r="AI23" i="3" l="1"/>
  <c r="AI24" i="3" s="1"/>
  <c r="AI27" i="3"/>
  <c r="AI30" i="3"/>
  <c r="AK15" i="3"/>
  <c r="AK16" i="3"/>
  <c r="AL14" i="3" s="1"/>
  <c r="AJ20" i="3"/>
  <c r="AJ23" i="3" l="1"/>
  <c r="AJ24" i="3" s="1"/>
  <c r="AJ30" i="3"/>
  <c r="AJ27" i="3"/>
  <c r="AL17" i="3"/>
  <c r="AL19" i="3" s="1"/>
  <c r="AM14" i="3"/>
  <c r="AK17" i="3"/>
  <c r="AK19" i="3" s="1"/>
  <c r="AK20" i="3" l="1"/>
  <c r="AM15" i="3"/>
  <c r="AM17" i="3" s="1"/>
  <c r="AM19" i="3" s="1"/>
  <c r="AN14" i="3"/>
  <c r="AL20" i="3"/>
  <c r="AL23" i="3" l="1"/>
  <c r="AL24" i="3"/>
  <c r="AK23" i="3"/>
  <c r="AK24" i="3"/>
  <c r="AM20" i="3"/>
  <c r="AL27" i="3"/>
  <c r="AL30" i="3"/>
  <c r="AN17" i="3"/>
  <c r="AN19" i="3" s="1"/>
  <c r="AO14" i="3"/>
  <c r="AK30" i="3"/>
  <c r="AK27" i="3"/>
  <c r="AM23" i="3" l="1"/>
  <c r="AM24" i="3"/>
  <c r="AO15" i="3"/>
  <c r="AO16" i="3"/>
  <c r="AP14" i="3" s="1"/>
  <c r="AN20" i="3"/>
  <c r="AM30" i="3"/>
  <c r="AM27" i="3"/>
  <c r="AN23" i="3" l="1"/>
  <c r="AN24" i="3" s="1"/>
  <c r="AN30" i="3"/>
  <c r="AN27" i="3"/>
  <c r="AP17" i="3"/>
  <c r="AP19" i="3" s="1"/>
  <c r="AQ14" i="3"/>
  <c r="AQ15" i="3" s="1"/>
  <c r="AQ17" i="3" s="1"/>
  <c r="AQ19" i="3" s="1"/>
  <c r="AO17" i="3"/>
  <c r="AO19" i="3" s="1"/>
  <c r="AO20" i="3" l="1"/>
  <c r="AQ20" i="3"/>
  <c r="AP20" i="3"/>
  <c r="AQ23" i="3" l="1"/>
  <c r="AO23" i="3"/>
  <c r="AO24" i="3" s="1"/>
  <c r="AP23" i="3"/>
  <c r="AP24" i="3" s="1"/>
  <c r="AQ27" i="3"/>
  <c r="AQ30" i="3"/>
  <c r="AO30" i="3"/>
  <c r="AO27" i="3"/>
  <c r="AP27" i="3"/>
  <c r="AP30" i="3"/>
  <c r="AQ24" i="3" l="1"/>
  <c r="B46" i="3"/>
  <c r="AF35" i="3" l="1"/>
  <c r="AQ35" i="3"/>
  <c r="AL35" i="3"/>
  <c r="AO35" i="3"/>
  <c r="AK35" i="3"/>
  <c r="AP35" i="3"/>
  <c r="AI35" i="3"/>
  <c r="AI37" i="3" s="1"/>
  <c r="AI43" i="3"/>
  <c r="AI45" i="3" s="1"/>
  <c r="AH35" i="3"/>
  <c r="AM35" i="3"/>
  <c r="AJ35" i="3"/>
  <c r="AN35" i="3"/>
  <c r="AG35" i="3"/>
  <c r="AG37" i="3" l="1"/>
  <c r="AG43" i="3" s="1"/>
  <c r="AG45" i="3" s="1"/>
  <c r="AJ37" i="3"/>
  <c r="AJ43" i="3" s="1"/>
  <c r="AJ45" i="3" s="1"/>
  <c r="AK37" i="3"/>
  <c r="AK43" i="3" s="1"/>
  <c r="AK45" i="3" s="1"/>
  <c r="AN37" i="3"/>
  <c r="AN43" i="3" s="1"/>
  <c r="AN45" i="3" s="1"/>
  <c r="AL37" i="3"/>
  <c r="AL43" i="3" s="1"/>
  <c r="AL45" i="3" s="1"/>
  <c r="AP37" i="3"/>
  <c r="AP43" i="3" s="1"/>
  <c r="AP45" i="3" s="1"/>
  <c r="AO37" i="3"/>
  <c r="AO43" i="3" s="1"/>
  <c r="AO45" i="3" s="1"/>
  <c r="AM37" i="3"/>
  <c r="AM43" i="3" s="1"/>
  <c r="AM45" i="3" s="1"/>
  <c r="AQ37" i="3"/>
  <c r="AQ43" i="3" s="1"/>
  <c r="AQ45" i="3" s="1"/>
  <c r="AH37" i="3"/>
  <c r="AH43" i="3" s="1"/>
  <c r="AH45" i="3" s="1"/>
  <c r="AF37" i="3"/>
  <c r="AF43" i="3" s="1"/>
  <c r="AF45" i="3" s="1"/>
  <c r="B47" i="3" l="1"/>
  <c r="B49" i="3" s="1"/>
</calcChain>
</file>

<file path=xl/sharedStrings.xml><?xml version="1.0" encoding="utf-8"?>
<sst xmlns="http://schemas.openxmlformats.org/spreadsheetml/2006/main" count="105" uniqueCount="53">
  <si>
    <t>Name</t>
  </si>
  <si>
    <t>Inflation rate</t>
  </si>
  <si>
    <t>Year</t>
  </si>
  <si>
    <t>Bonus</t>
  </si>
  <si>
    <t>Net Income</t>
  </si>
  <si>
    <t>Yash Landge</t>
  </si>
  <si>
    <t>Birth Year</t>
  </si>
  <si>
    <t>Personal Information</t>
  </si>
  <si>
    <t>Current Age</t>
  </si>
  <si>
    <t>Retirement Age</t>
  </si>
  <si>
    <t>Number of Working Years</t>
  </si>
  <si>
    <t>Expected Death Age</t>
  </si>
  <si>
    <t>Number of Years after retirement</t>
  </si>
  <si>
    <t>Economic Assumptions</t>
  </si>
  <si>
    <t>Place of Employment</t>
  </si>
  <si>
    <t>Chicago</t>
  </si>
  <si>
    <t>Starting Salary</t>
  </si>
  <si>
    <t>$85K</t>
  </si>
  <si>
    <t>Increament per year</t>
  </si>
  <si>
    <t>Bonus every 2 years</t>
  </si>
  <si>
    <t>Promotion every 4 years (expected salary increase)</t>
  </si>
  <si>
    <t>City after retirement</t>
  </si>
  <si>
    <t>Columbus</t>
  </si>
  <si>
    <t>Annual Income (Including increament)</t>
  </si>
  <si>
    <t>EARNINGS</t>
  </si>
  <si>
    <t>Total Earnings</t>
  </si>
  <si>
    <t xml:space="preserve">Promotion </t>
  </si>
  <si>
    <t>Earnings after 401K deduction</t>
  </si>
  <si>
    <t>401K Plan-(5% contribution, max $22500)</t>
  </si>
  <si>
    <t>In Hand Salary</t>
  </si>
  <si>
    <t>EXPENSES</t>
  </si>
  <si>
    <t xml:space="preserve">Vehicle Purchase (Expected resale value =0) </t>
  </si>
  <si>
    <t>Yearly Vacation</t>
  </si>
  <si>
    <t>Miscellaneous Expense</t>
  </si>
  <si>
    <t>Child Expenses (Education, Clothes, Games etc)</t>
  </si>
  <si>
    <t>Life Insurance premium (Annually)</t>
  </si>
  <si>
    <t>Total Expenses</t>
  </si>
  <si>
    <t>Home Purchase</t>
  </si>
  <si>
    <t>Average Return expected (8.7%)</t>
  </si>
  <si>
    <t>Total Investment in 401K (Personal + Emplyer Contribution)</t>
  </si>
  <si>
    <t>401K Compounded return (Expected 6.5%)</t>
  </si>
  <si>
    <t>Savings at Retirement</t>
  </si>
  <si>
    <t>Total Savings Amount at Retirement</t>
  </si>
  <si>
    <t>Living Expense (Rent, Food, Fuel etc) [47.5% + 2.5% Inflation]</t>
  </si>
  <si>
    <t>INVESTMENTS</t>
  </si>
  <si>
    <t>-</t>
  </si>
  <si>
    <t>Monthly Income from Savings After Retirement</t>
  </si>
  <si>
    <t>Marriage Expense</t>
  </si>
  <si>
    <t>Emergency Fund Contribution (5%)</t>
  </si>
  <si>
    <t>Emergency Fund (Assuming emergency fund not used)</t>
  </si>
  <si>
    <t>Federal Tax</t>
  </si>
  <si>
    <t>State Tax (4.95% flat)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</si>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</sst>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5" xfId="0" applyBorder="1"/>
    <xf numFmtId="0" fontId="2" fillId="0" borderId="0" xfId="0" applyFont="1"/>
    <xf numFmtId="0" fontId="0" fillId="0" borderId="0" xfId="0" applyAlignment="1">
      <alignment horizontal="center"/>
    </xf>
    <xf numFmtId="44" fontId="0" fillId="0" borderId="0" xfId="1" applyFont="1"/>
    <xf numFmtId="1" fontId="0" fillId="0" borderId="0" xfId="0" applyNumberFormat="1" applyAlignment="1">
      <alignment horizontal="center"/>
    </xf>
    <xf numFmtId="0" fontId="2" fillId="2" borderId="0" xfId="0" applyFont="1" applyFill="1"/>
    <xf numFmtId="44" fontId="0" fillId="0" borderId="0" xfId="1" applyNumberFormat="1" applyFont="1"/>
    <xf numFmtId="0" fontId="0" fillId="0" borderId="0" xfId="0" applyBorder="1"/>
    <xf numFmtId="0" fontId="2" fillId="0" borderId="0" xfId="0" applyFont="1" applyBorder="1"/>
    <xf numFmtId="9" fontId="0" fillId="0" borderId="0" xfId="0" applyNumberForma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0" fillId="0" borderId="15" xfId="0" applyBorder="1"/>
    <xf numFmtId="0" fontId="2" fillId="0" borderId="13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20" xfId="0" applyFont="1" applyFill="1" applyBorder="1"/>
    <xf numFmtId="0" fontId="0" fillId="0" borderId="21" xfId="0" applyBorder="1"/>
    <xf numFmtId="0" fontId="0" fillId="0" borderId="21" xfId="1" applyNumberFormat="1" applyFont="1" applyBorder="1"/>
    <xf numFmtId="0" fontId="0" fillId="0" borderId="21" xfId="1" applyNumberFormat="1" applyFont="1" applyFill="1" applyBorder="1"/>
    <xf numFmtId="0" fontId="0" fillId="0" borderId="22" xfId="1" applyNumberFormat="1" applyFont="1" applyBorder="1"/>
    <xf numFmtId="44" fontId="2" fillId="4" borderId="4" xfId="1" applyNumberFormat="1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4" fontId="2" fillId="5" borderId="1" xfId="1" applyFont="1" applyFill="1" applyBorder="1"/>
    <xf numFmtId="0" fontId="0" fillId="0" borderId="23" xfId="0" applyBorder="1" applyAlignment="1">
      <alignment horizontal="center"/>
    </xf>
    <xf numFmtId="0" fontId="2" fillId="2" borderId="24" xfId="0" applyFont="1" applyFill="1" applyBorder="1"/>
    <xf numFmtId="0" fontId="0" fillId="0" borderId="7" xfId="0" applyBorder="1"/>
    <xf numFmtId="1" fontId="0" fillId="0" borderId="10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1" fontId="0" fillId="0" borderId="25" xfId="0" applyNumberFormat="1" applyBorder="1" applyAlignment="1">
      <alignment horizontal="center"/>
    </xf>
    <xf numFmtId="44" fontId="0" fillId="0" borderId="5" xfId="1" applyFont="1" applyBorder="1"/>
    <xf numFmtId="44" fontId="0" fillId="0" borderId="0" xfId="1" applyFont="1" applyBorder="1"/>
    <xf numFmtId="44" fontId="0" fillId="0" borderId="6" xfId="1" applyFont="1" applyBorder="1"/>
    <xf numFmtId="44" fontId="0" fillId="0" borderId="5" xfId="1" applyFont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6" xfId="1" applyFont="1" applyBorder="1" applyAlignment="1">
      <alignment horizontal="center"/>
    </xf>
    <xf numFmtId="44" fontId="0" fillId="0" borderId="7" xfId="1" applyFont="1" applyBorder="1"/>
    <xf numFmtId="44" fontId="0" fillId="0" borderId="8" xfId="1" applyFont="1" applyBorder="1"/>
    <xf numFmtId="44" fontId="0" fillId="0" borderId="9" xfId="1" applyFont="1" applyBorder="1"/>
    <xf numFmtId="44" fontId="0" fillId="0" borderId="24" xfId="1" applyFont="1" applyBorder="1"/>
    <xf numFmtId="44" fontId="0" fillId="0" borderId="26" xfId="1" applyFont="1" applyBorder="1"/>
    <xf numFmtId="44" fontId="0" fillId="0" borderId="27" xfId="1" applyFont="1" applyBorder="1"/>
    <xf numFmtId="44" fontId="0" fillId="0" borderId="24" xfId="1" applyNumberFormat="1" applyFont="1" applyBorder="1"/>
    <xf numFmtId="44" fontId="0" fillId="0" borderId="26" xfId="1" applyNumberFormat="1" applyFont="1" applyBorder="1"/>
    <xf numFmtId="44" fontId="0" fillId="0" borderId="27" xfId="1" applyNumberFormat="1" applyFont="1" applyBorder="1"/>
    <xf numFmtId="44" fontId="0" fillId="0" borderId="5" xfId="1" applyNumberFormat="1" applyFont="1" applyBorder="1"/>
    <xf numFmtId="44" fontId="0" fillId="0" borderId="0" xfId="1" applyNumberFormat="1" applyFont="1" applyBorder="1"/>
    <xf numFmtId="44" fontId="0" fillId="0" borderId="6" xfId="1" applyNumberFormat="1" applyFont="1" applyBorder="1"/>
    <xf numFmtId="44" fontId="0" fillId="0" borderId="7" xfId="1" applyNumberFormat="1" applyFont="1" applyBorder="1"/>
    <xf numFmtId="44" fontId="0" fillId="0" borderId="8" xfId="1" applyNumberFormat="1" applyFont="1" applyBorder="1"/>
    <xf numFmtId="44" fontId="0" fillId="0" borderId="9" xfId="1" applyNumberFormat="1" applyFont="1" applyBorder="1"/>
    <xf numFmtId="44" fontId="0" fillId="0" borderId="2" xfId="1" applyFont="1" applyBorder="1"/>
    <xf numFmtId="44" fontId="0" fillId="0" borderId="3" xfId="1" applyFont="1" applyBorder="1"/>
    <xf numFmtId="44" fontId="0" fillId="0" borderId="4" xfId="1" applyFont="1" applyBorder="1"/>
    <xf numFmtId="0" fontId="2" fillId="0" borderId="19" xfId="0" applyFont="1" applyBorder="1"/>
    <xf numFmtId="0" fontId="2" fillId="0" borderId="18" xfId="0" applyFont="1" applyBorder="1" applyAlignment="1">
      <alignment horizontal="center"/>
    </xf>
    <xf numFmtId="0" fontId="2" fillId="0" borderId="13" xfId="0" applyFont="1" applyBorder="1"/>
    <xf numFmtId="10" fontId="2" fillId="0" borderId="16" xfId="0" applyNumberFormat="1" applyFont="1" applyBorder="1" applyAlignment="1">
      <alignment horizontal="center"/>
    </xf>
    <xf numFmtId="166" fontId="2" fillId="0" borderId="16" xfId="1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0" fontId="2" fillId="0" borderId="14" xfId="0" applyFont="1" applyBorder="1"/>
    <xf numFmtId="9" fontId="2" fillId="0" borderId="17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9310-5ED5-4D41-B05A-873936E42B3C}">
  <dimension ref="B2:I12"/>
  <sheetViews>
    <sheetView tabSelected="1" zoomScale="130" zoomScaleNormal="130" workbookViewId="0">
      <selection activeCell="B17" sqref="B17"/>
    </sheetView>
  </sheetViews>
  <sheetFormatPr baseColWidth="10" defaultRowHeight="15" x14ac:dyDescent="0.2"/>
  <cols>
    <col min="2" max="2" width="39.6640625" bestFit="1" customWidth="1"/>
    <col min="3" max="3" width="14.33203125" bestFit="1" customWidth="1"/>
    <col min="4" max="4" width="26.6640625" bestFit="1" customWidth="1"/>
    <col min="5" max="5" width="17.83203125" bestFit="1" customWidth="1"/>
    <col min="8" max="8" width="17.83203125" bestFit="1" customWidth="1"/>
    <col min="9" max="9" width="9.5" customWidth="1"/>
  </cols>
  <sheetData>
    <row r="2" spans="2:9" ht="16" thickBot="1" x14ac:dyDescent="0.25"/>
    <row r="3" spans="2:9" ht="16" thickBot="1" x14ac:dyDescent="0.25">
      <c r="B3" s="11" t="s">
        <v>7</v>
      </c>
      <c r="C3" s="12"/>
      <c r="D3" s="2"/>
      <c r="H3" s="8"/>
      <c r="I3" s="8"/>
    </row>
    <row r="4" spans="2:9" x14ac:dyDescent="0.2">
      <c r="B4" s="13"/>
      <c r="C4" s="14"/>
      <c r="H4" s="9"/>
      <c r="I4" s="10"/>
    </row>
    <row r="5" spans="2:9" x14ac:dyDescent="0.2">
      <c r="B5" s="15" t="s">
        <v>0</v>
      </c>
      <c r="C5" s="16" t="s">
        <v>5</v>
      </c>
      <c r="H5" s="9"/>
      <c r="I5" s="8"/>
    </row>
    <row r="6" spans="2:9" x14ac:dyDescent="0.2">
      <c r="B6" s="15" t="s">
        <v>6</v>
      </c>
      <c r="C6" s="16">
        <v>1998</v>
      </c>
      <c r="H6" s="9"/>
      <c r="I6" s="8"/>
    </row>
    <row r="7" spans="2:9" x14ac:dyDescent="0.2">
      <c r="B7" s="15" t="s">
        <v>8</v>
      </c>
      <c r="C7" s="16">
        <v>24</v>
      </c>
      <c r="H7" s="9"/>
      <c r="I7" s="10"/>
    </row>
    <row r="8" spans="2:9" x14ac:dyDescent="0.2">
      <c r="B8" s="15" t="s">
        <v>9</v>
      </c>
      <c r="C8" s="16">
        <v>65</v>
      </c>
      <c r="H8" s="9"/>
      <c r="I8" s="10"/>
    </row>
    <row r="9" spans="2:9" x14ac:dyDescent="0.2">
      <c r="B9" s="15" t="s">
        <v>10</v>
      </c>
      <c r="C9" s="16">
        <f>C8-C7</f>
        <v>41</v>
      </c>
      <c r="H9" s="9"/>
      <c r="I9" s="8"/>
    </row>
    <row r="10" spans="2:9" x14ac:dyDescent="0.2">
      <c r="B10" s="15" t="s">
        <v>11</v>
      </c>
      <c r="C10" s="16">
        <v>84</v>
      </c>
      <c r="H10" s="9"/>
      <c r="I10" s="10"/>
    </row>
    <row r="11" spans="2:9" ht="16" thickBot="1" x14ac:dyDescent="0.25">
      <c r="B11" s="17" t="s">
        <v>12</v>
      </c>
      <c r="C11" s="18">
        <f>C10-C8</f>
        <v>19</v>
      </c>
      <c r="H11" s="9"/>
      <c r="I11" s="8"/>
    </row>
    <row r="12" spans="2:9" x14ac:dyDescent="0.2">
      <c r="H12" s="9"/>
      <c r="I12" s="10"/>
    </row>
  </sheetData>
  <mergeCells count="1">
    <mergeCell ref="B3:C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2D98-A508-EE4F-BD33-437D33FA8A81}">
  <dimension ref="A1:AT49"/>
  <sheetViews>
    <sheetView zoomScaleNormal="100" workbookViewId="0">
      <pane xSplit="1" topLeftCell="B1" activePane="topRight" state="frozen"/>
      <selection pane="topRight"/>
    </sheetView>
  </sheetViews>
  <sheetFormatPr baseColWidth="10" defaultRowHeight="15" x14ac:dyDescent="0.2"/>
  <cols>
    <col min="1" max="1" width="46.6640625" customWidth="1"/>
    <col min="2" max="2" width="14.6640625" style="4" bestFit="1" customWidth="1"/>
    <col min="3" max="3" width="12.1640625" style="4" bestFit="1" customWidth="1"/>
    <col min="4" max="6" width="13.6640625" style="4" bestFit="1" customWidth="1"/>
    <col min="7" max="8" width="12.1640625" style="4" bestFit="1" customWidth="1"/>
    <col min="9" max="9" width="13.6640625" style="4" bestFit="1" customWidth="1"/>
    <col min="10" max="12" width="12.1640625" style="4" bestFit="1" customWidth="1"/>
    <col min="13" max="13" width="13.6640625" style="4" bestFit="1" customWidth="1"/>
    <col min="14" max="14" width="12.1640625" style="4" bestFit="1" customWidth="1"/>
    <col min="15" max="15" width="13.6640625" style="4" bestFit="1" customWidth="1"/>
    <col min="16" max="16" width="12.1640625" style="4" bestFit="1" customWidth="1"/>
    <col min="17" max="26" width="13.6640625" style="4" bestFit="1" customWidth="1"/>
    <col min="27" max="27" width="14.33203125" style="4" bestFit="1" customWidth="1"/>
    <col min="28" max="36" width="13.6640625" style="4" bestFit="1" customWidth="1"/>
    <col min="37" max="37" width="14.6640625" style="4" bestFit="1" customWidth="1"/>
    <col min="38" max="38" width="13.6640625" style="4" bestFit="1" customWidth="1"/>
    <col min="39" max="39" width="14.6640625" style="4" bestFit="1" customWidth="1"/>
    <col min="40" max="40" width="13.6640625" style="4" bestFit="1" customWidth="1"/>
    <col min="41" max="41" width="14.6640625" style="4" bestFit="1" customWidth="1"/>
    <col min="42" max="42" width="13.6640625" style="4" bestFit="1" customWidth="1"/>
    <col min="43" max="43" width="14.6640625" style="4" bestFit="1" customWidth="1"/>
    <col min="44" max="16384" width="10.83203125" style="4"/>
  </cols>
  <sheetData>
    <row r="1" spans="1:46" customFormat="1" ht="16" thickBot="1" x14ac:dyDescent="0.25"/>
    <row r="2" spans="1:46" customFormat="1" ht="16" thickBot="1" x14ac:dyDescent="0.25">
      <c r="A2" s="19" t="s">
        <v>13</v>
      </c>
      <c r="B2" s="20"/>
    </row>
    <row r="3" spans="1:46" customFormat="1" x14ac:dyDescent="0.2">
      <c r="A3" s="60" t="s">
        <v>14</v>
      </c>
      <c r="B3" s="61" t="s">
        <v>15</v>
      </c>
    </row>
    <row r="4" spans="1:46" customFormat="1" x14ac:dyDescent="0.2">
      <c r="A4" s="62" t="s">
        <v>21</v>
      </c>
      <c r="B4" s="16" t="s">
        <v>22</v>
      </c>
    </row>
    <row r="5" spans="1:46" customFormat="1" x14ac:dyDescent="0.2">
      <c r="A5" s="62" t="s">
        <v>1</v>
      </c>
      <c r="B5" s="63">
        <v>2.5000000000000001E-2</v>
      </c>
    </row>
    <row r="6" spans="1:46" customFormat="1" x14ac:dyDescent="0.2">
      <c r="A6" s="62" t="s">
        <v>16</v>
      </c>
      <c r="B6" s="64" t="s">
        <v>17</v>
      </c>
    </row>
    <row r="7" spans="1:46" customFormat="1" x14ac:dyDescent="0.2">
      <c r="A7" s="62" t="s">
        <v>18</v>
      </c>
      <c r="B7" s="65">
        <v>0.08</v>
      </c>
    </row>
    <row r="8" spans="1:46" customFormat="1" x14ac:dyDescent="0.2">
      <c r="A8" s="62" t="s">
        <v>19</v>
      </c>
      <c r="B8" s="65">
        <v>0.12</v>
      </c>
    </row>
    <row r="9" spans="1:46" customFormat="1" ht="16" thickBot="1" x14ac:dyDescent="0.25">
      <c r="A9" s="66" t="s">
        <v>20</v>
      </c>
      <c r="B9" s="67">
        <v>0.25</v>
      </c>
    </row>
    <row r="10" spans="1:46" customFormat="1" x14ac:dyDescent="0.2"/>
    <row r="11" spans="1:46" customFormat="1" ht="16" thickBot="1" x14ac:dyDescent="0.25"/>
    <row r="12" spans="1:46" s="3" customFormat="1" ht="16" thickBot="1" x14ac:dyDescent="0.25">
      <c r="A12" s="30" t="s">
        <v>2</v>
      </c>
      <c r="B12" s="33">
        <v>2023</v>
      </c>
      <c r="C12" s="34">
        <v>2024</v>
      </c>
      <c r="D12" s="35">
        <v>2025</v>
      </c>
      <c r="E12" s="34">
        <v>2026</v>
      </c>
      <c r="F12" s="35">
        <v>2027</v>
      </c>
      <c r="G12" s="34">
        <v>2028</v>
      </c>
      <c r="H12" s="35">
        <v>2029</v>
      </c>
      <c r="I12" s="34">
        <v>2030</v>
      </c>
      <c r="J12" s="35">
        <v>2031</v>
      </c>
      <c r="K12" s="34">
        <v>2032</v>
      </c>
      <c r="L12" s="35">
        <v>2033</v>
      </c>
      <c r="M12" s="34">
        <v>2034</v>
      </c>
      <c r="N12" s="35">
        <v>2035</v>
      </c>
      <c r="O12" s="34">
        <v>2036</v>
      </c>
      <c r="P12" s="35">
        <v>2037</v>
      </c>
      <c r="Q12" s="34">
        <v>2038</v>
      </c>
      <c r="R12" s="35">
        <v>2039</v>
      </c>
      <c r="S12" s="34">
        <v>2040</v>
      </c>
      <c r="T12" s="35">
        <v>2041</v>
      </c>
      <c r="U12" s="34">
        <v>2042</v>
      </c>
      <c r="V12" s="35">
        <v>2043</v>
      </c>
      <c r="W12" s="34">
        <v>2044</v>
      </c>
      <c r="X12" s="35">
        <v>2045</v>
      </c>
      <c r="Y12" s="34">
        <v>2046</v>
      </c>
      <c r="Z12" s="35">
        <v>2047</v>
      </c>
      <c r="AA12" s="34">
        <v>2048</v>
      </c>
      <c r="AB12" s="35">
        <v>2049</v>
      </c>
      <c r="AC12" s="34">
        <v>2050</v>
      </c>
      <c r="AD12" s="35">
        <v>2051</v>
      </c>
      <c r="AE12" s="34">
        <v>2052</v>
      </c>
      <c r="AF12" s="35">
        <v>2053</v>
      </c>
      <c r="AG12" s="34">
        <v>2054</v>
      </c>
      <c r="AH12" s="35">
        <v>2055</v>
      </c>
      <c r="AI12" s="34">
        <v>2056</v>
      </c>
      <c r="AJ12" s="35">
        <v>2057</v>
      </c>
      <c r="AK12" s="34">
        <v>2058</v>
      </c>
      <c r="AL12" s="35">
        <v>2059</v>
      </c>
      <c r="AM12" s="34">
        <v>2060</v>
      </c>
      <c r="AN12" s="35">
        <v>2061</v>
      </c>
      <c r="AO12" s="34">
        <v>2062</v>
      </c>
      <c r="AP12" s="35">
        <v>2063</v>
      </c>
      <c r="AQ12" s="20">
        <v>2064</v>
      </c>
      <c r="AR12" s="5"/>
      <c r="AT12" s="5"/>
    </row>
    <row r="13" spans="1:46" x14ac:dyDescent="0.2">
      <c r="A13" s="31" t="s">
        <v>24</v>
      </c>
      <c r="B13" s="36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8"/>
    </row>
    <row r="14" spans="1:46" x14ac:dyDescent="0.2">
      <c r="A14" s="1" t="s">
        <v>23</v>
      </c>
      <c r="B14" s="36">
        <v>85000</v>
      </c>
      <c r="C14" s="37">
        <f>B14*(1+$B$7)</f>
        <v>91800</v>
      </c>
      <c r="D14" s="37">
        <f t="shared" ref="D14:AQ14" si="0">C14*(1+$B$7)</f>
        <v>99144</v>
      </c>
      <c r="E14" s="37">
        <f t="shared" si="0"/>
        <v>107075.52</v>
      </c>
      <c r="F14" s="37">
        <f>E16</f>
        <v>133844.4</v>
      </c>
      <c r="G14" s="37">
        <f t="shared" si="0"/>
        <v>144551.95199999999</v>
      </c>
      <c r="H14" s="37">
        <f t="shared" si="0"/>
        <v>156116.10816</v>
      </c>
      <c r="I14" s="37">
        <f t="shared" si="0"/>
        <v>168605.39681280003</v>
      </c>
      <c r="J14" s="37">
        <f>I16</f>
        <v>210756.74601600005</v>
      </c>
      <c r="K14" s="37">
        <f t="shared" si="0"/>
        <v>227617.28569728008</v>
      </c>
      <c r="L14" s="37">
        <f t="shared" si="0"/>
        <v>245826.66855306251</v>
      </c>
      <c r="M14" s="37">
        <f t="shared" si="0"/>
        <v>265492.80203730753</v>
      </c>
      <c r="N14" s="37">
        <f>M16</f>
        <v>331866.00254663441</v>
      </c>
      <c r="O14" s="37">
        <f t="shared" si="0"/>
        <v>358415.28275036521</v>
      </c>
      <c r="P14" s="37">
        <f t="shared" si="0"/>
        <v>387088.50537039444</v>
      </c>
      <c r="Q14" s="37">
        <f t="shared" si="0"/>
        <v>418055.58580002602</v>
      </c>
      <c r="R14" s="37">
        <f>Q16</f>
        <v>522569.48225003254</v>
      </c>
      <c r="S14" s="37">
        <f t="shared" si="0"/>
        <v>564375.04083003523</v>
      </c>
      <c r="T14" s="37">
        <f t="shared" si="0"/>
        <v>609525.0440964381</v>
      </c>
      <c r="U14" s="37">
        <f t="shared" si="0"/>
        <v>658287.0476241532</v>
      </c>
      <c r="V14" s="37">
        <f>U16</f>
        <v>822858.80953019147</v>
      </c>
      <c r="W14" s="37">
        <f t="shared" si="0"/>
        <v>888687.51429260685</v>
      </c>
      <c r="X14" s="37">
        <f t="shared" si="0"/>
        <v>959782.51543601544</v>
      </c>
      <c r="Y14" s="37">
        <f t="shared" si="0"/>
        <v>1036565.1166708968</v>
      </c>
      <c r="Z14" s="37">
        <f>Y16</f>
        <v>1295706.3958386211</v>
      </c>
      <c r="AA14" s="37">
        <f t="shared" si="0"/>
        <v>1399362.9075057108</v>
      </c>
      <c r="AB14" s="37">
        <f t="shared" si="0"/>
        <v>1511311.9401061679</v>
      </c>
      <c r="AC14" s="37">
        <f t="shared" si="0"/>
        <v>1632216.8953146616</v>
      </c>
      <c r="AD14" s="37">
        <f>AC16</f>
        <v>2040271.119143327</v>
      </c>
      <c r="AE14" s="37">
        <f t="shared" si="0"/>
        <v>2203492.8086747932</v>
      </c>
      <c r="AF14" s="37">
        <f t="shared" si="0"/>
        <v>2379772.2333687767</v>
      </c>
      <c r="AG14" s="37">
        <f t="shared" si="0"/>
        <v>2570154.0120382789</v>
      </c>
      <c r="AH14" s="37">
        <f>AG16</f>
        <v>3212692.5150478487</v>
      </c>
      <c r="AI14" s="37">
        <f t="shared" si="0"/>
        <v>3469707.9162516766</v>
      </c>
      <c r="AJ14" s="37">
        <f t="shared" si="0"/>
        <v>3747284.5495518111</v>
      </c>
      <c r="AK14" s="37">
        <f t="shared" si="0"/>
        <v>4047067.313515956</v>
      </c>
      <c r="AL14" s="37">
        <f>AK16</f>
        <v>5058834.1418949449</v>
      </c>
      <c r="AM14" s="37">
        <f t="shared" si="0"/>
        <v>5463540.8732465412</v>
      </c>
      <c r="AN14" s="37">
        <f t="shared" si="0"/>
        <v>5900624.143106265</v>
      </c>
      <c r="AO14" s="37">
        <f t="shared" si="0"/>
        <v>6372674.0745547665</v>
      </c>
      <c r="AP14" s="37">
        <f>AO16</f>
        <v>7965842.5931934584</v>
      </c>
      <c r="AQ14" s="38">
        <f t="shared" si="0"/>
        <v>8603110.0006489363</v>
      </c>
    </row>
    <row r="15" spans="1:46" x14ac:dyDescent="0.2">
      <c r="A15" s="1" t="s">
        <v>3</v>
      </c>
      <c r="B15" s="39" t="s">
        <v>45</v>
      </c>
      <c r="C15" s="37">
        <f>C14*($B$8)</f>
        <v>11016</v>
      </c>
      <c r="D15" s="40" t="s">
        <v>45</v>
      </c>
      <c r="E15" s="37">
        <f t="shared" ref="E15:AQ15" si="1">E14*($B$8)</f>
        <v>12849.062400000001</v>
      </c>
      <c r="F15" s="40" t="s">
        <v>45</v>
      </c>
      <c r="G15" s="37">
        <f t="shared" si="1"/>
        <v>17346.234239999998</v>
      </c>
      <c r="H15" s="40" t="s">
        <v>45</v>
      </c>
      <c r="I15" s="37">
        <f t="shared" si="1"/>
        <v>20232.647617536004</v>
      </c>
      <c r="J15" s="40" t="s">
        <v>45</v>
      </c>
      <c r="K15" s="37">
        <f t="shared" si="1"/>
        <v>27314.07428367361</v>
      </c>
      <c r="L15" s="40" t="s">
        <v>45</v>
      </c>
      <c r="M15" s="37">
        <f t="shared" si="1"/>
        <v>31859.136244476904</v>
      </c>
      <c r="N15" s="40" t="s">
        <v>45</v>
      </c>
      <c r="O15" s="37">
        <f t="shared" si="1"/>
        <v>43009.833930043824</v>
      </c>
      <c r="P15" s="40" t="s">
        <v>45</v>
      </c>
      <c r="Q15" s="37">
        <f t="shared" si="1"/>
        <v>50166.670296003118</v>
      </c>
      <c r="R15" s="40" t="s">
        <v>45</v>
      </c>
      <c r="S15" s="37">
        <f t="shared" si="1"/>
        <v>67725.004899604231</v>
      </c>
      <c r="T15" s="40" t="s">
        <v>45</v>
      </c>
      <c r="U15" s="37">
        <f t="shared" si="1"/>
        <v>78994.445714898378</v>
      </c>
      <c r="V15" s="40" t="s">
        <v>45</v>
      </c>
      <c r="W15" s="37">
        <f t="shared" si="1"/>
        <v>106642.50171511281</v>
      </c>
      <c r="X15" s="40" t="s">
        <v>45</v>
      </c>
      <c r="Y15" s="37">
        <f t="shared" si="1"/>
        <v>124387.81400050761</v>
      </c>
      <c r="Z15" s="40" t="s">
        <v>45</v>
      </c>
      <c r="AA15" s="37">
        <f t="shared" si="1"/>
        <v>167923.5489006853</v>
      </c>
      <c r="AB15" s="40" t="s">
        <v>45</v>
      </c>
      <c r="AC15" s="37">
        <f t="shared" si="1"/>
        <v>195866.02743775939</v>
      </c>
      <c r="AD15" s="40" t="s">
        <v>45</v>
      </c>
      <c r="AE15" s="37">
        <f t="shared" si="1"/>
        <v>264419.13704097515</v>
      </c>
      <c r="AF15" s="40" t="s">
        <v>45</v>
      </c>
      <c r="AG15" s="37">
        <f t="shared" si="1"/>
        <v>308418.48144459346</v>
      </c>
      <c r="AH15" s="40" t="s">
        <v>45</v>
      </c>
      <c r="AI15" s="37">
        <f t="shared" si="1"/>
        <v>416364.9499502012</v>
      </c>
      <c r="AJ15" s="40" t="s">
        <v>45</v>
      </c>
      <c r="AK15" s="37">
        <f t="shared" si="1"/>
        <v>485648.07762191468</v>
      </c>
      <c r="AL15" s="40" t="s">
        <v>45</v>
      </c>
      <c r="AM15" s="37">
        <f t="shared" si="1"/>
        <v>655624.90478958492</v>
      </c>
      <c r="AN15" s="40" t="s">
        <v>45</v>
      </c>
      <c r="AO15" s="37">
        <f t="shared" si="1"/>
        <v>764720.88894657197</v>
      </c>
      <c r="AP15" s="40" t="s">
        <v>45</v>
      </c>
      <c r="AQ15" s="38">
        <f t="shared" si="1"/>
        <v>1032373.2000778723</v>
      </c>
    </row>
    <row r="16" spans="1:46" x14ac:dyDescent="0.2">
      <c r="A16" s="1" t="s">
        <v>26</v>
      </c>
      <c r="B16" s="39" t="s">
        <v>45</v>
      </c>
      <c r="C16" s="40" t="s">
        <v>45</v>
      </c>
      <c r="D16" s="40" t="s">
        <v>45</v>
      </c>
      <c r="E16" s="37">
        <f>E14*(1+$B$9)</f>
        <v>133844.4</v>
      </c>
      <c r="F16" s="40" t="s">
        <v>45</v>
      </c>
      <c r="G16" s="40" t="s">
        <v>45</v>
      </c>
      <c r="H16" s="40" t="s">
        <v>45</v>
      </c>
      <c r="I16" s="37">
        <f t="shared" ref="I16:AO16" si="2">I14*(1+$B$9)</f>
        <v>210756.74601600005</v>
      </c>
      <c r="J16" s="40" t="s">
        <v>45</v>
      </c>
      <c r="K16" s="40" t="s">
        <v>45</v>
      </c>
      <c r="L16" s="40" t="s">
        <v>45</v>
      </c>
      <c r="M16" s="37">
        <f t="shared" si="2"/>
        <v>331866.00254663441</v>
      </c>
      <c r="N16" s="40" t="s">
        <v>45</v>
      </c>
      <c r="O16" s="40" t="s">
        <v>45</v>
      </c>
      <c r="P16" s="40" t="s">
        <v>45</v>
      </c>
      <c r="Q16" s="37">
        <f t="shared" si="2"/>
        <v>522569.48225003254</v>
      </c>
      <c r="R16" s="40" t="s">
        <v>45</v>
      </c>
      <c r="S16" s="40" t="s">
        <v>45</v>
      </c>
      <c r="T16" s="40" t="s">
        <v>45</v>
      </c>
      <c r="U16" s="37">
        <f t="shared" si="2"/>
        <v>822858.80953019147</v>
      </c>
      <c r="V16" s="40" t="s">
        <v>45</v>
      </c>
      <c r="W16" s="40" t="s">
        <v>45</v>
      </c>
      <c r="X16" s="40" t="s">
        <v>45</v>
      </c>
      <c r="Y16" s="37">
        <f t="shared" si="2"/>
        <v>1295706.3958386211</v>
      </c>
      <c r="Z16" s="40" t="s">
        <v>45</v>
      </c>
      <c r="AA16" s="40" t="s">
        <v>45</v>
      </c>
      <c r="AB16" s="40" t="s">
        <v>45</v>
      </c>
      <c r="AC16" s="37">
        <f t="shared" si="2"/>
        <v>2040271.119143327</v>
      </c>
      <c r="AD16" s="40" t="s">
        <v>45</v>
      </c>
      <c r="AE16" s="40" t="s">
        <v>45</v>
      </c>
      <c r="AF16" s="40" t="s">
        <v>45</v>
      </c>
      <c r="AG16" s="37">
        <f t="shared" si="2"/>
        <v>3212692.5150478487</v>
      </c>
      <c r="AH16" s="40" t="s">
        <v>45</v>
      </c>
      <c r="AI16" s="40" t="s">
        <v>45</v>
      </c>
      <c r="AJ16" s="40" t="s">
        <v>45</v>
      </c>
      <c r="AK16" s="37">
        <f t="shared" si="2"/>
        <v>5058834.1418949449</v>
      </c>
      <c r="AL16" s="40" t="s">
        <v>45</v>
      </c>
      <c r="AM16" s="40" t="s">
        <v>45</v>
      </c>
      <c r="AN16" s="40" t="s">
        <v>45</v>
      </c>
      <c r="AO16" s="37">
        <f t="shared" si="2"/>
        <v>7965842.5931934584</v>
      </c>
      <c r="AP16" s="40" t="s">
        <v>45</v>
      </c>
      <c r="AQ16" s="41" t="s">
        <v>45</v>
      </c>
    </row>
    <row r="17" spans="1:43" x14ac:dyDescent="0.2">
      <c r="A17" s="1" t="s">
        <v>25</v>
      </c>
      <c r="B17" s="36">
        <f>SUM(B14:B16)</f>
        <v>85000</v>
      </c>
      <c r="C17" s="37">
        <f t="shared" ref="C17:AQ17" si="3">SUM(C14:C16)</f>
        <v>102816</v>
      </c>
      <c r="D17" s="37">
        <f t="shared" si="3"/>
        <v>99144</v>
      </c>
      <c r="E17" s="37">
        <f t="shared" si="3"/>
        <v>253768.98239999998</v>
      </c>
      <c r="F17" s="37">
        <f t="shared" si="3"/>
        <v>133844.4</v>
      </c>
      <c r="G17" s="37">
        <f t="shared" si="3"/>
        <v>161898.18623999998</v>
      </c>
      <c r="H17" s="37">
        <f t="shared" si="3"/>
        <v>156116.10816</v>
      </c>
      <c r="I17" s="37">
        <f t="shared" si="3"/>
        <v>399594.79044633609</v>
      </c>
      <c r="J17" s="37">
        <f t="shared" si="3"/>
        <v>210756.74601600005</v>
      </c>
      <c r="K17" s="37">
        <f t="shared" si="3"/>
        <v>254931.35998095368</v>
      </c>
      <c r="L17" s="37">
        <f t="shared" si="3"/>
        <v>245826.66855306251</v>
      </c>
      <c r="M17" s="37">
        <f t="shared" si="3"/>
        <v>629217.94082841882</v>
      </c>
      <c r="N17" s="37">
        <f t="shared" si="3"/>
        <v>331866.00254663441</v>
      </c>
      <c r="O17" s="37">
        <f t="shared" si="3"/>
        <v>401425.11668040906</v>
      </c>
      <c r="P17" s="37">
        <f t="shared" si="3"/>
        <v>387088.50537039444</v>
      </c>
      <c r="Q17" s="37">
        <f t="shared" si="3"/>
        <v>990791.73834606167</v>
      </c>
      <c r="R17" s="37">
        <f t="shared" si="3"/>
        <v>522569.48225003254</v>
      </c>
      <c r="S17" s="37">
        <f t="shared" si="3"/>
        <v>632100.04572963947</v>
      </c>
      <c r="T17" s="37">
        <f t="shared" si="3"/>
        <v>609525.0440964381</v>
      </c>
      <c r="U17" s="37">
        <f t="shared" si="3"/>
        <v>1560140.3028692431</v>
      </c>
      <c r="V17" s="37">
        <f t="shared" si="3"/>
        <v>822858.80953019147</v>
      </c>
      <c r="W17" s="37">
        <f t="shared" si="3"/>
        <v>995330.01600771968</v>
      </c>
      <c r="X17" s="37">
        <f t="shared" si="3"/>
        <v>959782.51543601544</v>
      </c>
      <c r="Y17" s="37">
        <f t="shared" si="3"/>
        <v>2456659.3265100252</v>
      </c>
      <c r="Z17" s="37">
        <f t="shared" si="3"/>
        <v>1295706.3958386211</v>
      </c>
      <c r="AA17" s="37">
        <f t="shared" si="3"/>
        <v>1567286.4564063961</v>
      </c>
      <c r="AB17" s="37">
        <f t="shared" si="3"/>
        <v>1511311.9401061679</v>
      </c>
      <c r="AC17" s="37">
        <f t="shared" si="3"/>
        <v>3868354.0418957481</v>
      </c>
      <c r="AD17" s="37">
        <f t="shared" si="3"/>
        <v>2040271.119143327</v>
      </c>
      <c r="AE17" s="37">
        <f t="shared" si="3"/>
        <v>2467911.9457157683</v>
      </c>
      <c r="AF17" s="37">
        <f t="shared" si="3"/>
        <v>2379772.2333687767</v>
      </c>
      <c r="AG17" s="37">
        <f t="shared" si="3"/>
        <v>6091265.0085307211</v>
      </c>
      <c r="AH17" s="37">
        <f t="shared" si="3"/>
        <v>3212692.5150478487</v>
      </c>
      <c r="AI17" s="37">
        <f t="shared" si="3"/>
        <v>3886072.8662018776</v>
      </c>
      <c r="AJ17" s="37">
        <f t="shared" si="3"/>
        <v>3747284.5495518111</v>
      </c>
      <c r="AK17" s="37">
        <f t="shared" si="3"/>
        <v>9591549.5330328159</v>
      </c>
      <c r="AL17" s="37">
        <f t="shared" si="3"/>
        <v>5058834.1418949449</v>
      </c>
      <c r="AM17" s="37">
        <f t="shared" si="3"/>
        <v>6119165.7780361259</v>
      </c>
      <c r="AN17" s="37">
        <f t="shared" si="3"/>
        <v>5900624.143106265</v>
      </c>
      <c r="AO17" s="37">
        <f t="shared" si="3"/>
        <v>15103237.556694798</v>
      </c>
      <c r="AP17" s="37">
        <f t="shared" si="3"/>
        <v>7965842.5931934584</v>
      </c>
      <c r="AQ17" s="38">
        <f t="shared" si="3"/>
        <v>9635483.200726809</v>
      </c>
    </row>
    <row r="18" spans="1:43" x14ac:dyDescent="0.2">
      <c r="A18" s="1" t="s">
        <v>28</v>
      </c>
      <c r="B18" s="36">
        <f>-B14*5%</f>
        <v>-4250</v>
      </c>
      <c r="C18" s="37">
        <f t="shared" ref="C18:Q18" si="4">-C14*5%</f>
        <v>-4590</v>
      </c>
      <c r="D18" s="37">
        <f t="shared" si="4"/>
        <v>-4957.2000000000007</v>
      </c>
      <c r="E18" s="37">
        <f t="shared" si="4"/>
        <v>-5353.7760000000007</v>
      </c>
      <c r="F18" s="37">
        <f t="shared" si="4"/>
        <v>-6692.22</v>
      </c>
      <c r="G18" s="37">
        <f t="shared" si="4"/>
        <v>-7227.5976000000001</v>
      </c>
      <c r="H18" s="37">
        <f t="shared" si="4"/>
        <v>-7805.8054080000002</v>
      </c>
      <c r="I18" s="37">
        <f t="shared" si="4"/>
        <v>-8430.2698406400013</v>
      </c>
      <c r="J18" s="37">
        <f t="shared" si="4"/>
        <v>-10537.837300800004</v>
      </c>
      <c r="K18" s="37">
        <f t="shared" si="4"/>
        <v>-11380.864284864005</v>
      </c>
      <c r="L18" s="37">
        <f t="shared" si="4"/>
        <v>-12291.333427653126</v>
      </c>
      <c r="M18" s="37">
        <f t="shared" si="4"/>
        <v>-13274.640101865378</v>
      </c>
      <c r="N18" s="37">
        <f t="shared" si="4"/>
        <v>-16593.30012733172</v>
      </c>
      <c r="O18" s="37">
        <f t="shared" si="4"/>
        <v>-17920.764137518261</v>
      </c>
      <c r="P18" s="37">
        <f t="shared" si="4"/>
        <v>-19354.425268519724</v>
      </c>
      <c r="Q18" s="37">
        <f t="shared" si="4"/>
        <v>-20902.779290001301</v>
      </c>
      <c r="R18" s="37">
        <v>-22500</v>
      </c>
      <c r="S18" s="37">
        <v>-22500</v>
      </c>
      <c r="T18" s="37">
        <v>-22500</v>
      </c>
      <c r="U18" s="37">
        <v>-22500</v>
      </c>
      <c r="V18" s="37">
        <v>-22500</v>
      </c>
      <c r="W18" s="37">
        <v>-22500</v>
      </c>
      <c r="X18" s="37">
        <v>-22500</v>
      </c>
      <c r="Y18" s="37">
        <v>-22500</v>
      </c>
      <c r="Z18" s="37">
        <v>-22500</v>
      </c>
      <c r="AA18" s="37">
        <v>-22500</v>
      </c>
      <c r="AB18" s="37">
        <v>-22500</v>
      </c>
      <c r="AC18" s="37">
        <v>-22500</v>
      </c>
      <c r="AD18" s="37">
        <v>-22500</v>
      </c>
      <c r="AE18" s="37">
        <v>-22500</v>
      </c>
      <c r="AF18" s="37">
        <v>-22500</v>
      </c>
      <c r="AG18" s="37">
        <v>-22500</v>
      </c>
      <c r="AH18" s="37">
        <v>-22500</v>
      </c>
      <c r="AI18" s="37">
        <v>-22500</v>
      </c>
      <c r="AJ18" s="37">
        <v>-22500</v>
      </c>
      <c r="AK18" s="37">
        <v>-22500</v>
      </c>
      <c r="AL18" s="37">
        <v>-22500</v>
      </c>
      <c r="AM18" s="37">
        <v>-22500</v>
      </c>
      <c r="AN18" s="37">
        <v>-22500</v>
      </c>
      <c r="AO18" s="37">
        <v>-22500</v>
      </c>
      <c r="AP18" s="37">
        <v>-22500</v>
      </c>
      <c r="AQ18" s="38">
        <v>-22500</v>
      </c>
    </row>
    <row r="19" spans="1:43" x14ac:dyDescent="0.2">
      <c r="A19" s="1" t="s">
        <v>27</v>
      </c>
      <c r="B19" s="36">
        <f>SUM(B17:B18)</f>
        <v>80750</v>
      </c>
      <c r="C19" s="37">
        <f t="shared" ref="C19:H19" si="5">SUM(C17:C18)</f>
        <v>98226</v>
      </c>
      <c r="D19" s="37">
        <f t="shared" si="5"/>
        <v>94186.8</v>
      </c>
      <c r="E19" s="37">
        <f t="shared" si="5"/>
        <v>248415.20639999997</v>
      </c>
      <c r="F19" s="37">
        <f t="shared" si="5"/>
        <v>127152.18</v>
      </c>
      <c r="G19" s="37">
        <f t="shared" si="5"/>
        <v>154670.58863999997</v>
      </c>
      <c r="H19" s="37">
        <f t="shared" si="5"/>
        <v>148310.30275199999</v>
      </c>
      <c r="I19" s="37">
        <f t="shared" ref="I19" si="6">SUM(I17:I18)</f>
        <v>391164.52060569607</v>
      </c>
      <c r="J19" s="37">
        <f t="shared" ref="J19" si="7">SUM(J17:J18)</f>
        <v>200218.90871520006</v>
      </c>
      <c r="K19" s="37">
        <f t="shared" ref="K19" si="8">SUM(K17:K18)</f>
        <v>243550.49569608967</v>
      </c>
      <c r="L19" s="37">
        <f t="shared" ref="L19" si="9">SUM(L17:L18)</f>
        <v>233535.33512540939</v>
      </c>
      <c r="M19" s="37">
        <f t="shared" ref="M19:N19" si="10">SUM(M17:M18)</f>
        <v>615943.30072655343</v>
      </c>
      <c r="N19" s="37">
        <f t="shared" si="10"/>
        <v>315272.70241930266</v>
      </c>
      <c r="O19" s="37">
        <f t="shared" ref="O19" si="11">SUM(O17:O18)</f>
        <v>383504.35254289082</v>
      </c>
      <c r="P19" s="37">
        <f t="shared" ref="P19" si="12">SUM(P17:P18)</f>
        <v>367734.08010187472</v>
      </c>
      <c r="Q19" s="37">
        <f t="shared" ref="Q19" si="13">SUM(Q17:Q18)</f>
        <v>969888.95905606041</v>
      </c>
      <c r="R19" s="37">
        <f t="shared" ref="R19" si="14">SUM(R17:R18)</f>
        <v>500069.48225003254</v>
      </c>
      <c r="S19" s="37">
        <f t="shared" ref="S19:T19" si="15">SUM(S17:S18)</f>
        <v>609600.04572963947</v>
      </c>
      <c r="T19" s="37">
        <f t="shared" si="15"/>
        <v>587025.0440964381</v>
      </c>
      <c r="U19" s="37">
        <f t="shared" ref="U19" si="16">SUM(U17:U18)</f>
        <v>1537640.3028692431</v>
      </c>
      <c r="V19" s="37">
        <f t="shared" ref="V19" si="17">SUM(V17:V18)</f>
        <v>800358.80953019147</v>
      </c>
      <c r="W19" s="37">
        <f t="shared" ref="W19" si="18">SUM(W17:W18)</f>
        <v>972830.01600771968</v>
      </c>
      <c r="X19" s="37">
        <f t="shared" ref="X19" si="19">SUM(X17:X18)</f>
        <v>937282.51543601544</v>
      </c>
      <c r="Y19" s="37">
        <f t="shared" ref="Y19:Z19" si="20">SUM(Y17:Y18)</f>
        <v>2434159.3265100252</v>
      </c>
      <c r="Z19" s="37">
        <f t="shared" si="20"/>
        <v>1273206.3958386211</v>
      </c>
      <c r="AA19" s="37">
        <f t="shared" ref="AA19" si="21">SUM(AA17:AA18)</f>
        <v>1544786.4564063961</v>
      </c>
      <c r="AB19" s="37">
        <f t="shared" ref="AB19" si="22">SUM(AB17:AB18)</f>
        <v>1488811.9401061679</v>
      </c>
      <c r="AC19" s="37">
        <f t="shared" ref="AC19" si="23">SUM(AC17:AC18)</f>
        <v>3845854.0418957481</v>
      </c>
      <c r="AD19" s="37">
        <f t="shared" ref="AD19" si="24">SUM(AD17:AD18)</f>
        <v>2017771.119143327</v>
      </c>
      <c r="AE19" s="37">
        <f t="shared" ref="AE19:AF19" si="25">SUM(AE17:AE18)</f>
        <v>2445411.9457157683</v>
      </c>
      <c r="AF19" s="37">
        <f t="shared" si="25"/>
        <v>2357272.2333687767</v>
      </c>
      <c r="AG19" s="37">
        <f t="shared" ref="AG19" si="26">SUM(AG17:AG18)</f>
        <v>6068765.0085307211</v>
      </c>
      <c r="AH19" s="37">
        <f t="shared" ref="AH19" si="27">SUM(AH17:AH18)</f>
        <v>3190192.5150478487</v>
      </c>
      <c r="AI19" s="37">
        <f t="shared" ref="AI19" si="28">SUM(AI17:AI18)</f>
        <v>3863572.8662018776</v>
      </c>
      <c r="AJ19" s="37">
        <f t="shared" ref="AJ19" si="29">SUM(AJ17:AJ18)</f>
        <v>3724784.5495518111</v>
      </c>
      <c r="AK19" s="37">
        <f t="shared" ref="AK19:AL19" si="30">SUM(AK17:AK18)</f>
        <v>9569049.5330328159</v>
      </c>
      <c r="AL19" s="37">
        <f t="shared" si="30"/>
        <v>5036334.1418949449</v>
      </c>
      <c r="AM19" s="37">
        <f t="shared" ref="AM19" si="31">SUM(AM17:AM18)</f>
        <v>6096665.7780361259</v>
      </c>
      <c r="AN19" s="37">
        <f t="shared" ref="AN19" si="32">SUM(AN17:AN18)</f>
        <v>5878124.143106265</v>
      </c>
      <c r="AO19" s="37">
        <f t="shared" ref="AO19" si="33">SUM(AO17:AO18)</f>
        <v>15080737.556694798</v>
      </c>
      <c r="AP19" s="37">
        <f t="shared" ref="AP19" si="34">SUM(AP17:AP18)</f>
        <v>7943342.5931934584</v>
      </c>
      <c r="AQ19" s="38">
        <f t="shared" ref="AQ19" si="35">SUM(AQ17:AQ18)</f>
        <v>9612983.200726809</v>
      </c>
    </row>
    <row r="20" spans="1:43" x14ac:dyDescent="0.2">
      <c r="A20" s="1" t="s">
        <v>50</v>
      </c>
      <c r="B20" s="36">
        <f>((B19-41775)*22%)+4807.5</f>
        <v>13382</v>
      </c>
      <c r="C20" s="37">
        <f>((C19-89075)*24%)+15213</f>
        <v>17409.239999999998</v>
      </c>
      <c r="D20" s="37">
        <f>((D19-89075)*24%)+15213</f>
        <v>16439.832000000002</v>
      </c>
      <c r="E20" s="37">
        <f>((E19-215950)*35%)+49335.5</f>
        <v>60698.322239999987</v>
      </c>
      <c r="F20" s="37">
        <f>((F19-89075)*24%)+15213.5</f>
        <v>24352.023199999996</v>
      </c>
      <c r="G20" s="37">
        <f t="shared" ref="G20:H20" si="36">((G19-89075)*24%)+15213.5</f>
        <v>30956.441273599994</v>
      </c>
      <c r="H20" s="37">
        <f t="shared" si="36"/>
        <v>29429.972660479994</v>
      </c>
      <c r="I20" s="37">
        <f>((I19-215950)*35%)+49335.5</f>
        <v>110660.58221199362</v>
      </c>
      <c r="J20" s="37">
        <f>((J19-170050)*32%)+34647.5</f>
        <v>44301.55078886402</v>
      </c>
      <c r="K20" s="37">
        <f>((K19-215950)*35%)+49335.5</f>
        <v>58995.673493631381</v>
      </c>
      <c r="L20" s="37">
        <f>((L19-215950)*35%)+49335.5</f>
        <v>55490.367293893287</v>
      </c>
      <c r="M20" s="37">
        <f>((M19-539901)*37%)+162718</f>
        <v>190853.65126882476</v>
      </c>
      <c r="N20" s="37">
        <f>((N19-215950)*35%)+49335.5</f>
        <v>84098.445846755931</v>
      </c>
      <c r="O20" s="37">
        <f t="shared" ref="O20:R20" si="37">((O19-215950)*35%)+49335.5</f>
        <v>107979.52339001177</v>
      </c>
      <c r="P20" s="37">
        <f t="shared" si="37"/>
        <v>102459.92803565615</v>
      </c>
      <c r="Q20" s="37">
        <f>((Q19-539901)*37%)+162718</f>
        <v>321813.54485074233</v>
      </c>
      <c r="R20" s="37">
        <f t="shared" si="37"/>
        <v>148777.31878751138</v>
      </c>
      <c r="S20" s="37">
        <f>((S19-539901)*37%)+162718</f>
        <v>188506.64691996662</v>
      </c>
      <c r="T20" s="37">
        <f t="shared" ref="T20:AQ20" si="38">((T19-539901)*37%)+162718</f>
        <v>180153.8963156821</v>
      </c>
      <c r="U20" s="37">
        <f t="shared" si="38"/>
        <v>531881.54206161993</v>
      </c>
      <c r="V20" s="37">
        <f t="shared" si="38"/>
        <v>259087.38952617085</v>
      </c>
      <c r="W20" s="37">
        <f t="shared" si="38"/>
        <v>322901.73592285626</v>
      </c>
      <c r="X20" s="37">
        <f t="shared" si="38"/>
        <v>309749.16071132571</v>
      </c>
      <c r="Y20" s="37">
        <f t="shared" si="38"/>
        <v>863593.58080870926</v>
      </c>
      <c r="Z20" s="37">
        <f t="shared" si="38"/>
        <v>434040.99646028981</v>
      </c>
      <c r="AA20" s="37">
        <f t="shared" si="38"/>
        <v>534525.6188703666</v>
      </c>
      <c r="AB20" s="37">
        <f t="shared" si="38"/>
        <v>513815.04783928214</v>
      </c>
      <c r="AC20" s="37">
        <f t="shared" si="38"/>
        <v>1385920.6255014269</v>
      </c>
      <c r="AD20" s="37">
        <f t="shared" si="38"/>
        <v>709529.94408303103</v>
      </c>
      <c r="AE20" s="37">
        <f t="shared" si="38"/>
        <v>867757.04991483421</v>
      </c>
      <c r="AF20" s="37">
        <f t="shared" si="38"/>
        <v>835145.35634644737</v>
      </c>
      <c r="AG20" s="37">
        <f t="shared" si="38"/>
        <v>2208397.6831563665</v>
      </c>
      <c r="AH20" s="37">
        <f t="shared" si="38"/>
        <v>1143325.8605677038</v>
      </c>
      <c r="AI20" s="37">
        <f t="shared" si="38"/>
        <v>1392476.5904946947</v>
      </c>
      <c r="AJ20" s="37">
        <f t="shared" si="38"/>
        <v>1341124.9133341701</v>
      </c>
      <c r="AK20" s="37">
        <f t="shared" si="38"/>
        <v>3503502.9572221418</v>
      </c>
      <c r="AL20" s="37">
        <f t="shared" si="38"/>
        <v>1826398.2625011296</v>
      </c>
      <c r="AM20" s="37">
        <f t="shared" si="38"/>
        <v>2218720.9678733665</v>
      </c>
      <c r="AN20" s="37">
        <f t="shared" si="38"/>
        <v>2137860.562949318</v>
      </c>
      <c r="AO20" s="37">
        <f t="shared" si="38"/>
        <v>5542827.5259770751</v>
      </c>
      <c r="AP20" s="37">
        <f t="shared" si="38"/>
        <v>2901991.3894815794</v>
      </c>
      <c r="AQ20" s="38">
        <f t="shared" si="38"/>
        <v>3519758.4142689193</v>
      </c>
    </row>
    <row r="21" spans="1:43" x14ac:dyDescent="0.2">
      <c r="A21" s="1" t="s">
        <v>51</v>
      </c>
      <c r="B21" s="36">
        <f>B19*4.5%</f>
        <v>3633.75</v>
      </c>
      <c r="C21" s="37">
        <f t="shared" ref="C21:AQ21" si="39">C19*4.5%</f>
        <v>4420.17</v>
      </c>
      <c r="D21" s="37">
        <f t="shared" si="39"/>
        <v>4238.4059999999999</v>
      </c>
      <c r="E21" s="37">
        <f t="shared" si="39"/>
        <v>11178.684287999999</v>
      </c>
      <c r="F21" s="37">
        <f t="shared" si="39"/>
        <v>5721.8480999999992</v>
      </c>
      <c r="G21" s="37">
        <f t="shared" si="39"/>
        <v>6960.1764887999989</v>
      </c>
      <c r="H21" s="37">
        <f t="shared" si="39"/>
        <v>6673.9636238399989</v>
      </c>
      <c r="I21" s="37">
        <f t="shared" si="39"/>
        <v>17602.403427256322</v>
      </c>
      <c r="J21" s="37">
        <f t="shared" si="39"/>
        <v>9009.8508921840021</v>
      </c>
      <c r="K21" s="37">
        <f t="shared" si="39"/>
        <v>10959.772306324034</v>
      </c>
      <c r="L21" s="37">
        <f t="shared" si="39"/>
        <v>10509.090080643422</v>
      </c>
      <c r="M21" s="37">
        <f t="shared" si="39"/>
        <v>27717.448532694903</v>
      </c>
      <c r="N21" s="37">
        <f t="shared" si="39"/>
        <v>14187.271608868619</v>
      </c>
      <c r="O21" s="37">
        <f t="shared" si="39"/>
        <v>17257.695864430087</v>
      </c>
      <c r="P21" s="37">
        <f t="shared" si="39"/>
        <v>16548.033604584361</v>
      </c>
      <c r="Q21" s="37">
        <f t="shared" si="39"/>
        <v>43645.003157522719</v>
      </c>
      <c r="R21" s="37">
        <f t="shared" si="39"/>
        <v>22503.126701251462</v>
      </c>
      <c r="S21" s="37">
        <f t="shared" si="39"/>
        <v>27432.002057833775</v>
      </c>
      <c r="T21" s="37">
        <f t="shared" si="39"/>
        <v>26416.126984339713</v>
      </c>
      <c r="U21" s="37">
        <f t="shared" si="39"/>
        <v>69193.813629115932</v>
      </c>
      <c r="V21" s="37">
        <f t="shared" si="39"/>
        <v>36016.146428858614</v>
      </c>
      <c r="W21" s="37">
        <f t="shared" si="39"/>
        <v>43777.350720347386</v>
      </c>
      <c r="X21" s="37">
        <f t="shared" si="39"/>
        <v>42177.713194620694</v>
      </c>
      <c r="Y21" s="37">
        <f t="shared" si="39"/>
        <v>109537.16969295112</v>
      </c>
      <c r="Z21" s="37">
        <f t="shared" si="39"/>
        <v>57294.287812737944</v>
      </c>
      <c r="AA21" s="37">
        <f t="shared" si="39"/>
        <v>69515.390538287829</v>
      </c>
      <c r="AB21" s="37">
        <f t="shared" si="39"/>
        <v>66996.53730477755</v>
      </c>
      <c r="AC21" s="37">
        <f t="shared" si="39"/>
        <v>173063.43188530864</v>
      </c>
      <c r="AD21" s="37">
        <f t="shared" si="39"/>
        <v>90799.700361449708</v>
      </c>
      <c r="AE21" s="37">
        <f t="shared" si="39"/>
        <v>110043.53755720957</v>
      </c>
      <c r="AF21" s="37">
        <f t="shared" si="39"/>
        <v>106077.25050159494</v>
      </c>
      <c r="AG21" s="37">
        <f t="shared" si="39"/>
        <v>273094.42538388242</v>
      </c>
      <c r="AH21" s="37">
        <f t="shared" si="39"/>
        <v>143558.66317715318</v>
      </c>
      <c r="AI21" s="37">
        <f t="shared" si="39"/>
        <v>173860.77897908448</v>
      </c>
      <c r="AJ21" s="37">
        <f t="shared" si="39"/>
        <v>167615.30472983149</v>
      </c>
      <c r="AK21" s="37">
        <f t="shared" si="39"/>
        <v>430607.22898647672</v>
      </c>
      <c r="AL21" s="37">
        <f t="shared" si="39"/>
        <v>226635.03638527251</v>
      </c>
      <c r="AM21" s="37">
        <f t="shared" si="39"/>
        <v>274349.96001162566</v>
      </c>
      <c r="AN21" s="37">
        <f t="shared" si="39"/>
        <v>264515.58643978194</v>
      </c>
      <c r="AO21" s="37">
        <f t="shared" si="39"/>
        <v>678633.19005126588</v>
      </c>
      <c r="AP21" s="37">
        <f t="shared" si="39"/>
        <v>357450.4166937056</v>
      </c>
      <c r="AQ21" s="38">
        <f t="shared" si="39"/>
        <v>432584.24403270637</v>
      </c>
    </row>
    <row r="22" spans="1:43" x14ac:dyDescent="0.2">
      <c r="A22" s="1" t="s">
        <v>29</v>
      </c>
      <c r="B22" s="36">
        <f>B19-B20-B21</f>
        <v>63734.25</v>
      </c>
      <c r="C22" s="37">
        <f t="shared" ref="C22:AQ22" si="40">C19-C20-C21</f>
        <v>76396.590000000011</v>
      </c>
      <c r="D22" s="37">
        <f t="shared" si="40"/>
        <v>73508.561999999991</v>
      </c>
      <c r="E22" s="37">
        <f t="shared" si="40"/>
        <v>176538.199872</v>
      </c>
      <c r="F22" s="37">
        <f t="shared" si="40"/>
        <v>97078.308699999994</v>
      </c>
      <c r="G22" s="37">
        <f t="shared" si="40"/>
        <v>116753.97087759998</v>
      </c>
      <c r="H22" s="37">
        <f t="shared" si="40"/>
        <v>112206.36646768</v>
      </c>
      <c r="I22" s="37">
        <f t="shared" si="40"/>
        <v>262901.53496644611</v>
      </c>
      <c r="J22" s="37">
        <f t="shared" si="40"/>
        <v>146907.50703415202</v>
      </c>
      <c r="K22" s="37">
        <f t="shared" si="40"/>
        <v>173595.04989613424</v>
      </c>
      <c r="L22" s="37">
        <f t="shared" si="40"/>
        <v>167535.87775087269</v>
      </c>
      <c r="M22" s="37">
        <f t="shared" si="40"/>
        <v>397372.20092503377</v>
      </c>
      <c r="N22" s="37">
        <f t="shared" si="40"/>
        <v>216986.98496367811</v>
      </c>
      <c r="O22" s="37">
        <f t="shared" si="40"/>
        <v>258267.133288449</v>
      </c>
      <c r="P22" s="37">
        <f t="shared" si="40"/>
        <v>248726.11846163418</v>
      </c>
      <c r="Q22" s="37">
        <f t="shared" si="40"/>
        <v>604430.41104779532</v>
      </c>
      <c r="R22" s="37">
        <f t="shared" si="40"/>
        <v>328789.03676126967</v>
      </c>
      <c r="S22" s="37">
        <f t="shared" si="40"/>
        <v>393661.39675183909</v>
      </c>
      <c r="T22" s="37">
        <f t="shared" si="40"/>
        <v>380455.02079641627</v>
      </c>
      <c r="U22" s="37">
        <f t="shared" si="40"/>
        <v>936564.94717850722</v>
      </c>
      <c r="V22" s="37">
        <f t="shared" si="40"/>
        <v>505255.27357516205</v>
      </c>
      <c r="W22" s="37">
        <f t="shared" si="40"/>
        <v>606150.92936451605</v>
      </c>
      <c r="X22" s="37">
        <f t="shared" si="40"/>
        <v>585355.64153006906</v>
      </c>
      <c r="Y22" s="37">
        <f t="shared" si="40"/>
        <v>1461028.5760083648</v>
      </c>
      <c r="Z22" s="37">
        <f t="shared" si="40"/>
        <v>781871.11156559328</v>
      </c>
      <c r="AA22" s="37">
        <f t="shared" si="40"/>
        <v>940745.4469977417</v>
      </c>
      <c r="AB22" s="37">
        <f t="shared" si="40"/>
        <v>908000.35496210831</v>
      </c>
      <c r="AC22" s="37">
        <f t="shared" si="40"/>
        <v>2286869.9845090127</v>
      </c>
      <c r="AD22" s="37">
        <f t="shared" si="40"/>
        <v>1217441.4746988462</v>
      </c>
      <c r="AE22" s="37">
        <f t="shared" si="40"/>
        <v>1467611.3582437246</v>
      </c>
      <c r="AF22" s="37">
        <f t="shared" si="40"/>
        <v>1416049.6265207343</v>
      </c>
      <c r="AG22" s="37">
        <f t="shared" si="40"/>
        <v>3587272.899990472</v>
      </c>
      <c r="AH22" s="37">
        <f t="shared" si="40"/>
        <v>1903307.9913029918</v>
      </c>
      <c r="AI22" s="37">
        <f t="shared" si="40"/>
        <v>2297235.4967280985</v>
      </c>
      <c r="AJ22" s="37">
        <f t="shared" si="40"/>
        <v>2216044.3314878093</v>
      </c>
      <c r="AK22" s="37">
        <f t="shared" si="40"/>
        <v>5634939.346824198</v>
      </c>
      <c r="AL22" s="37">
        <f t="shared" si="40"/>
        <v>2983300.8430085424</v>
      </c>
      <c r="AM22" s="37">
        <f t="shared" si="40"/>
        <v>3603594.8501511337</v>
      </c>
      <c r="AN22" s="37">
        <f t="shared" si="40"/>
        <v>3475747.9937171652</v>
      </c>
      <c r="AO22" s="37">
        <f t="shared" si="40"/>
        <v>8859276.840666458</v>
      </c>
      <c r="AP22" s="37">
        <f t="shared" si="40"/>
        <v>4683900.7870181724</v>
      </c>
      <c r="AQ22" s="38">
        <f t="shared" si="40"/>
        <v>5660640.5424251836</v>
      </c>
    </row>
    <row r="23" spans="1:43" x14ac:dyDescent="0.2">
      <c r="A23" s="1" t="s">
        <v>48</v>
      </c>
      <c r="B23" s="36">
        <f>B22*5%</f>
        <v>3186.7125000000001</v>
      </c>
      <c r="C23" s="37">
        <f t="shared" ref="C23:AQ23" si="41">C22*5%</f>
        <v>3819.8295000000007</v>
      </c>
      <c r="D23" s="37">
        <f t="shared" si="41"/>
        <v>3675.4280999999996</v>
      </c>
      <c r="E23" s="37">
        <f t="shared" si="41"/>
        <v>8826.9099936000002</v>
      </c>
      <c r="F23" s="37">
        <f t="shared" si="41"/>
        <v>4853.9154349999999</v>
      </c>
      <c r="G23" s="37">
        <f t="shared" si="41"/>
        <v>5837.6985438799993</v>
      </c>
      <c r="H23" s="37">
        <f t="shared" si="41"/>
        <v>5610.318323384</v>
      </c>
      <c r="I23" s="37">
        <f t="shared" si="41"/>
        <v>13145.076748322306</v>
      </c>
      <c r="J23" s="37">
        <f t="shared" si="41"/>
        <v>7345.3753517076011</v>
      </c>
      <c r="K23" s="37">
        <f t="shared" si="41"/>
        <v>8679.752494806713</v>
      </c>
      <c r="L23" s="37">
        <f t="shared" si="41"/>
        <v>8376.7938875436357</v>
      </c>
      <c r="M23" s="37">
        <f t="shared" si="41"/>
        <v>19868.610046251692</v>
      </c>
      <c r="N23" s="37">
        <f t="shared" si="41"/>
        <v>10849.349248183906</v>
      </c>
      <c r="O23" s="37">
        <f t="shared" si="41"/>
        <v>12913.35666442245</v>
      </c>
      <c r="P23" s="37">
        <f t="shared" si="41"/>
        <v>12436.305923081709</v>
      </c>
      <c r="Q23" s="37">
        <f t="shared" si="41"/>
        <v>30221.520552389768</v>
      </c>
      <c r="R23" s="37">
        <f t="shared" si="41"/>
        <v>16439.451838063484</v>
      </c>
      <c r="S23" s="37">
        <f t="shared" si="41"/>
        <v>19683.069837591956</v>
      </c>
      <c r="T23" s="37">
        <f t="shared" si="41"/>
        <v>19022.751039820814</v>
      </c>
      <c r="U23" s="37">
        <f t="shared" si="41"/>
        <v>46828.247358925364</v>
      </c>
      <c r="V23" s="37">
        <f t="shared" si="41"/>
        <v>25262.763678758103</v>
      </c>
      <c r="W23" s="37">
        <f t="shared" si="41"/>
        <v>30307.546468225803</v>
      </c>
      <c r="X23" s="37">
        <f t="shared" si="41"/>
        <v>29267.782076503456</v>
      </c>
      <c r="Y23" s="37">
        <f t="shared" si="41"/>
        <v>73051.428800418245</v>
      </c>
      <c r="Z23" s="37">
        <f t="shared" si="41"/>
        <v>39093.555578279665</v>
      </c>
      <c r="AA23" s="37">
        <f t="shared" si="41"/>
        <v>47037.272349887091</v>
      </c>
      <c r="AB23" s="37">
        <f t="shared" si="41"/>
        <v>45400.01774810542</v>
      </c>
      <c r="AC23" s="37">
        <f t="shared" si="41"/>
        <v>114343.49922545064</v>
      </c>
      <c r="AD23" s="37">
        <f t="shared" si="41"/>
        <v>60872.073734942314</v>
      </c>
      <c r="AE23" s="37">
        <f t="shared" si="41"/>
        <v>73380.567912186234</v>
      </c>
      <c r="AF23" s="37">
        <f t="shared" si="41"/>
        <v>70802.481326036723</v>
      </c>
      <c r="AG23" s="37">
        <f t="shared" si="41"/>
        <v>179363.64499952362</v>
      </c>
      <c r="AH23" s="37">
        <f t="shared" si="41"/>
        <v>95165.399565149593</v>
      </c>
      <c r="AI23" s="37">
        <f t="shared" si="41"/>
        <v>114861.77483640493</v>
      </c>
      <c r="AJ23" s="37">
        <f t="shared" si="41"/>
        <v>110802.21657439048</v>
      </c>
      <c r="AK23" s="37">
        <f t="shared" si="41"/>
        <v>281746.96734120994</v>
      </c>
      <c r="AL23" s="37">
        <f t="shared" si="41"/>
        <v>149165.04215042712</v>
      </c>
      <c r="AM23" s="37">
        <f t="shared" si="41"/>
        <v>180179.74250755669</v>
      </c>
      <c r="AN23" s="37">
        <f t="shared" si="41"/>
        <v>173787.39968585828</v>
      </c>
      <c r="AO23" s="37">
        <f t="shared" si="41"/>
        <v>442963.8420333229</v>
      </c>
      <c r="AP23" s="37">
        <f t="shared" si="41"/>
        <v>234195.03935090863</v>
      </c>
      <c r="AQ23" s="38">
        <f t="shared" si="41"/>
        <v>283032.02712125919</v>
      </c>
    </row>
    <row r="24" spans="1:43" ht="16" thickBot="1" x14ac:dyDescent="0.25">
      <c r="A24" s="32" t="s">
        <v>4</v>
      </c>
      <c r="B24" s="42">
        <f>B22-B23</f>
        <v>60547.537499999999</v>
      </c>
      <c r="C24" s="43">
        <f t="shared" ref="C24:AQ24" si="42">C22-C23</f>
        <v>72576.760500000004</v>
      </c>
      <c r="D24" s="43">
        <f t="shared" si="42"/>
        <v>69833.133899999986</v>
      </c>
      <c r="E24" s="43">
        <f t="shared" si="42"/>
        <v>167711.28987839998</v>
      </c>
      <c r="F24" s="43">
        <f t="shared" si="42"/>
        <v>92224.393264999992</v>
      </c>
      <c r="G24" s="43">
        <f t="shared" si="42"/>
        <v>110916.27233371997</v>
      </c>
      <c r="H24" s="43">
        <f t="shared" si="42"/>
        <v>106596.048144296</v>
      </c>
      <c r="I24" s="43">
        <f t="shared" si="42"/>
        <v>249756.45821812379</v>
      </c>
      <c r="J24" s="43">
        <f t="shared" si="42"/>
        <v>139562.13168244442</v>
      </c>
      <c r="K24" s="43">
        <f t="shared" si="42"/>
        <v>164915.29740132752</v>
      </c>
      <c r="L24" s="43">
        <f t="shared" si="42"/>
        <v>159159.08386332906</v>
      </c>
      <c r="M24" s="43">
        <f t="shared" si="42"/>
        <v>377503.5908787821</v>
      </c>
      <c r="N24" s="43">
        <f t="shared" si="42"/>
        <v>206137.63571549422</v>
      </c>
      <c r="O24" s="43">
        <f t="shared" si="42"/>
        <v>245353.77662402653</v>
      </c>
      <c r="P24" s="43">
        <f t="shared" si="42"/>
        <v>236289.81253855248</v>
      </c>
      <c r="Q24" s="43">
        <f t="shared" si="42"/>
        <v>574208.89049540553</v>
      </c>
      <c r="R24" s="43">
        <f t="shared" si="42"/>
        <v>312349.58492320619</v>
      </c>
      <c r="S24" s="43">
        <f t="shared" si="42"/>
        <v>373978.32691424713</v>
      </c>
      <c r="T24" s="43">
        <f t="shared" si="42"/>
        <v>361432.26975659543</v>
      </c>
      <c r="U24" s="43">
        <f t="shared" si="42"/>
        <v>889736.69981958182</v>
      </c>
      <c r="V24" s="43">
        <f t="shared" si="42"/>
        <v>479992.50989640394</v>
      </c>
      <c r="W24" s="43">
        <f t="shared" si="42"/>
        <v>575843.38289629028</v>
      </c>
      <c r="X24" s="43">
        <f t="shared" si="42"/>
        <v>556087.85945356556</v>
      </c>
      <c r="Y24" s="43">
        <f t="shared" si="42"/>
        <v>1387977.1472079465</v>
      </c>
      <c r="Z24" s="43">
        <f t="shared" si="42"/>
        <v>742777.55598731362</v>
      </c>
      <c r="AA24" s="43">
        <f t="shared" si="42"/>
        <v>893708.17464785464</v>
      </c>
      <c r="AB24" s="43">
        <f t="shared" si="42"/>
        <v>862600.33721400285</v>
      </c>
      <c r="AC24" s="43">
        <f t="shared" si="42"/>
        <v>2172526.485283562</v>
      </c>
      <c r="AD24" s="43">
        <f t="shared" si="42"/>
        <v>1156569.4009639039</v>
      </c>
      <c r="AE24" s="43">
        <f t="shared" si="42"/>
        <v>1394230.7903315383</v>
      </c>
      <c r="AF24" s="43">
        <f t="shared" si="42"/>
        <v>1345247.1451946977</v>
      </c>
      <c r="AG24" s="43">
        <f t="shared" si="42"/>
        <v>3407909.2549909484</v>
      </c>
      <c r="AH24" s="43">
        <f t="shared" si="42"/>
        <v>1808142.5917378422</v>
      </c>
      <c r="AI24" s="43">
        <f t="shared" si="42"/>
        <v>2182373.7218916938</v>
      </c>
      <c r="AJ24" s="43">
        <f t="shared" si="42"/>
        <v>2105242.1149134189</v>
      </c>
      <c r="AK24" s="43">
        <f t="shared" si="42"/>
        <v>5353192.3794829883</v>
      </c>
      <c r="AL24" s="43">
        <f t="shared" si="42"/>
        <v>2834135.8008581153</v>
      </c>
      <c r="AM24" s="43">
        <f t="shared" si="42"/>
        <v>3423415.1076435773</v>
      </c>
      <c r="AN24" s="43">
        <f t="shared" si="42"/>
        <v>3301960.5940313069</v>
      </c>
      <c r="AO24" s="43">
        <f t="shared" si="42"/>
        <v>8416312.9986331351</v>
      </c>
      <c r="AP24" s="43">
        <f t="shared" si="42"/>
        <v>4449705.7476672642</v>
      </c>
      <c r="AQ24" s="44">
        <f t="shared" si="42"/>
        <v>5377608.5153039247</v>
      </c>
    </row>
    <row r="25" spans="1:43" ht="16" thickBot="1" x14ac:dyDescent="0.25"/>
    <row r="26" spans="1:43" ht="16" thickBot="1" x14ac:dyDescent="0.25">
      <c r="A26" s="21" t="s">
        <v>30</v>
      </c>
    </row>
    <row r="27" spans="1:43" x14ac:dyDescent="0.2">
      <c r="A27" s="22" t="s">
        <v>43</v>
      </c>
      <c r="B27" s="45">
        <f>B22*50%</f>
        <v>31867.125</v>
      </c>
      <c r="C27" s="46">
        <f t="shared" ref="C27:AQ27" si="43">C22*50%</f>
        <v>38198.295000000006</v>
      </c>
      <c r="D27" s="46">
        <f t="shared" si="43"/>
        <v>36754.280999999995</v>
      </c>
      <c r="E27" s="46">
        <f t="shared" si="43"/>
        <v>88269.099935999999</v>
      </c>
      <c r="F27" s="46">
        <f t="shared" si="43"/>
        <v>48539.154349999997</v>
      </c>
      <c r="G27" s="46">
        <f t="shared" si="43"/>
        <v>58376.985438799988</v>
      </c>
      <c r="H27" s="46">
        <f t="shared" si="43"/>
        <v>56103.183233839998</v>
      </c>
      <c r="I27" s="46">
        <f t="shared" si="43"/>
        <v>131450.76748322306</v>
      </c>
      <c r="J27" s="46">
        <f t="shared" si="43"/>
        <v>73453.753517076009</v>
      </c>
      <c r="K27" s="46">
        <f t="shared" si="43"/>
        <v>86797.524948067119</v>
      </c>
      <c r="L27" s="46">
        <f t="shared" si="43"/>
        <v>83767.938875436346</v>
      </c>
      <c r="M27" s="46">
        <f t="shared" si="43"/>
        <v>198686.10046251689</v>
      </c>
      <c r="N27" s="46">
        <f t="shared" si="43"/>
        <v>108493.49248183906</v>
      </c>
      <c r="O27" s="46">
        <f t="shared" si="43"/>
        <v>129133.5666442245</v>
      </c>
      <c r="P27" s="46">
        <f t="shared" si="43"/>
        <v>124363.05923081709</v>
      </c>
      <c r="Q27" s="46">
        <f t="shared" si="43"/>
        <v>302215.20552389766</v>
      </c>
      <c r="R27" s="46">
        <f t="shared" si="43"/>
        <v>164394.51838063484</v>
      </c>
      <c r="S27" s="46">
        <f t="shared" si="43"/>
        <v>196830.69837591954</v>
      </c>
      <c r="T27" s="46">
        <f t="shared" si="43"/>
        <v>190227.51039820813</v>
      </c>
      <c r="U27" s="46">
        <f t="shared" si="43"/>
        <v>468282.47358925361</v>
      </c>
      <c r="V27" s="46">
        <f t="shared" si="43"/>
        <v>252627.63678758102</v>
      </c>
      <c r="W27" s="46">
        <f t="shared" si="43"/>
        <v>303075.46468225803</v>
      </c>
      <c r="X27" s="46">
        <f t="shared" si="43"/>
        <v>292677.82076503453</v>
      </c>
      <c r="Y27" s="46">
        <f t="shared" si="43"/>
        <v>730514.2880041824</v>
      </c>
      <c r="Z27" s="46">
        <f t="shared" si="43"/>
        <v>390935.55578279664</v>
      </c>
      <c r="AA27" s="46">
        <f t="shared" si="43"/>
        <v>470372.72349887085</v>
      </c>
      <c r="AB27" s="46">
        <f t="shared" si="43"/>
        <v>454000.17748105415</v>
      </c>
      <c r="AC27" s="46">
        <f t="shared" si="43"/>
        <v>1143434.9922545063</v>
      </c>
      <c r="AD27" s="46">
        <f t="shared" si="43"/>
        <v>608720.73734942311</v>
      </c>
      <c r="AE27" s="46">
        <f t="shared" si="43"/>
        <v>733805.67912186228</v>
      </c>
      <c r="AF27" s="46">
        <f t="shared" si="43"/>
        <v>708024.81326036714</v>
      </c>
      <c r="AG27" s="46">
        <f t="shared" si="43"/>
        <v>1793636.449995236</v>
      </c>
      <c r="AH27" s="46">
        <f t="shared" si="43"/>
        <v>951653.99565149588</v>
      </c>
      <c r="AI27" s="46">
        <f t="shared" si="43"/>
        <v>1148617.7483640492</v>
      </c>
      <c r="AJ27" s="46">
        <f t="shared" si="43"/>
        <v>1108022.1657439047</v>
      </c>
      <c r="AK27" s="46">
        <f t="shared" si="43"/>
        <v>2817469.673412099</v>
      </c>
      <c r="AL27" s="46">
        <f t="shared" si="43"/>
        <v>1491650.4215042712</v>
      </c>
      <c r="AM27" s="46">
        <f t="shared" si="43"/>
        <v>1801797.4250755669</v>
      </c>
      <c r="AN27" s="46">
        <f t="shared" si="43"/>
        <v>1737873.9968585826</v>
      </c>
      <c r="AO27" s="46">
        <f t="shared" si="43"/>
        <v>4429638.420333229</v>
      </c>
      <c r="AP27" s="46">
        <f t="shared" si="43"/>
        <v>2341950.3935090862</v>
      </c>
      <c r="AQ27" s="47">
        <f t="shared" si="43"/>
        <v>2830320.2712125918</v>
      </c>
    </row>
    <row r="28" spans="1:43" x14ac:dyDescent="0.2">
      <c r="A28" s="23" t="s">
        <v>31</v>
      </c>
      <c r="B28" s="39">
        <v>0</v>
      </c>
      <c r="C28" s="37">
        <v>25000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37">
        <v>50000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37">
        <v>58000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37">
        <v>75000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37">
        <v>100000</v>
      </c>
      <c r="AH28" s="40">
        <v>0</v>
      </c>
      <c r="AI28" s="40">
        <v>0</v>
      </c>
      <c r="AJ28" s="40">
        <v>0</v>
      </c>
      <c r="AK28" s="40">
        <v>0</v>
      </c>
      <c r="AL28" s="40">
        <v>0</v>
      </c>
      <c r="AM28" s="40">
        <v>0</v>
      </c>
      <c r="AN28" s="37">
        <v>60000</v>
      </c>
      <c r="AO28" s="40">
        <v>0</v>
      </c>
      <c r="AP28" s="40">
        <v>0</v>
      </c>
      <c r="AQ28" s="41">
        <v>0</v>
      </c>
    </row>
    <row r="29" spans="1:43" x14ac:dyDescent="0.2">
      <c r="A29" s="23" t="s">
        <v>32</v>
      </c>
      <c r="B29" s="36">
        <v>2000</v>
      </c>
      <c r="C29" s="37">
        <v>2000</v>
      </c>
      <c r="D29" s="37">
        <v>2000</v>
      </c>
      <c r="E29" s="37">
        <v>2000</v>
      </c>
      <c r="F29" s="37">
        <v>5000</v>
      </c>
      <c r="G29" s="37">
        <v>5000</v>
      </c>
      <c r="H29" s="37">
        <v>5000</v>
      </c>
      <c r="I29" s="37">
        <v>5000</v>
      </c>
      <c r="J29" s="37">
        <v>5000</v>
      </c>
      <c r="K29" s="37">
        <v>5000</v>
      </c>
      <c r="L29" s="37">
        <v>5000</v>
      </c>
      <c r="M29" s="37">
        <v>10000</v>
      </c>
      <c r="N29" s="37">
        <v>10000</v>
      </c>
      <c r="O29" s="37">
        <v>10000</v>
      </c>
      <c r="P29" s="37">
        <v>10000</v>
      </c>
      <c r="Q29" s="37">
        <v>10000</v>
      </c>
      <c r="R29" s="37">
        <v>10000</v>
      </c>
      <c r="S29" s="37">
        <v>10000</v>
      </c>
      <c r="T29" s="37">
        <v>10000</v>
      </c>
      <c r="U29" s="37">
        <v>20000</v>
      </c>
      <c r="V29" s="37">
        <v>20000</v>
      </c>
      <c r="W29" s="37">
        <v>20000</v>
      </c>
      <c r="X29" s="37">
        <v>20000</v>
      </c>
      <c r="Y29" s="37">
        <v>20000</v>
      </c>
      <c r="Z29" s="37">
        <v>20000</v>
      </c>
      <c r="AA29" s="37">
        <v>20000</v>
      </c>
      <c r="AB29" s="37">
        <v>30000</v>
      </c>
      <c r="AC29" s="37">
        <v>30000</v>
      </c>
      <c r="AD29" s="37">
        <v>30000</v>
      </c>
      <c r="AE29" s="37">
        <v>30000</v>
      </c>
      <c r="AF29" s="37">
        <v>30000</v>
      </c>
      <c r="AG29" s="37">
        <v>30000</v>
      </c>
      <c r="AH29" s="37">
        <v>30000</v>
      </c>
      <c r="AI29" s="37">
        <v>40000</v>
      </c>
      <c r="AJ29" s="37">
        <v>40000</v>
      </c>
      <c r="AK29" s="37">
        <v>40000</v>
      </c>
      <c r="AL29" s="37">
        <v>40000</v>
      </c>
      <c r="AM29" s="37">
        <v>40000</v>
      </c>
      <c r="AN29" s="37">
        <v>40000</v>
      </c>
      <c r="AO29" s="37">
        <v>50000</v>
      </c>
      <c r="AP29" s="37">
        <v>50000</v>
      </c>
      <c r="AQ29" s="38">
        <v>50000</v>
      </c>
    </row>
    <row r="30" spans="1:43" x14ac:dyDescent="0.2">
      <c r="A30" s="24" t="s">
        <v>33</v>
      </c>
      <c r="B30" s="36">
        <f>B22*3%</f>
        <v>1912.0274999999999</v>
      </c>
      <c r="C30" s="37">
        <f t="shared" ref="C30:AQ30" si="44">C22*3%</f>
        <v>2291.8977000000004</v>
      </c>
      <c r="D30" s="37">
        <f t="shared" si="44"/>
        <v>2205.2568599999995</v>
      </c>
      <c r="E30" s="37">
        <f t="shared" si="44"/>
        <v>5296.1459961599994</v>
      </c>
      <c r="F30" s="37">
        <f t="shared" si="44"/>
        <v>2912.3492609999998</v>
      </c>
      <c r="G30" s="37">
        <f t="shared" si="44"/>
        <v>3502.6191263279993</v>
      </c>
      <c r="H30" s="37">
        <f t="shared" si="44"/>
        <v>3366.1909940303999</v>
      </c>
      <c r="I30" s="37">
        <f t="shared" si="44"/>
        <v>7887.046048993383</v>
      </c>
      <c r="J30" s="37">
        <f t="shared" si="44"/>
        <v>4407.2252110245608</v>
      </c>
      <c r="K30" s="37">
        <f t="shared" si="44"/>
        <v>5207.8514968840273</v>
      </c>
      <c r="L30" s="37">
        <f t="shared" si="44"/>
        <v>5026.0763325261805</v>
      </c>
      <c r="M30" s="37">
        <f t="shared" si="44"/>
        <v>11921.166027751013</v>
      </c>
      <c r="N30" s="37">
        <f t="shared" si="44"/>
        <v>6509.6095489103436</v>
      </c>
      <c r="O30" s="37">
        <f t="shared" si="44"/>
        <v>7748.0139986534696</v>
      </c>
      <c r="P30" s="37">
        <f t="shared" si="44"/>
        <v>7461.7835538490253</v>
      </c>
      <c r="Q30" s="37">
        <f t="shared" si="44"/>
        <v>18132.912331433858</v>
      </c>
      <c r="R30" s="37">
        <f t="shared" si="44"/>
        <v>9863.6711028380905</v>
      </c>
      <c r="S30" s="37">
        <f t="shared" si="44"/>
        <v>11809.841902555172</v>
      </c>
      <c r="T30" s="37">
        <f t="shared" si="44"/>
        <v>11413.650623892489</v>
      </c>
      <c r="U30" s="37">
        <f t="shared" si="44"/>
        <v>28096.948415355215</v>
      </c>
      <c r="V30" s="37">
        <f t="shared" si="44"/>
        <v>15157.658207254861</v>
      </c>
      <c r="W30" s="37">
        <f t="shared" si="44"/>
        <v>18184.527880935482</v>
      </c>
      <c r="X30" s="37">
        <f t="shared" si="44"/>
        <v>17560.669245902071</v>
      </c>
      <c r="Y30" s="37">
        <f t="shared" si="44"/>
        <v>43830.857280250944</v>
      </c>
      <c r="Z30" s="37">
        <f t="shared" si="44"/>
        <v>23456.133346967799</v>
      </c>
      <c r="AA30" s="37">
        <f t="shared" si="44"/>
        <v>28222.363409932252</v>
      </c>
      <c r="AB30" s="37">
        <f t="shared" si="44"/>
        <v>27240.010648863248</v>
      </c>
      <c r="AC30" s="37">
        <f t="shared" si="44"/>
        <v>68606.099535270376</v>
      </c>
      <c r="AD30" s="37">
        <f t="shared" si="44"/>
        <v>36523.244240965389</v>
      </c>
      <c r="AE30" s="37">
        <f t="shared" si="44"/>
        <v>44028.340747311733</v>
      </c>
      <c r="AF30" s="37">
        <f t="shared" si="44"/>
        <v>42481.488795622026</v>
      </c>
      <c r="AG30" s="37">
        <f t="shared" si="44"/>
        <v>107618.18699971416</v>
      </c>
      <c r="AH30" s="37">
        <f t="shared" si="44"/>
        <v>57099.239739089753</v>
      </c>
      <c r="AI30" s="37">
        <f t="shared" si="44"/>
        <v>68917.064901842954</v>
      </c>
      <c r="AJ30" s="37">
        <f t="shared" si="44"/>
        <v>66481.329944634272</v>
      </c>
      <c r="AK30" s="37">
        <f t="shared" si="44"/>
        <v>169048.18040472592</v>
      </c>
      <c r="AL30" s="37">
        <f t="shared" si="44"/>
        <v>89499.025290256264</v>
      </c>
      <c r="AM30" s="37">
        <f t="shared" si="44"/>
        <v>108107.84550453401</v>
      </c>
      <c r="AN30" s="37">
        <f t="shared" si="44"/>
        <v>104272.43981151495</v>
      </c>
      <c r="AO30" s="37">
        <f t="shared" si="44"/>
        <v>265778.30521999375</v>
      </c>
      <c r="AP30" s="37">
        <f t="shared" si="44"/>
        <v>140517.02361054518</v>
      </c>
      <c r="AQ30" s="38">
        <f t="shared" si="44"/>
        <v>169819.2162727555</v>
      </c>
    </row>
    <row r="31" spans="1:43" x14ac:dyDescent="0.2">
      <c r="A31" s="24" t="s">
        <v>47</v>
      </c>
      <c r="B31" s="36">
        <v>0</v>
      </c>
      <c r="C31" s="37">
        <v>0</v>
      </c>
      <c r="D31" s="37">
        <v>0</v>
      </c>
      <c r="E31" s="37">
        <v>20000</v>
      </c>
      <c r="F31" s="37">
        <v>0</v>
      </c>
      <c r="G31" s="37">
        <v>0</v>
      </c>
      <c r="H31" s="37">
        <v>0</v>
      </c>
      <c r="I31" s="37">
        <v>0</v>
      </c>
      <c r="J31" s="37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3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0</v>
      </c>
      <c r="AE31" s="37">
        <v>0</v>
      </c>
      <c r="AF31" s="37">
        <v>0</v>
      </c>
      <c r="AG31" s="37">
        <v>0</v>
      </c>
      <c r="AH31" s="37">
        <v>0</v>
      </c>
      <c r="AI31" s="37">
        <v>0</v>
      </c>
      <c r="AJ31" s="37">
        <v>0</v>
      </c>
      <c r="AK31" s="37">
        <v>0</v>
      </c>
      <c r="AL31" s="37">
        <v>0</v>
      </c>
      <c r="AM31" s="37">
        <v>0</v>
      </c>
      <c r="AN31" s="37">
        <v>0</v>
      </c>
      <c r="AO31" s="37">
        <v>0</v>
      </c>
      <c r="AP31" s="37">
        <v>0</v>
      </c>
      <c r="AQ31" s="38">
        <v>0</v>
      </c>
    </row>
    <row r="32" spans="1:43" x14ac:dyDescent="0.2">
      <c r="A32" s="23" t="s">
        <v>34</v>
      </c>
      <c r="B32" s="39">
        <v>0</v>
      </c>
      <c r="C32" s="40">
        <v>0</v>
      </c>
      <c r="D32" s="40">
        <v>0</v>
      </c>
      <c r="E32" s="40">
        <v>0</v>
      </c>
      <c r="F32" s="40">
        <v>0</v>
      </c>
      <c r="G32" s="37">
        <f>G22*10%</f>
        <v>11675.397087759999</v>
      </c>
      <c r="H32" s="37">
        <f>H22*10%</f>
        <v>11220.636646768</v>
      </c>
      <c r="I32" s="37">
        <f>(I22-I16)*10%</f>
        <v>5214.4788950446064</v>
      </c>
      <c r="J32" s="37">
        <f>J22*10%</f>
        <v>14690.750703415202</v>
      </c>
      <c r="K32" s="37">
        <f>K22*10%</f>
        <v>17359.504989613426</v>
      </c>
      <c r="L32" s="37">
        <f>L22*10%</f>
        <v>16753.587775087271</v>
      </c>
      <c r="M32" s="37">
        <f>(M22-M16)*10%</f>
        <v>6550.6198378399367</v>
      </c>
      <c r="N32" s="37">
        <f>N22*10%</f>
        <v>21698.698496367811</v>
      </c>
      <c r="O32" s="37">
        <f>O22*10%</f>
        <v>25826.7133288449</v>
      </c>
      <c r="P32" s="37">
        <f>P22*10%</f>
        <v>24872.611846163418</v>
      </c>
      <c r="Q32" s="37">
        <f>Q22*10%</f>
        <v>60443.041104779535</v>
      </c>
      <c r="R32" s="37">
        <f>R22*10%</f>
        <v>32878.903676126967</v>
      </c>
      <c r="S32" s="37">
        <f>S22*10%</f>
        <v>39366.139675183913</v>
      </c>
      <c r="T32" s="37">
        <f>T22*10%</f>
        <v>38045.502079641628</v>
      </c>
      <c r="U32" s="37">
        <f>(U22-U16)*10%</f>
        <v>11370.613764831576</v>
      </c>
      <c r="V32" s="37">
        <f>V22*10%</f>
        <v>50525.527357516206</v>
      </c>
      <c r="W32" s="37">
        <f>W22*10%</f>
        <v>60615.092936451605</v>
      </c>
      <c r="X32" s="37">
        <f>X22*10%</f>
        <v>58535.564153006912</v>
      </c>
      <c r="Y32" s="37">
        <f>Y22*10%</f>
        <v>146102.85760083649</v>
      </c>
      <c r="Z32" s="37">
        <f>Z22*10%</f>
        <v>78187.111156559331</v>
      </c>
      <c r="AA32" s="37">
        <f>AA22*10%</f>
        <v>94074.544699774182</v>
      </c>
      <c r="AB32" s="37">
        <f>AB22*10%</f>
        <v>90800.035496210839</v>
      </c>
      <c r="AC32" s="37">
        <f>AC22*10%</f>
        <v>228686.99845090127</v>
      </c>
      <c r="AD32" s="37">
        <f>AD22*10%</f>
        <v>121744.14746988463</v>
      </c>
      <c r="AE32" s="37">
        <f>AE22*10%</f>
        <v>146761.13582437247</v>
      </c>
      <c r="AF32" s="37">
        <v>0</v>
      </c>
      <c r="AG32" s="37">
        <v>0</v>
      </c>
      <c r="AH32" s="37">
        <v>0</v>
      </c>
      <c r="AI32" s="37">
        <v>0</v>
      </c>
      <c r="AJ32" s="37">
        <v>0</v>
      </c>
      <c r="AK32" s="37">
        <v>0</v>
      </c>
      <c r="AL32" s="37">
        <v>0</v>
      </c>
      <c r="AM32" s="37">
        <v>0</v>
      </c>
      <c r="AN32" s="37">
        <v>0</v>
      </c>
      <c r="AO32" s="37">
        <v>0</v>
      </c>
      <c r="AP32" s="37">
        <v>0</v>
      </c>
      <c r="AQ32" s="38">
        <v>0</v>
      </c>
    </row>
    <row r="33" spans="1:43" x14ac:dyDescent="0.2">
      <c r="A33" s="23" t="s">
        <v>35</v>
      </c>
      <c r="B33" s="36">
        <f>100*12</f>
        <v>1200</v>
      </c>
      <c r="C33" s="37">
        <f t="shared" ref="C33:F33" si="45">100*12</f>
        <v>1200</v>
      </c>
      <c r="D33" s="37">
        <f t="shared" si="45"/>
        <v>1200</v>
      </c>
      <c r="E33" s="37">
        <f t="shared" si="45"/>
        <v>1200</v>
      </c>
      <c r="F33" s="37">
        <f t="shared" si="45"/>
        <v>1200</v>
      </c>
      <c r="G33" s="37">
        <f>500*12</f>
        <v>6000</v>
      </c>
      <c r="H33" s="37">
        <f t="shared" ref="H33:AE33" si="46">500*12</f>
        <v>6000</v>
      </c>
      <c r="I33" s="37">
        <f t="shared" si="46"/>
        <v>6000</v>
      </c>
      <c r="J33" s="37">
        <f t="shared" si="46"/>
        <v>6000</v>
      </c>
      <c r="K33" s="37">
        <f t="shared" si="46"/>
        <v>6000</v>
      </c>
      <c r="L33" s="37">
        <f t="shared" si="46"/>
        <v>6000</v>
      </c>
      <c r="M33" s="37">
        <f t="shared" si="46"/>
        <v>6000</v>
      </c>
      <c r="N33" s="37">
        <f t="shared" si="46"/>
        <v>6000</v>
      </c>
      <c r="O33" s="37">
        <f t="shared" si="46"/>
        <v>6000</v>
      </c>
      <c r="P33" s="37">
        <f t="shared" si="46"/>
        <v>6000</v>
      </c>
      <c r="Q33" s="37">
        <f t="shared" si="46"/>
        <v>6000</v>
      </c>
      <c r="R33" s="37">
        <f t="shared" si="46"/>
        <v>6000</v>
      </c>
      <c r="S33" s="37">
        <f t="shared" si="46"/>
        <v>6000</v>
      </c>
      <c r="T33" s="37">
        <f t="shared" si="46"/>
        <v>6000</v>
      </c>
      <c r="U33" s="37">
        <f t="shared" si="46"/>
        <v>6000</v>
      </c>
      <c r="V33" s="37">
        <f t="shared" si="46"/>
        <v>6000</v>
      </c>
      <c r="W33" s="37">
        <f t="shared" si="46"/>
        <v>6000</v>
      </c>
      <c r="X33" s="37">
        <f t="shared" si="46"/>
        <v>6000</v>
      </c>
      <c r="Y33" s="37">
        <f t="shared" si="46"/>
        <v>6000</v>
      </c>
      <c r="Z33" s="37">
        <f t="shared" si="46"/>
        <v>6000</v>
      </c>
      <c r="AA33" s="37">
        <f t="shared" si="46"/>
        <v>6000</v>
      </c>
      <c r="AB33" s="37">
        <f t="shared" si="46"/>
        <v>6000</v>
      </c>
      <c r="AC33" s="37">
        <f t="shared" si="46"/>
        <v>6000</v>
      </c>
      <c r="AD33" s="37">
        <f t="shared" si="46"/>
        <v>6000</v>
      </c>
      <c r="AE33" s="37">
        <f t="shared" si="46"/>
        <v>6000</v>
      </c>
      <c r="AF33" s="37">
        <f>300*12</f>
        <v>3600</v>
      </c>
      <c r="AG33" s="37">
        <f t="shared" ref="AG33:AQ33" si="47">300*12</f>
        <v>3600</v>
      </c>
      <c r="AH33" s="37">
        <f t="shared" si="47"/>
        <v>3600</v>
      </c>
      <c r="AI33" s="37">
        <f t="shared" si="47"/>
        <v>3600</v>
      </c>
      <c r="AJ33" s="37">
        <f t="shared" si="47"/>
        <v>3600</v>
      </c>
      <c r="AK33" s="37">
        <f t="shared" si="47"/>
        <v>3600</v>
      </c>
      <c r="AL33" s="37">
        <f t="shared" si="47"/>
        <v>3600</v>
      </c>
      <c r="AM33" s="37">
        <f t="shared" si="47"/>
        <v>3600</v>
      </c>
      <c r="AN33" s="37">
        <f t="shared" si="47"/>
        <v>3600</v>
      </c>
      <c r="AO33" s="37">
        <f t="shared" si="47"/>
        <v>3600</v>
      </c>
      <c r="AP33" s="37">
        <f t="shared" si="47"/>
        <v>3600</v>
      </c>
      <c r="AQ33" s="38">
        <f t="shared" si="47"/>
        <v>3600</v>
      </c>
    </row>
    <row r="34" spans="1:43" x14ac:dyDescent="0.2">
      <c r="A34" s="23" t="s">
        <v>37</v>
      </c>
      <c r="B34" s="39">
        <v>0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40">
        <v>0</v>
      </c>
      <c r="AJ34" s="40">
        <v>0</v>
      </c>
      <c r="AK34" s="37">
        <v>800000</v>
      </c>
      <c r="AL34" s="40">
        <v>0</v>
      </c>
      <c r="AM34" s="40">
        <v>0</v>
      </c>
      <c r="AN34" s="40">
        <v>0</v>
      </c>
      <c r="AO34" s="40">
        <v>0</v>
      </c>
      <c r="AP34" s="40">
        <v>0</v>
      </c>
      <c r="AQ34" s="41">
        <v>0</v>
      </c>
    </row>
    <row r="35" spans="1:43" ht="16" thickBot="1" x14ac:dyDescent="0.25">
      <c r="A35" s="25" t="s">
        <v>36</v>
      </c>
      <c r="B35" s="42">
        <f>SUM(B27:B34)</f>
        <v>36979.152499999997</v>
      </c>
      <c r="C35" s="43">
        <f>SUM(C27:C34)</f>
        <v>68690.1927</v>
      </c>
      <c r="D35" s="43">
        <f>SUM(D27:D34)</f>
        <v>42159.537859999997</v>
      </c>
      <c r="E35" s="43">
        <f>SUM(E27:E34)</f>
        <v>116765.24593216</v>
      </c>
      <c r="F35" s="43">
        <f>SUM(F27:F34)</f>
        <v>57651.503611</v>
      </c>
      <c r="G35" s="43">
        <f>SUM(G27:G34)</f>
        <v>84555.001652887979</v>
      </c>
      <c r="H35" s="43">
        <f>SUM(H27:H34)</f>
        <v>81690.010874638407</v>
      </c>
      <c r="I35" s="43">
        <f>SUM(I27:I34)</f>
        <v>205552.29242726104</v>
      </c>
      <c r="J35" s="43">
        <f>SUM(J27:J34)</f>
        <v>103551.72943151578</v>
      </c>
      <c r="K35" s="43">
        <f>SUM(K27:K34)</f>
        <v>120364.88143456458</v>
      </c>
      <c r="L35" s="43">
        <f>SUM(L27:L34)</f>
        <v>116547.6029830498</v>
      </c>
      <c r="M35" s="43">
        <f>SUM(M27:M34)</f>
        <v>233157.88632810785</v>
      </c>
      <c r="N35" s="43">
        <f>SUM(N27:N34)</f>
        <v>152701.80052711722</v>
      </c>
      <c r="O35" s="43">
        <f>SUM(O27:O34)</f>
        <v>178708.29397172289</v>
      </c>
      <c r="P35" s="43">
        <f>SUM(P27:P34)</f>
        <v>172697.45463082951</v>
      </c>
      <c r="Q35" s="43">
        <f>SUM(Q27:Q34)</f>
        <v>454791.15896011103</v>
      </c>
      <c r="R35" s="43">
        <f>SUM(R27:R34)</f>
        <v>223137.0931595999</v>
      </c>
      <c r="S35" s="43">
        <f>SUM(S27:S34)</f>
        <v>264006.6799536586</v>
      </c>
      <c r="T35" s="43">
        <f>SUM(T27:T34)</f>
        <v>255686.66310174225</v>
      </c>
      <c r="U35" s="43">
        <f>SUM(U27:U34)</f>
        <v>533750.03576944047</v>
      </c>
      <c r="V35" s="43">
        <f>SUM(V27:V34)</f>
        <v>344310.82235235209</v>
      </c>
      <c r="W35" s="43">
        <f>SUM(W27:W34)</f>
        <v>407875.08549964509</v>
      </c>
      <c r="X35" s="43">
        <f>SUM(X27:X34)</f>
        <v>394774.05416394351</v>
      </c>
      <c r="Y35" s="43">
        <f>SUM(Y27:Y34)</f>
        <v>1021448.0028852699</v>
      </c>
      <c r="Z35" s="43">
        <f>SUM(Z27:Z34)</f>
        <v>518578.80028632376</v>
      </c>
      <c r="AA35" s="43">
        <f>SUM(AA27:AA34)</f>
        <v>618669.63160857721</v>
      </c>
      <c r="AB35" s="43">
        <f>SUM(AB27:AB34)</f>
        <v>608040.22362612828</v>
      </c>
      <c r="AC35" s="43">
        <f>SUM(AC27:AC34)</f>
        <v>1476728.0902406781</v>
      </c>
      <c r="AD35" s="43">
        <f>SUM(AD27:AD34)</f>
        <v>802988.12906027306</v>
      </c>
      <c r="AE35" s="43">
        <f>SUM(AE27:AE34)</f>
        <v>960595.1556935464</v>
      </c>
      <c r="AF35" s="43">
        <f>SUM(AF27:AF34)</f>
        <v>784106.30205598916</v>
      </c>
      <c r="AG35" s="43">
        <f>SUM(AG27:AG34)</f>
        <v>2034854.6369949502</v>
      </c>
      <c r="AH35" s="43">
        <f>SUM(AH27:AH34)</f>
        <v>1042353.2353905856</v>
      </c>
      <c r="AI35" s="43">
        <f>SUM(AI27:AI34)</f>
        <v>1261134.8132658922</v>
      </c>
      <c r="AJ35" s="43">
        <f>SUM(AJ27:AJ34)</f>
        <v>1218103.495688539</v>
      </c>
      <c r="AK35" s="43">
        <f>SUM(AK27:AK34)</f>
        <v>3830117.853816825</v>
      </c>
      <c r="AL35" s="43">
        <f>SUM(AL27:AL34)</f>
        <v>1624749.4467945276</v>
      </c>
      <c r="AM35" s="43">
        <f>SUM(AM27:AM34)</f>
        <v>1953505.2705801008</v>
      </c>
      <c r="AN35" s="43">
        <f>SUM(AN27:AN34)</f>
        <v>1945746.4366700975</v>
      </c>
      <c r="AO35" s="43">
        <f>SUM(AO27:AO34)</f>
        <v>4749016.7255532229</v>
      </c>
      <c r="AP35" s="43">
        <f>SUM(AP27:AP34)</f>
        <v>2536067.4171196315</v>
      </c>
      <c r="AQ35" s="44">
        <f>SUM(AQ27:AQ34)</f>
        <v>3053739.4874853473</v>
      </c>
    </row>
    <row r="36" spans="1:43" ht="16" thickBot="1" x14ac:dyDescent="0.25"/>
    <row r="37" spans="1:43" ht="16" thickBot="1" x14ac:dyDescent="0.25">
      <c r="A37" s="6" t="s">
        <v>52</v>
      </c>
      <c r="B37" s="57">
        <f>B24-B35</f>
        <v>23568.385000000002</v>
      </c>
      <c r="C37" s="58">
        <f t="shared" ref="C37:AQ37" si="48">C24-C35</f>
        <v>3886.5678000000044</v>
      </c>
      <c r="D37" s="58">
        <f t="shared" si="48"/>
        <v>27673.596039999989</v>
      </c>
      <c r="E37" s="58">
        <f t="shared" si="48"/>
        <v>50946.043946239981</v>
      </c>
      <c r="F37" s="58">
        <f t="shared" si="48"/>
        <v>34572.889653999991</v>
      </c>
      <c r="G37" s="58">
        <f t="shared" si="48"/>
        <v>26361.270680831993</v>
      </c>
      <c r="H37" s="58">
        <f t="shared" si="48"/>
        <v>24906.037269657594</v>
      </c>
      <c r="I37" s="58">
        <f t="shared" si="48"/>
        <v>44204.165790862753</v>
      </c>
      <c r="J37" s="58">
        <f t="shared" si="48"/>
        <v>36010.402250928644</v>
      </c>
      <c r="K37" s="58">
        <f t="shared" si="48"/>
        <v>44550.415966762943</v>
      </c>
      <c r="L37" s="58">
        <f t="shared" si="48"/>
        <v>42611.480880279254</v>
      </c>
      <c r="M37" s="58">
        <f t="shared" si="48"/>
        <v>144345.70455067424</v>
      </c>
      <c r="N37" s="58">
        <f t="shared" si="48"/>
        <v>53435.835188377008</v>
      </c>
      <c r="O37" s="58">
        <f t="shared" si="48"/>
        <v>66645.482652303646</v>
      </c>
      <c r="P37" s="58">
        <f t="shared" si="48"/>
        <v>63592.357907722966</v>
      </c>
      <c r="Q37" s="58">
        <f t="shared" si="48"/>
        <v>119417.7315352945</v>
      </c>
      <c r="R37" s="58">
        <f t="shared" si="48"/>
        <v>89212.491763606289</v>
      </c>
      <c r="S37" s="58">
        <f t="shared" si="48"/>
        <v>109971.64696058852</v>
      </c>
      <c r="T37" s="58">
        <f t="shared" si="48"/>
        <v>105745.60665485318</v>
      </c>
      <c r="U37" s="58">
        <f t="shared" si="48"/>
        <v>355986.66405014135</v>
      </c>
      <c r="V37" s="58">
        <f t="shared" si="48"/>
        <v>135681.68754405185</v>
      </c>
      <c r="W37" s="58">
        <f t="shared" si="48"/>
        <v>167968.29739664518</v>
      </c>
      <c r="X37" s="58">
        <f t="shared" si="48"/>
        <v>161313.80528962205</v>
      </c>
      <c r="Y37" s="58">
        <f t="shared" si="48"/>
        <v>366529.14432267658</v>
      </c>
      <c r="Z37" s="58">
        <f t="shared" si="48"/>
        <v>224198.75570098986</v>
      </c>
      <c r="AA37" s="58">
        <f t="shared" si="48"/>
        <v>275038.54303927743</v>
      </c>
      <c r="AB37" s="58">
        <f t="shared" si="48"/>
        <v>254560.11358787457</v>
      </c>
      <c r="AC37" s="58">
        <f t="shared" si="48"/>
        <v>695798.39504288393</v>
      </c>
      <c r="AD37" s="58">
        <f t="shared" si="48"/>
        <v>353581.27190363081</v>
      </c>
      <c r="AE37" s="58">
        <f t="shared" si="48"/>
        <v>433635.6346379919</v>
      </c>
      <c r="AF37" s="58">
        <f t="shared" si="48"/>
        <v>561140.8431387085</v>
      </c>
      <c r="AG37" s="58">
        <f t="shared" si="48"/>
        <v>1373054.6179959981</v>
      </c>
      <c r="AH37" s="58">
        <f t="shared" si="48"/>
        <v>765789.35634725657</v>
      </c>
      <c r="AI37" s="58">
        <f t="shared" si="48"/>
        <v>921238.90862580156</v>
      </c>
      <c r="AJ37" s="58">
        <f t="shared" si="48"/>
        <v>887138.61922487989</v>
      </c>
      <c r="AK37" s="58">
        <f t="shared" si="48"/>
        <v>1523074.5256661633</v>
      </c>
      <c r="AL37" s="58">
        <f t="shared" si="48"/>
        <v>1209386.3540635877</v>
      </c>
      <c r="AM37" s="58">
        <f t="shared" si="48"/>
        <v>1469909.8370634764</v>
      </c>
      <c r="AN37" s="58">
        <f t="shared" si="48"/>
        <v>1356214.1573612094</v>
      </c>
      <c r="AO37" s="58">
        <f t="shared" si="48"/>
        <v>3667296.2730799122</v>
      </c>
      <c r="AP37" s="58">
        <f t="shared" si="48"/>
        <v>1913638.3305476326</v>
      </c>
      <c r="AQ37" s="59">
        <f t="shared" si="48"/>
        <v>2323869.0278185774</v>
      </c>
    </row>
    <row r="39" spans="1:43" ht="16" thickBot="1" x14ac:dyDescent="0.25"/>
    <row r="40" spans="1:43" ht="16" thickBot="1" x14ac:dyDescent="0.25">
      <c r="A40" s="21" t="s">
        <v>44</v>
      </c>
    </row>
    <row r="41" spans="1:43" x14ac:dyDescent="0.2">
      <c r="A41" s="22" t="s">
        <v>39</v>
      </c>
      <c r="B41" s="48">
        <f>-B18*2</f>
        <v>8500</v>
      </c>
      <c r="C41" s="49">
        <f>-C18*2</f>
        <v>9180</v>
      </c>
      <c r="D41" s="49">
        <f>-D18*2</f>
        <v>9914.4000000000015</v>
      </c>
      <c r="E41" s="49">
        <f>-E18*2</f>
        <v>10707.552000000001</v>
      </c>
      <c r="F41" s="49">
        <f>-F18*2</f>
        <v>13384.44</v>
      </c>
      <c r="G41" s="49">
        <f>-G18*2</f>
        <v>14455.1952</v>
      </c>
      <c r="H41" s="49">
        <f>-H18*2</f>
        <v>15611.610816</v>
      </c>
      <c r="I41" s="49">
        <f>-I18*2</f>
        <v>16860.539681280003</v>
      </c>
      <c r="J41" s="49">
        <f>-J18*2</f>
        <v>21075.674601600007</v>
      </c>
      <c r="K41" s="49">
        <f>-K18*2</f>
        <v>22761.728569728009</v>
      </c>
      <c r="L41" s="49">
        <f>-L18*2</f>
        <v>24582.666855306252</v>
      </c>
      <c r="M41" s="49">
        <f>-M18*2</f>
        <v>26549.280203730756</v>
      </c>
      <c r="N41" s="49">
        <f>-N18*2</f>
        <v>33186.600254663441</v>
      </c>
      <c r="O41" s="49">
        <f>-O18*2</f>
        <v>35841.528275036522</v>
      </c>
      <c r="P41" s="49">
        <f>-P18*2</f>
        <v>38708.850537039449</v>
      </c>
      <c r="Q41" s="49">
        <f>-Q18*2</f>
        <v>41805.558580002602</v>
      </c>
      <c r="R41" s="49">
        <f>-R18*2</f>
        <v>45000</v>
      </c>
      <c r="S41" s="49">
        <f>-S18*2</f>
        <v>45000</v>
      </c>
      <c r="T41" s="49">
        <f>-T18*2</f>
        <v>45000</v>
      </c>
      <c r="U41" s="49">
        <f>-U18*2</f>
        <v>45000</v>
      </c>
      <c r="V41" s="49">
        <f>-V18*2</f>
        <v>45000</v>
      </c>
      <c r="W41" s="49">
        <f>-W18*2</f>
        <v>45000</v>
      </c>
      <c r="X41" s="49">
        <f>-X18*2</f>
        <v>45000</v>
      </c>
      <c r="Y41" s="49">
        <f>-Y18*2</f>
        <v>45000</v>
      </c>
      <c r="Z41" s="49">
        <f>-Z18*2</f>
        <v>45000</v>
      </c>
      <c r="AA41" s="49">
        <f>-AA18*2</f>
        <v>45000</v>
      </c>
      <c r="AB41" s="49">
        <f>-AB18*2</f>
        <v>45000</v>
      </c>
      <c r="AC41" s="49">
        <f>-AC18*2</f>
        <v>45000</v>
      </c>
      <c r="AD41" s="49">
        <f>-AD18*2</f>
        <v>45000</v>
      </c>
      <c r="AE41" s="49">
        <f>-AE18*2</f>
        <v>45000</v>
      </c>
      <c r="AF41" s="49">
        <f>-AF18*2</f>
        <v>45000</v>
      </c>
      <c r="AG41" s="49">
        <f>-AG18*2</f>
        <v>45000</v>
      </c>
      <c r="AH41" s="49">
        <f>-AH18*2</f>
        <v>45000</v>
      </c>
      <c r="AI41" s="49">
        <f>-AI18*2</f>
        <v>45000</v>
      </c>
      <c r="AJ41" s="49">
        <f>-AJ18*2</f>
        <v>45000</v>
      </c>
      <c r="AK41" s="49">
        <f>-AK18*2</f>
        <v>45000</v>
      </c>
      <c r="AL41" s="49">
        <f>-AL18*2</f>
        <v>45000</v>
      </c>
      <c r="AM41" s="49">
        <f>-AM18*2</f>
        <v>45000</v>
      </c>
      <c r="AN41" s="49">
        <f>-AN18*2</f>
        <v>45000</v>
      </c>
      <c r="AO41" s="49">
        <f>-AO18*2</f>
        <v>45000</v>
      </c>
      <c r="AP41" s="49">
        <f>-AP18*2</f>
        <v>45000</v>
      </c>
      <c r="AQ41" s="50">
        <f>-AQ18*2</f>
        <v>45000</v>
      </c>
    </row>
    <row r="42" spans="1:43" x14ac:dyDescent="0.2">
      <c r="A42" s="22" t="s">
        <v>40</v>
      </c>
      <c r="B42" s="51">
        <f>B41*(1+6.5%)^($AQ$12-B12)</f>
        <v>112396.51471590165</v>
      </c>
      <c r="C42" s="52">
        <f>C41*(1+6.5%)^($AQ$12-C12)</f>
        <v>113979.56421894253</v>
      </c>
      <c r="D42" s="52">
        <f>D41*(1+6.5%)^($AQ$12-D12)</f>
        <v>115584.91019385723</v>
      </c>
      <c r="E42" s="52">
        <f>E41*(1+6.5%)^($AQ$12-E12)</f>
        <v>117212.86667546087</v>
      </c>
      <c r="F42" s="52">
        <f>F41*(1+6.5%)^($AQ$12-F12)</f>
        <v>137573.78717777098</v>
      </c>
      <c r="G42" s="52">
        <f>G41*(1+6.5%)^($AQ$12-G12)</f>
        <v>139511.44615210578</v>
      </c>
      <c r="H42" s="52">
        <f>H41*(1+6.5%)^($AQ$12-H12)</f>
        <v>141476.39609791007</v>
      </c>
      <c r="I42" s="52">
        <f>I41*(1+6.5%)^($AQ$12-I12)</f>
        <v>143469.02139506378</v>
      </c>
      <c r="J42" s="52">
        <f>J41*(1+6.5%)^($AQ$12-J12)</f>
        <v>168390.87018199981</v>
      </c>
      <c r="K42" s="52">
        <f>K41*(1+6.5%)^($AQ$12-K12)</f>
        <v>170762.57257892939</v>
      </c>
      <c r="L42" s="52">
        <f>L41*(1+6.5%)^($AQ$12-L12)</f>
        <v>173167.67923497068</v>
      </c>
      <c r="M42" s="52">
        <f>M41*(1+6.5%)^($AQ$12-M12)</f>
        <v>175606.66063264641</v>
      </c>
      <c r="N42" s="52">
        <f>N41*(1+6.5%)^($AQ$12-N12)</f>
        <v>206111.10402892769</v>
      </c>
      <c r="O42" s="52">
        <f>O41*(1+6.5%)^($AQ$12-O12)</f>
        <v>209014.07732510977</v>
      </c>
      <c r="P42" s="52">
        <f>P41*(1+6.5%)^($AQ$12-P12)</f>
        <v>211957.93756912547</v>
      </c>
      <c r="Q42" s="52">
        <f>Q41*(1+6.5%)^($AQ$12-Q12)</f>
        <v>214943.26063347934</v>
      </c>
      <c r="R42" s="52">
        <f>R41*(1+6.5%)^($AQ$12-R12)</f>
        <v>217246.45986612621</v>
      </c>
      <c r="S42" s="52">
        <f>S41*(1+6.5%)^($AQ$12-S12)</f>
        <v>203987.28625927345</v>
      </c>
      <c r="T42" s="52">
        <f>T41*(1+6.5%)^($AQ$12-T12)</f>
        <v>191537.3579899281</v>
      </c>
      <c r="U42" s="52">
        <f>U41*(1+6.5%)^($AQ$12-U12)</f>
        <v>179847.28449758512</v>
      </c>
      <c r="V42" s="52">
        <f>V41*(1+6.5%)^($AQ$12-V12)</f>
        <v>168870.68966909402</v>
      </c>
      <c r="W42" s="52">
        <f>W41*(1+6.5%)^($AQ$12-W12)</f>
        <v>158564.02785830427</v>
      </c>
      <c r="X42" s="52">
        <f>X41*(1+6.5%)^($AQ$12-X12)</f>
        <v>148886.411134558</v>
      </c>
      <c r="Y42" s="52">
        <f>Y41*(1+6.5%)^($AQ$12-Y12)</f>
        <v>139799.44707470236</v>
      </c>
      <c r="Z42" s="52">
        <f>Z41*(1+6.5%)^($AQ$12-Z12)</f>
        <v>131267.0864551196</v>
      </c>
      <c r="AA42" s="52">
        <f>AA41*(1+6.5%)^($AQ$12-AA12)</f>
        <v>123255.48023954892</v>
      </c>
      <c r="AB42" s="52">
        <f>AB41*(1+6.5%)^($AQ$12-AB12)</f>
        <v>115732.8452953511</v>
      </c>
      <c r="AC42" s="52">
        <f>AC41*(1+6.5%)^($AQ$12-AC12)</f>
        <v>108669.33830549402</v>
      </c>
      <c r="AD42" s="52">
        <f>AD41*(1+6.5%)^($AQ$12-AD12)</f>
        <v>102036.93737605073</v>
      </c>
      <c r="AE42" s="52">
        <f>AE41*(1+6.5%)^($AQ$12-AE12)</f>
        <v>95809.330869531201</v>
      </c>
      <c r="AF42" s="52">
        <f>AF41*(1+6.5%)^($AQ$12-AF12)</f>
        <v>89961.813023034003</v>
      </c>
      <c r="AG42" s="52">
        <f>AG41*(1+6.5%)^($AQ$12-AG12)</f>
        <v>84471.185937121132</v>
      </c>
      <c r="AH42" s="52">
        <f>AH41*(1+6.5%)^($AQ$12-AH12)</f>
        <v>79315.667546592624</v>
      </c>
      <c r="AI42" s="52">
        <f>AI41*(1+6.5%)^($AQ$12-AI12)</f>
        <v>74474.805208068195</v>
      </c>
      <c r="AJ42" s="52">
        <f>AJ41*(1+6.5%)^($AQ$12-AJ12)</f>
        <v>69929.394561566383</v>
      </c>
      <c r="AK42" s="52">
        <f>AK41*(1+6.5%)^($AQ$12-AK12)</f>
        <v>65661.403344193794</v>
      </c>
      <c r="AL42" s="52">
        <f>AL41*(1+6.5%)^($AQ$12-AL12)</f>
        <v>61653.899853703108</v>
      </c>
      <c r="AM42" s="52">
        <f>AM41*(1+6.5%)^($AQ$12-AM12)</f>
        <v>57890.985778124981</v>
      </c>
      <c r="AN42" s="52">
        <f>AN41*(1+6.5%)^($AQ$12-AN12)</f>
        <v>54357.733124999984</v>
      </c>
      <c r="AO42" s="52">
        <f>AO41*(1+6.5%)^($AQ$12-AO12)</f>
        <v>51040.124999999993</v>
      </c>
      <c r="AP42" s="52">
        <f>AP41*(1+6.5%)^($AQ$12-AP12)</f>
        <v>47925</v>
      </c>
      <c r="AQ42" s="53">
        <f>AQ41*(1+6.5%)^($AQ$12-AQ12)</f>
        <v>45000</v>
      </c>
    </row>
    <row r="43" spans="1:43" x14ac:dyDescent="0.2">
      <c r="A43" s="22" t="s">
        <v>38</v>
      </c>
      <c r="B43" s="51">
        <f>B37*(1+8.7%)^($AQ$12-B12)</f>
        <v>720677.77904837357</v>
      </c>
      <c r="C43" s="52">
        <f>C37*(1+8.7%)^($AQ$12-C12)</f>
        <v>109332.18100814021</v>
      </c>
      <c r="D43" s="52">
        <f>D37*(1+8.7%)^($AQ$12-D12)</f>
        <v>716172.78986254684</v>
      </c>
      <c r="E43" s="52">
        <f>E37*(1+8.7%)^($AQ$12-E12)</f>
        <v>1212922.7479334618</v>
      </c>
      <c r="F43" s="52">
        <f>F37*(1+8.7%)^($AQ$12-F12)</f>
        <v>757231.74304803833</v>
      </c>
      <c r="G43" s="52">
        <f>G37*(1+8.7%)^($AQ$12-G12)</f>
        <v>531165.58371306839</v>
      </c>
      <c r="H43" s="52">
        <f>H37*(1+8.7%)^($AQ$12-H12)</f>
        <v>461677.46500309231</v>
      </c>
      <c r="I43" s="52">
        <f>I37*(1+8.7%)^($AQ$12-I12)</f>
        <v>753820.07335823041</v>
      </c>
      <c r="J43" s="52">
        <f>J37*(1+8.7%)^($AQ$12-J12)</f>
        <v>564940.78295351064</v>
      </c>
      <c r="K43" s="52">
        <f>K37*(1+8.7%)^($AQ$12-K12)</f>
        <v>642979.57039006357</v>
      </c>
      <c r="L43" s="52">
        <f>L37*(1+8.7%)^($AQ$12-L12)</f>
        <v>565773.35973121645</v>
      </c>
      <c r="M43" s="52">
        <f>M37*(1+8.7%)^($AQ$12-M12)</f>
        <v>1763153.758389004</v>
      </c>
      <c r="N43" s="52">
        <f>N37*(1+8.7%)^($AQ$12-N12)</f>
        <v>600467.32549526182</v>
      </c>
      <c r="O43" s="52">
        <f>O37*(1+8.7%)^($AQ$12-O12)</f>
        <v>688966.25639564882</v>
      </c>
      <c r="P43" s="52">
        <f>P37*(1+8.7%)^($AQ$12-P12)</f>
        <v>604787.23845091823</v>
      </c>
      <c r="Q43" s="52">
        <f>Q37*(1+8.7%)^($AQ$12-Q12)</f>
        <v>1044809.1403130488</v>
      </c>
      <c r="R43" s="52">
        <f>R37*(1+8.7%)^($AQ$12-R12)</f>
        <v>718065.84821626521</v>
      </c>
      <c r="S43" s="52">
        <f>S37*(1+8.7%)^($AQ$12-S12)</f>
        <v>814310.03592566319</v>
      </c>
      <c r="T43" s="52">
        <f>T37*(1+8.7%)^($AQ$12-T12)</f>
        <v>720347.15795084171</v>
      </c>
      <c r="U43" s="52">
        <f>U37*(1+8.7%)^($AQ$12-U12)</f>
        <v>2230918.467908456</v>
      </c>
      <c r="V43" s="52">
        <f>V37*(1+8.7%)^($AQ$12-V12)</f>
        <v>782242.95822896156</v>
      </c>
      <c r="W43" s="52">
        <f>W37*(1+8.7%)^($AQ$12-W12)</f>
        <v>890877.93328480585</v>
      </c>
      <c r="X43" s="52">
        <f>X37*(1+8.7%)^($AQ$12-X12)</f>
        <v>787105.36695655168</v>
      </c>
      <c r="Y43" s="52">
        <f>Y37*(1+8.7%)^($AQ$12-Y12)</f>
        <v>1645281.8490484301</v>
      </c>
      <c r="Z43" s="52">
        <f>Z37*(1+8.7%)^($AQ$12-Z12)</f>
        <v>925838.94963149016</v>
      </c>
      <c r="AA43" s="52">
        <f>AA37*(1+8.7%)^($AQ$12-AA12)</f>
        <v>1044879.6335689245</v>
      </c>
      <c r="AB43" s="52">
        <f>AB37*(1+8.7%)^($AQ$12-AB12)</f>
        <v>889679.36421484267</v>
      </c>
      <c r="AC43" s="52">
        <f>AC37*(1+8.7%)^($AQ$12-AC12)</f>
        <v>2237159.9703154135</v>
      </c>
      <c r="AD43" s="52">
        <f>AD37*(1+8.7%)^($AQ$12-AD12)</f>
        <v>1045859.4547311072</v>
      </c>
      <c r="AE43" s="52">
        <f>AE37*(1+8.7%)^($AQ$12-AE12)</f>
        <v>1179993.1680126376</v>
      </c>
      <c r="AF43" s="52">
        <f>AF37*(1+8.7%)^($AQ$12-AF12)</f>
        <v>1404742.9633984668</v>
      </c>
      <c r="AG43" s="52">
        <f>AG37*(1+8.7%)^($AQ$12-AG12)</f>
        <v>3162155.7280307328</v>
      </c>
      <c r="AH43" s="52">
        <f>AH37*(1+8.7%)^($AQ$12-AH12)</f>
        <v>1622464.5729095738</v>
      </c>
      <c r="AI43" s="52">
        <f>AI37*(1+8.7%)^($AQ$12-AI12)</f>
        <v>1795595.9817252499</v>
      </c>
      <c r="AJ43" s="52">
        <f>AJ37*(1+8.7%)^($AQ$12-AJ12)</f>
        <v>1590736.6754250959</v>
      </c>
      <c r="AK43" s="52">
        <f>AK37*(1+8.7%)^($AQ$12-AK12)</f>
        <v>2512455.7342337742</v>
      </c>
      <c r="AL43" s="52">
        <f>AL37*(1+8.7%)^($AQ$12-AL12)</f>
        <v>1835324.1717539257</v>
      </c>
      <c r="AM43" s="52">
        <f>AM37*(1+8.7%)^($AQ$12-AM12)</f>
        <v>2052148.9166349666</v>
      </c>
      <c r="AN43" s="52">
        <f>AN37*(1+8.7%)^($AQ$12-AN12)</f>
        <v>1741874.6783949507</v>
      </c>
      <c r="AO43" s="52">
        <f>AO37*(1+8.7%)^($AQ$12-AO12)</f>
        <v>4333163.5900867581</v>
      </c>
      <c r="AP43" s="52">
        <f>AP37*(1+8.7%)^($AQ$12-AP12)</f>
        <v>2080124.8653052766</v>
      </c>
      <c r="AQ43" s="53">
        <f>AQ37*(1+8.7%)^($AQ$12-AQ12)</f>
        <v>2323869.0278185774</v>
      </c>
    </row>
    <row r="44" spans="1:43" x14ac:dyDescent="0.2">
      <c r="A44" s="22"/>
      <c r="B44" s="51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3"/>
    </row>
    <row r="45" spans="1:43" ht="16" thickBot="1" x14ac:dyDescent="0.25">
      <c r="A45" s="22" t="s">
        <v>41</v>
      </c>
      <c r="B45" s="54">
        <f>B43+B42</f>
        <v>833074.29376427527</v>
      </c>
      <c r="C45" s="55">
        <f t="shared" ref="C45:AQ45" si="49">C43+C42</f>
        <v>223311.74522708275</v>
      </c>
      <c r="D45" s="55">
        <f t="shared" si="49"/>
        <v>831757.70005640411</v>
      </c>
      <c r="E45" s="55">
        <f t="shared" si="49"/>
        <v>1330135.6146089227</v>
      </c>
      <c r="F45" s="55">
        <f t="shared" si="49"/>
        <v>894805.53022580931</v>
      </c>
      <c r="G45" s="55">
        <f t="shared" si="49"/>
        <v>670677.02986517421</v>
      </c>
      <c r="H45" s="55">
        <f t="shared" si="49"/>
        <v>603153.86110100243</v>
      </c>
      <c r="I45" s="55">
        <f t="shared" si="49"/>
        <v>897289.09475329425</v>
      </c>
      <c r="J45" s="55">
        <f t="shared" si="49"/>
        <v>733331.65313551039</v>
      </c>
      <c r="K45" s="55">
        <f t="shared" si="49"/>
        <v>813742.14296899294</v>
      </c>
      <c r="L45" s="55">
        <f t="shared" si="49"/>
        <v>738941.03896618716</v>
      </c>
      <c r="M45" s="55">
        <f t="shared" si="49"/>
        <v>1938760.4190216505</v>
      </c>
      <c r="N45" s="55">
        <f t="shared" si="49"/>
        <v>806578.42952418956</v>
      </c>
      <c r="O45" s="55">
        <f t="shared" si="49"/>
        <v>897980.33372075856</v>
      </c>
      <c r="P45" s="55">
        <f t="shared" si="49"/>
        <v>816745.17602004367</v>
      </c>
      <c r="Q45" s="55">
        <f t="shared" si="49"/>
        <v>1259752.4009465282</v>
      </c>
      <c r="R45" s="55">
        <f t="shared" si="49"/>
        <v>935312.30808239139</v>
      </c>
      <c r="S45" s="55">
        <f t="shared" si="49"/>
        <v>1018297.3221849366</v>
      </c>
      <c r="T45" s="55">
        <f t="shared" si="49"/>
        <v>911884.51594076981</v>
      </c>
      <c r="U45" s="55">
        <f t="shared" si="49"/>
        <v>2410765.7524060411</v>
      </c>
      <c r="V45" s="55">
        <f t="shared" si="49"/>
        <v>951113.64789805561</v>
      </c>
      <c r="W45" s="55">
        <f t="shared" si="49"/>
        <v>1049441.9611431102</v>
      </c>
      <c r="X45" s="55">
        <f t="shared" si="49"/>
        <v>935991.77809110971</v>
      </c>
      <c r="Y45" s="55">
        <f t="shared" si="49"/>
        <v>1785081.2961231326</v>
      </c>
      <c r="Z45" s="55">
        <f t="shared" si="49"/>
        <v>1057106.0360866098</v>
      </c>
      <c r="AA45" s="55">
        <f t="shared" si="49"/>
        <v>1168135.1138084733</v>
      </c>
      <c r="AB45" s="55">
        <f t="shared" si="49"/>
        <v>1005412.2095101938</v>
      </c>
      <c r="AC45" s="55">
        <f t="shared" si="49"/>
        <v>2345829.3086209074</v>
      </c>
      <c r="AD45" s="55">
        <f t="shared" si="49"/>
        <v>1147896.392107158</v>
      </c>
      <c r="AE45" s="55">
        <f t="shared" si="49"/>
        <v>1275802.4988821689</v>
      </c>
      <c r="AF45" s="55">
        <f t="shared" si="49"/>
        <v>1494704.7764215008</v>
      </c>
      <c r="AG45" s="55">
        <f t="shared" si="49"/>
        <v>3246626.9139678539</v>
      </c>
      <c r="AH45" s="55">
        <f t="shared" si="49"/>
        <v>1701780.2404561664</v>
      </c>
      <c r="AI45" s="55">
        <f t="shared" si="49"/>
        <v>1870070.786933318</v>
      </c>
      <c r="AJ45" s="55">
        <f t="shared" si="49"/>
        <v>1660666.0699866624</v>
      </c>
      <c r="AK45" s="55">
        <f t="shared" si="49"/>
        <v>2578117.1375779682</v>
      </c>
      <c r="AL45" s="55">
        <f t="shared" si="49"/>
        <v>1896978.0716076288</v>
      </c>
      <c r="AM45" s="55">
        <f t="shared" si="49"/>
        <v>2110039.9024130916</v>
      </c>
      <c r="AN45" s="55">
        <f t="shared" si="49"/>
        <v>1796232.4115199507</v>
      </c>
      <c r="AO45" s="55">
        <f t="shared" si="49"/>
        <v>4384203.7150867581</v>
      </c>
      <c r="AP45" s="55">
        <f t="shared" si="49"/>
        <v>2128049.8653052766</v>
      </c>
      <c r="AQ45" s="56">
        <f t="shared" si="49"/>
        <v>2368869.0278185774</v>
      </c>
    </row>
    <row r="46" spans="1:43" ht="16" thickBot="1" x14ac:dyDescent="0.25">
      <c r="A46" s="22" t="s">
        <v>49</v>
      </c>
      <c r="B46" s="7">
        <f>SUM(B23:AQ23)</f>
        <v>3115702.558451781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</row>
    <row r="47" spans="1:43" ht="16" thickBot="1" x14ac:dyDescent="0.25">
      <c r="A47" s="27" t="s">
        <v>42</v>
      </c>
      <c r="B47" s="26">
        <f>SUM(B45:AQ45)+B46</f>
        <v>62640148.082337409</v>
      </c>
    </row>
    <row r="48" spans="1:43" ht="16" thickBot="1" x14ac:dyDescent="0.25">
      <c r="A48" s="22"/>
    </row>
    <row r="49" spans="1:2" ht="16" thickBot="1" x14ac:dyDescent="0.25">
      <c r="A49" s="28" t="s">
        <v>46</v>
      </c>
      <c r="B49" s="29">
        <f>B47/(19*12)</f>
        <v>274737.49158919917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Assumptions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Landge</dc:creator>
  <cp:lastModifiedBy>Yash Landge</cp:lastModifiedBy>
  <dcterms:created xsi:type="dcterms:W3CDTF">2023-02-19T03:27:37Z</dcterms:created>
  <dcterms:modified xsi:type="dcterms:W3CDTF">2023-02-20T04:42:37Z</dcterms:modified>
</cp:coreProperties>
</file>