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tomgeo HR\Desktop\DA\"/>
    </mc:Choice>
  </mc:AlternateContent>
  <xr:revisionPtr revIDLastSave="0" documentId="13_ncr:1_{0AAE768D-9F66-4826-8611-0F9161443B7D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ASG 1" sheetId="32" r:id="rId1"/>
    <sheet name="ASG 2" sheetId="33" r:id="rId2"/>
    <sheet name="ASG 3" sheetId="34" r:id="rId3"/>
    <sheet name="ASG 4" sheetId="3" r:id="rId4"/>
    <sheet name="ASG 5" sheetId="4" r:id="rId5"/>
    <sheet name="ASG 6" sheetId="36" r:id="rId6"/>
    <sheet name="ASG 7" sheetId="5" r:id="rId7"/>
    <sheet name="ASG 8" sheetId="6" r:id="rId8"/>
    <sheet name="ASG 9" sheetId="37" r:id="rId9"/>
    <sheet name="ASG 10" sheetId="7" r:id="rId10"/>
    <sheet name="ASG 11" sheetId="8" r:id="rId11"/>
    <sheet name="ASG 12" sheetId="38" r:id="rId12"/>
    <sheet name="ASG 13" sheetId="9" r:id="rId13"/>
    <sheet name="ASG 14" sheetId="39" r:id="rId14"/>
    <sheet name="ASG 15" sheetId="10" r:id="rId15"/>
    <sheet name="ASG 16" sheetId="11" r:id="rId16"/>
    <sheet name="ASG 17" sheetId="13" r:id="rId17"/>
    <sheet name="ASG 18" sheetId="40" r:id="rId18"/>
    <sheet name="ASG 19" sheetId="14" r:id="rId19"/>
    <sheet name="ASG21" sheetId="41" r:id="rId20"/>
    <sheet name="ASG 22" sheetId="15" r:id="rId21"/>
    <sheet name="ASG 23" sheetId="42" r:id="rId22"/>
    <sheet name="ASG 24" sheetId="16" r:id="rId23"/>
    <sheet name="ASG 26" sheetId="17" r:id="rId24"/>
    <sheet name="ASG 27" sheetId="43" r:id="rId25"/>
    <sheet name="ASG 28" sheetId="18" r:id="rId26"/>
    <sheet name="ASG 29" sheetId="19" r:id="rId27"/>
    <sheet name="ASG 30" sheetId="44" r:id="rId28"/>
    <sheet name="ASG 31" sheetId="20" r:id="rId29"/>
    <sheet name="ASG 32" sheetId="21" r:id="rId30"/>
    <sheet name="ASG33" sheetId="45" r:id="rId31"/>
    <sheet name="ASG 34" sheetId="23" r:id="rId32"/>
    <sheet name="ASG 36" sheetId="24" r:id="rId33"/>
    <sheet name="ASG 38" sheetId="46" r:id="rId34"/>
    <sheet name="ASG 42" sheetId="47" r:id="rId35"/>
    <sheet name="ASG 39" sheetId="48" r:id="rId36"/>
    <sheet name="ASG 40" sheetId="49" r:id="rId37"/>
    <sheet name="ASG 41" sheetId="50" r:id="rId38"/>
    <sheet name="ASG 43" sheetId="52" r:id="rId39"/>
    <sheet name="ASG 44" sheetId="26" r:id="rId40"/>
    <sheet name="ASG 45" sheetId="28" r:id="rId41"/>
    <sheet name="ASG 46" sheetId="29" r:id="rId42"/>
    <sheet name="ASG 47" sheetId="53" r:id="rId43"/>
  </sheets>
  <calcPr calcId="191029"/>
  <pivotCaches>
    <pivotCache cacheId="41" r:id="rId44"/>
    <pivotCache cacheId="42" r:id="rId45"/>
    <pivotCache cacheId="47" r:id="rId4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53" l="1"/>
  <c r="C35" i="53"/>
  <c r="C34" i="53"/>
  <c r="B14" i="53"/>
  <c r="B15" i="53"/>
  <c r="B16" i="53"/>
  <c r="B17" i="53"/>
  <c r="B18" i="53"/>
  <c r="B19" i="53"/>
  <c r="B20" i="53"/>
  <c r="B21" i="53"/>
  <c r="B22" i="53"/>
  <c r="B23" i="53"/>
  <c r="B24" i="53"/>
  <c r="B25" i="53"/>
  <c r="B13" i="53"/>
  <c r="C6" i="53"/>
  <c r="C7" i="53"/>
  <c r="C8" i="53"/>
  <c r="C9" i="53"/>
  <c r="C5" i="53"/>
  <c r="C27" i="29"/>
  <c r="C28" i="29"/>
  <c r="C29" i="29"/>
  <c r="C26" i="29"/>
  <c r="B19" i="29"/>
  <c r="B20" i="29"/>
  <c r="B21" i="29"/>
  <c r="B22" i="29"/>
  <c r="B18" i="29"/>
  <c r="C13" i="29"/>
  <c r="C14" i="29"/>
  <c r="C12" i="29"/>
  <c r="C15" i="29" s="1"/>
  <c r="C7" i="29"/>
  <c r="C8" i="29"/>
  <c r="C9" i="29"/>
  <c r="C6" i="29"/>
  <c r="B15" i="28"/>
  <c r="B16" i="28"/>
  <c r="B14" i="28"/>
  <c r="B27" i="28"/>
  <c r="B28" i="28"/>
  <c r="B29" i="28"/>
  <c r="B30" i="28"/>
  <c r="B26" i="28"/>
  <c r="B20" i="28"/>
  <c r="B21" i="28"/>
  <c r="B22" i="28"/>
  <c r="B23" i="28"/>
  <c r="B19" i="28"/>
  <c r="C8" i="28"/>
  <c r="C9" i="28"/>
  <c r="C10" i="28"/>
  <c r="C11" i="28"/>
  <c r="C7" i="28"/>
  <c r="D50" i="52"/>
  <c r="D43" i="52"/>
  <c r="D35" i="52"/>
  <c r="D27" i="52"/>
  <c r="D51" i="50"/>
  <c r="D43" i="50"/>
  <c r="D35" i="50"/>
  <c r="D27" i="50"/>
  <c r="D50" i="49"/>
  <c r="D43" i="49"/>
  <c r="D35" i="49"/>
  <c r="D27" i="49"/>
  <c r="D52" i="48"/>
  <c r="D45" i="48"/>
  <c r="D37" i="48"/>
  <c r="D28" i="48"/>
  <c r="D51" i="47"/>
  <c r="D44" i="47"/>
  <c r="D33" i="47"/>
  <c r="D26" i="47"/>
  <c r="C14" i="46" l="1"/>
  <c r="C13" i="46"/>
  <c r="C12" i="46"/>
  <c r="D7" i="46"/>
  <c r="D5" i="46"/>
  <c r="B24" i="26"/>
  <c r="B25" i="26"/>
  <c r="B26" i="26"/>
  <c r="D29" i="26"/>
  <c r="D30" i="26"/>
  <c r="C15" i="26"/>
  <c r="C14" i="26"/>
  <c r="C13" i="26"/>
  <c r="C12" i="26"/>
  <c r="C11" i="26"/>
  <c r="C10" i="26"/>
  <c r="C9" i="26"/>
  <c r="C7" i="26"/>
  <c r="C8" i="26"/>
  <c r="C6" i="26"/>
  <c r="C5" i="26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6" i="24"/>
  <c r="B37" i="24"/>
  <c r="B34" i="24"/>
  <c r="B31" i="24"/>
  <c r="C28" i="24"/>
  <c r="C27" i="24"/>
  <c r="H7" i="24" l="1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6" i="24"/>
  <c r="E31" i="23"/>
  <c r="C14" i="23"/>
  <c r="C15" i="23"/>
  <c r="E14" i="23"/>
  <c r="L6" i="45"/>
  <c r="L7" i="45"/>
  <c r="L8" i="45"/>
  <c r="L9" i="45"/>
  <c r="L10" i="45"/>
  <c r="L11" i="45"/>
  <c r="L12" i="45"/>
  <c r="L13" i="45"/>
  <c r="L14" i="45"/>
  <c r="L15" i="45"/>
  <c r="L16" i="45"/>
  <c r="L17" i="45"/>
  <c r="L18" i="45"/>
  <c r="L19" i="45"/>
  <c r="L20" i="45"/>
  <c r="L21" i="45"/>
  <c r="L22" i="45"/>
  <c r="L23" i="45"/>
  <c r="L24" i="45"/>
  <c r="L5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C5" i="21"/>
  <c r="C6" i="21"/>
  <c r="C7" i="21"/>
  <c r="C8" i="21"/>
  <c r="C9" i="21"/>
  <c r="C10" i="21"/>
  <c r="C11" i="21"/>
  <c r="C12" i="21"/>
  <c r="C4" i="21"/>
  <c r="B33" i="20"/>
  <c r="B29" i="20"/>
  <c r="B25" i="20"/>
  <c r="B12" i="20"/>
  <c r="B17" i="20"/>
  <c r="B7" i="20"/>
  <c r="E22" i="19" l="1"/>
  <c r="E23" i="19"/>
  <c r="E24" i="19"/>
  <c r="E25" i="19"/>
  <c r="E26" i="19"/>
  <c r="E27" i="19"/>
  <c r="E28" i="19"/>
  <c r="E29" i="19"/>
  <c r="E30" i="19"/>
  <c r="E21" i="19"/>
  <c r="D22" i="19"/>
  <c r="D23" i="19"/>
  <c r="D24" i="19"/>
  <c r="D25" i="19"/>
  <c r="D26" i="19"/>
  <c r="D27" i="19"/>
  <c r="D28" i="19"/>
  <c r="D29" i="19"/>
  <c r="D30" i="19"/>
  <c r="D21" i="19"/>
  <c r="C22" i="19"/>
  <c r="C23" i="19"/>
  <c r="C24" i="19"/>
  <c r="C25" i="19"/>
  <c r="C26" i="19"/>
  <c r="C27" i="19"/>
  <c r="C28" i="19"/>
  <c r="C29" i="19"/>
  <c r="C30" i="19"/>
  <c r="C21" i="19"/>
  <c r="B22" i="19"/>
  <c r="B23" i="19"/>
  <c r="B24" i="19"/>
  <c r="B25" i="19"/>
  <c r="B26" i="19"/>
  <c r="B27" i="19"/>
  <c r="B28" i="19"/>
  <c r="B29" i="19"/>
  <c r="B30" i="19"/>
  <c r="B21" i="19"/>
  <c r="B50" i="18"/>
  <c r="B49" i="18"/>
  <c r="C44" i="18"/>
  <c r="C43" i="18"/>
  <c r="B43" i="18"/>
  <c r="B44" i="18"/>
  <c r="B38" i="18"/>
  <c r="B37" i="18"/>
  <c r="A33" i="18"/>
  <c r="A30" i="18"/>
  <c r="D5" i="43"/>
  <c r="D6" i="43"/>
  <c r="D7" i="43"/>
  <c r="D8" i="43"/>
  <c r="D9" i="43"/>
  <c r="D4" i="43"/>
  <c r="C6" i="17"/>
  <c r="C7" i="17"/>
  <c r="C8" i="17"/>
  <c r="C9" i="17"/>
  <c r="C5" i="17"/>
  <c r="A33" i="16"/>
  <c r="C33" i="16"/>
  <c r="C32" i="16"/>
  <c r="B18" i="16"/>
  <c r="B17" i="16"/>
  <c r="D14" i="16"/>
  <c r="D13" i="16"/>
  <c r="F5" i="42"/>
  <c r="F6" i="42"/>
  <c r="F7" i="42"/>
  <c r="F8" i="42"/>
  <c r="F9" i="42"/>
  <c r="F10" i="42"/>
  <c r="F11" i="42"/>
  <c r="F12" i="42"/>
  <c r="F4" i="42"/>
  <c r="B41" i="15" l="1"/>
  <c r="B40" i="15"/>
  <c r="B31" i="15"/>
  <c r="B32" i="15"/>
  <c r="B33" i="15"/>
  <c r="B30" i="15"/>
  <c r="F4" i="41"/>
  <c r="F5" i="41"/>
  <c r="F9" i="15"/>
  <c r="F10" i="15"/>
  <c r="F11" i="15"/>
  <c r="F12" i="15"/>
  <c r="F13" i="15"/>
  <c r="F14" i="15"/>
  <c r="F15" i="15"/>
  <c r="B36" i="15" s="1"/>
  <c r="F16" i="15"/>
  <c r="F17" i="15"/>
  <c r="F18" i="15"/>
  <c r="F19" i="15"/>
  <c r="F20" i="15"/>
  <c r="F21" i="15"/>
  <c r="F22" i="15"/>
  <c r="F23" i="15"/>
  <c r="F24" i="15"/>
  <c r="F7" i="15"/>
  <c r="F8" i="15"/>
  <c r="F6" i="15"/>
  <c r="F5" i="15"/>
  <c r="F8" i="41"/>
  <c r="F9" i="41"/>
  <c r="F10" i="41"/>
  <c r="F11" i="41"/>
  <c r="F12" i="41"/>
  <c r="F13" i="41"/>
  <c r="F14" i="41"/>
  <c r="F15" i="41"/>
  <c r="F16" i="41"/>
  <c r="F17" i="41"/>
  <c r="F18" i="41"/>
  <c r="F19" i="41"/>
  <c r="F20" i="41"/>
  <c r="F21" i="41"/>
  <c r="F22" i="41"/>
  <c r="F23" i="41"/>
  <c r="F6" i="41"/>
  <c r="F7" i="41"/>
  <c r="C11" i="14"/>
  <c r="C12" i="14"/>
  <c r="C10" i="14"/>
  <c r="C8" i="40" l="1"/>
  <c r="C9" i="40"/>
  <c r="C10" i="40"/>
  <c r="C11" i="40"/>
  <c r="C12" i="40"/>
  <c r="C13" i="40"/>
  <c r="C14" i="40"/>
  <c r="C15" i="40"/>
  <c r="C16" i="40"/>
  <c r="C7" i="40"/>
  <c r="B8" i="40"/>
  <c r="B9" i="40"/>
  <c r="B10" i="40"/>
  <c r="B11" i="40"/>
  <c r="B12" i="40"/>
  <c r="B13" i="40"/>
  <c r="B14" i="40"/>
  <c r="B15" i="40"/>
  <c r="B16" i="40"/>
  <c r="B7" i="40"/>
  <c r="F6" i="13"/>
  <c r="F7" i="13"/>
  <c r="F8" i="13"/>
  <c r="F9" i="13"/>
  <c r="F10" i="13"/>
  <c r="F11" i="13"/>
  <c r="F12" i="13"/>
  <c r="F13" i="13"/>
  <c r="F14" i="13"/>
  <c r="F5" i="13"/>
  <c r="E14" i="13"/>
  <c r="E6" i="13"/>
  <c r="E7" i="13"/>
  <c r="E8" i="13"/>
  <c r="E9" i="13"/>
  <c r="E10" i="13"/>
  <c r="E11" i="13"/>
  <c r="E12" i="13"/>
  <c r="E13" i="13"/>
  <c r="E5" i="13"/>
  <c r="A37" i="11"/>
  <c r="B33" i="11"/>
  <c r="B32" i="11"/>
  <c r="B28" i="11"/>
  <c r="B27" i="11"/>
  <c r="B23" i="11"/>
  <c r="B19" i="11"/>
  <c r="B18" i="11"/>
  <c r="J56" i="10"/>
  <c r="J55" i="10"/>
  <c r="K51" i="10"/>
  <c r="J51" i="10"/>
  <c r="K50" i="10"/>
  <c r="J50" i="10"/>
  <c r="I45" i="10"/>
  <c r="J42" i="10"/>
  <c r="J41" i="10"/>
  <c r="J39" i="10"/>
  <c r="J38" i="10"/>
  <c r="B56" i="39"/>
  <c r="B55" i="39"/>
  <c r="A59" i="39"/>
  <c r="B51" i="39"/>
  <c r="B50" i="39"/>
  <c r="B47" i="39"/>
  <c r="B46" i="39"/>
  <c r="C24" i="38"/>
  <c r="C23" i="38"/>
  <c r="B24" i="38"/>
  <c r="B23" i="38"/>
  <c r="A17" i="38"/>
  <c r="C36" i="7"/>
  <c r="B36" i="7"/>
  <c r="B33" i="7"/>
  <c r="B32" i="7"/>
  <c r="A29" i="7"/>
  <c r="C28" i="8"/>
  <c r="C29" i="8"/>
  <c r="C27" i="8"/>
  <c r="D24" i="8"/>
  <c r="C24" i="8"/>
  <c r="B24" i="8"/>
  <c r="B19" i="8"/>
  <c r="B20" i="8"/>
  <c r="B18" i="8"/>
  <c r="F9" i="7"/>
  <c r="F10" i="7"/>
  <c r="F8" i="7"/>
  <c r="E9" i="7"/>
  <c r="E10" i="7"/>
  <c r="E8" i="7"/>
  <c r="D10" i="7"/>
  <c r="D9" i="7"/>
  <c r="D8" i="7"/>
  <c r="C9" i="7"/>
  <c r="C10" i="7"/>
  <c r="C8" i="7"/>
  <c r="B9" i="7"/>
  <c r="B10" i="7"/>
  <c r="B8" i="7"/>
  <c r="G7" i="37"/>
  <c r="G8" i="37"/>
  <c r="G9" i="37"/>
  <c r="G10" i="37"/>
  <c r="G11" i="37"/>
  <c r="G12" i="37"/>
  <c r="G13" i="37"/>
  <c r="G14" i="37"/>
  <c r="G15" i="37"/>
  <c r="G16" i="37"/>
  <c r="G17" i="37"/>
  <c r="G18" i="37"/>
  <c r="F7" i="37"/>
  <c r="F8" i="37"/>
  <c r="F9" i="37"/>
  <c r="F10" i="37"/>
  <c r="F11" i="37"/>
  <c r="F12" i="37"/>
  <c r="F13" i="37"/>
  <c r="F14" i="37"/>
  <c r="F15" i="37"/>
  <c r="F16" i="37"/>
  <c r="F17" i="37"/>
  <c r="F18" i="37"/>
  <c r="G6" i="37"/>
  <c r="F6" i="37"/>
  <c r="B35" i="6"/>
  <c r="B34" i="6"/>
  <c r="G7" i="6"/>
  <c r="G8" i="6"/>
  <c r="G9" i="6"/>
  <c r="G10" i="6"/>
  <c r="G11" i="6"/>
  <c r="G12" i="6"/>
  <c r="G13" i="6"/>
  <c r="G14" i="6"/>
  <c r="G15" i="6"/>
  <c r="G6" i="6"/>
  <c r="B27" i="6"/>
  <c r="B26" i="6"/>
  <c r="A22" i="6"/>
  <c r="A19" i="6"/>
  <c r="F7" i="6"/>
  <c r="F8" i="6"/>
  <c r="F9" i="6"/>
  <c r="F10" i="6"/>
  <c r="F11" i="6"/>
  <c r="F12" i="6"/>
  <c r="F13" i="6"/>
  <c r="F14" i="6"/>
  <c r="F15" i="6"/>
  <c r="F6" i="6"/>
  <c r="A21" i="5"/>
  <c r="A18" i="5"/>
  <c r="C6" i="5"/>
  <c r="C7" i="5"/>
  <c r="C8" i="5"/>
  <c r="C9" i="5"/>
  <c r="C10" i="5"/>
  <c r="C11" i="5"/>
  <c r="C12" i="5"/>
  <c r="C13" i="5"/>
  <c r="C14" i="5"/>
  <c r="C15" i="5"/>
  <c r="C5" i="5"/>
  <c r="D6" i="5"/>
  <c r="D7" i="5"/>
  <c r="D8" i="5"/>
  <c r="D9" i="5"/>
  <c r="D10" i="5"/>
  <c r="D11" i="5"/>
  <c r="D12" i="5"/>
  <c r="D13" i="5"/>
  <c r="D14" i="5"/>
  <c r="D15" i="5"/>
  <c r="D5" i="5"/>
  <c r="E5" i="5"/>
  <c r="F5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6" i="5"/>
  <c r="F6" i="5" s="1"/>
  <c r="D45" i="36"/>
  <c r="D44" i="36"/>
  <c r="D37" i="36"/>
  <c r="D36" i="36"/>
  <c r="D32" i="36"/>
  <c r="D33" i="36"/>
  <c r="D31" i="36"/>
  <c r="C28" i="36"/>
  <c r="C28" i="4"/>
  <c r="C29" i="4"/>
  <c r="B28" i="4"/>
  <c r="B29" i="4"/>
  <c r="C27" i="4"/>
  <c r="B27" i="4"/>
  <c r="J5" i="4"/>
  <c r="J6" i="4"/>
  <c r="J7" i="4"/>
  <c r="J8" i="4"/>
  <c r="J9" i="4"/>
  <c r="J10" i="4"/>
  <c r="J11" i="4"/>
  <c r="J12" i="4"/>
  <c r="J13" i="4"/>
  <c r="J14" i="4"/>
  <c r="B18" i="4"/>
  <c r="H5" i="4"/>
  <c r="H6" i="4"/>
  <c r="H7" i="4"/>
  <c r="H8" i="4"/>
  <c r="H9" i="4"/>
  <c r="H10" i="4"/>
  <c r="H11" i="4"/>
  <c r="H12" i="4"/>
  <c r="H13" i="4"/>
  <c r="H14" i="4"/>
  <c r="H4" i="4"/>
  <c r="J4" i="4" s="1"/>
  <c r="A32" i="4" s="1"/>
  <c r="B33" i="3"/>
  <c r="B32" i="3"/>
  <c r="C26" i="3"/>
  <c r="C25" i="3"/>
  <c r="B26" i="3"/>
  <c r="B25" i="3"/>
  <c r="I5" i="3"/>
  <c r="I6" i="3"/>
  <c r="I7" i="3"/>
  <c r="I8" i="3"/>
  <c r="I9" i="3"/>
  <c r="I10" i="3"/>
  <c r="I11" i="3"/>
  <c r="I4" i="3"/>
  <c r="H5" i="3"/>
  <c r="H6" i="3"/>
  <c r="H7" i="3"/>
  <c r="H8" i="3"/>
  <c r="H9" i="3"/>
  <c r="H10" i="3"/>
  <c r="H11" i="3"/>
  <c r="H4" i="3"/>
  <c r="G5" i="3"/>
  <c r="G6" i="3"/>
  <c r="G7" i="3"/>
  <c r="G8" i="3"/>
  <c r="G9" i="3"/>
  <c r="G10" i="3"/>
  <c r="G11" i="3"/>
  <c r="G4" i="3"/>
  <c r="F5" i="3"/>
  <c r="F6" i="3"/>
  <c r="F7" i="3"/>
  <c r="F8" i="3"/>
  <c r="F9" i="3"/>
  <c r="F10" i="3"/>
  <c r="F11" i="3"/>
  <c r="F4" i="3"/>
  <c r="E5" i="3"/>
  <c r="E6" i="3"/>
  <c r="E7" i="3"/>
  <c r="E8" i="3"/>
  <c r="E9" i="3"/>
  <c r="E10" i="3"/>
  <c r="E11" i="3"/>
  <c r="E4" i="3"/>
  <c r="B21" i="3"/>
  <c r="B16" i="3"/>
  <c r="B17" i="3"/>
  <c r="B18" i="3"/>
  <c r="B36" i="34"/>
  <c r="B35" i="34"/>
  <c r="B34" i="34"/>
  <c r="C25" i="34"/>
  <c r="C26" i="34"/>
  <c r="C24" i="34"/>
  <c r="B25" i="34"/>
  <c r="B26" i="34"/>
  <c r="B24" i="34"/>
  <c r="G5" i="34"/>
  <c r="G6" i="34"/>
  <c r="G7" i="34"/>
  <c r="G8" i="34"/>
  <c r="G9" i="34"/>
  <c r="G10" i="34"/>
  <c r="G11" i="34"/>
  <c r="G12" i="34"/>
  <c r="G4" i="34"/>
  <c r="A20" i="34"/>
  <c r="A17" i="34"/>
  <c r="F5" i="34"/>
  <c r="F6" i="34"/>
  <c r="F7" i="34"/>
  <c r="F8" i="34"/>
  <c r="F9" i="34"/>
  <c r="F10" i="34"/>
  <c r="F11" i="34"/>
  <c r="F12" i="34"/>
  <c r="F4" i="34"/>
  <c r="E5" i="34"/>
  <c r="E6" i="34"/>
  <c r="E7" i="34"/>
  <c r="E8" i="34"/>
  <c r="E9" i="34"/>
  <c r="E10" i="34"/>
  <c r="E11" i="34"/>
  <c r="E12" i="34"/>
  <c r="E4" i="34"/>
  <c r="A32" i="5" l="1"/>
  <c r="A25" i="5"/>
  <c r="F7" i="33"/>
  <c r="F8" i="33"/>
  <c r="F9" i="33"/>
  <c r="F10" i="33"/>
  <c r="F11" i="33"/>
  <c r="F12" i="33"/>
  <c r="F13" i="33"/>
  <c r="F14" i="33"/>
  <c r="F15" i="33"/>
  <c r="F6" i="33"/>
  <c r="D28" i="33"/>
  <c r="E28" i="33"/>
  <c r="C28" i="33"/>
  <c r="D24" i="33"/>
  <c r="C24" i="33"/>
  <c r="B20" i="33"/>
  <c r="E7" i="33"/>
  <c r="E8" i="33"/>
  <c r="E9" i="33"/>
  <c r="E10" i="33"/>
  <c r="E11" i="33"/>
  <c r="E12" i="33"/>
  <c r="E13" i="33"/>
  <c r="E14" i="33"/>
  <c r="E15" i="33"/>
  <c r="E6" i="33"/>
  <c r="C35" i="32"/>
  <c r="B35" i="32"/>
  <c r="C34" i="32"/>
  <c r="B34" i="32"/>
  <c r="A30" i="32"/>
  <c r="C27" i="32"/>
  <c r="C26" i="32"/>
  <c r="B27" i="32"/>
  <c r="B26" i="32"/>
  <c r="C22" i="32"/>
  <c r="C21" i="32"/>
  <c r="J14" i="32"/>
  <c r="J6" i="32"/>
  <c r="J7" i="32"/>
  <c r="J8" i="32"/>
  <c r="J9" i="32"/>
  <c r="J10" i="32"/>
  <c r="J11" i="32"/>
  <c r="J12" i="32"/>
  <c r="J13" i="32"/>
  <c r="J5" i="32"/>
  <c r="I6" i="32"/>
  <c r="I7" i="32"/>
  <c r="I8" i="32"/>
  <c r="I9" i="32"/>
  <c r="I10" i="32"/>
  <c r="I11" i="32"/>
  <c r="I12" i="32"/>
  <c r="I13" i="32"/>
  <c r="I14" i="32"/>
  <c r="I5" i="32"/>
  <c r="H6" i="32"/>
  <c r="H7" i="32"/>
  <c r="H8" i="32"/>
  <c r="H9" i="32"/>
  <c r="H10" i="32"/>
  <c r="H11" i="32"/>
  <c r="H12" i="32"/>
  <c r="H13" i="32"/>
  <c r="H14" i="32"/>
  <c r="H5" i="32"/>
</calcChain>
</file>

<file path=xl/sharedStrings.xml><?xml version="1.0" encoding="utf-8"?>
<sst xmlns="http://schemas.openxmlformats.org/spreadsheetml/2006/main" count="3217" uniqueCount="2504">
  <si>
    <t/>
  </si>
  <si>
    <t>Assignment -1</t>
  </si>
  <si>
    <t>Use of Formulas Sum, Average, If, Count, Counta, Countif &amp; Sumif</t>
  </si>
  <si>
    <t>Roll No</t>
  </si>
  <si>
    <t>Student Name</t>
  </si>
  <si>
    <t>Hindi</t>
  </si>
  <si>
    <t>English</t>
  </si>
  <si>
    <t>Math</t>
  </si>
  <si>
    <t>Physics</t>
  </si>
  <si>
    <t>Chemistry</t>
  </si>
  <si>
    <t>Total</t>
  </si>
  <si>
    <t>Average</t>
  </si>
  <si>
    <t>Grade</t>
  </si>
  <si>
    <t>RAM</t>
  </si>
  <si>
    <t>ASHOK</t>
  </si>
  <si>
    <t>MANOJ</t>
  </si>
  <si>
    <t>RAJESH</t>
  </si>
  <si>
    <t>RANJANA</t>
  </si>
  <si>
    <t>POOJA</t>
  </si>
  <si>
    <t>MAHESH</t>
  </si>
  <si>
    <t>ASHUTOSH</t>
  </si>
  <si>
    <t>ANIL</t>
  </si>
  <si>
    <t>PREM</t>
  </si>
  <si>
    <t>Q.1 Find the Total Number &amp; Average in all Subjects in Each Student .</t>
  </si>
  <si>
    <t>Q.2 Find Grade Using If Function - If Average Greater &gt;15 then "A" Grade otherwise "B" Grade</t>
  </si>
  <si>
    <t>Q.3 How Many Student "A" and "B" Grade</t>
  </si>
  <si>
    <t>Use of Countif</t>
  </si>
  <si>
    <t>Q.4 Student Ashok and Manoj Total Number and Average</t>
  </si>
  <si>
    <t>Use of Sumif</t>
  </si>
  <si>
    <t>Q.5 Count how many Students</t>
  </si>
  <si>
    <t>Use of Counta</t>
  </si>
  <si>
    <t>Q.6 How Many Student Hindi &amp; English Subject Number Grater Then &gt; 20 and &lt;15</t>
  </si>
  <si>
    <t>Assignment -2</t>
  </si>
  <si>
    <t>Use of Formulas - Product, If, Counta, Countif, Sumif</t>
  </si>
  <si>
    <t>SRNO</t>
  </si>
  <si>
    <t>ITEMS</t>
  </si>
  <si>
    <t>QTY</t>
  </si>
  <si>
    <t>RATE</t>
  </si>
  <si>
    <t>AMOUNT</t>
  </si>
  <si>
    <t>GRADE</t>
  </si>
  <si>
    <t>AC</t>
  </si>
  <si>
    <t>FRIDGE</t>
  </si>
  <si>
    <t>COOLER</t>
  </si>
  <si>
    <t>WASHING MACHINE</t>
  </si>
  <si>
    <t>TV</t>
  </si>
  <si>
    <t>FAN</t>
  </si>
  <si>
    <t>COMPUTER</t>
  </si>
  <si>
    <t>KEYBOARD</t>
  </si>
  <si>
    <t>MOUSE</t>
  </si>
  <si>
    <t>PRINTER</t>
  </si>
  <si>
    <t xml:space="preserve">Q.1 Using of Product Fomula for Calculate Amount = Qty*Rate </t>
  </si>
  <si>
    <t xml:space="preserve">Q.2 How Many Items in a List </t>
  </si>
  <si>
    <t>Q.3 How Many Items qty Greate Then &gt; 20 and Less Then &lt;20</t>
  </si>
  <si>
    <t>Q.4 Calculate Item Computer Qty, Rate and Amount using Sumif Formula</t>
  </si>
  <si>
    <t>Q.5 If Items Amount is Greater &gt; 500000, Then Items "Expensive" otherwise "Lets Buy it".</t>
  </si>
  <si>
    <t>Assignment -3</t>
  </si>
  <si>
    <t>Use of Formulas - Sum, NestedIf, Counta, Countif, Sumif, Vlookup</t>
  </si>
  <si>
    <t>SUBJECT</t>
  </si>
  <si>
    <t>1ST</t>
  </si>
  <si>
    <t>2ND</t>
  </si>
  <si>
    <t>3RD</t>
  </si>
  <si>
    <t>TOTAL</t>
  </si>
  <si>
    <t>AVERAGE</t>
  </si>
  <si>
    <t>HINDI</t>
  </si>
  <si>
    <t>ENGLISH</t>
  </si>
  <si>
    <t>MATH</t>
  </si>
  <si>
    <t>PHYSICS</t>
  </si>
  <si>
    <t>CHEMISTRY</t>
  </si>
  <si>
    <t>HISTORY</t>
  </si>
  <si>
    <t>GEO</t>
  </si>
  <si>
    <t>BIO</t>
  </si>
  <si>
    <t>BOTANY</t>
  </si>
  <si>
    <t>Q.1 HOW MANY SUBJECT ?</t>
  </si>
  <si>
    <t>Q.2 HOW MANY SUBJECT 1 PAPER GREATER THAN 20 ?</t>
  </si>
  <si>
    <t>Q.3 SUBJECT HINDI, MATH &amp; ENGLISH TOTAL NO. &amp; GRADE</t>
  </si>
  <si>
    <t>Vlookup</t>
  </si>
  <si>
    <t>Q.4 IF AVE. GREATHER THAN 20 THEN "A", IF AVE. GREATEHR THAN 15 AVE. "B" OTHERWISE "C"</t>
  </si>
  <si>
    <t>Q.5 SUBJECT PHYSICS, MATHS &amp; ENGLISH TOTAL /AVERAGE</t>
  </si>
  <si>
    <t>Assignment -4 (Salary Sheet)</t>
  </si>
  <si>
    <t>Use of Formulas - Sum, NestedIf, Counta, Countif, Sumif, Vlookup</t>
  </si>
  <si>
    <t>NAME</t>
  </si>
  <si>
    <t>DEPARTMENT</t>
  </si>
  <si>
    <t>POST</t>
  </si>
  <si>
    <t>BASIC</t>
  </si>
  <si>
    <t>DA 2.5%</t>
  </si>
  <si>
    <t>HRA 3.5%</t>
  </si>
  <si>
    <t>PF 1.5%</t>
  </si>
  <si>
    <t>TOTAL</t>
  </si>
  <si>
    <t>GRADE</t>
  </si>
  <si>
    <t>RAM</t>
  </si>
  <si>
    <t>COMPUTER</t>
  </si>
  <si>
    <t>MANAGER</t>
  </si>
  <si>
    <t>SHYAM</t>
  </si>
  <si>
    <t>COMPUTER</t>
  </si>
  <si>
    <t>SUPERVISOR</t>
  </si>
  <si>
    <t>MANOJ</t>
  </si>
  <si>
    <t>COMPUTER</t>
  </si>
  <si>
    <t>PION</t>
  </si>
  <si>
    <t>POOJA</t>
  </si>
  <si>
    <t>ELECTRICAL</t>
  </si>
  <si>
    <t>GUARD</t>
  </si>
  <si>
    <t>RAHUL</t>
  </si>
  <si>
    <t>ELECTRICAL</t>
  </si>
  <si>
    <t>CASHER</t>
  </si>
  <si>
    <t>RAKESH</t>
  </si>
  <si>
    <t>ELECTRICAL</t>
  </si>
  <si>
    <t>ACCOUNTANT</t>
  </si>
  <si>
    <t>ASHISH</t>
  </si>
  <si>
    <t>FINANCE</t>
  </si>
  <si>
    <t>MANAGER</t>
  </si>
  <si>
    <t>MANISH</t>
  </si>
  <si>
    <t>FINANCE</t>
  </si>
  <si>
    <t>GUARD</t>
  </si>
  <si>
    <t>Q.1 HOW MANY EMPLOYEE IN COMPUTER, FINANCE, ELECTRICAL DEPARTMENT</t>
  </si>
  <si>
    <t>Use of Countif</t>
  </si>
  <si>
    <t/>
  </si>
  <si>
    <t/>
  </si>
  <si>
    <t/>
  </si>
  <si>
    <t/>
  </si>
  <si>
    <t/>
  </si>
  <si>
    <t/>
  </si>
  <si>
    <t/>
  </si>
  <si>
    <t>Q.2 HOW MANY BASIC SALARY IN COMPUTER DFPARTMENT ONLY?</t>
  </si>
  <si>
    <t>Use of Sumif</t>
  </si>
  <si>
    <t/>
  </si>
  <si>
    <t/>
  </si>
  <si>
    <t/>
  </si>
  <si>
    <t/>
  </si>
  <si>
    <t/>
  </si>
  <si>
    <t/>
  </si>
  <si>
    <t/>
  </si>
  <si>
    <t>Q.3 MANOJ, ASHISH POST &amp; GRADE</t>
  </si>
  <si>
    <t>Use of Vlookup</t>
  </si>
  <si>
    <t/>
  </si>
  <si>
    <t/>
  </si>
  <si>
    <t/>
  </si>
  <si>
    <t/>
  </si>
  <si>
    <t/>
  </si>
  <si>
    <t/>
  </si>
  <si>
    <t/>
  </si>
  <si>
    <t>Q.4 IF TOTAL SALALRY IS GREATER THEN 20000 THEN "A", IF TOTAL SALARY GREATER THEN 10000 THEN "B", 
OTHERWISE "C"</t>
  </si>
  <si>
    <t/>
  </si>
  <si>
    <t>Q.5 HOW MANY EMPLOYEE IS MANAGER &amp; GUARD?</t>
  </si>
  <si>
    <t/>
  </si>
  <si>
    <t>Assignment -5 (Sales Report)</t>
  </si>
  <si>
    <t>Use of Formulas - Sum, If, Counta, Countif, Sumif, Vlookup, Lookup</t>
  </si>
  <si>
    <t>SALESMAN</t>
  </si>
  <si>
    <t>JAN</t>
  </si>
  <si>
    <t>FEB</t>
  </si>
  <si>
    <t>MAR</t>
  </si>
  <si>
    <t>APR</t>
  </si>
  <si>
    <t>MAY</t>
  </si>
  <si>
    <t>JUNE</t>
  </si>
  <si>
    <t>SALES</t>
  </si>
  <si>
    <t>TARGET</t>
  </si>
  <si>
    <t>RESULT</t>
  </si>
  <si>
    <t>RAMESH</t>
  </si>
  <si>
    <t>RAKESH</t>
  </si>
  <si>
    <t>RAHUL</t>
  </si>
  <si>
    <t>POOJA</t>
  </si>
  <si>
    <t>MANOJ</t>
  </si>
  <si>
    <t>ASHOK</t>
  </si>
  <si>
    <t>AJEET</t>
  </si>
  <si>
    <t>ALOK</t>
  </si>
  <si>
    <t>AMRIT</t>
  </si>
  <si>
    <t>SURENDRA</t>
  </si>
  <si>
    <t>SHASHI</t>
  </si>
  <si>
    <t>Q.1 How many salesman? Salesman Ajeet Targest &amp; Result?</t>
  </si>
  <si>
    <t>Use of Counta and Vlookup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</si>
  <si>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</si>
  <si>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</si>
  <si>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</si>
  <si>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</si>
  <si>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</si>
  <si>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</si>
  <si>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</si>
  <si>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</si>
  <si>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</si>
  <si>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</si>
  <si>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</si>
  <si>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</si>
  <si>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</si>
  <si>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</si>
  <si>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</si>
  <si>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</si>
  <si>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</si>
  <si>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Use of If Function</t>
  </si>
  <si>
    <t/>
  </si>
  <si>
    <t/>
  </si>
  <si>
    <t/>
  </si>
  <si>
    <t/>
  </si>
  <si>
    <t/>
  </si>
  <si>
    <t/>
  </si>
  <si>
    <t/>
  </si>
  <si>
    <t/>
  </si>
  <si>
    <t>Q.3 Rahul Pooja &amp; Ashok Targest &amp; result?</t>
  </si>
  <si>
    <t>Use of Vlookup</t>
  </si>
  <si>
    <t/>
  </si>
  <si>
    <t/>
  </si>
  <si>
    <t/>
  </si>
  <si>
    <t/>
  </si>
  <si>
    <t/>
  </si>
  <si>
    <t/>
  </si>
  <si>
    <t/>
  </si>
  <si>
    <t>Q.4 How Many Salesman Achived Target.</t>
  </si>
  <si>
    <t>Use of Countif</t>
  </si>
  <si>
    <t/>
  </si>
  <si>
    <t/>
  </si>
  <si>
    <t/>
  </si>
  <si>
    <t/>
  </si>
  <si>
    <t/>
  </si>
  <si>
    <t/>
  </si>
  <si>
    <t/>
  </si>
  <si>
    <t>Assignment -6</t>
  </si>
  <si>
    <t xml:space="preserve">Use of Formulas - Counta, Countif, Sumif, Hlookup, </t>
  </si>
  <si>
    <t>Conditional Formatting</t>
  </si>
  <si>
    <t>Items</t>
  </si>
  <si>
    <t>Date</t>
  </si>
  <si>
    <t>Cost</t>
  </si>
  <si>
    <t>BRAKES</t>
  </si>
  <si>
    <t>01-01-2016</t>
  </si>
  <si>
    <t>TYRES</t>
  </si>
  <si>
    <t>12-05-2016</t>
  </si>
  <si>
    <t>18-05-2016</t>
  </si>
  <si>
    <t>SERVICE</t>
  </si>
  <si>
    <t>20-05-2016</t>
  </si>
  <si>
    <t>10-02-2016</t>
  </si>
  <si>
    <t>WINDOW</t>
  </si>
  <si>
    <t>08-05-2016</t>
  </si>
  <si>
    <t>10-05-2016</t>
  </si>
  <si>
    <t>25-05-2016</t>
  </si>
  <si>
    <t>CLUTCH</t>
  </si>
  <si>
    <t>10-07-2016</t>
  </si>
  <si>
    <t>10-01-2016</t>
  </si>
  <si>
    <t>15-06-2016</t>
  </si>
  <si>
    <t>lOMoARcPSD|50763021</t>
  </si>
  <si>
    <t>12-01-2016</t>
  </si>
  <si>
    <t>14-08-2016</t>
  </si>
  <si>
    <t>15-08-2016</t>
  </si>
  <si>
    <t>20-08-2016</t>
  </si>
  <si>
    <t>Q.1</t>
  </si>
  <si>
    <t>HOW MANY ITEMS ?</t>
  </si>
  <si>
    <t>Use of Counta</t>
  </si>
  <si>
    <t/>
  </si>
  <si>
    <t/>
  </si>
  <si>
    <t>Q.2</t>
  </si>
  <si>
    <t>HOW MANY BRAKE, WINDOW &amp; TYRES HAVE BEEN BOUGHTS?</t>
  </si>
  <si>
    <t>Use of Countif</t>
  </si>
  <si>
    <t/>
  </si>
  <si>
    <t/>
  </si>
  <si>
    <t>Q.3</t>
  </si>
  <si>
    <t>HOW MANY ITEMS COST IS &gt;1000 &amp; BELOW &gt; = 1000?</t>
  </si>
  <si>
    <t>Use of Countif</t>
  </si>
  <si>
    <t/>
  </si>
  <si>
    <t/>
  </si>
  <si>
    <t/>
  </si>
  <si>
    <t/>
  </si>
  <si>
    <t>Use of Conditional</t>
  </si>
  <si>
    <t/>
  </si>
  <si>
    <t/>
  </si>
  <si>
    <t>Use of Sumif</t>
  </si>
  <si>
    <t/>
  </si>
  <si>
    <t/>
  </si>
  <si>
    <t>Assignment -7 (Calculate Date of Birth)</t>
  </si>
  <si>
    <t>Use of Formulas - Counta, Countif, Sumif, if &amp; Datedif</t>
  </si>
  <si>
    <t>NAME</t>
  </si>
  <si>
    <t>DATE OF BIRTH</t>
  </si>
  <si>
    <t xml:space="preserve">DAY </t>
  </si>
  <si>
    <t>MONTH</t>
  </si>
  <si>
    <t>YEAR</t>
  </si>
  <si>
    <t>RAMESH</t>
  </si>
  <si>
    <t>15-05-1980</t>
  </si>
  <si>
    <t>RAKESH</t>
  </si>
  <si>
    <t>20-08-1981</t>
  </si>
  <si>
    <t>RAHUL</t>
  </si>
  <si>
    <t>15-10-2003</t>
  </si>
  <si>
    <t>POOJA</t>
  </si>
  <si>
    <t>25-05-1990</t>
  </si>
  <si>
    <t>MANOJ</t>
  </si>
  <si>
    <t>24-08-1992</t>
  </si>
  <si>
    <t>ASHOK</t>
  </si>
  <si>
    <t>23-08-1998</t>
  </si>
  <si>
    <t>AJEET</t>
  </si>
  <si>
    <t>12-05-1980</t>
  </si>
  <si>
    <t>ALOK</t>
  </si>
  <si>
    <t>18-03-2005</t>
  </si>
  <si>
    <t>AMRIT</t>
  </si>
  <si>
    <t>15-08-2007</t>
  </si>
  <si>
    <t>SURENDRA</t>
  </si>
  <si>
    <t>25-05-2010</t>
  </si>
  <si>
    <t>SHASHI</t>
  </si>
  <si>
    <t>25-08-1993</t>
  </si>
  <si>
    <t/>
  </si>
  <si>
    <t/>
  </si>
  <si>
    <t/>
  </si>
  <si>
    <t/>
  </si>
  <si>
    <t>Q.1 HOW MANY STUDENT?</t>
  </si>
  <si>
    <t xml:space="preserve">Counta </t>
  </si>
  <si>
    <t/>
  </si>
  <si>
    <t/>
  </si>
  <si>
    <t/>
  </si>
  <si>
    <t/>
  </si>
  <si>
    <t/>
  </si>
  <si>
    <t/>
  </si>
  <si>
    <t>Q.2 STUDENT SURENDRA IS HOW MANY YEAR OLD?</t>
  </si>
  <si>
    <t>Sumif</t>
  </si>
  <si>
    <t/>
  </si>
  <si>
    <t/>
  </si>
  <si>
    <t/>
  </si>
  <si>
    <t/>
  </si>
  <si>
    <t/>
  </si>
  <si>
    <t>Q.3 HOW MANY STUDENT AGE GREATER THEN 20 YEARS?</t>
  </si>
  <si>
    <t>Countif</t>
  </si>
  <si>
    <t/>
  </si>
  <si>
    <t/>
  </si>
  <si>
    <t>Q.4 IF STUDENT AGE IS GREATHER THEN 20 THEN STUDENT ADULT / CHILD?</t>
  </si>
  <si>
    <t/>
  </si>
  <si>
    <t/>
  </si>
  <si>
    <t/>
  </si>
  <si>
    <t/>
  </si>
  <si>
    <t>Q.5 HOW MANY STUDENT AGE IS &gt;= 25 YEARS?</t>
  </si>
  <si>
    <t>Countif</t>
  </si>
  <si>
    <t/>
  </si>
  <si>
    <t/>
  </si>
  <si>
    <t>lOMoARcPSD|50763021</t>
  </si>
  <si>
    <t>Assignment -8</t>
  </si>
  <si>
    <t>Use of Formulas - Sum, Average, Counta, Countif, Sumif, &amp; If</t>
  </si>
  <si>
    <t>Student Name</t>
  </si>
  <si>
    <t/>
  </si>
  <si>
    <t>Subject</t>
  </si>
  <si>
    <t/>
  </si>
  <si>
    <t/>
  </si>
  <si>
    <t>Result</t>
  </si>
  <si>
    <t/>
  </si>
  <si>
    <t>Name</t>
  </si>
  <si>
    <t>Maths</t>
  </si>
  <si>
    <t>English</t>
  </si>
  <si>
    <t>Physics</t>
  </si>
  <si>
    <t>TOTAL</t>
  </si>
  <si>
    <t>PERCENTAGE</t>
  </si>
  <si>
    <t>GRADE</t>
  </si>
  <si>
    <t>Alan</t>
  </si>
  <si>
    <t>Bob</t>
  </si>
  <si>
    <t>Carol</t>
  </si>
  <si>
    <t>oor</t>
  </si>
  <si>
    <t>David</t>
  </si>
  <si>
    <t>Eric</t>
  </si>
  <si>
    <t>Absent</t>
  </si>
  <si>
    <t>Fred</t>
  </si>
  <si>
    <t>Gail</t>
  </si>
  <si>
    <t>Harry</t>
  </si>
  <si>
    <t>Ian</t>
  </si>
  <si>
    <t>Janice</t>
  </si>
  <si>
    <t>Q.1 How Many Student?</t>
  </si>
  <si>
    <t xml:space="preserve">Use Formula Counta </t>
  </si>
  <si>
    <t/>
  </si>
  <si>
    <t/>
  </si>
  <si>
    <t/>
  </si>
  <si>
    <t/>
  </si>
  <si>
    <t>Q.2 How Many Student Percentage Greather Then &gt; 50</t>
  </si>
  <si>
    <t>Use Formula Countif</t>
  </si>
  <si>
    <t/>
  </si>
  <si>
    <t/>
  </si>
  <si>
    <t/>
  </si>
  <si>
    <t/>
  </si>
  <si>
    <t>Q.3 Student Bob and Eric Total Number?</t>
  </si>
  <si>
    <t>Use Formula Sumif</t>
  </si>
  <si>
    <t/>
  </si>
  <si>
    <t/>
  </si>
  <si>
    <t/>
  </si>
  <si>
    <t/>
  </si>
  <si>
    <t/>
  </si>
  <si>
    <t/>
  </si>
  <si>
    <t/>
  </si>
  <si>
    <t/>
  </si>
  <si>
    <t/>
  </si>
  <si>
    <t>Use Formula Countif</t>
  </si>
  <si>
    <t/>
  </si>
  <si>
    <t/>
  </si>
  <si>
    <t/>
  </si>
  <si>
    <t/>
  </si>
  <si>
    <t/>
  </si>
  <si>
    <t/>
  </si>
  <si>
    <t>Assignment -9</t>
  </si>
  <si>
    <t/>
  </si>
  <si>
    <t>Use of Formulas - LOOKUP</t>
  </si>
  <si>
    <t>LOOKUP FUNCTION SYNTAX</t>
  </si>
  <si>
    <t>LOOKUP(LOOKUP_value,lookup_vector,[result_vector])</t>
  </si>
  <si>
    <t/>
  </si>
  <si>
    <t/>
  </si>
  <si>
    <t/>
  </si>
  <si>
    <t/>
  </si>
  <si>
    <t/>
  </si>
  <si>
    <t/>
  </si>
  <si>
    <t/>
  </si>
  <si>
    <t/>
  </si>
  <si>
    <t/>
  </si>
  <si>
    <t>First</t>
  </si>
  <si>
    <t>Last</t>
  </si>
  <si>
    <t>Empoyee ID</t>
  </si>
  <si>
    <t>Last Name</t>
  </si>
  <si>
    <t>First Name</t>
  </si>
  <si>
    <t>Empoyee ID</t>
  </si>
  <si>
    <t>Pay</t>
  </si>
  <si>
    <t>N.</t>
  </si>
  <si>
    <t>N.</t>
  </si>
  <si>
    <t>Doe</t>
  </si>
  <si>
    <t>John</t>
  </si>
  <si>
    <t>$ 84,289</t>
  </si>
  <si>
    <t>Cline</t>
  </si>
  <si>
    <t>Andy</t>
  </si>
  <si>
    <t>$ 1,37,670</t>
  </si>
  <si>
    <t>Smith</t>
  </si>
  <si>
    <t>John</t>
  </si>
  <si>
    <t>$ 1,90,024</t>
  </si>
  <si>
    <t>Pan</t>
  </si>
  <si>
    <t>Peter</t>
  </si>
  <si>
    <t>$ 1,22,604</t>
  </si>
  <si>
    <t>Favre</t>
  </si>
  <si>
    <t>Bret</t>
  </si>
  <si>
    <t>$ 1,11,709</t>
  </si>
  <si>
    <t>Elway</t>
  </si>
  <si>
    <t>John</t>
  </si>
  <si>
    <t>$ 85,931</t>
  </si>
  <si>
    <t>Manning</t>
  </si>
  <si>
    <t>Eli</t>
  </si>
  <si>
    <t>$ 1,68,114</t>
  </si>
  <si>
    <t>Vick</t>
  </si>
  <si>
    <t>Micheal</t>
  </si>
  <si>
    <t>$ 89,627</t>
  </si>
  <si>
    <t>Woods</t>
  </si>
  <si>
    <t>Tiger</t>
  </si>
  <si>
    <t>$ 1,49,946</t>
  </si>
  <si>
    <t>Jordan</t>
  </si>
  <si>
    <t>Micheal</t>
  </si>
  <si>
    <t>$ 1,45,893</t>
  </si>
  <si>
    <t>Stark</t>
  </si>
  <si>
    <t>Tony</t>
  </si>
  <si>
    <t>$ 64,757</t>
  </si>
  <si>
    <t>Williams</t>
  </si>
  <si>
    <t>Prince</t>
  </si>
  <si>
    <t>$ 71,478</t>
  </si>
  <si>
    <t>lOMoARcPSD|50763021</t>
  </si>
  <si>
    <t>Excellent Computer Education(A Professional Training Center)</t>
  </si>
  <si>
    <t>Pitt</t>
  </si>
  <si>
    <t>Brad</t>
  </si>
  <si>
    <t>$ 1,21,444</t>
  </si>
  <si>
    <t>Assignment -10</t>
  </si>
  <si>
    <t>Use of Formulas - Counta, Countif, Sumif, &amp; Vlookup</t>
  </si>
  <si>
    <t xml:space="preserve">USE OF VLOOKUP </t>
  </si>
  <si>
    <t>Employee ID</t>
  </si>
  <si>
    <t>Full Name</t>
  </si>
  <si>
    <t>SSN</t>
  </si>
  <si>
    <t>Department</t>
  </si>
  <si>
    <t>Start Date</t>
  </si>
  <si>
    <t>Earnings</t>
  </si>
  <si>
    <t/>
  </si>
  <si>
    <t>EMP001</t>
  </si>
  <si>
    <t/>
  </si>
  <si>
    <t>EMP002</t>
  </si>
  <si>
    <t/>
  </si>
  <si>
    <t>EMP003</t>
  </si>
  <si>
    <t/>
  </si>
  <si>
    <t>Employee ID</t>
  </si>
  <si>
    <t>Full Name</t>
  </si>
  <si>
    <t>SSN</t>
  </si>
  <si>
    <t>Department</t>
  </si>
  <si>
    <t>Start Date</t>
  </si>
  <si>
    <t>Earnings</t>
  </si>
  <si>
    <t/>
  </si>
  <si>
    <t>EMP001</t>
  </si>
  <si>
    <t>Faith K. Macias</t>
  </si>
  <si>
    <t>845-04-3962</t>
  </si>
  <si>
    <t>Marketing</t>
  </si>
  <si>
    <t>27-01-2008</t>
  </si>
  <si>
    <t/>
  </si>
  <si>
    <t>EMP002</t>
  </si>
  <si>
    <t>Lucian Q. Franklin</t>
  </si>
  <si>
    <t>345-28-4935</t>
  </si>
  <si>
    <t>IT/IS</t>
  </si>
  <si>
    <t>01-03-2008</t>
  </si>
  <si>
    <t/>
  </si>
  <si>
    <t>EMP003</t>
  </si>
  <si>
    <t>Blaze V. Bridges</t>
  </si>
  <si>
    <t>503-53-8350</t>
  </si>
  <si>
    <t>Marketing</t>
  </si>
  <si>
    <t>16-04-2008</t>
  </si>
  <si>
    <t/>
  </si>
  <si>
    <t>EMP004</t>
  </si>
  <si>
    <t>Denton Q. Dale</t>
  </si>
  <si>
    <t>858-39-7967</t>
  </si>
  <si>
    <t>Marketing</t>
  </si>
  <si>
    <t>03-05-2008</t>
  </si>
  <si>
    <t/>
  </si>
  <si>
    <t>EMP005</t>
  </si>
  <si>
    <t>Blossom K. Fox</t>
  </si>
  <si>
    <t>245-18-5890</t>
  </si>
  <si>
    <t>Engineering</t>
  </si>
  <si>
    <t>11-07-2008</t>
  </si>
  <si>
    <t/>
  </si>
  <si>
    <t>EMP006</t>
  </si>
  <si>
    <t>Kerry V. David</t>
  </si>
  <si>
    <t>873-45-8675</t>
  </si>
  <si>
    <t>Finance</t>
  </si>
  <si>
    <t>17-07-2008</t>
  </si>
  <si>
    <t/>
  </si>
  <si>
    <t>EMP007</t>
  </si>
  <si>
    <t>Melanie X. Baker</t>
  </si>
  <si>
    <t>190-08-3679</t>
  </si>
  <si>
    <t>Finance</t>
  </si>
  <si>
    <t>05-10-2008</t>
  </si>
  <si>
    <t/>
  </si>
  <si>
    <t>EMP008</t>
  </si>
  <si>
    <t>Adele M. Fulton</t>
  </si>
  <si>
    <t>352-36-9553</t>
  </si>
  <si>
    <t>Engineering</t>
  </si>
  <si>
    <t>28-10-2008</t>
  </si>
  <si>
    <t/>
  </si>
  <si>
    <t>EMP009</t>
  </si>
  <si>
    <t>Justina O. Jensen</t>
  </si>
  <si>
    <t>645-74-0451</t>
  </si>
  <si>
    <t>Marketing</t>
  </si>
  <si>
    <t>05-11-2008</t>
  </si>
  <si>
    <t/>
  </si>
  <si>
    <t>EMP010</t>
  </si>
  <si>
    <t>Yoshi J. England</t>
  </si>
  <si>
    <t>558-53-1475</t>
  </si>
  <si>
    <t>Marketing</t>
  </si>
  <si>
    <t>09-12-2008</t>
  </si>
  <si>
    <t/>
  </si>
  <si>
    <t>EMP011</t>
  </si>
  <si>
    <t>Brooke Y. Mccarty</t>
  </si>
  <si>
    <t>129-42-6148</t>
  </si>
  <si>
    <t>IT/IS</t>
  </si>
  <si>
    <t>12-02-2009</t>
  </si>
  <si>
    <t/>
  </si>
  <si>
    <t>EMP012</t>
  </si>
  <si>
    <t>Kay G. Colon</t>
  </si>
  <si>
    <t>796-50-4767</t>
  </si>
  <si>
    <t>Marketing</t>
  </si>
  <si>
    <t>19-03-2009</t>
  </si>
  <si>
    <t/>
  </si>
  <si>
    <t>EMP013</t>
  </si>
  <si>
    <t>Callie I. Forbes</t>
  </si>
  <si>
    <t>266-48-1339</t>
  </si>
  <si>
    <t>Human Resources</t>
  </si>
  <si>
    <t>13-04-2009</t>
  </si>
  <si>
    <t/>
  </si>
  <si>
    <t>EMP014</t>
  </si>
  <si>
    <t>Zachery O. Mann</t>
  </si>
  <si>
    <t>663-00-3285</t>
  </si>
  <si>
    <t>Marketing</t>
  </si>
  <si>
    <t>28-04-2009</t>
  </si>
  <si>
    <t/>
  </si>
  <si>
    <t>Q.1 How Many Employee in a List ?</t>
  </si>
  <si>
    <t>Use of Formula Counta</t>
  </si>
  <si>
    <t/>
  </si>
  <si>
    <t/>
  </si>
  <si>
    <t/>
  </si>
  <si>
    <t/>
  </si>
  <si>
    <t>Q.2 How Many Employee work in Finance and Marketing Department?</t>
  </si>
  <si>
    <t>Use of Formula Countif</t>
  </si>
  <si>
    <t/>
  </si>
  <si>
    <t/>
  </si>
  <si>
    <t/>
  </si>
  <si>
    <t/>
  </si>
  <si>
    <t>Q.3 Employee Blossom K. Fox Department and Earnings?</t>
  </si>
  <si>
    <t>Use of Vlookup</t>
  </si>
  <si>
    <t/>
  </si>
  <si>
    <t/>
  </si>
  <si>
    <t/>
  </si>
  <si>
    <t/>
  </si>
  <si>
    <t>Q.4 Employee Blossom K. SSN No.?</t>
  </si>
  <si>
    <t>Use of Vlookup</t>
  </si>
  <si>
    <t/>
  </si>
  <si>
    <t/>
  </si>
  <si>
    <t/>
  </si>
  <si>
    <t/>
  </si>
  <si>
    <t>Q.5 How Many Amount Earnings Marketing Department?</t>
  </si>
  <si>
    <t>Use of Sumif</t>
  </si>
  <si>
    <t/>
  </si>
  <si>
    <t/>
  </si>
  <si>
    <t/>
  </si>
  <si>
    <t/>
  </si>
  <si>
    <t>Assignment -11</t>
  </si>
  <si>
    <t>Use of Formulas - Match and Vlookup With Match</t>
  </si>
  <si>
    <t>CLASSIC FAVORITES</t>
  </si>
  <si>
    <t>TALL</t>
  </si>
  <si>
    <t>GRANDE</t>
  </si>
  <si>
    <t>VENTI</t>
  </si>
  <si>
    <t/>
  </si>
  <si>
    <t>Caffe Latte</t>
  </si>
  <si>
    <t/>
  </si>
  <si>
    <t>Cappuccino</t>
  </si>
  <si>
    <t>lOMoARcPSD|50763021</t>
  </si>
  <si>
    <t>Caramel Macchiato</t>
  </si>
  <si>
    <t>Caffe Mocha</t>
  </si>
  <si>
    <t>White Chocolate Mocha</t>
  </si>
  <si>
    <t>Caffe Americano</t>
  </si>
  <si>
    <t>Cinnamon Dolce Latte</t>
  </si>
  <si>
    <t>Steamer</t>
  </si>
  <si>
    <t>Drip Coffee</t>
  </si>
  <si>
    <t>Question: What is the column number for the size Grande,Tall, Venti?</t>
  </si>
  <si>
    <t>Use of Match Formula</t>
  </si>
  <si>
    <t>Grande</t>
  </si>
  <si>
    <t>Use of Match Function</t>
  </si>
  <si>
    <t/>
  </si>
  <si>
    <t/>
  </si>
  <si>
    <t/>
  </si>
  <si>
    <t/>
  </si>
  <si>
    <t/>
  </si>
  <si>
    <t>VENTI</t>
  </si>
  <si>
    <t>Use of Match Function</t>
  </si>
  <si>
    <t/>
  </si>
  <si>
    <t/>
  </si>
  <si>
    <t/>
  </si>
  <si>
    <t/>
  </si>
  <si>
    <t/>
  </si>
  <si>
    <t>TALL</t>
  </si>
  <si>
    <t>Use of Match Function</t>
  </si>
  <si>
    <t/>
  </si>
  <si>
    <t/>
  </si>
  <si>
    <t/>
  </si>
  <si>
    <t/>
  </si>
  <si>
    <t/>
  </si>
  <si>
    <t>Question: What is the price of a Caffe Mocha, size Grande,Tall, Venti?</t>
  </si>
  <si>
    <t>Use of Vlookup with Match Formula</t>
  </si>
  <si>
    <t/>
  </si>
  <si>
    <t/>
  </si>
  <si>
    <t/>
  </si>
  <si>
    <t>Caffe Mocha</t>
  </si>
  <si>
    <t>Grande</t>
  </si>
  <si>
    <t/>
  </si>
  <si>
    <t/>
  </si>
  <si>
    <t>Caffe Mocha</t>
  </si>
  <si>
    <t>TALL</t>
  </si>
  <si>
    <t/>
  </si>
  <si>
    <t/>
  </si>
  <si>
    <t/>
  </si>
  <si>
    <t>Caffe Mocha</t>
  </si>
  <si>
    <t>VENTI</t>
  </si>
  <si>
    <t/>
  </si>
  <si>
    <t/>
  </si>
  <si>
    <t/>
  </si>
  <si>
    <t>Assignment -12</t>
  </si>
  <si>
    <t>Use of Formulas - Counta and Vlookup</t>
  </si>
  <si>
    <t/>
  </si>
  <si>
    <t/>
  </si>
  <si>
    <t/>
  </si>
  <si>
    <t/>
  </si>
  <si>
    <t>Product Name</t>
  </si>
  <si>
    <t>Jan</t>
  </si>
  <si>
    <t>Feb</t>
  </si>
  <si>
    <t>Mar</t>
  </si>
  <si>
    <t>Apr</t>
  </si>
  <si>
    <t>May</t>
  </si>
  <si>
    <t>Jun</t>
  </si>
  <si>
    <t>Jul</t>
  </si>
  <si>
    <t>Aug</t>
  </si>
  <si>
    <t>Apples</t>
  </si>
  <si>
    <t>$2,773</t>
  </si>
  <si>
    <t>$17,462</t>
  </si>
  <si>
    <t>$5,954</t>
  </si>
  <si>
    <t>$1,348</t>
  </si>
  <si>
    <t>$28,158</t>
  </si>
  <si>
    <t>$28,799</t>
  </si>
  <si>
    <t>$25,415</t>
  </si>
  <si>
    <t>$17,227</t>
  </si>
  <si>
    <t>Grapefruit</t>
  </si>
  <si>
    <t>$12,908</t>
  </si>
  <si>
    <t>$3,083</t>
  </si>
  <si>
    <t>$24,492</t>
  </si>
  <si>
    <t>$5,825</t>
  </si>
  <si>
    <t>$1,080</t>
  </si>
  <si>
    <t>$2,188</t>
  </si>
  <si>
    <t>$11,087</t>
  </si>
  <si>
    <t>$15,544</t>
  </si>
  <si>
    <t>Lemons</t>
  </si>
  <si>
    <t>$6,554</t>
  </si>
  <si>
    <t>$14,262</t>
  </si>
  <si>
    <t>$8,377</t>
  </si>
  <si>
    <t>$24,982</t>
  </si>
  <si>
    <t>$12,184</t>
  </si>
  <si>
    <t>$6,430</t>
  </si>
  <si>
    <t>$21,159</t>
  </si>
  <si>
    <t>$18,597</t>
  </si>
  <si>
    <t>Lime</t>
  </si>
  <si>
    <t>$28,913</t>
  </si>
  <si>
    <t>$1,437</t>
  </si>
  <si>
    <t>$20,019</t>
  </si>
  <si>
    <t>$13,026</t>
  </si>
  <si>
    <t>$26,952</t>
  </si>
  <si>
    <t>$27,076</t>
  </si>
  <si>
    <t>$7,040</t>
  </si>
  <si>
    <t>$10,884</t>
  </si>
  <si>
    <t>Oranges</t>
  </si>
  <si>
    <t>$4,768</t>
  </si>
  <si>
    <t>$7,622</t>
  </si>
  <si>
    <t>$28,918</t>
  </si>
  <si>
    <t>$27,141</t>
  </si>
  <si>
    <t>$3,578</t>
  </si>
  <si>
    <t>$10,092</t>
  </si>
  <si>
    <t>$15,207</t>
  </si>
  <si>
    <t>$12,771</t>
  </si>
  <si>
    <t>Peaches</t>
  </si>
  <si>
    <t>$13,390</t>
  </si>
  <si>
    <t>$3,611</t>
  </si>
  <si>
    <t>$6,226</t>
  </si>
  <si>
    <t>$27,567</t>
  </si>
  <si>
    <t>$29,962</t>
  </si>
  <si>
    <t>$2,967</t>
  </si>
  <si>
    <t>$5,740</t>
  </si>
  <si>
    <t>$2,137</t>
  </si>
  <si>
    <t>Pears</t>
  </si>
  <si>
    <t>$17,585</t>
  </si>
  <si>
    <t>$28,508</t>
  </si>
  <si>
    <t>$9,614</t>
  </si>
  <si>
    <t>$17,110</t>
  </si>
  <si>
    <t>$12,143</t>
  </si>
  <si>
    <t>$7,365</t>
  </si>
  <si>
    <t>$24,185</t>
  </si>
  <si>
    <t>$1,643</t>
  </si>
  <si>
    <t>Pineapples</t>
  </si>
  <si>
    <t>$22,579</t>
  </si>
  <si>
    <t>$16,301</t>
  </si>
  <si>
    <t>$6,469</t>
  </si>
  <si>
    <t>$22,050</t>
  </si>
  <si>
    <t>$8,740</t>
  </si>
  <si>
    <t>$18,806</t>
  </si>
  <si>
    <t>$3,334</t>
  </si>
  <si>
    <t>$3,597</t>
  </si>
  <si>
    <t>Q.1 How Many Fruits?</t>
  </si>
  <si>
    <t>Q.2 Fruits Lemons and Pineapples sales in Mar and Jul ?</t>
  </si>
  <si>
    <t>lOMoARcPSD|50763021</t>
  </si>
  <si>
    <t>Excellent Computer Education(A Professional Training Center)</t>
  </si>
  <si>
    <t/>
  </si>
  <si>
    <t>Assignment -13</t>
  </si>
  <si>
    <t/>
  </si>
  <si>
    <t>Create Pivot Table Using Data</t>
  </si>
  <si>
    <t>Last Name</t>
  </si>
  <si>
    <t>Sales</t>
  </si>
  <si>
    <t>Country</t>
  </si>
  <si>
    <t>Quarter</t>
  </si>
  <si>
    <t>Smith</t>
  </si>
  <si>
    <t>UK</t>
  </si>
  <si>
    <t>Qtr 3</t>
  </si>
  <si>
    <t>Johnson</t>
  </si>
  <si>
    <t>USA</t>
  </si>
  <si>
    <t>Qtr 4</t>
  </si>
  <si>
    <t>Williams</t>
  </si>
  <si>
    <t>UK</t>
  </si>
  <si>
    <t>Qtr 2</t>
  </si>
  <si>
    <t>Jones</t>
  </si>
  <si>
    <t>USA</t>
  </si>
  <si>
    <t>Qtr 3</t>
  </si>
  <si>
    <t>Brown</t>
  </si>
  <si>
    <t>USA</t>
  </si>
  <si>
    <t>Qtr 4</t>
  </si>
  <si>
    <t>Williams</t>
  </si>
  <si>
    <t>UK</t>
  </si>
  <si>
    <t>Qtr 1</t>
  </si>
  <si>
    <t>Johnson</t>
  </si>
  <si>
    <t>UK</t>
  </si>
  <si>
    <t>Qtr 2</t>
  </si>
  <si>
    <t>Smith</t>
  </si>
  <si>
    <t>USA</t>
  </si>
  <si>
    <t>Qtr 3</t>
  </si>
  <si>
    <t>Jones</t>
  </si>
  <si>
    <t>USA</t>
  </si>
  <si>
    <t>Qtr 4</t>
  </si>
  <si>
    <t>Jones</t>
  </si>
  <si>
    <t>UK</t>
  </si>
  <si>
    <t>Qtr 1</t>
  </si>
  <si>
    <t>Brown</t>
  </si>
  <si>
    <t>USA</t>
  </si>
  <si>
    <t>Qtr 2</t>
  </si>
  <si>
    <t>Williams</t>
  </si>
  <si>
    <t>USA</t>
  </si>
  <si>
    <t>Qtr 3</t>
  </si>
  <si>
    <t>Williams</t>
  </si>
  <si>
    <t>UK</t>
  </si>
  <si>
    <t>Qtr 4</t>
  </si>
  <si>
    <t>Smith</t>
  </si>
  <si>
    <t>USA</t>
  </si>
  <si>
    <t>Qtr 1</t>
  </si>
  <si>
    <t/>
  </si>
  <si>
    <t/>
  </si>
  <si>
    <t>Assignment -14</t>
  </si>
  <si>
    <t/>
  </si>
  <si>
    <t>Use of Formulas - Countif, Countifs and Sumifs</t>
  </si>
  <si>
    <t>Season</t>
  </si>
  <si>
    <t>Year</t>
  </si>
  <si>
    <t>Type</t>
  </si>
  <si>
    <t>State</t>
  </si>
  <si>
    <t>Sales $</t>
  </si>
  <si>
    <t>Fall</t>
  </si>
  <si>
    <t>Amber Ale</t>
  </si>
  <si>
    <t>California</t>
  </si>
  <si>
    <t>Fall</t>
  </si>
  <si>
    <t>Hefeweizen</t>
  </si>
  <si>
    <t>California</t>
  </si>
  <si>
    <t>Fall</t>
  </si>
  <si>
    <t>Pale Ale</t>
  </si>
  <si>
    <t>California</t>
  </si>
  <si>
    <t>Fall</t>
  </si>
  <si>
    <t>Pilsner</t>
  </si>
  <si>
    <t>California</t>
  </si>
  <si>
    <t>Fall</t>
  </si>
  <si>
    <t>Porter</t>
  </si>
  <si>
    <t>California</t>
  </si>
  <si>
    <t>Fall</t>
  </si>
  <si>
    <t>Stout</t>
  </si>
  <si>
    <t>California</t>
  </si>
  <si>
    <t>Fall</t>
  </si>
  <si>
    <t>Amber Ale</t>
  </si>
  <si>
    <t>Oregon</t>
  </si>
  <si>
    <t>Fall</t>
  </si>
  <si>
    <t>Hefeweizen</t>
  </si>
  <si>
    <t>Oregon</t>
  </si>
  <si>
    <t>Fall</t>
  </si>
  <si>
    <t>Pale Ale</t>
  </si>
  <si>
    <t>Oregon</t>
  </si>
  <si>
    <t>Fall</t>
  </si>
  <si>
    <t>Pilsner</t>
  </si>
  <si>
    <t>Oregon</t>
  </si>
  <si>
    <t>Fall</t>
  </si>
  <si>
    <t>Porter</t>
  </si>
  <si>
    <t>Oregon</t>
  </si>
  <si>
    <t>Fall</t>
  </si>
  <si>
    <t>Stout</t>
  </si>
  <si>
    <t>Oregon</t>
  </si>
  <si>
    <t>Fall</t>
  </si>
  <si>
    <t>Amber Ale</t>
  </si>
  <si>
    <t>Washington</t>
  </si>
  <si>
    <t>Fall</t>
  </si>
  <si>
    <t>Hefeweizen</t>
  </si>
  <si>
    <t>Washington</t>
  </si>
  <si>
    <t>Fall</t>
  </si>
  <si>
    <t>Pale Ale</t>
  </si>
  <si>
    <t>Washington</t>
  </si>
  <si>
    <t>Fall</t>
  </si>
  <si>
    <t>Pilsner</t>
  </si>
  <si>
    <t>Washington</t>
  </si>
  <si>
    <t>Fall</t>
  </si>
  <si>
    <t>Porter</t>
  </si>
  <si>
    <t>Washington</t>
  </si>
  <si>
    <t>Fall</t>
  </si>
  <si>
    <t>Stout</t>
  </si>
  <si>
    <t>Washington</t>
  </si>
  <si>
    <t>Spring</t>
  </si>
  <si>
    <t>Amber Ale</t>
  </si>
  <si>
    <t>California</t>
  </si>
  <si>
    <t>www.excellentcomputereducation.com</t>
  </si>
  <si>
    <t>Page 8</t>
  </si>
  <si>
    <t/>
  </si>
  <si>
    <t/>
  </si>
  <si>
    <t/>
  </si>
  <si>
    <t>Downloaded by Yashaswini T G (yashaswinitg2000@gmail.com)</t>
  </si>
  <si>
    <t>lOMoARcPSD|50763021</t>
  </si>
  <si>
    <t>Q.1 How Many Spring and Fall Season?</t>
  </si>
  <si>
    <t>Q.2 How Many Fall Season in California and Washington?</t>
  </si>
  <si>
    <t>Q.3 Total Sales if Spring Season in Washngton and California?</t>
  </si>
  <si>
    <t>Q.4 How Many Spring Season in Washington only?</t>
  </si>
  <si>
    <t>Q.5 Create Pivot Table Using Data?</t>
  </si>
  <si>
    <t/>
  </si>
  <si>
    <t/>
  </si>
  <si>
    <t>Assignment -15</t>
  </si>
  <si>
    <t/>
  </si>
  <si>
    <t>Create Pivot Table Using Data Separate Fruit and Vegetables</t>
  </si>
  <si>
    <t>Order ID</t>
  </si>
  <si>
    <t>Product</t>
  </si>
  <si>
    <t>Category</t>
  </si>
  <si>
    <t>Amount</t>
  </si>
  <si>
    <t>Date</t>
  </si>
  <si>
    <t>Country</t>
  </si>
  <si>
    <t>Carrots</t>
  </si>
  <si>
    <t>Vegetables</t>
  </si>
  <si>
    <t>06-01-2016</t>
  </si>
  <si>
    <t>United States</t>
  </si>
  <si>
    <t>Broccoli</t>
  </si>
  <si>
    <t>Vegetables</t>
  </si>
  <si>
    <t>07-01-2016</t>
  </si>
  <si>
    <t>United Kingdom</t>
  </si>
  <si>
    <t>Banana</t>
  </si>
  <si>
    <t>Fruit</t>
  </si>
  <si>
    <t>08-01-2016</t>
  </si>
  <si>
    <t>United States</t>
  </si>
  <si>
    <t>Banana</t>
  </si>
  <si>
    <t>Fruit</t>
  </si>
  <si>
    <t>10-01-2016</t>
  </si>
  <si>
    <t>Canada</t>
  </si>
  <si>
    <t>Beans</t>
  </si>
  <si>
    <t>Vegetables</t>
  </si>
  <si>
    <t>10-01-2016</t>
  </si>
  <si>
    <t>Germany</t>
  </si>
  <si>
    <t>Orange</t>
  </si>
  <si>
    <t>Fruit</t>
  </si>
  <si>
    <t>11-01-2016</t>
  </si>
  <si>
    <t>United States</t>
  </si>
  <si>
    <t>Broccoli</t>
  </si>
  <si>
    <t>Vegetables</t>
  </si>
  <si>
    <t>11-01-2016</t>
  </si>
  <si>
    <t>Australia</t>
  </si>
  <si>
    <t>Banana</t>
  </si>
  <si>
    <t>Fruit</t>
  </si>
  <si>
    <t>16-01-2016</t>
  </si>
  <si>
    <t>New Zealand</t>
  </si>
  <si>
    <t>Apple</t>
  </si>
  <si>
    <t>Fruit</t>
  </si>
  <si>
    <t>16-01-2016</t>
  </si>
  <si>
    <t>France</t>
  </si>
  <si>
    <t>Apple</t>
  </si>
  <si>
    <t>Fruit</t>
  </si>
  <si>
    <t>16-01-2016</t>
  </si>
  <si>
    <t>Canada</t>
  </si>
  <si>
    <t>Banana</t>
  </si>
  <si>
    <t>Fruit</t>
  </si>
  <si>
    <t>16-01-2016</t>
  </si>
  <si>
    <t>Germany</t>
  </si>
  <si>
    <t>Broccoli</t>
  </si>
  <si>
    <t>Vegetables</t>
  </si>
  <si>
    <t>18-01-2016</t>
  </si>
  <si>
    <t>United States</t>
  </si>
  <si>
    <t>Carrots</t>
  </si>
  <si>
    <t>Vegetables</t>
  </si>
  <si>
    <t>20-01-2016</t>
  </si>
  <si>
    <t>Germany</t>
  </si>
  <si>
    <t>Broccoli</t>
  </si>
  <si>
    <t>Vegetables</t>
  </si>
  <si>
    <t>22-01-2016</t>
  </si>
  <si>
    <t>Canada</t>
  </si>
  <si>
    <t>lOMoARcPSD|50763021</t>
  </si>
  <si>
    <t>24-01-2016</t>
  </si>
  <si>
    <t>27-01-2016</t>
  </si>
  <si>
    <t>28-01-2016</t>
  </si>
  <si>
    <t>30-01-2016</t>
  </si>
  <si>
    <t>02-02-2016</t>
  </si>
  <si>
    <t>04-02-2016</t>
  </si>
  <si>
    <t>11-02-2016</t>
  </si>
  <si>
    <t>14-02-2016</t>
  </si>
  <si>
    <t>17-02-2016</t>
  </si>
  <si>
    <t>Mango</t>
  </si>
  <si>
    <t>18-02-2016</t>
  </si>
  <si>
    <t>20-02-2016</t>
  </si>
  <si>
    <t>21-02-2016</t>
  </si>
  <si>
    <t>Q.1 How Many Fruits and Vegetables Items in a List?</t>
  </si>
  <si>
    <t>Q.2 Total Apple and Banana Amount?</t>
  </si>
  <si>
    <t/>
  </si>
  <si>
    <t/>
  </si>
  <si>
    <t>Q.3 How Many Product in a list?</t>
  </si>
  <si>
    <t/>
  </si>
  <si>
    <t/>
  </si>
  <si>
    <t>Q.4 How Many Apple and Banana Use in Canada &amp; United Kingdom?</t>
  </si>
  <si>
    <t/>
  </si>
  <si>
    <t/>
  </si>
  <si>
    <t/>
  </si>
  <si>
    <t/>
  </si>
  <si>
    <t/>
  </si>
  <si>
    <t/>
  </si>
  <si>
    <t/>
  </si>
  <si>
    <t>Assignment -16</t>
  </si>
  <si>
    <t>Use of Formulas - Countif, Countifs and Sumifs and Vlookup</t>
  </si>
  <si>
    <t>Name</t>
  </si>
  <si>
    <t>Gender</t>
  </si>
  <si>
    <t>Country</t>
  </si>
  <si>
    <t>Score</t>
  </si>
  <si>
    <t/>
  </si>
  <si>
    <t/>
  </si>
  <si>
    <t>Richard</t>
  </si>
  <si>
    <t>Male</t>
  </si>
  <si>
    <t>United States</t>
  </si>
  <si>
    <t/>
  </si>
  <si>
    <t/>
  </si>
  <si>
    <t>Jennifer</t>
  </si>
  <si>
    <t>Female</t>
  </si>
  <si>
    <t>United Kingdom</t>
  </si>
  <si>
    <t/>
  </si>
  <si>
    <t/>
  </si>
  <si>
    <t>James</t>
  </si>
  <si>
    <t>Male</t>
  </si>
  <si>
    <t>United States</t>
  </si>
  <si>
    <t/>
  </si>
  <si>
    <t/>
  </si>
  <si>
    <t>Lisa</t>
  </si>
  <si>
    <t>Female</t>
  </si>
  <si>
    <t>Canada</t>
  </si>
  <si>
    <t/>
  </si>
  <si>
    <t/>
  </si>
  <si>
    <t>Sharon</t>
  </si>
  <si>
    <t>Female</t>
  </si>
  <si>
    <t>Australia</t>
  </si>
  <si>
    <t/>
  </si>
  <si>
    <t/>
  </si>
  <si>
    <t>Elizabeth</t>
  </si>
  <si>
    <t>Female</t>
  </si>
  <si>
    <t>Canada</t>
  </si>
  <si>
    <t/>
  </si>
  <si>
    <t/>
  </si>
  <si>
    <t>Carol</t>
  </si>
  <si>
    <t>Female</t>
  </si>
  <si>
    <t>United States</t>
  </si>
  <si>
    <t/>
  </si>
  <si>
    <t/>
  </si>
  <si>
    <t>Mark</t>
  </si>
  <si>
    <t>Male</t>
  </si>
  <si>
    <t>United States</t>
  </si>
  <si>
    <t/>
  </si>
  <si>
    <t/>
  </si>
  <si>
    <t>John</t>
  </si>
  <si>
    <t>Male</t>
  </si>
  <si>
    <t>Canada</t>
  </si>
  <si>
    <t/>
  </si>
  <si>
    <t/>
  </si>
  <si>
    <t>Susan</t>
  </si>
  <si>
    <t>Female</t>
  </si>
  <si>
    <t>United Kingdom</t>
  </si>
  <si>
    <t/>
  </si>
  <si>
    <t/>
  </si>
  <si>
    <t>David</t>
  </si>
  <si>
    <t>Male</t>
  </si>
  <si>
    <t>United States</t>
  </si>
  <si>
    <t/>
  </si>
  <si>
    <t/>
  </si>
  <si>
    <t/>
  </si>
  <si>
    <t>Q.1 How Many Male and Female Candidate in a List?</t>
  </si>
  <si>
    <t/>
  </si>
  <si>
    <t>Q.2 How Many Male Employee in United States?</t>
  </si>
  <si>
    <t>Countifs</t>
  </si>
  <si>
    <t/>
  </si>
  <si>
    <t/>
  </si>
  <si>
    <t/>
  </si>
  <si>
    <t/>
  </si>
  <si>
    <t>Q.3 Lisa and John Which Country Belong?</t>
  </si>
  <si>
    <t>Use of Vlookup</t>
  </si>
  <si>
    <t/>
  </si>
  <si>
    <t/>
  </si>
  <si>
    <t/>
  </si>
  <si>
    <t/>
  </si>
  <si>
    <t>Q.4 United States Male and Female Candidate Scores?</t>
  </si>
  <si>
    <t>Sumifs</t>
  </si>
  <si>
    <t>Q.5 How Many Male Candidate Belong Country United State Total Score?</t>
  </si>
  <si>
    <t>lOMoARcPSD|50763021</t>
  </si>
  <si>
    <t>Assignment -17</t>
  </si>
  <si>
    <t>Use of Formulas - Vlookup</t>
  </si>
  <si>
    <t>ID</t>
  </si>
  <si>
    <t>Brand</t>
  </si>
  <si>
    <t>Product</t>
  </si>
  <si>
    <t>ID</t>
  </si>
  <si>
    <t>Brand</t>
  </si>
  <si>
    <t xml:space="preserve">Product </t>
  </si>
  <si>
    <t>Dell</t>
  </si>
  <si>
    <t>Computer</t>
  </si>
  <si>
    <t>HP</t>
  </si>
  <si>
    <t>Printer</t>
  </si>
  <si>
    <t>Logitech</t>
  </si>
  <si>
    <t>Keyboard</t>
  </si>
  <si>
    <t>Logitech</t>
  </si>
  <si>
    <t>Mouse</t>
  </si>
  <si>
    <t>HP</t>
  </si>
  <si>
    <t>Printer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</si>
  <si>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</si>
  <si>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</si>
  <si>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</si>
  <si>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</si>
  <si>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</si>
  <si>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</si>
  <si>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</si>
  <si>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</si>
  <si>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</si>
  <si>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</si>
  <si>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</si>
  <si>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</si>
  <si>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</si>
  <si>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</si>
  <si>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</si>
  <si>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Assignment -18</t>
  </si>
  <si>
    <t>Use of Formulas - Hlookup</t>
  </si>
  <si>
    <t>lOMoARcPSD|50763021</t>
  </si>
  <si>
    <t/>
  </si>
  <si>
    <t/>
  </si>
  <si>
    <t>Assignment -19</t>
  </si>
  <si>
    <t/>
  </si>
  <si>
    <t>Use of Formulas - Index with Match</t>
  </si>
  <si>
    <t>Region</t>
  </si>
  <si>
    <t>Jan</t>
  </si>
  <si>
    <t>Feb</t>
  </si>
  <si>
    <t>Mar</t>
  </si>
  <si>
    <t>North</t>
  </si>
  <si>
    <t>South</t>
  </si>
  <si>
    <t>East</t>
  </si>
  <si>
    <t>West</t>
  </si>
  <si>
    <t xml:space="preserve">East </t>
  </si>
  <si>
    <t>Mar</t>
  </si>
  <si>
    <t>INDEX(A4:D8,MATCH(A10,A4:A8,0),MATCH(B10,A4:D4,0))</t>
  </si>
  <si>
    <t/>
  </si>
  <si>
    <t/>
  </si>
  <si>
    <t>West</t>
  </si>
  <si>
    <t>Feb</t>
  </si>
  <si>
    <t/>
  </si>
  <si>
    <t/>
  </si>
  <si>
    <t/>
  </si>
  <si>
    <t>South</t>
  </si>
  <si>
    <t>Jan</t>
  </si>
  <si>
    <t/>
  </si>
  <si>
    <t/>
  </si>
  <si>
    <t/>
  </si>
  <si>
    <t>North</t>
  </si>
  <si>
    <t>Mar</t>
  </si>
  <si>
    <t/>
  </si>
  <si>
    <t/>
  </si>
  <si>
    <t/>
  </si>
  <si>
    <t>Assignment -21</t>
  </si>
  <si>
    <t/>
  </si>
  <si>
    <t>Use of Formulas - Index + Match</t>
  </si>
  <si>
    <t>Emp Name</t>
  </si>
  <si>
    <t>Salary</t>
  </si>
  <si>
    <t>Department</t>
  </si>
  <si>
    <t>Emp ID</t>
  </si>
  <si>
    <t>Emp ID</t>
  </si>
  <si>
    <t>Salary</t>
  </si>
  <si>
    <t>Raju</t>
  </si>
  <si>
    <t>Sales</t>
  </si>
  <si>
    <t>Prd001</t>
  </si>
  <si>
    <t>Prd001</t>
  </si>
  <si>
    <t>Ramesh</t>
  </si>
  <si>
    <t>Operations</t>
  </si>
  <si>
    <t>Prd002</t>
  </si>
  <si>
    <t>Prd002</t>
  </si>
  <si>
    <t>Ramila</t>
  </si>
  <si>
    <t>Marketing</t>
  </si>
  <si>
    <t>Prd003</t>
  </si>
  <si>
    <t>Prd003</t>
  </si>
  <si>
    <t>Rajeshwari</t>
  </si>
  <si>
    <t>HR</t>
  </si>
  <si>
    <t>Prd004</t>
  </si>
  <si>
    <t>Prd004</t>
  </si>
  <si>
    <t>Karan</t>
  </si>
  <si>
    <t>Finance</t>
  </si>
  <si>
    <t>Prd005</t>
  </si>
  <si>
    <t>Prd005</t>
  </si>
  <si>
    <t>Rohith</t>
  </si>
  <si>
    <t>IT</t>
  </si>
  <si>
    <t>Prd006</t>
  </si>
  <si>
    <t>Prd006</t>
  </si>
  <si>
    <t>Jacob</t>
  </si>
  <si>
    <t>Marketing</t>
  </si>
  <si>
    <t>Prd007</t>
  </si>
  <si>
    <t>Prd007</t>
  </si>
  <si>
    <t>Fleming</t>
  </si>
  <si>
    <t>IT</t>
  </si>
  <si>
    <t>Prd008</t>
  </si>
  <si>
    <t>Prd008</t>
  </si>
  <si>
    <t>Navya</t>
  </si>
  <si>
    <t>Sales</t>
  </si>
  <si>
    <t>Prd009</t>
  </si>
  <si>
    <t>Prd009</t>
  </si>
  <si>
    <t>Kavya</t>
  </si>
  <si>
    <t>Finance</t>
  </si>
  <si>
    <t>Prd010</t>
  </si>
  <si>
    <t>Prd010</t>
  </si>
  <si>
    <t>Santosh</t>
  </si>
  <si>
    <t>Operations</t>
  </si>
  <si>
    <t>Prd011</t>
  </si>
  <si>
    <t>Prd011</t>
  </si>
  <si>
    <t>Shankar</t>
  </si>
  <si>
    <t>Finance</t>
  </si>
  <si>
    <t>Prd012</t>
  </si>
  <si>
    <t>Prd012</t>
  </si>
  <si>
    <t>Rajesh</t>
  </si>
  <si>
    <t>Marketing</t>
  </si>
  <si>
    <t>Prd013</t>
  </si>
  <si>
    <t>Prd013</t>
  </si>
  <si>
    <t>Mahesh</t>
  </si>
  <si>
    <t>Sales</t>
  </si>
  <si>
    <t>Prd014</t>
  </si>
  <si>
    <t>Prd014</t>
  </si>
  <si>
    <t>Hemaraj</t>
  </si>
  <si>
    <t>IT</t>
  </si>
  <si>
    <t>Prd015</t>
  </si>
  <si>
    <t>Prd015</t>
  </si>
  <si>
    <t>Nagaraj</t>
  </si>
  <si>
    <t>Operations</t>
  </si>
  <si>
    <t>Prd016</t>
  </si>
  <si>
    <t>Prd016</t>
  </si>
  <si>
    <t>Johson</t>
  </si>
  <si>
    <t>Sales</t>
  </si>
  <si>
    <t>Prd017</t>
  </si>
  <si>
    <t>Prd017</t>
  </si>
  <si>
    <t>David</t>
  </si>
  <si>
    <t>Marketing</t>
  </si>
  <si>
    <t>Prd018</t>
  </si>
  <si>
    <t>Prd018</t>
  </si>
  <si>
    <t>Anderson</t>
  </si>
  <si>
    <t>Marketing</t>
  </si>
  <si>
    <t>Prd019</t>
  </si>
  <si>
    <t>Prd019</t>
  </si>
  <si>
    <t>Peter</t>
  </si>
  <si>
    <t>Sales</t>
  </si>
  <si>
    <t>Prd020</t>
  </si>
  <si>
    <t>Prd020</t>
  </si>
  <si>
    <t>lOMoARcPSD|50763021</t>
  </si>
  <si>
    <t>Assignment -22</t>
  </si>
  <si>
    <t>Use of Formulas - Lookup</t>
  </si>
  <si>
    <t>Emp Name</t>
  </si>
  <si>
    <t>Salary</t>
  </si>
  <si>
    <t>Department</t>
  </si>
  <si>
    <t>Emp ID</t>
  </si>
  <si>
    <t>Emp ID</t>
  </si>
  <si>
    <t>Salary</t>
  </si>
  <si>
    <t>Raju</t>
  </si>
  <si>
    <t>Sales</t>
  </si>
  <si>
    <t>Prd001</t>
  </si>
  <si>
    <t>Prd001</t>
  </si>
  <si>
    <t>Ramesh</t>
  </si>
  <si>
    <t>Operations</t>
  </si>
  <si>
    <t>Prd002</t>
  </si>
  <si>
    <t>Prd002</t>
  </si>
  <si>
    <t>Ramila</t>
  </si>
  <si>
    <t>Marketing</t>
  </si>
  <si>
    <t>Prd003</t>
  </si>
  <si>
    <t>Prd003</t>
  </si>
  <si>
    <t>Rajeshwari</t>
  </si>
  <si>
    <t>HR</t>
  </si>
  <si>
    <t>Prd004</t>
  </si>
  <si>
    <t>Prd004</t>
  </si>
  <si>
    <t>Karan</t>
  </si>
  <si>
    <t>Finance</t>
  </si>
  <si>
    <t>Prd005</t>
  </si>
  <si>
    <t>Prd005</t>
  </si>
  <si>
    <t>Rohith</t>
  </si>
  <si>
    <t>IT</t>
  </si>
  <si>
    <t>Prd006</t>
  </si>
  <si>
    <t>Prd006</t>
  </si>
  <si>
    <t>Jacob</t>
  </si>
  <si>
    <t>Marketing</t>
  </si>
  <si>
    <t>Prd007</t>
  </si>
  <si>
    <t>Prd007</t>
  </si>
  <si>
    <t>Fleming</t>
  </si>
  <si>
    <t>IT</t>
  </si>
  <si>
    <t>Prd008</t>
  </si>
  <si>
    <t>Prd008</t>
  </si>
  <si>
    <t>Navya</t>
  </si>
  <si>
    <t>Sales</t>
  </si>
  <si>
    <t>Prd009</t>
  </si>
  <si>
    <t>Prd009</t>
  </si>
  <si>
    <t>Kavya</t>
  </si>
  <si>
    <t>Finance</t>
  </si>
  <si>
    <t>Prd010</t>
  </si>
  <si>
    <t>Prd010</t>
  </si>
  <si>
    <t>Santosh</t>
  </si>
  <si>
    <t>Operations</t>
  </si>
  <si>
    <t>Prd011</t>
  </si>
  <si>
    <t>Prd011</t>
  </si>
  <si>
    <t>Shankar</t>
  </si>
  <si>
    <t>Finance</t>
  </si>
  <si>
    <t>Prd012</t>
  </si>
  <si>
    <t>Prd012</t>
  </si>
  <si>
    <t>Rajesh</t>
  </si>
  <si>
    <t>Marketing</t>
  </si>
  <si>
    <t>Prd013</t>
  </si>
  <si>
    <t>Prd013</t>
  </si>
  <si>
    <t>Mahesh</t>
  </si>
  <si>
    <t>Sales</t>
  </si>
  <si>
    <t>Prd014</t>
  </si>
  <si>
    <t>Prd014</t>
  </si>
  <si>
    <t>Hemaraj</t>
  </si>
  <si>
    <t>IT</t>
  </si>
  <si>
    <t>Prd015</t>
  </si>
  <si>
    <t>Prd015</t>
  </si>
  <si>
    <t>Nagaraj</t>
  </si>
  <si>
    <t>Operations</t>
  </si>
  <si>
    <t>Prd016</t>
  </si>
  <si>
    <t>Prd016</t>
  </si>
  <si>
    <t>Johson</t>
  </si>
  <si>
    <t>Sales</t>
  </si>
  <si>
    <t>Prd017</t>
  </si>
  <si>
    <t>Prd017</t>
  </si>
  <si>
    <t>David</t>
  </si>
  <si>
    <t>Marketing</t>
  </si>
  <si>
    <t>Prd018</t>
  </si>
  <si>
    <t>Prd018</t>
  </si>
  <si>
    <t>Anderson</t>
  </si>
  <si>
    <t>Marketing</t>
  </si>
  <si>
    <t>Prd019</t>
  </si>
  <si>
    <t>Prd019</t>
  </si>
  <si>
    <t>Peter</t>
  </si>
  <si>
    <t>Sales</t>
  </si>
  <si>
    <t>Prd020</t>
  </si>
  <si>
    <t>Prd020</t>
  </si>
  <si>
    <t xml:space="preserve">Q.1 How Many Employee in Work HR, IT, Marketing Department ? </t>
  </si>
  <si>
    <t>Use of Countif</t>
  </si>
  <si>
    <t/>
  </si>
  <si>
    <t/>
  </si>
  <si>
    <t/>
  </si>
  <si>
    <t/>
  </si>
  <si>
    <t xml:space="preserve">Q.2 Employee Santosh Salary? </t>
  </si>
  <si>
    <t>Use of Sumif</t>
  </si>
  <si>
    <t/>
  </si>
  <si>
    <t/>
  </si>
  <si>
    <t/>
  </si>
  <si>
    <t/>
  </si>
  <si>
    <t>Q.3 IT &amp; Marketing Department Total Salary?</t>
  </si>
  <si>
    <t>Use of Sumif</t>
  </si>
  <si>
    <t/>
  </si>
  <si>
    <t/>
  </si>
  <si>
    <t/>
  </si>
  <si>
    <t/>
  </si>
  <si>
    <t>Assignment -23</t>
  </si>
  <si>
    <t>Use of Formulas - AND</t>
  </si>
  <si>
    <t>NAME</t>
  </si>
  <si>
    <t>PHYSICS</t>
  </si>
  <si>
    <t>CHEMISTRY</t>
  </si>
  <si>
    <t>MATHS</t>
  </si>
  <si>
    <t>BIOLOGY</t>
  </si>
  <si>
    <t>PASSED THE EXAM ?</t>
  </si>
  <si>
    <t>NITIN</t>
  </si>
  <si>
    <t>PASS</t>
  </si>
  <si>
    <t>PASS</t>
  </si>
  <si>
    <t>FAIL</t>
  </si>
  <si>
    <t>PASS</t>
  </si>
  <si>
    <t>FEROZ</t>
  </si>
  <si>
    <t>PASS</t>
  </si>
  <si>
    <t>PASS</t>
  </si>
  <si>
    <t>PASS</t>
  </si>
  <si>
    <t>PASS</t>
  </si>
  <si>
    <t>ANITHA</t>
  </si>
  <si>
    <t>PASS</t>
  </si>
  <si>
    <t>FAIL</t>
  </si>
  <si>
    <t>PASS</t>
  </si>
  <si>
    <t>PASS</t>
  </si>
  <si>
    <t>MADAN</t>
  </si>
  <si>
    <t>PASS</t>
  </si>
  <si>
    <t>PASS</t>
  </si>
  <si>
    <t>PASS</t>
  </si>
  <si>
    <t>PASS</t>
  </si>
  <si>
    <t>HARRY</t>
  </si>
  <si>
    <t>PASS</t>
  </si>
  <si>
    <t>FAIL</t>
  </si>
  <si>
    <t>PASS</t>
  </si>
  <si>
    <t>PASS</t>
  </si>
  <si>
    <t>SUMITH</t>
  </si>
  <si>
    <t>FAIL</t>
  </si>
  <si>
    <t>PASS</t>
  </si>
  <si>
    <t>PASS</t>
  </si>
  <si>
    <t>PASS</t>
  </si>
  <si>
    <t>HARSH</t>
  </si>
  <si>
    <t>PASS</t>
  </si>
  <si>
    <t>PASS</t>
  </si>
  <si>
    <t>PASS</t>
  </si>
  <si>
    <t>FAIL</t>
  </si>
  <si>
    <t>lOMoARcPSD|50763021</t>
  </si>
  <si>
    <t>TRIVEDI</t>
  </si>
  <si>
    <t>PASS</t>
  </si>
  <si>
    <t>PASS</t>
  </si>
  <si>
    <t>FAIL</t>
  </si>
  <si>
    <t>PASS</t>
  </si>
  <si>
    <t>ASHISH</t>
  </si>
  <si>
    <t>PASS</t>
  </si>
  <si>
    <t>PASS</t>
  </si>
  <si>
    <t>PASS</t>
  </si>
  <si>
    <t>PASS</t>
  </si>
  <si>
    <t>Assignment -24</t>
  </si>
  <si>
    <t>Use of Formulas - Averageif</t>
  </si>
  <si>
    <t>Product Name</t>
  </si>
  <si>
    <t>Units sold</t>
  </si>
  <si>
    <t>Student</t>
  </si>
  <si>
    <t>Semester</t>
  </si>
  <si>
    <t>Score</t>
  </si>
  <si>
    <t/>
  </si>
  <si>
    <t>A</t>
  </si>
  <si>
    <t>John</t>
  </si>
  <si>
    <t>second</t>
  </si>
  <si>
    <t/>
  </si>
  <si>
    <t>D</t>
  </si>
  <si>
    <t>gary</t>
  </si>
  <si>
    <t>Third</t>
  </si>
  <si>
    <t/>
  </si>
  <si>
    <t>E</t>
  </si>
  <si>
    <t>Richa</t>
  </si>
  <si>
    <t>second</t>
  </si>
  <si>
    <t/>
  </si>
  <si>
    <t>B</t>
  </si>
  <si>
    <t>Hari</t>
  </si>
  <si>
    <t>second</t>
  </si>
  <si>
    <t/>
  </si>
  <si>
    <t>C</t>
  </si>
  <si>
    <t>Tom</t>
  </si>
  <si>
    <t>Third</t>
  </si>
  <si>
    <t/>
  </si>
  <si>
    <t>D</t>
  </si>
  <si>
    <t>Will</t>
  </si>
  <si>
    <t>Third</t>
  </si>
  <si>
    <t/>
  </si>
  <si>
    <t>F</t>
  </si>
  <si>
    <t/>
  </si>
  <si>
    <t/>
  </si>
  <si>
    <t/>
  </si>
  <si>
    <t/>
  </si>
  <si>
    <t>A</t>
  </si>
  <si>
    <t/>
  </si>
  <si>
    <t>Average semester score</t>
  </si>
  <si>
    <t/>
  </si>
  <si>
    <t/>
  </si>
  <si>
    <t>D</t>
  </si>
  <si>
    <t>Second</t>
  </si>
  <si>
    <t/>
  </si>
  <si>
    <t>C</t>
  </si>
  <si>
    <t>Third</t>
  </si>
  <si>
    <t/>
  </si>
  <si>
    <t/>
  </si>
  <si>
    <t>A</t>
  </si>
  <si>
    <t/>
  </si>
  <si>
    <t/>
  </si>
  <si>
    <t/>
  </si>
  <si>
    <t/>
  </si>
  <si>
    <t>B</t>
  </si>
  <si>
    <t/>
  </si>
  <si>
    <t/>
  </si>
  <si>
    <t/>
  </si>
  <si>
    <t/>
  </si>
  <si>
    <t>Average of B</t>
  </si>
  <si>
    <t>Average of D</t>
  </si>
  <si>
    <t/>
  </si>
  <si>
    <t>Zone</t>
  </si>
  <si>
    <t>City</t>
  </si>
  <si>
    <t>Sales</t>
  </si>
  <si>
    <t>Product Name</t>
  </si>
  <si>
    <t>Units sold</t>
  </si>
  <si>
    <t/>
  </si>
  <si>
    <t>South</t>
  </si>
  <si>
    <t>Chennai</t>
  </si>
  <si>
    <t>A</t>
  </si>
  <si>
    <t/>
  </si>
  <si>
    <t>East</t>
  </si>
  <si>
    <t>Patna</t>
  </si>
  <si>
    <t>D</t>
  </si>
  <si>
    <t/>
  </si>
  <si>
    <t>North</t>
  </si>
  <si>
    <t>Delhi</t>
  </si>
  <si>
    <t>E</t>
  </si>
  <si>
    <t/>
  </si>
  <si>
    <t>North</t>
  </si>
  <si>
    <t>Kanpur</t>
  </si>
  <si>
    <t>B</t>
  </si>
  <si>
    <t/>
  </si>
  <si>
    <t>West</t>
  </si>
  <si>
    <t>Gandhinagar</t>
  </si>
  <si>
    <t>C</t>
  </si>
  <si>
    <t/>
  </si>
  <si>
    <t>East</t>
  </si>
  <si>
    <t>Hubli</t>
  </si>
  <si>
    <t>D</t>
  </si>
  <si>
    <t/>
  </si>
  <si>
    <t>South</t>
  </si>
  <si>
    <t>Manglore</t>
  </si>
  <si>
    <t>F</t>
  </si>
  <si>
    <t/>
  </si>
  <si>
    <t>North</t>
  </si>
  <si>
    <t>Chandigarh</t>
  </si>
  <si>
    <t>A</t>
  </si>
  <si>
    <t/>
  </si>
  <si>
    <t>West</t>
  </si>
  <si>
    <t>Pune</t>
  </si>
  <si>
    <t>D</t>
  </si>
  <si>
    <t/>
  </si>
  <si>
    <t>south</t>
  </si>
  <si>
    <t>Hyderabad</t>
  </si>
  <si>
    <t>C</t>
  </si>
  <si>
    <t/>
  </si>
  <si>
    <t>North</t>
  </si>
  <si>
    <t>Meerut</t>
  </si>
  <si>
    <t>A</t>
  </si>
  <si>
    <t/>
  </si>
  <si>
    <t>West</t>
  </si>
  <si>
    <t>Nagpur</t>
  </si>
  <si>
    <t>B</t>
  </si>
  <si>
    <t/>
  </si>
  <si>
    <t>Average of West zone</t>
  </si>
  <si>
    <t>Avg of Units Sold above 250</t>
  </si>
  <si>
    <t>Avg of Units Sold below 100</t>
  </si>
  <si>
    <t/>
  </si>
  <si>
    <t/>
  </si>
  <si>
    <t/>
  </si>
  <si>
    <t>lOMoARcPSD|50763021</t>
  </si>
  <si>
    <t>Assignment -26</t>
  </si>
  <si>
    <t>Use of If and Vlookup -Compare List 1 to List 2</t>
  </si>
  <si>
    <t>List 1</t>
  </si>
  <si>
    <t>List 2</t>
  </si>
  <si>
    <t>Result</t>
  </si>
  <si>
    <t>Raj</t>
  </si>
  <si>
    <t>Ankita</t>
  </si>
  <si>
    <t>Rohit</t>
  </si>
  <si>
    <t>Rohit</t>
  </si>
  <si>
    <t>Kajal</t>
  </si>
  <si>
    <t>Abhay</t>
  </si>
  <si>
    <t>Rohan</t>
  </si>
  <si>
    <t>Rohan</t>
  </si>
  <si>
    <t>Akshay</t>
  </si>
  <si>
    <t>Puneet</t>
  </si>
  <si>
    <t/>
  </si>
  <si>
    <t/>
  </si>
  <si>
    <t/>
  </si>
  <si>
    <t>IF(A9=B9,"Matching","Not Matching")</t>
  </si>
  <si>
    <t/>
  </si>
  <si>
    <t/>
  </si>
  <si>
    <t/>
  </si>
  <si>
    <t/>
  </si>
  <si>
    <t/>
  </si>
  <si>
    <t/>
  </si>
  <si>
    <t/>
  </si>
  <si>
    <t/>
  </si>
  <si>
    <t/>
  </si>
  <si>
    <t/>
  </si>
  <si>
    <t>Assignment -27</t>
  </si>
  <si>
    <t xml:space="preserve">Use of Concatenate </t>
  </si>
  <si>
    <t>Emp
ID</t>
  </si>
  <si>
    <t>First Name</t>
  </si>
  <si>
    <t>Last Name</t>
  </si>
  <si>
    <t>Full Name</t>
  </si>
  <si>
    <t>D21</t>
  </si>
  <si>
    <t>Vishal</t>
  </si>
  <si>
    <t>Mohan</t>
  </si>
  <si>
    <t>D22</t>
  </si>
  <si>
    <t>John</t>
  </si>
  <si>
    <t>Mathew</t>
  </si>
  <si>
    <t>D23</t>
  </si>
  <si>
    <t>Jamemah</t>
  </si>
  <si>
    <t>Powel</t>
  </si>
  <si>
    <t>D24</t>
  </si>
  <si>
    <t>Arundhati</t>
  </si>
  <si>
    <t>Swaminathan</t>
  </si>
  <si>
    <t>D25</t>
  </si>
  <si>
    <t>Peter</t>
  </si>
  <si>
    <t>Potter</t>
  </si>
  <si>
    <t>D26</t>
  </si>
  <si>
    <t>Roger</t>
  </si>
  <si>
    <t>Williams</t>
  </si>
  <si>
    <t>lOMoARcPSD|50763021</t>
  </si>
  <si>
    <t>Assignment -28</t>
  </si>
  <si>
    <t>Use of Counta, Countif, Countifs, Vlookup and Index with Match</t>
  </si>
  <si>
    <t>Employee Database</t>
  </si>
  <si>
    <t/>
  </si>
  <si>
    <t/>
  </si>
  <si>
    <t/>
  </si>
  <si>
    <t/>
  </si>
  <si>
    <t>Date</t>
  </si>
  <si>
    <t>Emp
Id</t>
  </si>
  <si>
    <t>Name</t>
  </si>
  <si>
    <t>Designation</t>
  </si>
  <si>
    <t>KRA</t>
  </si>
  <si>
    <t>01-11-2018</t>
  </si>
  <si>
    <t>ARUN</t>
  </si>
  <si>
    <t>MIS-OPERATION</t>
  </si>
  <si>
    <t>SALES</t>
  </si>
  <si>
    <t>01-11-2018</t>
  </si>
  <si>
    <t>ASHOK</t>
  </si>
  <si>
    <t>OPERATION</t>
  </si>
  <si>
    <t>PHP</t>
  </si>
  <si>
    <t>03-11-2018</t>
  </si>
  <si>
    <t>BISWAS</t>
  </si>
  <si>
    <t>SOFTWARE ENG</t>
  </si>
  <si>
    <t>JAVA</t>
  </si>
  <si>
    <t>03-11-2018</t>
  </si>
  <si>
    <t>DINESH</t>
  </si>
  <si>
    <t>SME</t>
  </si>
  <si>
    <t>MAILS</t>
  </si>
  <si>
    <t>03-11-2018</t>
  </si>
  <si>
    <t>ESHWAR</t>
  </si>
  <si>
    <t>PROGRAMMER</t>
  </si>
  <si>
    <t>C++</t>
  </si>
  <si>
    <t>06-11-2018</t>
  </si>
  <si>
    <t>FAHAD</t>
  </si>
  <si>
    <t>PROGRAMMER</t>
  </si>
  <si>
    <t>DOT NET</t>
  </si>
  <si>
    <t>06-11-2018</t>
  </si>
  <si>
    <t>GANGA</t>
  </si>
  <si>
    <t>SOFTWARE ASSOCIATE</t>
  </si>
  <si>
    <t>TESTING</t>
  </si>
  <si>
    <t>08-11-2018</t>
  </si>
  <si>
    <t>HEMA</t>
  </si>
  <si>
    <t>NETWORK ENG</t>
  </si>
  <si>
    <t>SERVER</t>
  </si>
  <si>
    <t>08-11-2018</t>
  </si>
  <si>
    <t>FARZANA</t>
  </si>
  <si>
    <t>SALES EXECUTIVE</t>
  </si>
  <si>
    <t>SALES</t>
  </si>
  <si>
    <t>08-11-2018</t>
  </si>
  <si>
    <t>AYESH</t>
  </si>
  <si>
    <t>SALES EXECUTIVE</t>
  </si>
  <si>
    <t>AMAZON</t>
  </si>
  <si>
    <t>09-11-2018</t>
  </si>
  <si>
    <t>PRAVEEN</t>
  </si>
  <si>
    <t>SALES EXECUTIVE</t>
  </si>
  <si>
    <t>AMAZON</t>
  </si>
  <si>
    <t>09-11-2018</t>
  </si>
  <si>
    <t>FARZANA</t>
  </si>
  <si>
    <t>SALES EXECUTIVE</t>
  </si>
  <si>
    <t>AMAZON</t>
  </si>
  <si>
    <t>10-11-2018</t>
  </si>
  <si>
    <t>VISHAL</t>
  </si>
  <si>
    <t>SALES EXECUTIVE</t>
  </si>
  <si>
    <t>GROFFERS</t>
  </si>
  <si>
    <t>10-11-2018</t>
  </si>
  <si>
    <t>VISHNU</t>
  </si>
  <si>
    <t>SALES EXECUTIVE</t>
  </si>
  <si>
    <t>PAYTM</t>
  </si>
  <si>
    <t>10-11-2018</t>
  </si>
  <si>
    <t>KRISHNA</t>
  </si>
  <si>
    <t>SALES EXECUTIVE</t>
  </si>
  <si>
    <t>PAYTM</t>
  </si>
  <si>
    <t>10-11-2018</t>
  </si>
  <si>
    <t>ABHISHEK</t>
  </si>
  <si>
    <t>SALES EXECUTIVE</t>
  </si>
  <si>
    <t>MYNTRA</t>
  </si>
  <si>
    <t>11-11-2018</t>
  </si>
  <si>
    <t>FARZANA</t>
  </si>
  <si>
    <t>SALES EXECUTIVE</t>
  </si>
  <si>
    <t>AMAZON</t>
  </si>
  <si>
    <t>11-11-2018</t>
  </si>
  <si>
    <t>FARZANA BANU</t>
  </si>
  <si>
    <t>SALES EXECUTIVE</t>
  </si>
  <si>
    <t>MYNTRA</t>
  </si>
  <si>
    <t>11-11-2018</t>
  </si>
  <si>
    <t>FARZANA BANU</t>
  </si>
  <si>
    <t>SALES EXECUTIVE</t>
  </si>
  <si>
    <t>MYNTRA</t>
  </si>
  <si>
    <t>11-11-2018</t>
  </si>
  <si>
    <t>FARZANA BANU</t>
  </si>
  <si>
    <t>SALES EXECUTIVE</t>
  </si>
  <si>
    <t>MYNTRA</t>
  </si>
  <si>
    <r>
      <rPr>
        <vertAlign val="subscript"/>
        <sz val="12"/>
        <rFont val="Calibri"/>
        <family val="2"/>
      </rPr>
      <t>01-</t>
    </r>
    <r>
      <rPr>
        <sz val="12"/>
        <rFont val="Times New Roman"/>
        <family val="1"/>
      </rPr>
      <t>नव र</t>
    </r>
    <r>
      <rPr>
        <sz val="10"/>
        <rFont val="Courier"/>
      </rPr>
      <t>-</t>
    </r>
    <r>
      <rPr>
        <sz val="9"/>
        <rFont val="Calibri"/>
        <family val="2"/>
      </rPr>
      <t>18</t>
    </r>
  </si>
  <si>
    <t>VAMSEE KRISHNA</t>
  </si>
  <si>
    <t>BRAND MANAGER</t>
  </si>
  <si>
    <t>MARKETING</t>
  </si>
  <si>
    <t>Q.1 How Many Employee?</t>
  </si>
  <si>
    <t>Use of Counta</t>
  </si>
  <si>
    <t/>
  </si>
  <si>
    <t/>
  </si>
  <si>
    <t/>
  </si>
  <si>
    <t>Q.2 How Many Employee in Sales
Executive?</t>
  </si>
  <si>
    <t>Use of Countif</t>
  </si>
  <si>
    <t/>
  </si>
  <si>
    <t/>
  </si>
  <si>
    <t/>
  </si>
  <si>
    <t>Q.3 How Many Employee Sales Executive in Amazone and Myntra?</t>
  </si>
  <si>
    <t/>
  </si>
  <si>
    <t>Use of Countifs</t>
  </si>
  <si>
    <t/>
  </si>
  <si>
    <t/>
  </si>
  <si>
    <t>Q.4 Employee Dinesh and Vishal Post and KRA?</t>
  </si>
  <si>
    <t/>
  </si>
  <si>
    <t>use of Vlookup</t>
  </si>
  <si>
    <t/>
  </si>
  <si>
    <t/>
  </si>
  <si>
    <t>Q.5 Employee Abhishek and Hema Emp
id?</t>
  </si>
  <si>
    <t/>
  </si>
  <si>
    <t>Use of Index with Match</t>
  </si>
  <si>
    <t/>
  </si>
  <si>
    <t/>
  </si>
  <si>
    <t>lOMoARcPSD|50763021</t>
  </si>
  <si>
    <t>Excellent Computer Education(A Professional Training Center)</t>
  </si>
  <si>
    <t/>
  </si>
  <si>
    <t/>
  </si>
  <si>
    <t>Assignment -29</t>
  </si>
  <si>
    <t/>
  </si>
  <si>
    <t xml:space="preserve">Use of Vlookup One Sheet to Another Sheet </t>
  </si>
  <si>
    <t/>
  </si>
  <si>
    <t/>
  </si>
  <si>
    <t>Sheet 1- Data</t>
  </si>
  <si>
    <t>Emp</t>
  </si>
  <si>
    <t/>
  </si>
  <si>
    <t/>
  </si>
  <si>
    <t/>
  </si>
  <si>
    <t/>
  </si>
  <si>
    <t>Id</t>
  </si>
  <si>
    <t>First Name</t>
  </si>
  <si>
    <t>Last Name</t>
  </si>
  <si>
    <t>Department</t>
  </si>
  <si>
    <t>Location</t>
  </si>
  <si>
    <t>Donald</t>
  </si>
  <si>
    <t>Patrick</t>
  </si>
  <si>
    <t>Finance</t>
  </si>
  <si>
    <t>Banglore</t>
  </si>
  <si>
    <t>Samuel</t>
  </si>
  <si>
    <t>Samson</t>
  </si>
  <si>
    <t>Marketing</t>
  </si>
  <si>
    <t>Hyderabad</t>
  </si>
  <si>
    <t>Ian</t>
  </si>
  <si>
    <t>Jacob</t>
  </si>
  <si>
    <t>Finance</t>
  </si>
  <si>
    <t>Hyderabad</t>
  </si>
  <si>
    <t>David</t>
  </si>
  <si>
    <t>Johnson</t>
  </si>
  <si>
    <t>Marketing</t>
  </si>
  <si>
    <t>Pune</t>
  </si>
  <si>
    <t>Ian</t>
  </si>
  <si>
    <t>Smith</t>
  </si>
  <si>
    <t>Marketing</t>
  </si>
  <si>
    <t>Banglore</t>
  </si>
  <si>
    <t>Henry</t>
  </si>
  <si>
    <t>Madrid</t>
  </si>
  <si>
    <t>IT</t>
  </si>
  <si>
    <t>Pune</t>
  </si>
  <si>
    <t>Ronica</t>
  </si>
  <si>
    <t>Brave</t>
  </si>
  <si>
    <t>Finance</t>
  </si>
  <si>
    <t>Hyderabad</t>
  </si>
  <si>
    <t>Christine</t>
  </si>
  <si>
    <t>Salvi</t>
  </si>
  <si>
    <t>Marketing</t>
  </si>
  <si>
    <t>Banglore</t>
  </si>
  <si>
    <t>Andrew</t>
  </si>
  <si>
    <t>Baisley</t>
  </si>
  <si>
    <t>IT</t>
  </si>
  <si>
    <t>Hyderabad</t>
  </si>
  <si>
    <t>Erica</t>
  </si>
  <si>
    <t>Irons</t>
  </si>
  <si>
    <t>IT</t>
  </si>
  <si>
    <t>Pune</t>
  </si>
  <si>
    <t/>
  </si>
  <si>
    <t/>
  </si>
  <si>
    <t>Sheet 2- Use of Vlookup</t>
  </si>
  <si>
    <t>Emp</t>
  </si>
  <si>
    <t/>
  </si>
  <si>
    <t/>
  </si>
  <si>
    <t/>
  </si>
  <si>
    <t/>
  </si>
  <si>
    <t>Id</t>
  </si>
  <si>
    <t>First Name</t>
  </si>
  <si>
    <t>Last Name</t>
  </si>
  <si>
    <t>Department</t>
  </si>
  <si>
    <t>Location</t>
  </si>
  <si>
    <t>Assignment -30</t>
  </si>
  <si>
    <t>Get Pivot Table</t>
  </si>
  <si>
    <t/>
  </si>
  <si>
    <t/>
  </si>
  <si>
    <t/>
  </si>
  <si>
    <t/>
  </si>
  <si>
    <t>Pivot Table Result</t>
  </si>
  <si>
    <t>Date of Sale</t>
  </si>
  <si>
    <t>Month</t>
  </si>
  <si>
    <t>Sales Amt</t>
  </si>
  <si>
    <t>19-01-2018</t>
  </si>
  <si>
    <t>January</t>
  </si>
  <si>
    <t>16-01-2018</t>
  </si>
  <si>
    <t>January</t>
  </si>
  <si>
    <t>Date of Sale</t>
  </si>
  <si>
    <t xml:space="preserve">Sum of Sales Amt </t>
  </si>
  <si>
    <t>22-01-2018</t>
  </si>
  <si>
    <t>January</t>
  </si>
  <si>
    <t>12-01-2018</t>
  </si>
  <si>
    <t>lOMoARcPSD|50763021</t>
  </si>
  <si>
    <t>05-02-2018</t>
  </si>
  <si>
    <t>February</t>
  </si>
  <si>
    <t>02-02-2018</t>
  </si>
  <si>
    <t>13-02-2018</t>
  </si>
  <si>
    <t>15-02-2018</t>
  </si>
  <si>
    <t>09-02-2018</t>
  </si>
  <si>
    <t>22-02-2018</t>
  </si>
  <si>
    <t>26-02-2018</t>
  </si>
  <si>
    <t>27-02-2018</t>
  </si>
  <si>
    <t>28-02-2018</t>
  </si>
  <si>
    <t>Grand Total</t>
  </si>
  <si>
    <t>Assignment -31</t>
  </si>
  <si>
    <t>USE OF HLOOKUP</t>
  </si>
  <si>
    <t>Months</t>
  </si>
  <si>
    <t>January</t>
  </si>
  <si>
    <t>February</t>
  </si>
  <si>
    <t>March</t>
  </si>
  <si>
    <t>April</t>
  </si>
  <si>
    <t>May</t>
  </si>
  <si>
    <t>June</t>
  </si>
  <si>
    <t>Sale</t>
  </si>
  <si>
    <t>Months</t>
  </si>
  <si>
    <t>April</t>
  </si>
  <si>
    <t>Sale</t>
  </si>
  <si>
    <t>Name</t>
  </si>
  <si>
    <t>Roger</t>
  </si>
  <si>
    <t>Mat</t>
  </si>
  <si>
    <t>Jim</t>
  </si>
  <si>
    <t>Cole</t>
  </si>
  <si>
    <t>Ricky</t>
  </si>
  <si>
    <t>Mary</t>
  </si>
  <si>
    <t>Science</t>
  </si>
  <si>
    <t>English</t>
  </si>
  <si>
    <t>Maths</t>
  </si>
  <si>
    <t/>
  </si>
  <si>
    <t>Name</t>
  </si>
  <si>
    <t>Roger</t>
  </si>
  <si>
    <t>Mat</t>
  </si>
  <si>
    <t>Jim</t>
  </si>
  <si>
    <t>Cole</t>
  </si>
  <si>
    <t>Ricky</t>
  </si>
  <si>
    <t>Mary</t>
  </si>
  <si>
    <t>Science</t>
  </si>
  <si>
    <t>English</t>
  </si>
  <si>
    <t>Maths</t>
  </si>
  <si>
    <t>EMP</t>
  </si>
  <si>
    <t>FIS6067</t>
  </si>
  <si>
    <t>FIS5228</t>
  </si>
  <si>
    <t>FIS6799</t>
  </si>
  <si>
    <t>FIS1149</t>
  </si>
  <si>
    <t>FIS5834</t>
  </si>
  <si>
    <t>SALES1</t>
  </si>
  <si>
    <t>SALES2</t>
  </si>
  <si>
    <t>SALES3</t>
  </si>
  <si>
    <t>SALES4</t>
  </si>
  <si>
    <t>SALES5</t>
  </si>
  <si>
    <t>EMP</t>
  </si>
  <si>
    <t>FIS1149</t>
  </si>
  <si>
    <t/>
  </si>
  <si>
    <t/>
  </si>
  <si>
    <t/>
  </si>
  <si>
    <t/>
  </si>
  <si>
    <t>Sales 4</t>
  </si>
  <si>
    <t/>
  </si>
  <si>
    <t/>
  </si>
  <si>
    <t/>
  </si>
  <si>
    <t/>
  </si>
  <si>
    <t>Temperarture
(In Celsius)</t>
  </si>
  <si>
    <t>Cities</t>
  </si>
  <si>
    <t>New Delhi</t>
  </si>
  <si>
    <t>Patna</t>
  </si>
  <si>
    <t>Mumbai</t>
  </si>
  <si>
    <t>Pune</t>
  </si>
  <si>
    <t>Bangalore</t>
  </si>
  <si>
    <t>Temperature</t>
  </si>
  <si>
    <t>City</t>
  </si>
  <si>
    <t>Employee</t>
  </si>
  <si>
    <t>Albert</t>
  </si>
  <si>
    <t>Aaron</t>
  </si>
  <si>
    <t>Albama</t>
  </si>
  <si>
    <t>Abeey</t>
  </si>
  <si>
    <t>Carol</t>
  </si>
  <si>
    <t>Cathy</t>
  </si>
  <si>
    <t>Sales</t>
  </si>
  <si>
    <t>Employee</t>
  </si>
  <si>
    <t>Sales</t>
  </si>
  <si>
    <t>Assignment -32</t>
  </si>
  <si>
    <t>USE OF NESTEDIF</t>
  </si>
  <si>
    <t>Name</t>
  </si>
  <si>
    <t>Total Numbers
Earned</t>
  </si>
  <si>
    <t>Grade earned</t>
  </si>
  <si>
    <t>Condition List</t>
  </si>
  <si>
    <t/>
  </si>
  <si>
    <t/>
  </si>
  <si>
    <t>John Wilkins</t>
  </si>
  <si>
    <t>90-100</t>
  </si>
  <si>
    <t>A+</t>
  </si>
  <si>
    <t/>
  </si>
  <si>
    <t>Steve Harrington</t>
  </si>
  <si>
    <t>85 - &lt; 90</t>
  </si>
  <si>
    <t>A</t>
  </si>
  <si>
    <t/>
  </si>
  <si>
    <t>Edward Clark</t>
  </si>
  <si>
    <t>80 - &lt; 85</t>
  </si>
  <si>
    <t>B+</t>
  </si>
  <si>
    <t/>
  </si>
  <si>
    <t>Jimmy Chemberlin</t>
  </si>
  <si>
    <t>75 - &lt; 80</t>
  </si>
  <si>
    <t>B</t>
  </si>
  <si>
    <t/>
  </si>
  <si>
    <t>Alex Wilkins</t>
  </si>
  <si>
    <t>70 - &lt; 75</t>
  </si>
  <si>
    <t>C+</t>
  </si>
  <si>
    <t/>
  </si>
  <si>
    <t>Patty Scott</t>
  </si>
  <si>
    <t>65 - &lt; 70</t>
  </si>
  <si>
    <t>C</t>
  </si>
  <si>
    <t/>
  </si>
  <si>
    <t>Andrew Williams</t>
  </si>
  <si>
    <t>60 - &lt; 65</t>
  </si>
  <si>
    <t>D+</t>
  </si>
  <si>
    <t/>
  </si>
  <si>
    <t>Emilia johnson</t>
  </si>
  <si>
    <t>50 - &lt; 60</t>
  </si>
  <si>
    <t>D</t>
  </si>
  <si>
    <t/>
  </si>
  <si>
    <t>Anthony Rogers</t>
  </si>
  <si>
    <t>&lt; 50</t>
  </si>
  <si>
    <t>F</t>
  </si>
  <si>
    <t/>
  </si>
  <si>
    <t>Assignment -33</t>
  </si>
  <si>
    <t>Merge Table 1,2 &amp; 3 Using Vlookup</t>
  </si>
  <si>
    <t/>
  </si>
  <si>
    <t>Table 1</t>
  </si>
  <si>
    <t/>
  </si>
  <si>
    <t>Table 2</t>
  </si>
  <si>
    <t/>
  </si>
  <si>
    <t>Table 3</t>
  </si>
  <si>
    <t>Emp ID</t>
  </si>
  <si>
    <t>Emp Name</t>
  </si>
  <si>
    <t>Emp ID</t>
  </si>
  <si>
    <t>Dept</t>
  </si>
  <si>
    <t>Emp ID</t>
  </si>
  <si>
    <t>Salary</t>
  </si>
  <si>
    <t>Prd001</t>
  </si>
  <si>
    <t>Raju</t>
  </si>
  <si>
    <t>Prd001</t>
  </si>
  <si>
    <t>Sales</t>
  </si>
  <si>
    <t>Prd001</t>
  </si>
  <si>
    <t>Prd002</t>
  </si>
  <si>
    <t>Ramesh</t>
  </si>
  <si>
    <t>Prd002</t>
  </si>
  <si>
    <t>Operations</t>
  </si>
  <si>
    <t>Prd002</t>
  </si>
  <si>
    <t>Prd003</t>
  </si>
  <si>
    <t>Ramila</t>
  </si>
  <si>
    <t>Prd003</t>
  </si>
  <si>
    <t>Marketing</t>
  </si>
  <si>
    <t>Prd003</t>
  </si>
  <si>
    <t>Prd004</t>
  </si>
  <si>
    <t>Rajeshwari</t>
  </si>
  <si>
    <t>Prd013</t>
  </si>
  <si>
    <t>Marketing</t>
  </si>
  <si>
    <t>Prd004</t>
  </si>
  <si>
    <t>Prd005</t>
  </si>
  <si>
    <t>Karan</t>
  </si>
  <si>
    <t>Prd014</t>
  </si>
  <si>
    <t>Sales</t>
  </si>
  <si>
    <t>Prd005</t>
  </si>
  <si>
    <t>Prd006</t>
  </si>
  <si>
    <t>Rohith</t>
  </si>
  <si>
    <t>Prd015</t>
  </si>
  <si>
    <t>IT</t>
  </si>
  <si>
    <t>Prd006</t>
  </si>
  <si>
    <t>Prd007</t>
  </si>
  <si>
    <t>Jacob</t>
  </si>
  <si>
    <t>Prd016</t>
  </si>
  <si>
    <t>Operations</t>
  </si>
  <si>
    <t>Prd015</t>
  </si>
  <si>
    <t>Prd008</t>
  </si>
  <si>
    <t>Fleming</t>
  </si>
  <si>
    <t>Prd017</t>
  </si>
  <si>
    <t>Sales</t>
  </si>
  <si>
    <t>Prd016</t>
  </si>
  <si>
    <t>Prd009</t>
  </si>
  <si>
    <t>Navya</t>
  </si>
  <si>
    <t>Prd020</t>
  </si>
  <si>
    <t>Sales</t>
  </si>
  <si>
    <t>Prd017</t>
  </si>
  <si>
    <t>Prd010</t>
  </si>
  <si>
    <t>Kavya</t>
  </si>
  <si>
    <t>Prd004</t>
  </si>
  <si>
    <t>HR</t>
  </si>
  <si>
    <t>Prd018</t>
  </si>
  <si>
    <t>Prd011</t>
  </si>
  <si>
    <t>Santosh</t>
  </si>
  <si>
    <t>Prd005</t>
  </si>
  <si>
    <t>Finance</t>
  </si>
  <si>
    <t>Prd019</t>
  </si>
  <si>
    <t>Prd012</t>
  </si>
  <si>
    <t>Shankar</t>
  </si>
  <si>
    <t>Prd006</t>
  </si>
  <si>
    <t>IT</t>
  </si>
  <si>
    <t>Prd020</t>
  </si>
  <si>
    <t>Prd013</t>
  </si>
  <si>
    <t>Rajesh</t>
  </si>
  <si>
    <t>Prd018</t>
  </si>
  <si>
    <t>Marketing</t>
  </si>
  <si>
    <t>Prd007</t>
  </si>
  <si>
    <t>Prd014</t>
  </si>
  <si>
    <t>Mahesh</t>
  </si>
  <si>
    <t>Prd019</t>
  </si>
  <si>
    <t>Marketing</t>
  </si>
  <si>
    <t>Prd008</t>
  </si>
  <si>
    <t>Prd015</t>
  </si>
  <si>
    <t>Hemaraj</t>
  </si>
  <si>
    <t>Prd007</t>
  </si>
  <si>
    <t>Marketing</t>
  </si>
  <si>
    <t>Prd009</t>
  </si>
  <si>
    <t>Prd016</t>
  </si>
  <si>
    <t>Nagaraj</t>
  </si>
  <si>
    <t>Prd008</t>
  </si>
  <si>
    <t>IT</t>
  </si>
  <si>
    <t>Prd010</t>
  </si>
  <si>
    <t>Prd017</t>
  </si>
  <si>
    <t>Johson</t>
  </si>
  <si>
    <t>Prd009</t>
  </si>
  <si>
    <t>Sales</t>
  </si>
  <si>
    <t>Prd011</t>
  </si>
  <si>
    <t>Prd018</t>
  </si>
  <si>
    <t>David</t>
  </si>
  <si>
    <t>Prd010</t>
  </si>
  <si>
    <t>Finance</t>
  </si>
  <si>
    <t>Prd012</t>
  </si>
  <si>
    <t>Prd019</t>
  </si>
  <si>
    <t>Anderson</t>
  </si>
  <si>
    <t>Prd011</t>
  </si>
  <si>
    <t>Operations</t>
  </si>
  <si>
    <t>Prd013</t>
  </si>
  <si>
    <t>Prd020</t>
  </si>
  <si>
    <t>Peter</t>
  </si>
  <si>
    <t>Prd012</t>
  </si>
  <si>
    <t>Finance</t>
  </si>
  <si>
    <t>Prd014</t>
  </si>
  <si>
    <t/>
  </si>
  <si>
    <t>Emp ID</t>
  </si>
  <si>
    <t>Emp Name</t>
  </si>
  <si>
    <t>Department</t>
  </si>
  <si>
    <t>Salary</t>
  </si>
  <si>
    <t>Prd001</t>
  </si>
  <si>
    <t>Raju</t>
  </si>
  <si>
    <t>Prd002</t>
  </si>
  <si>
    <t>Ramesh</t>
  </si>
  <si>
    <t>Prd003</t>
  </si>
  <si>
    <t>Ramila</t>
  </si>
  <si>
    <t>Prd004</t>
  </si>
  <si>
    <t>Rajeshwari</t>
  </si>
  <si>
    <t>Prd005</t>
  </si>
  <si>
    <t>Karan</t>
  </si>
  <si>
    <t>Prd006</t>
  </si>
  <si>
    <t>Rohith</t>
  </si>
  <si>
    <t>Prd007</t>
  </si>
  <si>
    <t>Jacob</t>
  </si>
  <si>
    <t>Prd008</t>
  </si>
  <si>
    <t>Fleming</t>
  </si>
  <si>
    <t>Prd009</t>
  </si>
  <si>
    <t>Navya</t>
  </si>
  <si>
    <t>Prd010</t>
  </si>
  <si>
    <t>Kavya</t>
  </si>
  <si>
    <t>Prd011</t>
  </si>
  <si>
    <t>Santosh</t>
  </si>
  <si>
    <t>Prd012</t>
  </si>
  <si>
    <t>Shankar</t>
  </si>
  <si>
    <t>Prd013</t>
  </si>
  <si>
    <t>Rajesh</t>
  </si>
  <si>
    <t>Prd014</t>
  </si>
  <si>
    <t>Mahesh</t>
  </si>
  <si>
    <t>Prd015</t>
  </si>
  <si>
    <t>Hemaraj</t>
  </si>
  <si>
    <t>Prd016</t>
  </si>
  <si>
    <t>Nagaraj</t>
  </si>
  <si>
    <t>Prd017</t>
  </si>
  <si>
    <t>Johson</t>
  </si>
  <si>
    <t>Prd018</t>
  </si>
  <si>
    <t>David</t>
  </si>
  <si>
    <t>Prd019</t>
  </si>
  <si>
    <t>Anderson</t>
  </si>
  <si>
    <t>Prd020</t>
  </si>
  <si>
    <t>Peter</t>
  </si>
  <si>
    <t>lOMoARcPSD|50763021</t>
  </si>
  <si>
    <t>Assignment -34</t>
  </si>
  <si>
    <t>Use of Sumif</t>
  </si>
  <si>
    <t>Owner</t>
  </si>
  <si>
    <t>Product Class</t>
  </si>
  <si>
    <t>Quantity Sold</t>
  </si>
  <si>
    <t>Ben</t>
  </si>
  <si>
    <t>A1</t>
  </si>
  <si>
    <t>Jeff</t>
  </si>
  <si>
    <t>A4</t>
  </si>
  <si>
    <t>Ben</t>
  </si>
  <si>
    <t>C3</t>
  </si>
  <si>
    <t>Jeff</t>
  </si>
  <si>
    <t>C14</t>
  </si>
  <si>
    <t>Jenny</t>
  </si>
  <si>
    <t>A12</t>
  </si>
  <si>
    <t>Ben</t>
  </si>
  <si>
    <t>B3</t>
  </si>
  <si>
    <t>Jeff</t>
  </si>
  <si>
    <t>B7</t>
  </si>
  <si>
    <t>Jenny</t>
  </si>
  <si>
    <t>B11</t>
  </si>
  <si>
    <t/>
  </si>
  <si>
    <t/>
  </si>
  <si>
    <t/>
  </si>
  <si>
    <t>Total</t>
  </si>
  <si>
    <t/>
  </si>
  <si>
    <t>Total Quantity Sold</t>
  </si>
  <si>
    <t>By Ben</t>
  </si>
  <si>
    <t>Quantity
Sold
By Jenny</t>
  </si>
  <si>
    <t/>
  </si>
  <si>
    <t/>
  </si>
  <si>
    <t/>
  </si>
  <si>
    <t/>
  </si>
  <si>
    <t>Total Quantity Sold</t>
  </si>
  <si>
    <t>By Ben &amp; Jenny</t>
  </si>
  <si>
    <t/>
  </si>
  <si>
    <t/>
  </si>
  <si>
    <t>SUMIF(A2:A9,"Ben",C2:C9)+SUMIF(A2:A9,"Jenny",C2:C9)</t>
  </si>
  <si>
    <t>Owner</t>
  </si>
  <si>
    <t>Product Class</t>
  </si>
  <si>
    <t>Quantity Sold</t>
  </si>
  <si>
    <t>Ben</t>
  </si>
  <si>
    <t>A1</t>
  </si>
  <si>
    <t>Jeff</t>
  </si>
  <si>
    <t>A4</t>
  </si>
  <si>
    <t>Ben</t>
  </si>
  <si>
    <t>C3</t>
  </si>
  <si>
    <t>Jeff</t>
  </si>
  <si>
    <t>C14</t>
  </si>
  <si>
    <t>Jenny</t>
  </si>
  <si>
    <t>A12</t>
  </si>
  <si>
    <t>Ben</t>
  </si>
  <si>
    <t>B3</t>
  </si>
  <si>
    <t>Jeff</t>
  </si>
  <si>
    <t>B7</t>
  </si>
  <si>
    <t>Jenny</t>
  </si>
  <si>
    <t>B11</t>
  </si>
  <si>
    <t>Total</t>
  </si>
  <si>
    <t/>
  </si>
  <si>
    <t>Quantity</t>
  </si>
  <si>
    <t/>
  </si>
  <si>
    <t>Sold
By Jeff</t>
  </si>
  <si>
    <t>&amp; Jenny</t>
  </si>
  <si>
    <t/>
  </si>
  <si>
    <t>SUMIF(A2:A9,"Ben",C2:C9)+SUMIF(A2:A9,"Jenny",C2:C9)</t>
  </si>
  <si>
    <t>lOMoARcPSD|50763021</t>
  </si>
  <si>
    <t>Excellent Computer Education(A Professional Training Center)</t>
  </si>
  <si>
    <t>Assignment -36</t>
  </si>
  <si>
    <t/>
  </si>
  <si>
    <t/>
  </si>
  <si>
    <t>USE OF VLOOKUP</t>
  </si>
  <si>
    <t>Emp</t>
  </si>
  <si>
    <t>First Name</t>
  </si>
  <si>
    <t>Dept</t>
  </si>
  <si>
    <t>Region</t>
  </si>
  <si>
    <t>Salary</t>
  </si>
  <si>
    <t>INCENTIVE</t>
  </si>
  <si>
    <t>Bonus</t>
  </si>
  <si>
    <t>TA</t>
  </si>
  <si>
    <t>Dept</t>
  </si>
  <si>
    <t>INCENTIVE</t>
  </si>
  <si>
    <t xml:space="preserve">Bonus </t>
  </si>
  <si>
    <t>Raja</t>
  </si>
  <si>
    <t>Sales</t>
  </si>
  <si>
    <t>north</t>
  </si>
  <si>
    <t>Sales</t>
  </si>
  <si>
    <t>Suman</t>
  </si>
  <si>
    <t>Sales</t>
  </si>
  <si>
    <t>east</t>
  </si>
  <si>
    <t>Mktg</t>
  </si>
  <si>
    <t>Beena</t>
  </si>
  <si>
    <t>Mktg</t>
  </si>
  <si>
    <t>north</t>
  </si>
  <si>
    <t>R&amp;D</t>
  </si>
  <si>
    <t>Seema</t>
  </si>
  <si>
    <t>R&amp;D</t>
  </si>
  <si>
    <t>north</t>
  </si>
  <si>
    <t>Finance</t>
  </si>
  <si>
    <t>Julie</t>
  </si>
  <si>
    <t>R&amp;D</t>
  </si>
  <si>
    <t>north</t>
  </si>
  <si>
    <t>Admin</t>
  </si>
  <si>
    <t>Neena</t>
  </si>
  <si>
    <t>R&amp;D</t>
  </si>
  <si>
    <t>north</t>
  </si>
  <si>
    <t>Director</t>
  </si>
  <si>
    <t>Pankaj</t>
  </si>
  <si>
    <t>Sales</t>
  </si>
  <si>
    <t>north</t>
  </si>
  <si>
    <t>Personal</t>
  </si>
  <si>
    <t>Andre</t>
  </si>
  <si>
    <t>Mktg</t>
  </si>
  <si>
    <t>east</t>
  </si>
  <si>
    <t>CCD</t>
  </si>
  <si>
    <t>Sujay</t>
  </si>
  <si>
    <t>Finance</t>
  </si>
  <si>
    <t>west</t>
  </si>
  <si>
    <t/>
  </si>
  <si>
    <t/>
  </si>
  <si>
    <t/>
  </si>
  <si>
    <t>Shilpa</t>
  </si>
  <si>
    <t>Admin</t>
  </si>
  <si>
    <t>north</t>
  </si>
  <si>
    <t/>
  </si>
  <si>
    <t/>
  </si>
  <si>
    <t/>
  </si>
  <si>
    <t>Meera</t>
  </si>
  <si>
    <t>Finance</t>
  </si>
  <si>
    <t>east</t>
  </si>
  <si>
    <t/>
  </si>
  <si>
    <t/>
  </si>
  <si>
    <t/>
  </si>
  <si>
    <t>Sheetal</t>
  </si>
  <si>
    <t>Director</t>
  </si>
  <si>
    <t>south</t>
  </si>
  <si>
    <t/>
  </si>
  <si>
    <t/>
  </si>
  <si>
    <t/>
  </si>
  <si>
    <t>K. Sita</t>
  </si>
  <si>
    <t>Personal</t>
  </si>
  <si>
    <t>north</t>
  </si>
  <si>
    <t>Region</t>
  </si>
  <si>
    <t>TA</t>
  </si>
  <si>
    <t/>
  </si>
  <si>
    <t>Priya</t>
  </si>
  <si>
    <t>Personal</t>
  </si>
  <si>
    <t>north</t>
  </si>
  <si>
    <t>north</t>
  </si>
  <si>
    <t/>
  </si>
  <si>
    <t>Aalok</t>
  </si>
  <si>
    <t>Admin</t>
  </si>
  <si>
    <t>east</t>
  </si>
  <si>
    <t>east</t>
  </si>
  <si>
    <t/>
  </si>
  <si>
    <t>Aakash</t>
  </si>
  <si>
    <t>Admin</t>
  </si>
  <si>
    <t>west</t>
  </si>
  <si>
    <t>west</t>
  </si>
  <si>
    <t/>
  </si>
  <si>
    <t>Parvati</t>
  </si>
  <si>
    <t>Mktg</t>
  </si>
  <si>
    <t>north</t>
  </si>
  <si>
    <t>south</t>
  </si>
  <si>
    <t/>
  </si>
  <si>
    <t>Q.1 How many Emloyee in Sales and Mktg Department.</t>
  </si>
  <si>
    <t>Q.2 How Many salary in Sales Department.</t>
  </si>
  <si>
    <t>Q.3 How many Employee Department Sales, North Region Salary.</t>
  </si>
  <si>
    <t>Q.4 How many Employee Department Sales and Region north.</t>
  </si>
  <si>
    <t>Q.5 If Salary Greater Then 15000, "A", if salary Greater Then 10000, "B" otherwise "C".</t>
  </si>
  <si>
    <t>Assignment -38</t>
  </si>
  <si>
    <t xml:space="preserve">USE OF DATEDIF FORMULAS CALCULATE DOB </t>
  </si>
  <si>
    <t>FirstDate</t>
  </si>
  <si>
    <t>SecondDate</t>
  </si>
  <si>
    <t>Interval</t>
  </si>
  <si>
    <t>Difference</t>
  </si>
  <si>
    <t>days</t>
  </si>
  <si>
    <t>months</t>
  </si>
  <si>
    <t>years</t>
  </si>
  <si>
    <t>lOMoARcPSD|50763021</t>
  </si>
  <si>
    <t>Birth date :</t>
  </si>
  <si>
    <t>Years lived :</t>
  </si>
  <si>
    <t>and the months :</t>
  </si>
  <si>
    <t>and the days :</t>
  </si>
  <si>
    <t>Assignment -44</t>
  </si>
  <si>
    <t>USE OF FIND &amp; LARGE FORMULA</t>
  </si>
  <si>
    <t>Text</t>
  </si>
  <si>
    <t>Letter To Find</t>
  </si>
  <si>
    <t>Position Of Letter</t>
  </si>
  <si>
    <t/>
  </si>
  <si>
    <t>Hello</t>
  </si>
  <si>
    <t>e</t>
  </si>
  <si>
    <t>Hello</t>
  </si>
  <si>
    <t>H</t>
  </si>
  <si>
    <t>Hello</t>
  </si>
  <si>
    <t>o</t>
  </si>
  <si>
    <t>Alan Williams</t>
  </si>
  <si>
    <t>a</t>
  </si>
  <si>
    <t>T</t>
  </si>
  <si>
    <t>Values</t>
  </si>
  <si>
    <t>Highest Value</t>
  </si>
  <si>
    <t>2nd Highest Value</t>
  </si>
  <si>
    <t>3rd Highest Value</t>
  </si>
  <si>
    <t>4th Highest Value</t>
  </si>
  <si>
    <t>5th Highest Value</t>
  </si>
  <si>
    <t>The following table was used to calculate the top 3 sales figures between Jan, Feb and Mar.</t>
  </si>
  <si>
    <t>Sales</t>
  </si>
  <si>
    <t>Jan</t>
  </si>
  <si>
    <t>Feb</t>
  </si>
  <si>
    <t>Mar</t>
  </si>
  <si>
    <t>North</t>
  </si>
  <si>
    <t>South</t>
  </si>
  <si>
    <t>East</t>
  </si>
  <si>
    <t>West</t>
  </si>
  <si>
    <t>Highest Value</t>
  </si>
  <si>
    <t>2nd Highest Value</t>
  </si>
  <si>
    <t>3rd Highest Value</t>
  </si>
  <si>
    <t>Note</t>
  </si>
  <si>
    <t>Another way to find the Highest and Lowest values would have been to use
the =MAX() and =MIN() functions.</t>
  </si>
  <si>
    <t/>
  </si>
  <si>
    <t/>
  </si>
  <si>
    <t>Highest</t>
  </si>
  <si>
    <t/>
  </si>
  <si>
    <t/>
  </si>
  <si>
    <t>Lowest</t>
  </si>
  <si>
    <t>lOMoARcPSD|50763021</t>
  </si>
  <si>
    <t>Excellent Computer Education(A Professional Training Center)</t>
  </si>
  <si>
    <t>Assignment -45</t>
  </si>
  <si>
    <t/>
  </si>
  <si>
    <t/>
  </si>
  <si>
    <t xml:space="preserve">USE OF LEFT </t>
  </si>
  <si>
    <t>Text</t>
  </si>
  <si>
    <t>Number Of
Characters Required</t>
  </si>
  <si>
    <t>Left String</t>
  </si>
  <si>
    <t/>
  </si>
  <si>
    <t/>
  </si>
  <si>
    <t>Alan Jones</t>
  </si>
  <si>
    <t>Alan Jones</t>
  </si>
  <si>
    <t/>
  </si>
  <si>
    <t/>
  </si>
  <si>
    <t>Alan Jones</t>
  </si>
  <si>
    <t/>
  </si>
  <si>
    <t/>
  </si>
  <si>
    <t>Cardiff</t>
  </si>
  <si>
    <t/>
  </si>
  <si>
    <t/>
  </si>
  <si>
    <t>ABC123</t>
  </si>
  <si>
    <t/>
  </si>
  <si>
    <t/>
  </si>
  <si>
    <t/>
  </si>
  <si>
    <t/>
  </si>
  <si>
    <t>USE OF LEFT AND FIND</t>
  </si>
  <si>
    <t>Full Name</t>
  </si>
  <si>
    <t>First Name</t>
  </si>
  <si>
    <t/>
  </si>
  <si>
    <t/>
  </si>
  <si>
    <t>Alan Jones</t>
  </si>
  <si>
    <t/>
  </si>
  <si>
    <t>Bob Smith</t>
  </si>
  <si>
    <t/>
  </si>
  <si>
    <t/>
  </si>
  <si>
    <t>Carol Williams</t>
  </si>
  <si>
    <t/>
  </si>
  <si>
    <t/>
  </si>
  <si>
    <t/>
  </si>
  <si>
    <t/>
  </si>
  <si>
    <t>USE OF LEN</t>
  </si>
  <si>
    <t>Text</t>
  </si>
  <si>
    <t>Length</t>
  </si>
  <si>
    <t/>
  </si>
  <si>
    <t/>
  </si>
  <si>
    <t>Alan Jones</t>
  </si>
  <si>
    <t>Bob Smith</t>
  </si>
  <si>
    <t/>
  </si>
  <si>
    <t/>
  </si>
  <si>
    <t>Carol Williams</t>
  </si>
  <si>
    <t/>
  </si>
  <si>
    <t/>
  </si>
  <si>
    <t>Cardiff</t>
  </si>
  <si>
    <t/>
  </si>
  <si>
    <t/>
  </si>
  <si>
    <t>ABC123</t>
  </si>
  <si>
    <t/>
  </si>
  <si>
    <t/>
  </si>
  <si>
    <t/>
  </si>
  <si>
    <t/>
  </si>
  <si>
    <t>USE OF LOWER</t>
  </si>
  <si>
    <t>Upper Case Text</t>
  </si>
  <si>
    <t>Lower Case</t>
  </si>
  <si>
    <t/>
  </si>
  <si>
    <t/>
  </si>
  <si>
    <t>ALAN JONES</t>
  </si>
  <si>
    <t>BOB SMITH</t>
  </si>
  <si>
    <t/>
  </si>
  <si>
    <t/>
  </si>
  <si>
    <t>CAROL WILLIAMS</t>
  </si>
  <si>
    <t/>
  </si>
  <si>
    <t/>
  </si>
  <si>
    <t>CARDIFF</t>
  </si>
  <si>
    <t/>
  </si>
  <si>
    <t/>
  </si>
  <si>
    <t>ABC123</t>
  </si>
  <si>
    <t/>
  </si>
  <si>
    <t/>
  </si>
  <si>
    <t>lOMoARcPSD|50763021</t>
  </si>
  <si>
    <t>Assignment -46</t>
  </si>
  <si>
    <t>USE OF POWER, PRODUCT, PROPER, REPT</t>
  </si>
  <si>
    <t/>
  </si>
  <si>
    <t/>
  </si>
  <si>
    <t xml:space="preserve">USE OF POWER </t>
  </si>
  <si>
    <t>Number</t>
  </si>
  <si>
    <t>Power</t>
  </si>
  <si>
    <t>Result</t>
  </si>
  <si>
    <t/>
  </si>
  <si>
    <t/>
  </si>
  <si>
    <t/>
  </si>
  <si>
    <t/>
  </si>
  <si>
    <t/>
  </si>
  <si>
    <t/>
  </si>
  <si>
    <t>USE OF PRODUCT</t>
  </si>
  <si>
    <t/>
  </si>
  <si>
    <t>Numbers</t>
  </si>
  <si>
    <t>Product</t>
  </si>
  <si>
    <t/>
  </si>
  <si>
    <t/>
  </si>
  <si>
    <t/>
  </si>
  <si>
    <t/>
  </si>
  <si>
    <t/>
  </si>
  <si>
    <t/>
  </si>
  <si>
    <t/>
  </si>
  <si>
    <t/>
  </si>
  <si>
    <t>USE OF PROPER</t>
  </si>
  <si>
    <t>Original Text</t>
  </si>
  <si>
    <t>Proper</t>
  </si>
  <si>
    <t/>
  </si>
  <si>
    <t>alan jones</t>
  </si>
  <si>
    <t>bob smith</t>
  </si>
  <si>
    <t>caRol wILLIAMS</t>
  </si>
  <si>
    <t>cardiff</t>
  </si>
  <si>
    <t>ABC123</t>
  </si>
  <si>
    <t/>
  </si>
  <si>
    <t/>
  </si>
  <si>
    <t>Text To</t>
  </si>
  <si>
    <t>Number Of</t>
  </si>
  <si>
    <t>Repeated</t>
  </si>
  <si>
    <t>Repeat</t>
  </si>
  <si>
    <t>Repeats</t>
  </si>
  <si>
    <t>Text</t>
  </si>
  <si>
    <t>A</t>
  </si>
  <si>
    <t>AB</t>
  </si>
  <si>
    <t>-</t>
  </si>
  <si>
    <t>|</t>
  </si>
  <si>
    <t>Students with "A" Grade</t>
  </si>
  <si>
    <t>Students with "B" Grade</t>
  </si>
  <si>
    <t>&gt;20</t>
  </si>
  <si>
    <t>&gt;15</t>
  </si>
  <si>
    <t>&lt;20</t>
  </si>
  <si>
    <t>TOTAL/AVG</t>
  </si>
  <si>
    <t>Number of Salesman</t>
  </si>
  <si>
    <t>Q.2 If Sales Greater Than Target Then Target Achived otherwise Not Achieved</t>
  </si>
  <si>
    <t>&gt;1000</t>
  </si>
  <si>
    <t>&lt;1000</t>
  </si>
  <si>
    <t>Sl NO</t>
  </si>
  <si>
    <t>TOTAL COST</t>
  </si>
  <si>
    <t>Q.4</t>
  </si>
  <si>
    <t>Q.5</t>
  </si>
  <si>
    <t xml:space="preserve"> Total Cost of Window and Brakes Items?</t>
  </si>
  <si>
    <t xml:space="preserve"> HIGHLIGHT TYRES ITESM &amp; 500 BETWEEN 2000 COST.</t>
  </si>
  <si>
    <t>Q.4 If Percentage Greater Then &gt;70 Then "Excellent", If Percentage Greater Then &gt;50,"Good", Otherwise "Bad"</t>
  </si>
  <si>
    <t xml:space="preserve">Q.5 How Many Student Good and Bad in a list </t>
  </si>
  <si>
    <t>Good</t>
  </si>
  <si>
    <t>Bad</t>
  </si>
  <si>
    <t>Row Labels</t>
  </si>
  <si>
    <t>Sum of Sales $</t>
  </si>
  <si>
    <t>Q.5 Apple and Banana Sales in United States</t>
  </si>
  <si>
    <t>Male In United States</t>
  </si>
  <si>
    <t>13-02-2019</t>
  </si>
  <si>
    <t>15-02-2019</t>
  </si>
  <si>
    <t>22-02-2019</t>
  </si>
  <si>
    <t>26-02-2019</t>
  </si>
  <si>
    <t>27-02-2019</t>
  </si>
  <si>
    <t>Sum of Sales Amt</t>
  </si>
  <si>
    <t xml:space="preserve">Sum of Sum of Sales Amt </t>
  </si>
  <si>
    <t>Ricky Marks in English</t>
  </si>
  <si>
    <t>Jim Marks in Maths</t>
  </si>
  <si>
    <t>Assignment -42</t>
  </si>
  <si>
    <t>USE OF DMAX</t>
  </si>
  <si>
    <t>Wattage</t>
  </si>
  <si>
    <t>Life Hours</t>
  </si>
  <si>
    <t>Unit Cost</t>
  </si>
  <si>
    <t>Box Quantity</t>
  </si>
  <si>
    <t>Boxes In Stock</t>
  </si>
  <si>
    <t>Value Of Stock</t>
  </si>
  <si>
    <t>Bulb</t>
  </si>
  <si>
    <t>Horizon</t>
  </si>
  <si>
    <t>Neon</t>
  </si>
  <si>
    <t>Spot</t>
  </si>
  <si>
    <t>Other</t>
  </si>
  <si>
    <t>Sunbeam</t>
  </si>
  <si>
    <t>unknown</t>
  </si>
  <si>
    <t>To calculate largest Value Of Stock of a particular Brand of bulb.</t>
  </si>
  <si>
    <r>
      <rPr>
        <i/>
        <sz val="10"/>
        <color theme="1"/>
        <rFont val="Arial"/>
      </rPr>
      <t xml:space="preserve">These two cells are the </t>
    </r>
    <r>
      <rPr>
        <b/>
        <i/>
        <sz val="10"/>
        <color theme="1"/>
        <rFont val="Arial"/>
      </rPr>
      <t>Criteria</t>
    </r>
    <r>
      <rPr>
        <i/>
        <sz val="10"/>
        <color theme="1"/>
        <rFont val="Arial"/>
      </rPr>
      <t xml:space="preserve"> range.</t>
    </r>
  </si>
  <si>
    <t xml:space="preserve">Type the brand name : </t>
  </si>
  <si>
    <t>The MAX value of Horizon is :</t>
  </si>
  <si>
    <t>Examples</t>
  </si>
  <si>
    <t>The largest Value Of Stock of a particular Product of a particular Brand.</t>
  </si>
  <si>
    <t>sunbeam</t>
  </si>
  <si>
    <t xml:space="preserve">The largest value is : </t>
  </si>
  <si>
    <t>The largest Value Of Stock of a Bulb equal to a particular Wattage.</t>
  </si>
  <si>
    <t xml:space="preserve">The largest Value Of Stock is : </t>
  </si>
  <si>
    <t>The largest Value Of Stock of a Bulb less than a particular Wattage.</t>
  </si>
  <si>
    <t>&lt;100</t>
  </si>
  <si>
    <t>Assignment -39</t>
  </si>
  <si>
    <t>USE OF DAVERAGE</t>
  </si>
  <si>
    <t>To calculate the Average cost of a particular Brand of bulb.</t>
  </si>
  <si>
    <t>The Average cost of sunbeam is :</t>
  </si>
  <si>
    <t>The average Unit Cost of a particular Product of a particular Brand.</t>
  </si>
  <si>
    <t>The average of Horizon Bulb is :</t>
  </si>
  <si>
    <t>The average Unit Cost of a Bulb equal to a particular Wattage.</t>
  </si>
  <si>
    <t>Average of Bulb 100 is :</t>
  </si>
  <si>
    <t>The average Unit Cost of a Bulb less then a particular Wattage.</t>
  </si>
  <si>
    <t>Average of Bulb &lt;100 is :</t>
  </si>
  <si>
    <t xml:space="preserve"> =DAVERAGE(B3:I19,"Unit Cost",E67:F68)</t>
  </si>
  <si>
    <t>Assignment -40</t>
  </si>
  <si>
    <t>USE OF DCOUNT</t>
  </si>
  <si>
    <t>Count the number of products of a particular Brand which have a Life Hours rating.</t>
  </si>
  <si>
    <t>The COUNT value of Horizon is :</t>
  </si>
  <si>
    <t>The count of a particular product, with a specific number of boxes in stock.</t>
  </si>
  <si>
    <t xml:space="preserve">The number of products is : </t>
  </si>
  <si>
    <t>The count of the number of  Bulb products equal to a particular Wattage.</t>
  </si>
  <si>
    <t xml:space="preserve">The count is : </t>
  </si>
  <si>
    <t>The count of Bulb products between two Wattage values.</t>
  </si>
  <si>
    <t>&gt;=80</t>
  </si>
  <si>
    <t>&lt;=100</t>
  </si>
  <si>
    <t>Assignment -41</t>
  </si>
  <si>
    <t>USE OF DCOUNTA</t>
  </si>
  <si>
    <t>Count the number of products of a particular Brand.</t>
  </si>
  <si>
    <t>The count of a product with an unknown Life Hours value.</t>
  </si>
  <si>
    <t>The count of the number of  particular product of a specific brand.</t>
  </si>
  <si>
    <t>The count of particular products from specific brands.</t>
  </si>
  <si>
    <t>Assignment -43</t>
  </si>
  <si>
    <t>USE OF DSUM</t>
  </si>
  <si>
    <t>To calculate the total Value Of Stock of a particular Brand of bulb.</t>
  </si>
  <si>
    <t>The stock value of Horizon is :</t>
  </si>
  <si>
    <t>The total Value Of Stock of a particular Product of a particular Brand.</t>
  </si>
  <si>
    <t xml:space="preserve">Total stock value is : </t>
  </si>
  <si>
    <t>The total Value Of Stock of a Bulb equal to a particular Wattage.</t>
  </si>
  <si>
    <t xml:space="preserve">Total Value Of Stock is : </t>
  </si>
  <si>
    <t>The total Value Of Stock of a Bulb less than a particular Wattage.</t>
  </si>
  <si>
    <t>Assignment -47</t>
  </si>
  <si>
    <t>USE OF RIGHT, ROMAN &amp; SMALL</t>
  </si>
  <si>
    <t>Original
Text</t>
  </si>
  <si>
    <t>Right
String</t>
  </si>
  <si>
    <t>USE OF ROMAN</t>
  </si>
  <si>
    <t>Roman</t>
  </si>
  <si>
    <t xml:space="preserve">USE OF SMALL </t>
  </si>
  <si>
    <t>Lowest Value</t>
  </si>
  <si>
    <t>2nd Lowest Value</t>
  </si>
  <si>
    <t>3rd Lowest Value</t>
  </si>
  <si>
    <t>USE OF LEFT, FIND, LEN,LOWER</t>
  </si>
  <si>
    <t>LEFT(A12,FIND(" ",A12)-1)</t>
  </si>
  <si>
    <t>REPT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</si>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</sst>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#,##0.0"/>
    <numFmt numFmtId="165" formatCode="#,##0.00000000"/>
    <numFmt numFmtId="166" formatCode="&quot;$&quot;#,##0.00"/>
    <numFmt numFmtId="167" formatCode="0.0"/>
    <numFmt numFmtId="168" formatCode="&quot;₹&quot;\ #,##0.00"/>
    <numFmt numFmtId="169" formatCode="&quot;£&quot;#,##0.00_);[Red]\(&quot;£&quot;#,##0.00\)"/>
    <numFmt numFmtId="170" formatCode="&quot;£&quot;#,##0_);[Red]\(&quot;£&quot;#,##0\)"/>
  </numFmts>
  <fonts count="53" x14ac:knownFonts="1">
    <font>
      <sz val="11"/>
      <name val="Calibri"/>
      <family val="2"/>
    </font>
    <font>
      <sz val="1"/>
      <color rgb="FF000000"/>
      <name val="Arial"/>
      <family val="2"/>
    </font>
    <font>
      <sz val="7"/>
      <color rgb="FF4D4D4D"/>
      <name val="Arial"/>
      <family val="2"/>
    </font>
    <font>
      <sz val="16"/>
      <name val="Cambria"/>
      <family val="2"/>
    </font>
    <font>
      <b/>
      <u/>
      <sz val="12"/>
      <name val="Calibri"/>
      <family val="2"/>
    </font>
    <font>
      <b/>
      <sz val="10"/>
      <name val="Calibri"/>
      <family val="2"/>
    </font>
    <font>
      <b/>
      <sz val="9"/>
      <color rgb="FFFFFFFF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b/>
      <sz val="12"/>
      <name val="Calibri"/>
      <family val="2"/>
    </font>
    <font>
      <b/>
      <sz val="10"/>
      <color rgb="FFFFFFFF"/>
      <name val="Calibri"/>
      <family val="2"/>
    </font>
    <font>
      <sz val="10"/>
      <name val="Calibri"/>
      <family val="2"/>
    </font>
    <font>
      <sz val="11"/>
      <name val="Times New Roman"/>
      <family val="2"/>
    </font>
    <font>
      <u/>
      <sz val="11"/>
      <color rgb="FF0000FF"/>
      <name val="Cambria"/>
      <family val="2"/>
    </font>
    <font>
      <sz val="11"/>
      <name val="Cambria"/>
      <family val="2"/>
    </font>
    <font>
      <b/>
      <u/>
      <sz val="9"/>
      <name val="Calibri"/>
      <family val="2"/>
    </font>
    <font>
      <sz val="9"/>
      <color rgb="FFFF0000"/>
      <name val="Calibri"/>
      <family val="2"/>
    </font>
    <font>
      <b/>
      <sz val="10"/>
      <color rgb="FFFFFFFF"/>
      <name val="Times New Roman"/>
      <family val="2"/>
    </font>
    <font>
      <sz val="10"/>
      <color rgb="FF800080"/>
      <name val="Times New Roman"/>
      <family val="2"/>
    </font>
    <font>
      <sz val="10"/>
      <color rgb="FF0000FF"/>
      <name val="Times New Roman"/>
      <family val="2"/>
    </font>
    <font>
      <b/>
      <sz val="10"/>
      <name val="Times New Roman"/>
      <family val="2"/>
    </font>
    <font>
      <b/>
      <sz val="12"/>
      <name val="Times New Roman"/>
      <family val="2"/>
    </font>
    <font>
      <sz val="17"/>
      <color rgb="FFFFFFFF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b/>
      <sz val="9"/>
      <color rgb="FFFFFF00"/>
      <name val="Calibri"/>
      <family val="2"/>
    </font>
    <font>
      <sz val="10"/>
      <name val="Times New Roman"/>
      <family val="2"/>
    </font>
    <font>
      <b/>
      <sz val="9"/>
      <color rgb="FFFF0000"/>
      <name val="Calibri"/>
      <family val="2"/>
    </font>
    <font>
      <sz val="10"/>
      <color rgb="FFFF0000"/>
      <name val="Calibri"/>
      <family val="2"/>
    </font>
    <font>
      <sz val="12"/>
      <name val="Calibri"/>
      <family val="2"/>
    </font>
    <font>
      <u/>
      <sz val="11"/>
      <name val="Times New Roman"/>
      <family val="2"/>
    </font>
    <font>
      <u/>
      <sz val="18"/>
      <name val="Times New Roman"/>
      <family val="2"/>
    </font>
    <font>
      <sz val="9"/>
      <color rgb="FFFFFF00"/>
      <name val="Calibri"/>
      <family val="2"/>
    </font>
    <font>
      <vertAlign val="subscript"/>
      <sz val="12"/>
      <name val="Calibri"/>
      <family val="2"/>
    </font>
    <font>
      <sz val="12"/>
      <name val="Times New Roman"/>
      <family val="1"/>
    </font>
    <font>
      <sz val="10"/>
      <name val="Courier"/>
    </font>
    <font>
      <b/>
      <sz val="9"/>
      <color rgb="FFFFFFFF"/>
      <name val="Arial"/>
      <family val="2"/>
    </font>
    <font>
      <sz val="9"/>
      <name val="Arial"/>
      <family val="2"/>
    </font>
    <font>
      <sz val="11"/>
      <name val="Times New Roman"/>
      <family val="1"/>
    </font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0"/>
      <color theme="1"/>
      <name val="Arial"/>
    </font>
    <font>
      <sz val="10"/>
      <color rgb="FF800080"/>
      <name val="Arial"/>
    </font>
    <font>
      <sz val="10"/>
      <color rgb="FF0000FF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8"/>
      <color rgb="FF0000FF"/>
      <name val="Arial Narrow"/>
    </font>
    <font>
      <i/>
      <sz val="10"/>
      <color theme="1"/>
      <name val="Arial"/>
    </font>
    <font>
      <b/>
      <sz val="10"/>
      <color rgb="FFFF0000"/>
      <name val="Arial"/>
    </font>
    <font>
      <b/>
      <i/>
      <sz val="10"/>
      <color theme="1"/>
      <name val="Arial"/>
    </font>
    <font>
      <b/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DDD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rgb="FFFFFF99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22423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6224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22423"/>
      </bottom>
      <diagonal/>
    </border>
    <border>
      <left style="thin">
        <color indexed="64"/>
      </left>
      <right style="thin">
        <color indexed="64"/>
      </right>
      <top style="medium">
        <color rgb="FF622423"/>
      </top>
      <bottom style="thin">
        <color indexed="64"/>
      </bottom>
      <diagonal/>
    </border>
    <border>
      <left style="thin">
        <color rgb="FFC0504D"/>
      </left>
      <right/>
      <top style="thin">
        <color rgb="FFC0504D"/>
      </top>
      <bottom style="medium">
        <color rgb="FFC0504D"/>
      </bottom>
      <diagonal/>
    </border>
    <border>
      <left/>
      <right/>
      <top style="thin">
        <color rgb="FFC0504D"/>
      </top>
      <bottom style="medium">
        <color rgb="FFC0504D"/>
      </bottom>
      <diagonal/>
    </border>
    <border>
      <left/>
      <right style="thin">
        <color rgb="FFC0504D"/>
      </right>
      <top style="thin">
        <color rgb="FFC0504D"/>
      </top>
      <bottom style="medium">
        <color rgb="FFC0504D"/>
      </bottom>
      <diagonal/>
    </border>
    <border>
      <left style="thin">
        <color rgb="FFC0504D"/>
      </left>
      <right/>
      <top style="medium">
        <color rgb="FFC0504D"/>
      </top>
      <bottom style="thin">
        <color rgb="FFC0504D"/>
      </bottom>
      <diagonal/>
    </border>
    <border>
      <left/>
      <right/>
      <top style="medium">
        <color rgb="FFC0504D"/>
      </top>
      <bottom style="thin">
        <color rgb="FFC0504D"/>
      </bottom>
      <diagonal/>
    </border>
    <border>
      <left/>
      <right style="thin">
        <color rgb="FFC0504D"/>
      </right>
      <top style="medium">
        <color rgb="FFC0504D"/>
      </top>
      <bottom style="thin">
        <color rgb="FFC0504D"/>
      </bottom>
      <diagonal/>
    </border>
    <border>
      <left style="thin">
        <color rgb="FFC0504D"/>
      </left>
      <right/>
      <top style="thin">
        <color rgb="FFC0504D"/>
      </top>
      <bottom style="thin">
        <color rgb="FF622423"/>
      </bottom>
      <diagonal/>
    </border>
    <border>
      <left/>
      <right/>
      <top style="thin">
        <color rgb="FFC0504D"/>
      </top>
      <bottom style="thin">
        <color rgb="FF622423"/>
      </bottom>
      <diagonal/>
    </border>
    <border>
      <left style="thin">
        <color rgb="FFC0504D"/>
      </left>
      <right/>
      <top style="thin">
        <color rgb="FFC0504D"/>
      </top>
      <bottom style="thin">
        <color rgb="FFC0504D"/>
      </bottom>
      <diagonal/>
    </border>
    <border>
      <left/>
      <right/>
      <top style="thin">
        <color rgb="FFC0504D"/>
      </top>
      <bottom style="thin">
        <color rgb="FFC0504D"/>
      </bottom>
      <diagonal/>
    </border>
    <border>
      <left/>
      <right style="medium">
        <color rgb="FFD7E4BC"/>
      </right>
      <top/>
      <bottom/>
      <diagonal/>
    </border>
    <border>
      <left style="thin">
        <color indexed="64"/>
      </left>
      <right/>
      <top style="medium">
        <color rgb="FF622423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rgb="FFFFFFFF"/>
      </bottom>
      <diagonal/>
    </border>
    <border>
      <left/>
      <right/>
      <top style="thin">
        <color indexed="64"/>
      </top>
      <bottom style="thin">
        <color rgb="FFFFFFFF"/>
      </bottom>
      <diagonal/>
    </border>
    <border>
      <left style="thin">
        <color indexed="64"/>
      </left>
      <right/>
      <top style="thin">
        <color rgb="FFFFFFFF"/>
      </top>
      <bottom style="thin">
        <color indexed="64"/>
      </bottom>
      <diagonal/>
    </border>
    <border>
      <left/>
      <right/>
      <top style="thin">
        <color rgb="FFFFFFF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rgb="FF6224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D99795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rgb="FF622423"/>
      </bottom>
      <diagonal/>
    </border>
    <border>
      <left style="thin">
        <color indexed="64"/>
      </left>
      <right/>
      <top style="medium">
        <color rgb="FF622423"/>
      </top>
      <bottom/>
      <diagonal/>
    </border>
    <border>
      <left style="thin">
        <color indexed="64"/>
      </left>
      <right/>
      <top/>
      <bottom style="medium">
        <color rgb="FF622423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double">
        <color rgb="FF008000"/>
      </left>
      <right style="thin">
        <color rgb="FF000000"/>
      </right>
      <top style="double">
        <color rgb="FF008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8000"/>
      </top>
      <bottom style="thin">
        <color rgb="FF000000"/>
      </bottom>
      <diagonal/>
    </border>
    <border>
      <left style="thin">
        <color rgb="FF000000"/>
      </left>
      <right style="double">
        <color rgb="FF008000"/>
      </right>
      <top style="double">
        <color rgb="FF008000"/>
      </top>
      <bottom style="thin">
        <color rgb="FF000000"/>
      </bottom>
      <diagonal/>
    </border>
    <border>
      <left style="double">
        <color rgb="FF008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8000"/>
      </right>
      <top style="thin">
        <color rgb="FF000000"/>
      </top>
      <bottom style="thin">
        <color rgb="FF000000"/>
      </bottom>
      <diagonal/>
    </border>
    <border>
      <left style="double">
        <color rgb="FF008000"/>
      </left>
      <right style="thin">
        <color rgb="FF000000"/>
      </right>
      <top style="thin">
        <color rgb="FF000000"/>
      </top>
      <bottom style="double">
        <color rgb="FF008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8000"/>
      </bottom>
      <diagonal/>
    </border>
    <border>
      <left style="double">
        <color rgb="FFFF00FF"/>
      </left>
      <right style="double">
        <color rgb="FFFF00FF"/>
      </right>
      <top style="double">
        <color rgb="FFFF00FF"/>
      </top>
      <bottom style="thin">
        <color rgb="FF000000"/>
      </bottom>
      <diagonal/>
    </border>
    <border>
      <left style="double">
        <color rgb="FFFF00FF"/>
      </left>
      <right style="double">
        <color rgb="FFFF00FF"/>
      </right>
      <top style="thin">
        <color rgb="FF000000"/>
      </top>
      <bottom style="double">
        <color rgb="FFFF00FF"/>
      </bottom>
      <diagonal/>
    </border>
    <border>
      <left style="double">
        <color rgb="FFFF00FF"/>
      </left>
      <right style="thin">
        <color rgb="FF000000"/>
      </right>
      <top style="double">
        <color rgb="FFFF00FF"/>
      </top>
      <bottom style="thin">
        <color rgb="FF000000"/>
      </bottom>
      <diagonal/>
    </border>
    <border>
      <left style="thin">
        <color rgb="FF000000"/>
      </left>
      <right style="double">
        <color rgb="FFFF00FF"/>
      </right>
      <top style="double">
        <color rgb="FFFF00FF"/>
      </top>
      <bottom style="thin">
        <color rgb="FF000000"/>
      </bottom>
      <diagonal/>
    </border>
    <border>
      <left style="double">
        <color rgb="FFFF00FF"/>
      </left>
      <right style="thin">
        <color rgb="FF000000"/>
      </right>
      <top style="thin">
        <color rgb="FF000000"/>
      </top>
      <bottom style="double">
        <color rgb="FFFF00FF"/>
      </bottom>
      <diagonal/>
    </border>
    <border>
      <left style="thin">
        <color rgb="FF000000"/>
      </left>
      <right style="double">
        <color rgb="FFFF00FF"/>
      </right>
      <top style="thin">
        <color rgb="FF000000"/>
      </top>
      <bottom style="double">
        <color rgb="FFFF00FF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FF00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FF00FF"/>
      </bottom>
      <diagonal/>
    </border>
    <border>
      <left style="double">
        <color rgb="FFFF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FF00FF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C0504D"/>
      </top>
      <bottom/>
      <diagonal/>
    </border>
  </borders>
  <cellStyleXfs count="2">
    <xf numFmtId="0" fontId="0" fillId="0" borderId="0"/>
    <xf numFmtId="0" fontId="39" fillId="0" borderId="0"/>
  </cellStyleXfs>
  <cellXfs count="565"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10" fillId="3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right"/>
    </xf>
    <xf numFmtId="0" fontId="13" fillId="0" borderId="5" xfId="0" applyFont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8" fillId="0" borderId="0" xfId="0" applyFont="1" applyAlignment="1">
      <alignment horizontal="left" vertical="top"/>
    </xf>
    <xf numFmtId="0" fontId="8" fillId="0" borderId="7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0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9" xfId="0" applyFont="1" applyBorder="1" applyAlignment="1">
      <alignment horizontal="right"/>
    </xf>
    <xf numFmtId="0" fontId="7" fillId="0" borderId="9" xfId="0" applyFont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8" fillId="0" borderId="6" xfId="0" applyFont="1" applyBorder="1" applyAlignment="1">
      <alignment horizontal="left" vertical="center"/>
    </xf>
    <xf numFmtId="0" fontId="16" fillId="0" borderId="0" xfId="0" applyFont="1" applyAlignment="1">
      <alignment horizontal="left"/>
    </xf>
    <xf numFmtId="0" fontId="8" fillId="0" borderId="10" xfId="0" applyFont="1" applyBorder="1" applyAlignment="1">
      <alignment horizontal="left" vertical="top"/>
    </xf>
    <xf numFmtId="0" fontId="0" fillId="0" borderId="10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17" fillId="2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0" fillId="0" borderId="0" xfId="0" applyFont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0" fillId="7" borderId="8" xfId="0" applyFont="1" applyFill="1" applyBorder="1" applyAlignment="1">
      <alignment horizontal="left"/>
    </xf>
    <xf numFmtId="0" fontId="21" fillId="7" borderId="9" xfId="0" applyFont="1" applyFill="1" applyBorder="1" applyAlignment="1">
      <alignment horizontal="center"/>
    </xf>
    <xf numFmtId="0" fontId="21" fillId="7" borderId="9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7" fillId="8" borderId="9" xfId="0" applyFont="1" applyFill="1" applyBorder="1" applyAlignment="1">
      <alignment horizontal="left"/>
    </xf>
    <xf numFmtId="0" fontId="7" fillId="8" borderId="11" xfId="0" applyFont="1" applyFill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23" fillId="0" borderId="1" xfId="0" applyFont="1" applyBorder="1" applyAlignment="1">
      <alignment horizontal="right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5" fillId="2" borderId="12" xfId="0" applyFont="1" applyFill="1" applyBorder="1" applyAlignment="1">
      <alignment horizontal="left"/>
    </xf>
    <xf numFmtId="0" fontId="25" fillId="2" borderId="13" xfId="0" applyFont="1" applyFill="1" applyBorder="1" applyAlignment="1">
      <alignment horizontal="center"/>
    </xf>
    <xf numFmtId="0" fontId="7" fillId="0" borderId="15" xfId="0" applyFont="1" applyBorder="1" applyAlignment="1">
      <alignment horizontal="left"/>
    </xf>
    <xf numFmtId="0" fontId="7" fillId="0" borderId="18" xfId="0" applyFont="1" applyBorder="1" applyAlignment="1">
      <alignment horizontal="left" vertical="top"/>
    </xf>
    <xf numFmtId="0" fontId="7" fillId="0" borderId="20" xfId="0" applyFont="1" applyBorder="1" applyAlignment="1">
      <alignment horizontal="left"/>
    </xf>
    <xf numFmtId="0" fontId="0" fillId="13" borderId="8" xfId="0" applyFont="1" applyFill="1" applyBorder="1" applyAlignment="1">
      <alignment horizontal="left"/>
    </xf>
    <xf numFmtId="0" fontId="6" fillId="13" borderId="9" xfId="0" applyFont="1" applyFill="1" applyBorder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0" fontId="17" fillId="14" borderId="1" xfId="0" applyFont="1" applyFill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0" xfId="0" applyFont="1" applyBorder="1" applyAlignment="1">
      <alignment horizontal="left" vertical="center"/>
    </xf>
    <xf numFmtId="0" fontId="8" fillId="5" borderId="1" xfId="0" applyFont="1" applyFill="1" applyBorder="1" applyAlignment="1">
      <alignment horizontal="left"/>
    </xf>
    <xf numFmtId="0" fontId="0" fillId="0" borderId="24" xfId="0" applyFont="1" applyBorder="1" applyAlignment="1">
      <alignment horizontal="left"/>
    </xf>
    <xf numFmtId="0" fontId="0" fillId="0" borderId="25" xfId="0" applyFont="1" applyBorder="1" applyAlignment="1">
      <alignment horizontal="left"/>
    </xf>
    <xf numFmtId="0" fontId="27" fillId="5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left"/>
    </xf>
    <xf numFmtId="0" fontId="6" fillId="15" borderId="1" xfId="0" applyFont="1" applyFill="1" applyBorder="1" applyAlignment="1">
      <alignment horizontal="center"/>
    </xf>
    <xf numFmtId="0" fontId="27" fillId="5" borderId="26" xfId="0" applyFont="1" applyFill="1" applyBorder="1" applyAlignment="1">
      <alignment horizontal="center"/>
    </xf>
    <xf numFmtId="0" fontId="27" fillId="5" borderId="27" xfId="0" applyFont="1" applyFill="1" applyBorder="1" applyAlignment="1">
      <alignment horizontal="center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27" fillId="5" borderId="1" xfId="0" applyFont="1" applyFill="1" applyBorder="1" applyAlignment="1">
      <alignment horizontal="left"/>
    </xf>
    <xf numFmtId="0" fontId="27" fillId="5" borderId="26" xfId="0" applyFont="1" applyFill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5" fillId="16" borderId="1" xfId="0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0" fontId="8" fillId="16" borderId="1" xfId="0" applyFont="1" applyFill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6" fillId="17" borderId="1" xfId="0" applyFont="1" applyFill="1" applyBorder="1" applyAlignment="1">
      <alignment horizontal="center"/>
    </xf>
    <xf numFmtId="4" fontId="7" fillId="0" borderId="1" xfId="0" applyNumberFormat="1" applyFont="1" applyBorder="1" applyAlignment="1">
      <alignment horizontal="center"/>
    </xf>
    <xf numFmtId="0" fontId="0" fillId="0" borderId="29" xfId="0" applyFont="1" applyBorder="1" applyAlignment="1">
      <alignment horizontal="left"/>
    </xf>
    <xf numFmtId="0" fontId="0" fillId="0" borderId="30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7" fillId="0" borderId="32" xfId="0" applyFont="1" applyBorder="1" applyAlignment="1">
      <alignment horizontal="right"/>
    </xf>
    <xf numFmtId="0" fontId="0" fillId="0" borderId="32" xfId="0" applyFont="1" applyBorder="1" applyAlignment="1">
      <alignment horizontal="left"/>
    </xf>
    <xf numFmtId="0" fontId="6" fillId="18" borderId="1" xfId="0" applyFont="1" applyFill="1" applyBorder="1" applyAlignment="1">
      <alignment horizontal="center"/>
    </xf>
    <xf numFmtId="0" fontId="0" fillId="0" borderId="33" xfId="0" applyFont="1" applyBorder="1" applyAlignment="1">
      <alignment horizontal="left"/>
    </xf>
    <xf numFmtId="0" fontId="0" fillId="0" borderId="34" xfId="0" applyFont="1" applyBorder="1" applyAlignment="1">
      <alignment horizontal="left"/>
    </xf>
    <xf numFmtId="0" fontId="0" fillId="0" borderId="35" xfId="0" applyFont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6" fillId="17" borderId="1" xfId="0" applyFont="1" applyFill="1" applyBorder="1" applyAlignment="1">
      <alignment horizontal="center" wrapText="1"/>
    </xf>
    <xf numFmtId="0" fontId="6" fillId="17" borderId="1" xfId="0" applyFont="1" applyFill="1" applyBorder="1" applyAlignment="1">
      <alignment horizontal="center" vertical="center"/>
    </xf>
    <xf numFmtId="0" fontId="0" fillId="19" borderId="3" xfId="0" applyFont="1" applyFill="1" applyBorder="1" applyAlignment="1">
      <alignment horizontal="left"/>
    </xf>
    <xf numFmtId="0" fontId="0" fillId="19" borderId="4" xfId="0" applyFont="1" applyFill="1" applyBorder="1" applyAlignment="1">
      <alignment horizontal="left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10" xfId="0" applyFont="1" applyBorder="1" applyAlignment="1">
      <alignment horizontal="left" vertical="top" wrapText="1"/>
    </xf>
    <xf numFmtId="0" fontId="27" fillId="0" borderId="0" xfId="0" applyFont="1" applyAlignment="1">
      <alignment horizontal="left"/>
    </xf>
    <xf numFmtId="0" fontId="8" fillId="2" borderId="8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left"/>
    </xf>
    <xf numFmtId="0" fontId="8" fillId="2" borderId="9" xfId="0" applyFont="1" applyFill="1" applyBorder="1" applyAlignment="1">
      <alignment horizontal="center"/>
    </xf>
    <xf numFmtId="0" fontId="7" fillId="20" borderId="1" xfId="0" applyFont="1" applyFill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7" fillId="0" borderId="11" xfId="0" applyFont="1" applyBorder="1" applyAlignment="1">
      <alignment horizontal="right"/>
    </xf>
    <xf numFmtId="0" fontId="6" fillId="17" borderId="11" xfId="0" applyFont="1" applyFill="1" applyBorder="1" applyAlignment="1">
      <alignment horizontal="center"/>
    </xf>
    <xf numFmtId="0" fontId="0" fillId="0" borderId="37" xfId="0" applyFont="1" applyBorder="1" applyAlignment="1">
      <alignment horizontal="left"/>
    </xf>
    <xf numFmtId="0" fontId="0" fillId="0" borderId="38" xfId="0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0" fillId="16" borderId="2" xfId="0" applyFont="1" applyFill="1" applyBorder="1" applyAlignment="1">
      <alignment horizontal="left"/>
    </xf>
    <xf numFmtId="0" fontId="24" fillId="16" borderId="4" xfId="0" applyFont="1" applyFill="1" applyBorder="1" applyAlignment="1">
      <alignment horizontal="left"/>
    </xf>
    <xf numFmtId="0" fontId="24" fillId="16" borderId="1" xfId="0" applyFont="1" applyFill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23" fillId="0" borderId="11" xfId="0" applyFont="1" applyBorder="1" applyAlignment="1">
      <alignment horizontal="right"/>
    </xf>
    <xf numFmtId="0" fontId="0" fillId="18" borderId="33" xfId="0" applyFont="1" applyFill="1" applyBorder="1" applyAlignment="1">
      <alignment horizontal="left"/>
    </xf>
    <xf numFmtId="0" fontId="0" fillId="18" borderId="24" xfId="0" applyFont="1" applyFill="1" applyBorder="1" applyAlignment="1">
      <alignment horizontal="left"/>
    </xf>
    <xf numFmtId="0" fontId="6" fillId="18" borderId="8" xfId="0" applyFont="1" applyFill="1" applyBorder="1" applyAlignment="1">
      <alignment horizontal="center"/>
    </xf>
    <xf numFmtId="0" fontId="6" fillId="18" borderId="37" xfId="0" applyFont="1" applyFill="1" applyBorder="1" applyAlignment="1">
      <alignment horizontal="left"/>
    </xf>
    <xf numFmtId="0" fontId="6" fillId="18" borderId="39" xfId="0" applyFont="1" applyFill="1" applyBorder="1" applyAlignment="1">
      <alignment horizontal="left"/>
    </xf>
    <xf numFmtId="0" fontId="6" fillId="18" borderId="9" xfId="0" applyFont="1" applyFill="1" applyBorder="1" applyAlignment="1">
      <alignment horizontal="center" vertical="top" wrapText="1"/>
    </xf>
    <xf numFmtId="0" fontId="0" fillId="18" borderId="34" xfId="0" applyFont="1" applyFill="1" applyBorder="1" applyAlignment="1">
      <alignment horizontal="left"/>
    </xf>
    <xf numFmtId="0" fontId="0" fillId="18" borderId="25" xfId="0" applyFont="1" applyFill="1" applyBorder="1" applyAlignment="1">
      <alignment horizontal="left"/>
    </xf>
    <xf numFmtId="0" fontId="0" fillId="0" borderId="40" xfId="0" applyFont="1" applyBorder="1" applyAlignment="1">
      <alignment horizontal="left"/>
    </xf>
    <xf numFmtId="0" fontId="6" fillId="18" borderId="40" xfId="0" applyFont="1" applyFill="1" applyBorder="1" applyAlignment="1">
      <alignment horizontal="center"/>
    </xf>
    <xf numFmtId="0" fontId="6" fillId="18" borderId="34" xfId="0" applyFont="1" applyFill="1" applyBorder="1" applyAlignment="1">
      <alignment horizontal="left" vertical="top"/>
    </xf>
    <xf numFmtId="0" fontId="6" fillId="18" borderId="25" xfId="0" applyFont="1" applyFill="1" applyBorder="1" applyAlignment="1">
      <alignment horizontal="left" vertical="top"/>
    </xf>
    <xf numFmtId="0" fontId="6" fillId="18" borderId="40" xfId="0" applyFont="1" applyFill="1" applyBorder="1" applyAlignment="1">
      <alignment horizontal="center" vertical="top" wrapText="1"/>
    </xf>
    <xf numFmtId="0" fontId="0" fillId="18" borderId="37" xfId="0" applyFont="1" applyFill="1" applyBorder="1" applyAlignment="1">
      <alignment horizontal="left"/>
    </xf>
    <xf numFmtId="0" fontId="0" fillId="18" borderId="39" xfId="0" applyFont="1" applyFill="1" applyBorder="1" applyAlignment="1">
      <alignment horizontal="left"/>
    </xf>
    <xf numFmtId="0" fontId="6" fillId="18" borderId="40" xfId="0" applyFont="1" applyFill="1" applyBorder="1" applyAlignment="1">
      <alignment horizontal="center" vertical="top"/>
    </xf>
    <xf numFmtId="0" fontId="30" fillId="0" borderId="8" xfId="0" applyFont="1" applyBorder="1" applyAlignment="1">
      <alignment horizontal="center"/>
    </xf>
    <xf numFmtId="0" fontId="31" fillId="0" borderId="0" xfId="0" applyFont="1" applyAlignment="1">
      <alignment horizontal="left"/>
    </xf>
    <xf numFmtId="0" fontId="32" fillId="18" borderId="1" xfId="0" applyFont="1" applyFill="1" applyBorder="1" applyAlignment="1">
      <alignment horizontal="left"/>
    </xf>
    <xf numFmtId="0" fontId="32" fillId="18" borderId="1" xfId="0" applyFont="1" applyFill="1" applyBorder="1" applyAlignment="1">
      <alignment horizontal="center"/>
    </xf>
    <xf numFmtId="0" fontId="32" fillId="18" borderId="1" xfId="0" applyFont="1" applyFill="1" applyBorder="1" applyAlignment="1">
      <alignment horizontal="right"/>
    </xf>
    <xf numFmtId="0" fontId="25" fillId="18" borderId="1" xfId="0" applyFont="1" applyFill="1" applyBorder="1" applyAlignment="1">
      <alignment horizontal="left"/>
    </xf>
    <xf numFmtId="0" fontId="26" fillId="0" borderId="1" xfId="0" applyFont="1" applyBorder="1" applyAlignment="1">
      <alignment horizontal="right"/>
    </xf>
    <xf numFmtId="0" fontId="19" fillId="0" borderId="34" xfId="0" applyFont="1" applyBorder="1" applyAlignment="1">
      <alignment horizontal="left"/>
    </xf>
    <xf numFmtId="0" fontId="19" fillId="0" borderId="41" xfId="0" applyFont="1" applyBorder="1" applyAlignment="1">
      <alignment horizontal="left"/>
    </xf>
    <xf numFmtId="0" fontId="18" fillId="0" borderId="11" xfId="0" applyFont="1" applyBorder="1" applyAlignment="1">
      <alignment horizontal="center"/>
    </xf>
    <xf numFmtId="0" fontId="19" fillId="0" borderId="42" xfId="0" applyFont="1" applyBorder="1" applyAlignment="1">
      <alignment horizontal="left"/>
    </xf>
    <xf numFmtId="0" fontId="19" fillId="0" borderId="37" xfId="0" applyFont="1" applyBorder="1" applyAlignment="1">
      <alignment horizontal="left" vertical="top"/>
    </xf>
    <xf numFmtId="0" fontId="19" fillId="0" borderId="41" xfId="0" applyFont="1" applyBorder="1" applyAlignment="1">
      <alignment horizontal="left" vertical="top"/>
    </xf>
    <xf numFmtId="0" fontId="8" fillId="5" borderId="0" xfId="0" applyFont="1" applyFill="1" applyAlignment="1">
      <alignment horizontal="left"/>
    </xf>
    <xf numFmtId="0" fontId="26" fillId="0" borderId="1" xfId="0" applyFont="1" applyBorder="1" applyAlignment="1">
      <alignment horizontal="center" wrapText="1"/>
    </xf>
    <xf numFmtId="0" fontId="20" fillId="5" borderId="0" xfId="0" applyFont="1" applyFill="1" applyAlignment="1">
      <alignment horizontal="left"/>
    </xf>
    <xf numFmtId="0" fontId="26" fillId="0" borderId="3" xfId="0" applyFont="1" applyBorder="1" applyAlignment="1">
      <alignment horizontal="left"/>
    </xf>
    <xf numFmtId="0" fontId="18" fillId="0" borderId="4" xfId="0" applyFont="1" applyBorder="1" applyAlignment="1">
      <alignment horizontal="center"/>
    </xf>
    <xf numFmtId="0" fontId="26" fillId="0" borderId="8" xfId="0" applyFont="1" applyBorder="1" applyAlignment="1">
      <alignment horizontal="center"/>
    </xf>
    <xf numFmtId="0" fontId="26" fillId="0" borderId="9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14" fillId="0" borderId="5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0" fillId="0" borderId="6" xfId="0" applyFont="1" applyBorder="1" applyAlignment="1">
      <alignment horizontal="left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top"/>
    </xf>
    <xf numFmtId="0" fontId="0" fillId="0" borderId="10" xfId="0" applyFont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25" fillId="2" borderId="13" xfId="0" applyFont="1" applyFill="1" applyBorder="1" applyAlignment="1">
      <alignment horizontal="left"/>
    </xf>
    <xf numFmtId="0" fontId="8" fillId="12" borderId="0" xfId="0" applyFont="1" applyFill="1" applyAlignment="1">
      <alignment horizontal="left"/>
    </xf>
    <xf numFmtId="166" fontId="7" fillId="0" borderId="0" xfId="0" applyNumberFormat="1" applyFont="1" applyAlignment="1">
      <alignment horizontal="left"/>
    </xf>
    <xf numFmtId="0" fontId="7" fillId="8" borderId="0" xfId="0" applyFont="1" applyFill="1" applyAlignment="1">
      <alignment horizontal="left"/>
    </xf>
    <xf numFmtId="0" fontId="20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164" fontId="7" fillId="5" borderId="1" xfId="0" applyNumberFormat="1" applyFont="1" applyFill="1" applyBorder="1" applyAlignment="1">
      <alignment horizontal="center"/>
    </xf>
    <xf numFmtId="0" fontId="0" fillId="5" borderId="0" xfId="0" applyFont="1" applyFill="1" applyAlignment="1">
      <alignment horizontal="left"/>
    </xf>
    <xf numFmtId="0" fontId="8" fillId="5" borderId="0" xfId="0" applyFont="1" applyFill="1" applyAlignment="1">
      <alignment horizontal="left" vertical="center"/>
    </xf>
    <xf numFmtId="0" fontId="11" fillId="5" borderId="1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2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10" fillId="3" borderId="2" xfId="0" applyFont="1" applyFill="1" applyBorder="1" applyAlignment="1"/>
    <xf numFmtId="0" fontId="8" fillId="0" borderId="0" xfId="0" applyFont="1" applyAlignment="1">
      <alignment vertical="center"/>
    </xf>
    <xf numFmtId="0" fontId="0" fillId="0" borderId="0" xfId="0" applyFont="1" applyAlignment="1"/>
    <xf numFmtId="0" fontId="11" fillId="5" borderId="2" xfId="0" applyFont="1" applyFill="1" applyBorder="1" applyAlignment="1"/>
    <xf numFmtId="0" fontId="7" fillId="0" borderId="0" xfId="0" applyFont="1" applyAlignment="1"/>
    <xf numFmtId="0" fontId="0" fillId="0" borderId="6" xfId="0" applyFont="1" applyBorder="1" applyAlignment="1"/>
    <xf numFmtId="0" fontId="7" fillId="0" borderId="0" xfId="0" applyFont="1" applyBorder="1" applyAlignment="1">
      <alignment horizontal="right"/>
    </xf>
    <xf numFmtId="0" fontId="0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8" fillId="0" borderId="0" xfId="0" applyFont="1" applyBorder="1" applyAlignment="1">
      <alignment horizontal="left"/>
    </xf>
    <xf numFmtId="0" fontId="0" fillId="0" borderId="0" xfId="0" applyFont="1" applyBorder="1" applyAlignment="1"/>
    <xf numFmtId="0" fontId="8" fillId="5" borderId="0" xfId="0" applyFont="1" applyFill="1" applyBorder="1" applyAlignment="1">
      <alignment horizontal="left"/>
    </xf>
    <xf numFmtId="165" fontId="7" fillId="5" borderId="1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5" borderId="1" xfId="0" applyFont="1" applyFill="1" applyBorder="1" applyAlignment="1">
      <alignment horizontal="left"/>
    </xf>
    <xf numFmtId="4" fontId="7" fillId="0" borderId="2" xfId="0" applyNumberFormat="1" applyFont="1" applyBorder="1" applyAlignment="1"/>
    <xf numFmtId="0" fontId="0" fillId="0" borderId="4" xfId="0" applyFont="1" applyBorder="1" applyAlignment="1"/>
    <xf numFmtId="4" fontId="7" fillId="6" borderId="2" xfId="0" applyNumberFormat="1" applyFont="1" applyFill="1" applyBorder="1" applyAlignment="1"/>
    <xf numFmtId="0" fontId="8" fillId="5" borderId="2" xfId="0" applyFont="1" applyFill="1" applyBorder="1" applyAlignment="1"/>
    <xf numFmtId="0" fontId="0" fillId="0" borderId="7" xfId="0" applyFont="1" applyBorder="1" applyAlignment="1"/>
    <xf numFmtId="0" fontId="7" fillId="0" borderId="0" xfId="0" applyFont="1" applyAlignment="1">
      <alignment vertical="center"/>
    </xf>
    <xf numFmtId="17" fontId="0" fillId="0" borderId="0" xfId="0" quotePrefix="1" applyNumberFormat="1" applyFont="1" applyAlignment="1">
      <alignment horizontal="left"/>
    </xf>
    <xf numFmtId="0" fontId="8" fillId="0" borderId="0" xfId="0" applyFont="1" applyBorder="1" applyAlignment="1">
      <alignment horizontal="left" vertical="center"/>
    </xf>
    <xf numFmtId="0" fontId="8" fillId="5" borderId="0" xfId="0" applyFont="1" applyFill="1" applyBorder="1" applyAlignment="1">
      <alignment horizontal="left" vertical="center"/>
    </xf>
    <xf numFmtId="0" fontId="8" fillId="0" borderId="0" xfId="0" applyFont="1" applyAlignment="1"/>
    <xf numFmtId="0" fontId="8" fillId="5" borderId="0" xfId="0" applyFont="1" applyFill="1" applyAlignment="1">
      <alignment horizontal="left" vertical="top"/>
    </xf>
    <xf numFmtId="0" fontId="6" fillId="2" borderId="8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167" fontId="7" fillId="0" borderId="1" xfId="0" applyNumberFormat="1" applyFont="1" applyBorder="1" applyAlignment="1">
      <alignment horizontal="center"/>
    </xf>
    <xf numFmtId="0" fontId="20" fillId="5" borderId="0" xfId="0" applyFont="1" applyFill="1" applyAlignment="1">
      <alignment horizontal="left" vertical="center"/>
    </xf>
    <xf numFmtId="0" fontId="7" fillId="5" borderId="1" xfId="0" applyFont="1" applyFill="1" applyBorder="1" applyAlignment="1">
      <alignment horizontal="left"/>
    </xf>
    <xf numFmtId="0" fontId="0" fillId="21" borderId="8" xfId="0" applyFont="1" applyFill="1" applyBorder="1" applyAlignment="1">
      <alignment horizontal="left"/>
    </xf>
    <xf numFmtId="0" fontId="21" fillId="21" borderId="8" xfId="0" applyFont="1" applyFill="1" applyBorder="1" applyAlignment="1">
      <alignment horizontal="center"/>
    </xf>
    <xf numFmtId="0" fontId="21" fillId="21" borderId="9" xfId="0" applyFont="1" applyFill="1" applyBorder="1" applyAlignment="1">
      <alignment horizontal="center"/>
    </xf>
    <xf numFmtId="0" fontId="1" fillId="0" borderId="0" xfId="0" applyFont="1" applyAlignment="1"/>
    <xf numFmtId="0" fontId="3" fillId="0" borderId="0" xfId="0" applyFont="1" applyAlignment="1"/>
    <xf numFmtId="0" fontId="9" fillId="0" borderId="0" xfId="0" applyFont="1" applyAlignment="1"/>
    <xf numFmtId="0" fontId="22" fillId="9" borderId="0" xfId="0" applyFont="1" applyFill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166" fontId="23" fillId="0" borderId="2" xfId="0" applyNumberFormat="1" applyFont="1" applyBorder="1" applyAlignment="1"/>
    <xf numFmtId="0" fontId="16" fillId="0" borderId="0" xfId="0" applyFont="1" applyAlignment="1"/>
    <xf numFmtId="0" fontId="16" fillId="0" borderId="0" xfId="0" applyFont="1" applyAlignment="1">
      <alignment vertical="center"/>
    </xf>
    <xf numFmtId="0" fontId="25" fillId="2" borderId="13" xfId="0" applyFont="1" applyFill="1" applyBorder="1" applyAlignment="1"/>
    <xf numFmtId="0" fontId="0" fillId="0" borderId="14" xfId="0" applyFont="1" applyBorder="1" applyAlignment="1"/>
    <xf numFmtId="0" fontId="0" fillId="0" borderId="17" xfId="0" applyFont="1" applyBorder="1" applyAlignment="1"/>
    <xf numFmtId="166" fontId="7" fillId="0" borderId="16" xfId="0" applyNumberFormat="1" applyFont="1" applyBorder="1" applyAlignment="1">
      <alignment horizontal="right"/>
    </xf>
    <xf numFmtId="166" fontId="7" fillId="0" borderId="19" xfId="0" applyNumberFormat="1" applyFont="1" applyBorder="1" applyAlignment="1">
      <alignment horizontal="right" vertical="top"/>
    </xf>
    <xf numFmtId="166" fontId="7" fillId="0" borderId="21" xfId="0" applyNumberFormat="1" applyFont="1" applyBorder="1" applyAlignment="1">
      <alignment horizontal="right"/>
    </xf>
    <xf numFmtId="166" fontId="7" fillId="0" borderId="0" xfId="0" applyNumberFormat="1" applyFont="1" applyBorder="1" applyAlignment="1">
      <alignment horizontal="right"/>
    </xf>
    <xf numFmtId="0" fontId="7" fillId="5" borderId="1" xfId="0" applyFont="1" applyFill="1" applyBorder="1" applyAlignment="1">
      <alignment horizontal="left" vertical="center"/>
    </xf>
    <xf numFmtId="0" fontId="7" fillId="18" borderId="1" xfId="0" applyFont="1" applyFill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3" fillId="0" borderId="0" xfId="0" applyFont="1" applyBorder="1" applyAlignment="1">
      <alignment horizontal="left"/>
    </xf>
    <xf numFmtId="0" fontId="23" fillId="0" borderId="0" xfId="0" applyFont="1" applyBorder="1" applyAlignment="1">
      <alignment horizontal="right"/>
    </xf>
    <xf numFmtId="166" fontId="23" fillId="0" borderId="0" xfId="0" applyNumberFormat="1" applyFont="1" applyBorder="1" applyAlignment="1"/>
    <xf numFmtId="0" fontId="24" fillId="5" borderId="0" xfId="0" applyFont="1" applyFill="1" applyAlignment="1">
      <alignment horizontal="left"/>
    </xf>
    <xf numFmtId="0" fontId="7" fillId="5" borderId="1" xfId="0" applyFont="1" applyFill="1" applyBorder="1" applyAlignment="1">
      <alignment vertical="center"/>
    </xf>
    <xf numFmtId="2" fontId="0" fillId="0" borderId="0" xfId="0" applyNumberFormat="1" applyFont="1" applyAlignment="1">
      <alignment horizontal="left"/>
    </xf>
    <xf numFmtId="0" fontId="7" fillId="8" borderId="0" xfId="0" applyFont="1" applyFill="1" applyBorder="1" applyAlignment="1">
      <alignment horizontal="left"/>
    </xf>
    <xf numFmtId="2" fontId="7" fillId="0" borderId="0" xfId="0" applyNumberFormat="1" applyFont="1" applyBorder="1" applyAlignment="1">
      <alignment horizontal="right"/>
    </xf>
    <xf numFmtId="0" fontId="7" fillId="5" borderId="0" xfId="0" applyFont="1" applyFill="1" applyAlignment="1">
      <alignment horizontal="left"/>
    </xf>
    <xf numFmtId="0" fontId="36" fillId="13" borderId="9" xfId="0" applyFont="1" applyFill="1" applyBorder="1" applyAlignment="1">
      <alignment horizontal="left"/>
    </xf>
    <xf numFmtId="0" fontId="36" fillId="13" borderId="9" xfId="0" applyFont="1" applyFill="1" applyBorder="1" applyAlignment="1">
      <alignment horizontal="center"/>
    </xf>
    <xf numFmtId="0" fontId="37" fillId="8" borderId="1" xfId="0" applyFont="1" applyFill="1" applyBorder="1" applyAlignment="1">
      <alignment horizontal="left"/>
    </xf>
    <xf numFmtId="168" fontId="37" fillId="0" borderId="1" xfId="0" applyNumberFormat="1" applyFont="1" applyBorder="1" applyAlignment="1">
      <alignment horizontal="right"/>
    </xf>
    <xf numFmtId="2" fontId="26" fillId="0" borderId="1" xfId="0" applyNumberFormat="1" applyFont="1" applyBorder="1" applyAlignment="1">
      <alignment horizontal="center"/>
    </xf>
    <xf numFmtId="2" fontId="26" fillId="0" borderId="2" xfId="0" applyNumberFormat="1" applyFont="1" applyBorder="1" applyAlignment="1"/>
    <xf numFmtId="0" fontId="0" fillId="0" borderId="0" xfId="0" pivotButton="1" applyFont="1" applyAlignment="1">
      <alignment horizontal="left"/>
    </xf>
    <xf numFmtId="0" fontId="0" fillId="0" borderId="0" xfId="0" applyNumberFormat="1" applyFont="1" applyAlignment="1">
      <alignment horizontal="left"/>
    </xf>
    <xf numFmtId="2" fontId="0" fillId="0" borderId="0" xfId="0" pivotButton="1" applyNumberFormat="1" applyFont="1" applyAlignment="1">
      <alignment horizontal="left"/>
    </xf>
    <xf numFmtId="0" fontId="0" fillId="0" borderId="0" xfId="0" applyFont="1" applyAlignment="1">
      <alignment horizontal="left" indent="1"/>
    </xf>
    <xf numFmtId="3" fontId="7" fillId="0" borderId="1" xfId="0" applyNumberFormat="1" applyFont="1" applyBorder="1" applyAlignment="1">
      <alignment horizontal="right"/>
    </xf>
    <xf numFmtId="0" fontId="16" fillId="5" borderId="0" xfId="0" applyFont="1" applyFill="1" applyAlignment="1">
      <alignment horizontal="left" vertical="top"/>
    </xf>
    <xf numFmtId="0" fontId="7" fillId="5" borderId="26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5" borderId="6" xfId="0" applyFont="1" applyFill="1" applyBorder="1" applyAlignment="1">
      <alignment horizontal="right"/>
    </xf>
    <xf numFmtId="0" fontId="28" fillId="0" borderId="0" xfId="0" applyFont="1" applyBorder="1" applyAlignment="1">
      <alignment horizontal="right"/>
    </xf>
    <xf numFmtId="0" fontId="28" fillId="5" borderId="0" xfId="0" applyFont="1" applyFill="1" applyAlignment="1">
      <alignment horizontal="right"/>
    </xf>
    <xf numFmtId="0" fontId="0" fillId="0" borderId="0" xfId="0" applyFont="1" applyAlignment="1">
      <alignment horizontal="left"/>
    </xf>
    <xf numFmtId="165" fontId="7" fillId="5" borderId="2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4" fontId="7" fillId="5" borderId="1" xfId="0" applyNumberFormat="1" applyFont="1" applyFill="1" applyBorder="1" applyAlignment="1">
      <alignment horizontal="center"/>
    </xf>
    <xf numFmtId="0" fontId="7" fillId="0" borderId="2" xfId="0" applyFont="1" applyBorder="1" applyAlignment="1"/>
    <xf numFmtId="0" fontId="29" fillId="0" borderId="0" xfId="0" applyFont="1" applyBorder="1" applyAlignment="1">
      <alignment horizontal="center"/>
    </xf>
    <xf numFmtId="1" fontId="7" fillId="0" borderId="2" xfId="0" applyNumberFormat="1" applyFont="1" applyBorder="1" applyAlignment="1"/>
    <xf numFmtId="0" fontId="7" fillId="0" borderId="43" xfId="0" applyFont="1" applyBorder="1" applyAlignment="1"/>
    <xf numFmtId="0" fontId="8" fillId="16" borderId="34" xfId="0" applyFont="1" applyFill="1" applyBorder="1" applyAlignment="1"/>
    <xf numFmtId="1" fontId="7" fillId="0" borderId="23" xfId="0" applyNumberFormat="1" applyFont="1" applyBorder="1" applyAlignment="1"/>
    <xf numFmtId="0" fontId="7" fillId="0" borderId="23" xfId="0" applyFont="1" applyBorder="1" applyAlignment="1"/>
    <xf numFmtId="0" fontId="7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6" xfId="0" applyFont="1" applyBorder="1" applyAlignment="1">
      <alignment horizontal="left"/>
    </xf>
    <xf numFmtId="0" fontId="19" fillId="0" borderId="34" xfId="0" applyFont="1" applyBorder="1" applyAlignment="1">
      <alignment horizontal="left"/>
    </xf>
    <xf numFmtId="0" fontId="6" fillId="22" borderId="1" xfId="0" applyFont="1" applyFill="1" applyBorder="1" applyAlignment="1">
      <alignment horizontal="center"/>
    </xf>
    <xf numFmtId="0" fontId="6" fillId="23" borderId="1" xfId="0" applyFont="1" applyFill="1" applyBorder="1" applyAlignment="1">
      <alignment horizontal="center"/>
    </xf>
    <xf numFmtId="0" fontId="23" fillId="0" borderId="2" xfId="0" applyFont="1" applyBorder="1" applyAlignment="1"/>
    <xf numFmtId="0" fontId="24" fillId="16" borderId="3" xfId="0" applyFont="1" applyFill="1" applyBorder="1" applyAlignment="1"/>
    <xf numFmtId="0" fontId="24" fillId="16" borderId="2" xfId="0" applyFont="1" applyFill="1" applyBorder="1" applyAlignment="1"/>
    <xf numFmtId="0" fontId="23" fillId="5" borderId="1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0" fillId="24" borderId="33" xfId="0" applyFont="1" applyFill="1" applyBorder="1" applyAlignment="1"/>
    <xf numFmtId="0" fontId="0" fillId="24" borderId="6" xfId="0" applyFont="1" applyFill="1" applyBorder="1" applyAlignment="1"/>
    <xf numFmtId="0" fontId="0" fillId="24" borderId="24" xfId="0" applyFont="1" applyFill="1" applyBorder="1" applyAlignment="1"/>
    <xf numFmtId="0" fontId="0" fillId="24" borderId="34" xfId="0" applyFont="1" applyFill="1" applyBorder="1" applyAlignment="1"/>
    <xf numFmtId="0" fontId="0" fillId="24" borderId="0" xfId="0" applyFont="1" applyFill="1" applyBorder="1" applyAlignment="1"/>
    <xf numFmtId="0" fontId="0" fillId="24" borderId="25" xfId="0" applyFont="1" applyFill="1" applyBorder="1" applyAlignment="1"/>
    <xf numFmtId="0" fontId="0" fillId="24" borderId="37" xfId="0" applyFont="1" applyFill="1" applyBorder="1" applyAlignment="1"/>
    <xf numFmtId="0" fontId="0" fillId="24" borderId="38" xfId="0" applyFont="1" applyFill="1" applyBorder="1" applyAlignment="1"/>
    <xf numFmtId="0" fontId="0" fillId="24" borderId="39" xfId="0" applyFont="1" applyFill="1" applyBorder="1" applyAlignment="1"/>
    <xf numFmtId="0" fontId="0" fillId="5" borderId="40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34" xfId="0" applyFont="1" applyBorder="1" applyAlignment="1">
      <alignment horizontal="left"/>
    </xf>
    <xf numFmtId="3" fontId="18" fillId="0" borderId="1" xfId="0" applyNumberFormat="1" applyFont="1" applyBorder="1" applyAlignment="1">
      <alignment horizontal="center"/>
    </xf>
    <xf numFmtId="3" fontId="19" fillId="5" borderId="1" xfId="0" applyNumberFormat="1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5" borderId="11" xfId="0" applyFont="1" applyFill="1" applyBorder="1" applyAlignment="1">
      <alignment horizontal="center"/>
    </xf>
    <xf numFmtId="0" fontId="39" fillId="0" borderId="0" xfId="1" applyFont="1" applyAlignment="1"/>
    <xf numFmtId="0" fontId="39" fillId="0" borderId="0" xfId="1" applyFont="1"/>
    <xf numFmtId="0" fontId="43" fillId="0" borderId="45" xfId="1" applyFont="1" applyBorder="1" applyAlignment="1">
      <alignment horizontal="center"/>
    </xf>
    <xf numFmtId="15" fontId="44" fillId="0" borderId="45" xfId="1" applyNumberFormat="1" applyFont="1" applyBorder="1" applyAlignment="1">
      <alignment horizontal="center"/>
    </xf>
    <xf numFmtId="0" fontId="45" fillId="0" borderId="0" xfId="1" applyFont="1" applyAlignment="1"/>
    <xf numFmtId="0" fontId="45" fillId="5" borderId="45" xfId="1" applyFont="1" applyFill="1" applyBorder="1" applyAlignment="1">
      <alignment horizontal="center"/>
    </xf>
    <xf numFmtId="0" fontId="39" fillId="0" borderId="0" xfId="1" applyFont="1" applyAlignment="1"/>
    <xf numFmtId="0" fontId="39" fillId="0" borderId="0" xfId="1" applyFont="1"/>
    <xf numFmtId="0" fontId="45" fillId="0" borderId="0" xfId="1" applyFont="1" applyAlignment="1"/>
    <xf numFmtId="0" fontId="43" fillId="0" borderId="45" xfId="1" applyFont="1" applyBorder="1" applyAlignment="1"/>
    <xf numFmtId="15" fontId="44" fillId="0" borderId="45" xfId="1" applyNumberFormat="1" applyFont="1" applyBorder="1" applyAlignment="1"/>
    <xf numFmtId="0" fontId="43" fillId="0" borderId="0" xfId="1" applyFont="1"/>
    <xf numFmtId="0" fontId="48" fillId="0" borderId="0" xfId="1" applyFont="1" applyAlignment="1"/>
    <xf numFmtId="0" fontId="39" fillId="0" borderId="0" xfId="1" applyFont="1" applyAlignment="1"/>
    <xf numFmtId="0" fontId="39" fillId="0" borderId="0" xfId="1" applyFont="1"/>
    <xf numFmtId="0" fontId="42" fillId="0" borderId="0" xfId="1" applyFont="1" applyAlignment="1"/>
    <xf numFmtId="0" fontId="43" fillId="0" borderId="45" xfId="1" applyFont="1" applyBorder="1" applyAlignment="1">
      <alignment horizontal="center"/>
    </xf>
    <xf numFmtId="0" fontId="45" fillId="0" borderId="0" xfId="1" applyFont="1" applyAlignment="1"/>
    <xf numFmtId="0" fontId="46" fillId="25" borderId="48" xfId="1" applyFont="1" applyFill="1" applyBorder="1" applyAlignment="1">
      <alignment horizontal="center" wrapText="1"/>
    </xf>
    <xf numFmtId="0" fontId="46" fillId="25" borderId="49" xfId="1" applyFont="1" applyFill="1" applyBorder="1" applyAlignment="1">
      <alignment horizontal="center" wrapText="1"/>
    </xf>
    <xf numFmtId="0" fontId="46" fillId="25" borderId="50" xfId="1" applyFont="1" applyFill="1" applyBorder="1" applyAlignment="1">
      <alignment horizontal="center" wrapText="1"/>
    </xf>
    <xf numFmtId="0" fontId="43" fillId="0" borderId="51" xfId="1" applyFont="1" applyBorder="1" applyAlignment="1">
      <alignment horizontal="center"/>
    </xf>
    <xf numFmtId="169" fontId="43" fillId="0" borderId="45" xfId="1" applyNumberFormat="1" applyFont="1" applyBorder="1" applyAlignment="1">
      <alignment horizontal="center"/>
    </xf>
    <xf numFmtId="169" fontId="43" fillId="0" borderId="52" xfId="1" applyNumberFormat="1" applyFont="1" applyBorder="1" applyAlignment="1">
      <alignment horizontal="right"/>
    </xf>
    <xf numFmtId="0" fontId="43" fillId="0" borderId="53" xfId="1" applyFont="1" applyBorder="1" applyAlignment="1">
      <alignment horizontal="center"/>
    </xf>
    <xf numFmtId="0" fontId="43" fillId="0" borderId="54" xfId="1" applyFont="1" applyBorder="1" applyAlignment="1">
      <alignment horizontal="center"/>
    </xf>
    <xf numFmtId="169" fontId="43" fillId="0" borderId="54" xfId="1" applyNumberFormat="1" applyFont="1" applyBorder="1" applyAlignment="1">
      <alignment horizontal="center"/>
    </xf>
    <xf numFmtId="0" fontId="43" fillId="0" borderId="55" xfId="1" applyFont="1" applyBorder="1" applyAlignment="1">
      <alignment horizontal="center"/>
    </xf>
    <xf numFmtId="0" fontId="49" fillId="0" borderId="0" xfId="1" applyFont="1" applyAlignment="1"/>
    <xf numFmtId="0" fontId="42" fillId="0" borderId="0" xfId="1" applyFont="1" applyAlignment="1">
      <alignment horizontal="right"/>
    </xf>
    <xf numFmtId="0" fontId="44" fillId="0" borderId="56" xfId="1" applyFont="1" applyBorder="1" applyAlignment="1">
      <alignment horizontal="center"/>
    </xf>
    <xf numFmtId="0" fontId="46" fillId="0" borderId="0" xfId="1" applyFont="1" applyAlignment="1"/>
    <xf numFmtId="0" fontId="43" fillId="0" borderId="57" xfId="1" applyFont="1" applyBorder="1" applyAlignment="1">
      <alignment horizontal="center"/>
    </xf>
    <xf numFmtId="0" fontId="43" fillId="0" borderId="58" xfId="1" applyFont="1" applyBorder="1" applyAlignment="1">
      <alignment horizontal="center"/>
    </xf>
    <xf numFmtId="0" fontId="44" fillId="0" borderId="59" xfId="1" applyFont="1" applyBorder="1" applyAlignment="1">
      <alignment horizontal="center"/>
    </xf>
    <xf numFmtId="0" fontId="44" fillId="0" borderId="60" xfId="1" applyFont="1" applyBorder="1" applyAlignment="1">
      <alignment horizontal="center"/>
    </xf>
    <xf numFmtId="0" fontId="46" fillId="0" borderId="61" xfId="1" applyFont="1" applyBorder="1" applyAlignment="1"/>
    <xf numFmtId="0" fontId="42" fillId="0" borderId="61" xfId="1" applyFont="1" applyBorder="1" applyAlignment="1"/>
    <xf numFmtId="0" fontId="39" fillId="0" borderId="0" xfId="1" applyFont="1" applyAlignment="1"/>
    <xf numFmtId="0" fontId="39" fillId="0" borderId="0" xfId="1" applyFont="1"/>
    <xf numFmtId="0" fontId="42" fillId="0" borderId="0" xfId="1" applyFont="1" applyAlignment="1"/>
    <xf numFmtId="0" fontId="43" fillId="0" borderId="45" xfId="1" applyFont="1" applyBorder="1" applyAlignment="1">
      <alignment horizontal="center"/>
    </xf>
    <xf numFmtId="0" fontId="45" fillId="0" borderId="0" xfId="1" applyFont="1" applyAlignment="1"/>
    <xf numFmtId="0" fontId="47" fillId="0" borderId="47" xfId="1" applyFont="1" applyBorder="1" applyAlignment="1"/>
    <xf numFmtId="0" fontId="43" fillId="0" borderId="51" xfId="1" applyFont="1" applyBorder="1" applyAlignment="1">
      <alignment horizontal="center"/>
    </xf>
    <xf numFmtId="169" fontId="43" fillId="0" borderId="45" xfId="1" applyNumberFormat="1" applyFont="1" applyBorder="1" applyAlignment="1">
      <alignment horizontal="center"/>
    </xf>
    <xf numFmtId="169" fontId="43" fillId="0" borderId="52" xfId="1" applyNumberFormat="1" applyFont="1" applyBorder="1" applyAlignment="1">
      <alignment horizontal="right"/>
    </xf>
    <xf numFmtId="0" fontId="43" fillId="0" borderId="53" xfId="1" applyFont="1" applyBorder="1" applyAlignment="1">
      <alignment horizontal="center"/>
    </xf>
    <xf numFmtId="0" fontId="43" fillId="0" borderId="54" xfId="1" applyFont="1" applyBorder="1" applyAlignment="1">
      <alignment horizontal="center"/>
    </xf>
    <xf numFmtId="169" fontId="43" fillId="0" borderId="54" xfId="1" applyNumberFormat="1" applyFont="1" applyBorder="1" applyAlignment="1">
      <alignment horizontal="center"/>
    </xf>
    <xf numFmtId="0" fontId="43" fillId="0" borderId="55" xfId="1" applyFont="1" applyBorder="1" applyAlignment="1">
      <alignment horizontal="center"/>
    </xf>
    <xf numFmtId="0" fontId="49" fillId="0" borderId="0" xfId="1" applyFont="1" applyAlignment="1"/>
    <xf numFmtId="0" fontId="42" fillId="0" borderId="0" xfId="1" applyFont="1" applyAlignment="1">
      <alignment horizontal="right"/>
    </xf>
    <xf numFmtId="0" fontId="44" fillId="0" borderId="56" xfId="1" applyFont="1" applyBorder="1" applyAlignment="1">
      <alignment horizontal="center"/>
    </xf>
    <xf numFmtId="0" fontId="46" fillId="0" borderId="0" xfId="1" applyFont="1" applyAlignment="1"/>
    <xf numFmtId="0" fontId="43" fillId="0" borderId="57" xfId="1" applyFont="1" applyBorder="1" applyAlignment="1">
      <alignment horizontal="center"/>
    </xf>
    <xf numFmtId="0" fontId="43" fillId="0" borderId="58" xfId="1" applyFont="1" applyBorder="1" applyAlignment="1">
      <alignment horizontal="center"/>
    </xf>
    <xf numFmtId="0" fontId="44" fillId="0" borderId="59" xfId="1" applyFont="1" applyBorder="1" applyAlignment="1">
      <alignment horizontal="center"/>
    </xf>
    <xf numFmtId="0" fontId="44" fillId="0" borderId="60" xfId="1" applyFont="1" applyBorder="1" applyAlignment="1">
      <alignment horizontal="center"/>
    </xf>
    <xf numFmtId="0" fontId="46" fillId="0" borderId="61" xfId="1" applyFont="1" applyBorder="1" applyAlignment="1"/>
    <xf numFmtId="0" fontId="42" fillId="0" borderId="61" xfId="1" applyFont="1" applyBorder="1" applyAlignment="1"/>
    <xf numFmtId="0" fontId="49" fillId="0" borderId="0" xfId="1" applyFont="1" applyAlignment="1">
      <alignment horizontal="right"/>
    </xf>
    <xf numFmtId="0" fontId="50" fillId="25" borderId="48" xfId="1" applyFont="1" applyFill="1" applyBorder="1" applyAlignment="1">
      <alignment horizontal="center" wrapText="1"/>
    </xf>
    <xf numFmtId="0" fontId="50" fillId="25" borderId="49" xfId="1" applyFont="1" applyFill="1" applyBorder="1" applyAlignment="1">
      <alignment horizontal="center" wrapText="1"/>
    </xf>
    <xf numFmtId="0" fontId="50" fillId="25" borderId="50" xfId="1" applyFont="1" applyFill="1" applyBorder="1" applyAlignment="1">
      <alignment horizontal="center" wrapText="1"/>
    </xf>
    <xf numFmtId="0" fontId="44" fillId="26" borderId="59" xfId="1" applyFont="1" applyFill="1" applyBorder="1" applyAlignment="1">
      <alignment horizontal="center"/>
    </xf>
    <xf numFmtId="0" fontId="44" fillId="26" borderId="60" xfId="1" applyFont="1" applyFill="1" applyBorder="1" applyAlignment="1">
      <alignment horizontal="center"/>
    </xf>
    <xf numFmtId="0" fontId="39" fillId="0" borderId="0" xfId="1" applyFont="1" applyAlignment="1"/>
    <xf numFmtId="0" fontId="39" fillId="0" borderId="0" xfId="1" applyFont="1"/>
    <xf numFmtId="0" fontId="42" fillId="0" borderId="0" xfId="1" applyFont="1" applyAlignment="1"/>
    <xf numFmtId="0" fontId="43" fillId="0" borderId="45" xfId="1" applyFont="1" applyBorder="1" applyAlignment="1">
      <alignment horizontal="center"/>
    </xf>
    <xf numFmtId="0" fontId="45" fillId="0" borderId="0" xfId="1" applyFont="1" applyAlignment="1"/>
    <xf numFmtId="0" fontId="43" fillId="0" borderId="51" xfId="1" applyFont="1" applyBorder="1" applyAlignment="1">
      <alignment horizontal="center"/>
    </xf>
    <xf numFmtId="169" fontId="43" fillId="0" borderId="45" xfId="1" applyNumberFormat="1" applyFont="1" applyBorder="1" applyAlignment="1">
      <alignment horizontal="center"/>
    </xf>
    <xf numFmtId="169" fontId="43" fillId="0" borderId="52" xfId="1" applyNumberFormat="1" applyFont="1" applyBorder="1" applyAlignment="1">
      <alignment horizontal="right"/>
    </xf>
    <xf numFmtId="0" fontId="43" fillId="0" borderId="53" xfId="1" applyFont="1" applyBorder="1" applyAlignment="1">
      <alignment horizontal="center"/>
    </xf>
    <xf numFmtId="0" fontId="43" fillId="0" borderId="54" xfId="1" applyFont="1" applyBorder="1" applyAlignment="1">
      <alignment horizontal="center"/>
    </xf>
    <xf numFmtId="169" fontId="43" fillId="0" borderId="54" xfId="1" applyNumberFormat="1" applyFont="1" applyBorder="1" applyAlignment="1">
      <alignment horizontal="center"/>
    </xf>
    <xf numFmtId="0" fontId="43" fillId="0" borderId="55" xfId="1" applyFont="1" applyBorder="1" applyAlignment="1">
      <alignment horizontal="center"/>
    </xf>
    <xf numFmtId="0" fontId="49" fillId="0" borderId="0" xfId="1" applyFont="1" applyAlignment="1"/>
    <xf numFmtId="0" fontId="42" fillId="0" borderId="0" xfId="1" applyFont="1" applyAlignment="1">
      <alignment horizontal="right"/>
    </xf>
    <xf numFmtId="0" fontId="44" fillId="0" borderId="56" xfId="1" applyFont="1" applyBorder="1" applyAlignment="1">
      <alignment horizontal="center"/>
    </xf>
    <xf numFmtId="0" fontId="46" fillId="0" borderId="0" xfId="1" applyFont="1" applyAlignment="1"/>
    <xf numFmtId="0" fontId="43" fillId="0" borderId="57" xfId="1" applyFont="1" applyBorder="1" applyAlignment="1">
      <alignment horizontal="center"/>
    </xf>
    <xf numFmtId="0" fontId="43" fillId="0" borderId="58" xfId="1" applyFont="1" applyBorder="1" applyAlignment="1">
      <alignment horizontal="center"/>
    </xf>
    <xf numFmtId="0" fontId="44" fillId="0" borderId="59" xfId="1" applyFont="1" applyBorder="1" applyAlignment="1">
      <alignment horizontal="center"/>
    </xf>
    <xf numFmtId="0" fontId="44" fillId="0" borderId="60" xfId="1" applyFont="1" applyBorder="1" applyAlignment="1">
      <alignment horizontal="center"/>
    </xf>
    <xf numFmtId="0" fontId="46" fillId="0" borderId="61" xfId="1" applyFont="1" applyBorder="1" applyAlignment="1"/>
    <xf numFmtId="0" fontId="42" fillId="0" borderId="61" xfId="1" applyFont="1" applyBorder="1" applyAlignment="1"/>
    <xf numFmtId="0" fontId="50" fillId="25" borderId="48" xfId="1" applyFont="1" applyFill="1" applyBorder="1" applyAlignment="1">
      <alignment horizontal="center" wrapText="1"/>
    </xf>
    <xf numFmtId="0" fontId="50" fillId="25" borderId="49" xfId="1" applyFont="1" applyFill="1" applyBorder="1" applyAlignment="1">
      <alignment horizontal="center" wrapText="1"/>
    </xf>
    <xf numFmtId="0" fontId="50" fillId="25" borderId="50" xfId="1" applyFont="1" applyFill="1" applyBorder="1" applyAlignment="1">
      <alignment horizontal="center" wrapText="1"/>
    </xf>
    <xf numFmtId="0" fontId="43" fillId="0" borderId="58" xfId="1" applyFont="1" applyBorder="1" applyAlignment="1">
      <alignment horizontal="center" wrapText="1"/>
    </xf>
    <xf numFmtId="0" fontId="43" fillId="0" borderId="62" xfId="1" applyFont="1" applyBorder="1" applyAlignment="1">
      <alignment horizontal="center"/>
    </xf>
    <xf numFmtId="0" fontId="44" fillId="0" borderId="63" xfId="1" applyFont="1" applyBorder="1" applyAlignment="1">
      <alignment horizontal="center"/>
    </xf>
    <xf numFmtId="0" fontId="39" fillId="0" borderId="0" xfId="1" applyFont="1" applyAlignment="1"/>
    <xf numFmtId="0" fontId="42" fillId="0" borderId="0" xfId="1" applyFont="1" applyAlignment="1"/>
    <xf numFmtId="0" fontId="43" fillId="0" borderId="45" xfId="1" applyFont="1" applyBorder="1" applyAlignment="1">
      <alignment horizontal="center"/>
    </xf>
    <xf numFmtId="0" fontId="45" fillId="0" borderId="0" xfId="1" applyFont="1" applyAlignment="1"/>
    <xf numFmtId="0" fontId="46" fillId="25" borderId="48" xfId="1" applyFont="1" applyFill="1" applyBorder="1" applyAlignment="1">
      <alignment horizontal="center" wrapText="1"/>
    </xf>
    <xf numFmtId="0" fontId="46" fillId="25" borderId="49" xfId="1" applyFont="1" applyFill="1" applyBorder="1" applyAlignment="1">
      <alignment horizontal="center" wrapText="1"/>
    </xf>
    <xf numFmtId="0" fontId="46" fillId="25" borderId="50" xfId="1" applyFont="1" applyFill="1" applyBorder="1" applyAlignment="1">
      <alignment horizontal="center" wrapText="1"/>
    </xf>
    <xf numFmtId="0" fontId="43" fillId="0" borderId="51" xfId="1" applyFont="1" applyBorder="1" applyAlignment="1">
      <alignment horizontal="center"/>
    </xf>
    <xf numFmtId="169" fontId="43" fillId="0" borderId="45" xfId="1" applyNumberFormat="1" applyFont="1" applyBorder="1" applyAlignment="1">
      <alignment horizontal="center"/>
    </xf>
    <xf numFmtId="169" fontId="43" fillId="0" borderId="52" xfId="1" applyNumberFormat="1" applyFont="1" applyBorder="1" applyAlignment="1">
      <alignment horizontal="right"/>
    </xf>
    <xf numFmtId="0" fontId="43" fillId="0" borderId="53" xfId="1" applyFont="1" applyBorder="1" applyAlignment="1">
      <alignment horizontal="center"/>
    </xf>
    <xf numFmtId="0" fontId="43" fillId="0" borderId="54" xfId="1" applyFont="1" applyBorder="1" applyAlignment="1">
      <alignment horizontal="center"/>
    </xf>
    <xf numFmtId="169" fontId="43" fillId="0" borderId="54" xfId="1" applyNumberFormat="1" applyFont="1" applyBorder="1" applyAlignment="1">
      <alignment horizontal="center"/>
    </xf>
    <xf numFmtId="0" fontId="43" fillId="0" borderId="55" xfId="1" applyFont="1" applyBorder="1" applyAlignment="1">
      <alignment horizontal="center"/>
    </xf>
    <xf numFmtId="0" fontId="49" fillId="0" borderId="0" xfId="1" applyFont="1" applyAlignment="1"/>
    <xf numFmtId="0" fontId="42" fillId="0" borderId="0" xfId="1" applyFont="1" applyAlignment="1">
      <alignment horizontal="right"/>
    </xf>
    <xf numFmtId="0" fontId="44" fillId="0" borderId="56" xfId="1" applyFont="1" applyBorder="1" applyAlignment="1">
      <alignment horizontal="center"/>
    </xf>
    <xf numFmtId="0" fontId="46" fillId="0" borderId="0" xfId="1" applyFont="1" applyAlignment="1"/>
    <xf numFmtId="0" fontId="43" fillId="0" borderId="57" xfId="1" applyFont="1" applyBorder="1" applyAlignment="1">
      <alignment horizontal="center"/>
    </xf>
    <xf numFmtId="0" fontId="43" fillId="0" borderId="58" xfId="1" applyFont="1" applyBorder="1" applyAlignment="1">
      <alignment horizontal="center"/>
    </xf>
    <xf numFmtId="0" fontId="44" fillId="0" borderId="59" xfId="1" applyFont="1" applyBorder="1" applyAlignment="1">
      <alignment horizontal="center"/>
    </xf>
    <xf numFmtId="0" fontId="44" fillId="0" borderId="60" xfId="1" applyFont="1" applyBorder="1" applyAlignment="1">
      <alignment horizontal="center"/>
    </xf>
    <xf numFmtId="0" fontId="46" fillId="0" borderId="61" xfId="1" applyFont="1" applyBorder="1" applyAlignment="1"/>
    <xf numFmtId="0" fontId="42" fillId="0" borderId="61" xfId="1" applyFont="1" applyBorder="1" applyAlignment="1"/>
    <xf numFmtId="0" fontId="43" fillId="0" borderId="58" xfId="1" applyFont="1" applyBorder="1" applyAlignment="1">
      <alignment horizontal="center" wrapText="1"/>
    </xf>
    <xf numFmtId="0" fontId="44" fillId="0" borderId="64" xfId="1" applyFont="1" applyBorder="1" applyAlignment="1">
      <alignment horizontal="center"/>
    </xf>
    <xf numFmtId="0" fontId="44" fillId="0" borderId="65" xfId="1" applyFont="1" applyBorder="1" applyAlignment="1">
      <alignment horizontal="center"/>
    </xf>
    <xf numFmtId="0" fontId="39" fillId="0" borderId="0" xfId="1" applyFont="1" applyAlignment="1"/>
    <xf numFmtId="0" fontId="41" fillId="0" borderId="0" xfId="1" applyFont="1" applyAlignment="1">
      <alignment horizontal="center"/>
    </xf>
    <xf numFmtId="0" fontId="42" fillId="0" borderId="0" xfId="1" applyFont="1" applyAlignment="1"/>
    <xf numFmtId="0" fontId="43" fillId="0" borderId="45" xfId="1" applyFont="1" applyBorder="1" applyAlignment="1">
      <alignment horizontal="center"/>
    </xf>
    <xf numFmtId="0" fontId="45" fillId="0" borderId="0" xfId="1" applyFont="1" applyAlignment="1"/>
    <xf numFmtId="0" fontId="46" fillId="25" borderId="48" xfId="1" applyFont="1" applyFill="1" applyBorder="1" applyAlignment="1">
      <alignment horizontal="center" wrapText="1"/>
    </xf>
    <xf numFmtId="0" fontId="46" fillId="25" borderId="49" xfId="1" applyFont="1" applyFill="1" applyBorder="1" applyAlignment="1">
      <alignment horizontal="center" wrapText="1"/>
    </xf>
    <xf numFmtId="0" fontId="46" fillId="25" borderId="50" xfId="1" applyFont="1" applyFill="1" applyBorder="1" applyAlignment="1">
      <alignment horizontal="center" wrapText="1"/>
    </xf>
    <xf numFmtId="0" fontId="43" fillId="0" borderId="51" xfId="1" applyFont="1" applyBorder="1" applyAlignment="1">
      <alignment horizontal="center"/>
    </xf>
    <xf numFmtId="169" fontId="43" fillId="0" borderId="45" xfId="1" applyNumberFormat="1" applyFont="1" applyBorder="1" applyAlignment="1">
      <alignment horizontal="center"/>
    </xf>
    <xf numFmtId="169" fontId="43" fillId="0" borderId="52" xfId="1" applyNumberFormat="1" applyFont="1" applyBorder="1" applyAlignment="1">
      <alignment horizontal="right"/>
    </xf>
    <xf numFmtId="0" fontId="43" fillId="0" borderId="53" xfId="1" applyFont="1" applyBorder="1" applyAlignment="1">
      <alignment horizontal="center"/>
    </xf>
    <xf numFmtId="0" fontId="43" fillId="0" borderId="54" xfId="1" applyFont="1" applyBorder="1" applyAlignment="1">
      <alignment horizontal="center"/>
    </xf>
    <xf numFmtId="169" fontId="43" fillId="0" borderId="54" xfId="1" applyNumberFormat="1" applyFont="1" applyBorder="1" applyAlignment="1">
      <alignment horizontal="center"/>
    </xf>
    <xf numFmtId="0" fontId="43" fillId="0" borderId="55" xfId="1" applyFont="1" applyBorder="1" applyAlignment="1">
      <alignment horizontal="center"/>
    </xf>
    <xf numFmtId="0" fontId="49" fillId="0" borderId="0" xfId="1" applyFont="1" applyAlignment="1"/>
    <xf numFmtId="0" fontId="42" fillId="0" borderId="0" xfId="1" applyFont="1" applyAlignment="1">
      <alignment horizontal="right"/>
    </xf>
    <xf numFmtId="0" fontId="44" fillId="0" borderId="56" xfId="1" applyFont="1" applyBorder="1" applyAlignment="1">
      <alignment horizontal="center"/>
    </xf>
    <xf numFmtId="0" fontId="46" fillId="0" borderId="0" xfId="1" applyFont="1" applyAlignment="1"/>
    <xf numFmtId="0" fontId="43" fillId="0" borderId="57" xfId="1" applyFont="1" applyBorder="1" applyAlignment="1">
      <alignment horizontal="center"/>
    </xf>
    <xf numFmtId="0" fontId="43" fillId="0" borderId="58" xfId="1" applyFont="1" applyBorder="1" applyAlignment="1">
      <alignment horizontal="center"/>
    </xf>
    <xf numFmtId="0" fontId="44" fillId="0" borderId="59" xfId="1" applyFont="1" applyBorder="1" applyAlignment="1">
      <alignment horizontal="center"/>
    </xf>
    <xf numFmtId="0" fontId="44" fillId="0" borderId="60" xfId="1" applyFont="1" applyBorder="1" applyAlignment="1">
      <alignment horizontal="center"/>
    </xf>
    <xf numFmtId="0" fontId="46" fillId="0" borderId="61" xfId="1" applyFont="1" applyBorder="1" applyAlignment="1"/>
    <xf numFmtId="0" fontId="42" fillId="0" borderId="61" xfId="1" applyFont="1" applyBorder="1" applyAlignment="1"/>
    <xf numFmtId="0" fontId="39" fillId="0" borderId="0" xfId="1" applyFont="1" applyAlignment="1"/>
    <xf numFmtId="0" fontId="39" fillId="0" borderId="0" xfId="1" applyFont="1"/>
    <xf numFmtId="0" fontId="40" fillId="0" borderId="0" xfId="1" applyFont="1" applyAlignment="1"/>
    <xf numFmtId="0" fontId="44" fillId="0" borderId="45" xfId="1" applyFont="1" applyBorder="1" applyAlignment="1">
      <alignment horizontal="center"/>
    </xf>
    <xf numFmtId="0" fontId="41" fillId="25" borderId="0" xfId="1" applyFont="1" applyFill="1" applyBorder="1" applyAlignment="1"/>
    <xf numFmtId="0" fontId="43" fillId="0" borderId="45" xfId="1" applyFont="1" applyBorder="1" applyAlignment="1">
      <alignment horizontal="center"/>
    </xf>
    <xf numFmtId="0" fontId="45" fillId="0" borderId="0" xfId="1" applyFont="1" applyAlignment="1"/>
    <xf numFmtId="0" fontId="43" fillId="0" borderId="45" xfId="1" applyFont="1" applyBorder="1" applyAlignment="1">
      <alignment horizontal="center" wrapText="1"/>
    </xf>
    <xf numFmtId="170" fontId="44" fillId="0" borderId="45" xfId="1" applyNumberFormat="1" applyFont="1" applyBorder="1" applyAlignment="1">
      <alignment horizontal="center"/>
    </xf>
    <xf numFmtId="0" fontId="43" fillId="0" borderId="46" xfId="1" applyFont="1" applyBorder="1" applyAlignment="1"/>
    <xf numFmtId="0" fontId="43" fillId="0" borderId="44" xfId="1" applyFont="1" applyBorder="1" applyAlignment="1">
      <alignment horizontal="right"/>
    </xf>
    <xf numFmtId="0" fontId="44" fillId="0" borderId="45" xfId="1" applyFont="1" applyBorder="1" applyAlignment="1"/>
    <xf numFmtId="0" fontId="39" fillId="0" borderId="0" xfId="1" applyFont="1" applyAlignment="1"/>
    <xf numFmtId="0" fontId="45" fillId="5" borderId="45" xfId="1" applyFont="1" applyFill="1" applyBorder="1" applyAlignment="1"/>
    <xf numFmtId="0" fontId="7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 wrapText="1"/>
    </xf>
    <xf numFmtId="0" fontId="0" fillId="5" borderId="0" xfId="0" applyFont="1" applyFill="1" applyAlignment="1">
      <alignment horizontal="center"/>
    </xf>
    <xf numFmtId="0" fontId="6" fillId="4" borderId="34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0" fillId="0" borderId="6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4" fillId="0" borderId="5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8" fillId="0" borderId="6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8" fillId="12" borderId="0" xfId="0" applyFont="1" applyFill="1" applyAlignment="1">
      <alignment horizontal="left"/>
    </xf>
    <xf numFmtId="0" fontId="0" fillId="0" borderId="2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7" fillId="0" borderId="2" xfId="0" applyFont="1" applyBorder="1" applyAlignment="1">
      <alignment horizontal="righ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16" fillId="0" borderId="0" xfId="0" applyFont="1" applyAlignment="1">
      <alignment horizontal="left" vertical="top"/>
    </xf>
    <xf numFmtId="0" fontId="0" fillId="0" borderId="10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25" xfId="0" applyFont="1" applyBorder="1" applyAlignment="1">
      <alignment horizontal="left"/>
    </xf>
    <xf numFmtId="0" fontId="16" fillId="5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8" xfId="0" applyFont="1" applyBorder="1" applyAlignment="1">
      <alignment horizontal="right"/>
    </xf>
    <xf numFmtId="0" fontId="28" fillId="0" borderId="6" xfId="0" applyFont="1" applyBorder="1" applyAlignment="1">
      <alignment horizontal="right"/>
    </xf>
    <xf numFmtId="0" fontId="28" fillId="0" borderId="0" xfId="0" applyFont="1" applyAlignment="1">
      <alignment horizontal="right"/>
    </xf>
    <xf numFmtId="0" fontId="7" fillId="5" borderId="2" xfId="0" applyFont="1" applyFill="1" applyBorder="1" applyAlignment="1">
      <alignment horizontal="center"/>
    </xf>
    <xf numFmtId="0" fontId="0" fillId="5" borderId="25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5" borderId="4" xfId="0" applyFont="1" applyFill="1" applyBorder="1" applyAlignment="1">
      <alignment horizontal="left"/>
    </xf>
    <xf numFmtId="0" fontId="0" fillId="5" borderId="35" xfId="0" applyFont="1" applyFill="1" applyBorder="1" applyAlignment="1">
      <alignment horizontal="left"/>
    </xf>
    <xf numFmtId="4" fontId="7" fillId="0" borderId="2" xfId="0" applyNumberFormat="1" applyFont="1" applyBorder="1" applyAlignment="1">
      <alignment horizontal="center"/>
    </xf>
    <xf numFmtId="164" fontId="7" fillId="5" borderId="2" xfId="0" applyNumberFormat="1" applyFont="1" applyFill="1" applyBorder="1" applyAlignment="1">
      <alignment horizontal="center"/>
    </xf>
    <xf numFmtId="0" fontId="6" fillId="17" borderId="2" xfId="0" applyFont="1" applyFill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8" fillId="19" borderId="2" xfId="0" applyFont="1" applyFill="1" applyBorder="1" applyAlignment="1">
      <alignment horizontal="center"/>
    </xf>
    <xf numFmtId="0" fontId="0" fillId="19" borderId="3" xfId="0" applyFont="1" applyFill="1" applyBorder="1" applyAlignment="1">
      <alignment horizontal="left"/>
    </xf>
    <xf numFmtId="0" fontId="7" fillId="0" borderId="2" xfId="0" applyFont="1" applyBorder="1" applyAlignment="1"/>
    <xf numFmtId="0" fontId="0" fillId="0" borderId="4" xfId="0" applyFont="1" applyBorder="1" applyAlignment="1"/>
    <xf numFmtId="0" fontId="7" fillId="0" borderId="37" xfId="0" applyFont="1" applyBorder="1" applyAlignment="1">
      <alignment horizontal="left"/>
    </xf>
    <xf numFmtId="0" fontId="0" fillId="0" borderId="38" xfId="0" applyFont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40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0" fillId="0" borderId="0" xfId="1" applyFont="1" applyAlignment="1">
      <alignment horizontal="center"/>
    </xf>
    <xf numFmtId="0" fontId="39" fillId="0" borderId="0" xfId="1" applyFont="1" applyAlignment="1"/>
    <xf numFmtId="0" fontId="41" fillId="0" borderId="0" xfId="1" applyFont="1" applyAlignment="1">
      <alignment horizontal="center"/>
    </xf>
    <xf numFmtId="0" fontId="7" fillId="0" borderId="0" xfId="0" applyFont="1" applyAlignment="1">
      <alignment horizontal="left" wrapText="1"/>
    </xf>
    <xf numFmtId="0" fontId="20" fillId="0" borderId="0" xfId="0" applyFont="1" applyAlignment="1">
      <alignment horizontal="left"/>
    </xf>
    <xf numFmtId="0" fontId="19" fillId="0" borderId="34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9" fontId="45" fillId="5" borderId="45" xfId="1" applyNumberFormat="1" applyFont="1" applyFill="1" applyBorder="1" applyAlignment="1">
      <alignment horizontal="center"/>
    </xf>
    <xf numFmtId="0" fontId="52" fillId="0" borderId="0" xfId="1" applyFont="1"/>
    <xf numFmtId="0" fontId="52" fillId="0" borderId="0" xfId="1" applyFont="1" applyAlignment="1"/>
    <xf numFmtId="169" fontId="45" fillId="27" borderId="45" xfId="1" applyNumberFormat="1" applyFont="1" applyFill="1" applyBorder="1" applyAlignment="1">
      <alignment horizontal="center"/>
    </xf>
    <xf numFmtId="170" fontId="45" fillId="5" borderId="45" xfId="1" applyNumberFormat="1" applyFont="1" applyFill="1" applyBorder="1" applyAlignment="1">
      <alignment horizontal="center"/>
    </xf>
    <xf numFmtId="0" fontId="19" fillId="0" borderId="34" xfId="0" applyFont="1" applyBorder="1" applyAlignment="1"/>
    <xf numFmtId="0" fontId="0" fillId="0" borderId="0" xfId="0" applyFont="1" applyAlignment="1">
      <alignment horizontal="center"/>
    </xf>
    <xf numFmtId="0" fontId="16" fillId="5" borderId="1" xfId="0" applyFont="1" applyFill="1" applyBorder="1" applyAlignment="1">
      <alignment horizontal="center" vertical="center"/>
    </xf>
    <xf numFmtId="0" fontId="25" fillId="2" borderId="66" xfId="0" applyFont="1" applyFill="1" applyBorder="1" applyAlignment="1">
      <alignment horizontal="left"/>
    </xf>
    <xf numFmtId="0" fontId="25" fillId="2" borderId="66" xfId="0" applyFont="1" applyFill="1" applyBorder="1" applyAlignment="1">
      <alignment horizontal="center"/>
    </xf>
    <xf numFmtId="0" fontId="25" fillId="2" borderId="66" xfId="0" applyFont="1" applyFill="1" applyBorder="1" applyAlignment="1"/>
    <xf numFmtId="0" fontId="38" fillId="5" borderId="1" xfId="0" applyFont="1" applyFill="1" applyBorder="1" applyAlignment="1">
      <alignment horizontal="left"/>
    </xf>
    <xf numFmtId="0" fontId="16" fillId="5" borderId="1" xfId="0" applyFont="1" applyFill="1" applyBorder="1" applyAlignment="1">
      <alignment horizontal="left"/>
    </xf>
    <xf numFmtId="0" fontId="28" fillId="5" borderId="1" xfId="0" applyFont="1" applyFill="1" applyBorder="1" applyAlignment="1">
      <alignment horizontal="right"/>
    </xf>
    <xf numFmtId="0" fontId="8" fillId="5" borderId="1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31000000}"/>
  </cellStyles>
  <dxfs count="6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 defaultTableStyle="TableStyleMedium2" defaultPivotStyle="PivotStyleLight16">
    <tableStyle name="Assignment15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pivotCacheDefinition" Target="pivotCache/pivotCacheDefinition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[Excel50.xlsx]ASG 13!PivotTable14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QUARTER</a:t>
            </a:r>
            <a:r>
              <a:rPr lang="en-IN" baseline="0"/>
              <a:t> WISE SALES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'ASG 13'!$G$5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'ASG 13'!$F$6:$F$10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'ASG 13'!$G$6:$G$10</c:f>
              <c:numCache>
                <c:formatCode>General</c:formatCode>
                <c:ptCount val="4"/>
                <c:pt idx="0">
                  <c:v>29569</c:v>
                </c:pt>
                <c:pt idx="1">
                  <c:v>23238</c:v>
                </c:pt>
                <c:pt idx="2">
                  <c:v>51929</c:v>
                </c:pt>
                <c:pt idx="3">
                  <c:v>48188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B-4425-BF4E-DC226FF69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730735"/>
        <c:axId val="999531087"/>
      </c:barChart>
      <c:catAx>
        <c:axId val="99473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31087"/>
        <c:crosses val="autoZero"/>
        <c:auto val="1"/>
        <c:lblAlgn val="ctr"/>
        <c:lblOffset val="100"/>
        <c:noMultiLvlLbl val="0"/>
      </c:catAx>
      <c:valAx>
        <c:axId val="99953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73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[Excel50.xlsx]ASG 13!PivotTable13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COUNTRY 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'ASG 13'!$N$5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'ASG 13'!$M$6:$M$8</c:f>
              <c:strCache>
                <c:ptCount val="2"/>
                <c:pt idx="0">
                  <c:v>USA</c:v>
                </c:pt>
                <c:pt idx="1">
                  <c:v>UK</c:v>
                </c:pt>
              </c:strCache>
            </c:strRef>
          </c:cat>
          <c:val>
            <c:numRef>
              <c:f>'ASG 13'!$N$6:$N$8</c:f>
              <c:numCache>
                <c:formatCode>General</c:formatCode>
                <c:ptCount val="2"/>
                <c:pt idx="0">
                  <c:v>77015</c:v>
                </c:pt>
                <c:pt idx="1">
                  <c:v>75909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E-4797-A975-9F0265D23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[Excel50.xlsx]ASG 14!PivotTable4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 wise Sales</a:t>
            </a:r>
          </a:p>
        </c:rich>
      </c:tx>
      <c:layout>
        <c:manualLayout>
          <c:xMode val="edge"/>
          <c:yMode val="edge"/>
          <c:x val="0.39805555555555561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'ASG 14'!$D$64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'ASG 14'!$C$65:$C$67</c:f>
              <c:strCache>
                <c:ptCount val="2"/>
                <c:pt idx="0">
                  <c:v>Fall</c:v>
                </c:pt>
                <c:pt idx="1">
                  <c:v>Spring</c:v>
                </c:pt>
              </c:strCache>
            </c:strRef>
          </c:cat>
          <c:val>
            <c:numRef>
              <c:f>'ASG 14'!$D$65:$D$67</c:f>
              <c:numCache>
                <c:formatCode>General</c:formatCode>
                <c:ptCount val="2"/>
                <c:pt idx="0">
                  <c:v>8193618</c:v>
                </c:pt>
                <c:pt idx="1">
                  <c:v>8075563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6-450C-8B6B-092641DBD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4951039"/>
        <c:axId val="741215647"/>
      </c:barChart>
      <c:catAx>
        <c:axId val="101495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215647"/>
        <c:crosses val="autoZero"/>
        <c:auto val="1"/>
        <c:lblAlgn val="ctr"/>
        <c:lblOffset val="100"/>
        <c:noMultiLvlLbl val="0"/>
      </c:catAx>
      <c:valAx>
        <c:axId val="74121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95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[Excel50.xlsx]ASG 14!PivotTable5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</a:t>
            </a:r>
            <a:r>
              <a:rPr lang="en-US" baseline="0"/>
              <a:t> wise Sales</a:t>
            </a:r>
            <a:endParaRPr lang="en-US"/>
          </a:p>
        </c:rich>
      </c:tx>
      <c:layout>
        <c:manualLayout>
          <c:xMode val="edge"/>
          <c:yMode val="edge"/>
          <c:x val="0.40413625304136253"/>
          <c:y val="0.166453811863469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'ASG 14'!$H$64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6A-459D-8A2E-DCE2D2560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6A-459D-8A2E-DCE2D2560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6A-459D-8A2E-DCE2D2560368}"/>
              </c:ext>
            </c:extLst>
          </c:dPt>
          <c:cat>
            <c:strRef>
              <c:f>'ASG 14'!$G$65:$G$68</c:f>
              <c:strCache>
                <c:ptCount val="3"/>
                <c:pt idx="0">
                  <c:v>California</c:v>
                </c:pt>
                <c:pt idx="1">
                  <c:v>Oregon</c:v>
                </c:pt>
                <c:pt idx="2">
                  <c:v>Washington</c:v>
                </c:pt>
              </c:strCache>
            </c:strRef>
          </c:cat>
          <c:val>
            <c:numRef>
              <c:f>'ASG 14'!$H$65:$H$68</c:f>
              <c:numCache>
                <c:formatCode>General</c:formatCode>
                <c:ptCount val="3"/>
                <c:pt idx="0">
                  <c:v>5961799</c:v>
                </c:pt>
                <c:pt idx="1">
                  <c:v>4666418</c:v>
                </c:pt>
                <c:pt idx="2">
                  <c:v>5640964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2-4BC9-9C2E-A60E4101F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[Excel50.xlsx]ASG 14!PivotTable6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Region and Season 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'ASG 14'!$L$64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'ASG 14'!$K$65:$K$74</c:f>
              <c:multiLvlStrCache>
                <c:ptCount val="6"/>
                <c:lvl>
                  <c:pt idx="0">
                    <c:v>Fall</c:v>
                  </c:pt>
                  <c:pt idx="1">
                    <c:v>Spring</c:v>
                  </c:pt>
                  <c:pt idx="2">
                    <c:v>Fall</c:v>
                  </c:pt>
                  <c:pt idx="3">
                    <c:v>Spring</c:v>
                  </c:pt>
                  <c:pt idx="4">
                    <c:v>Fall</c:v>
                  </c:pt>
                  <c:pt idx="5">
                    <c:v>Spring</c:v>
                  </c:pt>
                </c:lvl>
                <c:lvl>
                  <c:pt idx="0">
                    <c:v>California</c:v>
                  </c:pt>
                  <c:pt idx="2">
                    <c:v>Oregon</c:v>
                  </c:pt>
                  <c:pt idx="4">
                    <c:v>Washington</c:v>
                  </c:pt>
                </c:lvl>
              </c:multiLvlStrCache>
            </c:multiLvlStrRef>
          </c:cat>
          <c:val>
            <c:numRef>
              <c:f>'ASG 14'!$L$65:$L$74</c:f>
              <c:numCache>
                <c:formatCode>General</c:formatCode>
                <c:ptCount val="6"/>
                <c:pt idx="0">
                  <c:v>3065886</c:v>
                </c:pt>
                <c:pt idx="1">
                  <c:v>2895913</c:v>
                </c:pt>
                <c:pt idx="2">
                  <c:v>2378107</c:v>
                </c:pt>
                <c:pt idx="3">
                  <c:v>2288311</c:v>
                </c:pt>
                <c:pt idx="4">
                  <c:v>2749625</c:v>
                </c:pt>
                <c:pt idx="5">
                  <c:v>2891339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3-444A-B600-541F164C6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496559"/>
        <c:axId val="907347999"/>
      </c:barChart>
      <c:catAx>
        <c:axId val="101049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47999"/>
        <c:crosses val="autoZero"/>
        <c:auto val="1"/>
        <c:lblAlgn val="ctr"/>
        <c:lblOffset val="100"/>
        <c:noMultiLvlLbl val="0"/>
      </c:catAx>
      <c:valAx>
        <c:axId val="90734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49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[Excel50.xlsx]ASG 14!PivotTable7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Season &amp; Type 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'ASG 14'!$U$64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'ASG 14'!$T$65:$T$79</c:f>
              <c:multiLvlStrCache>
                <c:ptCount val="12"/>
                <c:lvl>
                  <c:pt idx="0">
                    <c:v>Amber Ale</c:v>
                  </c:pt>
                  <c:pt idx="1">
                    <c:v>Hefeweizen</c:v>
                  </c:pt>
                  <c:pt idx="2">
                    <c:v>Pale Ale</c:v>
                  </c:pt>
                  <c:pt idx="3">
                    <c:v>Pilsner</c:v>
                  </c:pt>
                  <c:pt idx="4">
                    <c:v>Porter</c:v>
                  </c:pt>
                  <c:pt idx="5">
                    <c:v>Stout</c:v>
                  </c:pt>
                  <c:pt idx="6">
                    <c:v>Amber Ale</c:v>
                  </c:pt>
                  <c:pt idx="7">
                    <c:v>Hefeweizen</c:v>
                  </c:pt>
                  <c:pt idx="8">
                    <c:v>Pale Ale</c:v>
                  </c:pt>
                  <c:pt idx="9">
                    <c:v>Pilsner</c:v>
                  </c:pt>
                  <c:pt idx="10">
                    <c:v>Porter</c:v>
                  </c:pt>
                  <c:pt idx="11">
                    <c:v>Stout</c:v>
                  </c:pt>
                </c:lvl>
                <c:lvl>
                  <c:pt idx="0">
                    <c:v>Fall</c:v>
                  </c:pt>
                  <c:pt idx="6">
                    <c:v>Spring</c:v>
                  </c:pt>
                </c:lvl>
              </c:multiLvlStrCache>
            </c:multiLvlStrRef>
          </c:cat>
          <c:val>
            <c:numRef>
              <c:f>'ASG 14'!$U$65:$U$79</c:f>
              <c:numCache>
                <c:formatCode>General</c:formatCode>
                <c:ptCount val="12"/>
                <c:pt idx="0">
                  <c:v>1513109</c:v>
                </c:pt>
                <c:pt idx="1">
                  <c:v>1395409</c:v>
                </c:pt>
                <c:pt idx="2">
                  <c:v>1444435</c:v>
                </c:pt>
                <c:pt idx="3">
                  <c:v>1451038</c:v>
                </c:pt>
                <c:pt idx="4">
                  <c:v>1011841</c:v>
                </c:pt>
                <c:pt idx="5">
                  <c:v>1377786</c:v>
                </c:pt>
                <c:pt idx="6">
                  <c:v>1483401</c:v>
                </c:pt>
                <c:pt idx="7">
                  <c:v>1360434</c:v>
                </c:pt>
                <c:pt idx="8">
                  <c:v>1439536</c:v>
                </c:pt>
                <c:pt idx="9">
                  <c:v>1491663</c:v>
                </c:pt>
                <c:pt idx="10">
                  <c:v>1089019</c:v>
                </c:pt>
                <c:pt idx="11">
                  <c:v>1211510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5-4F42-8EC0-D154A92A9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1904127"/>
        <c:axId val="999544399"/>
      </c:barChart>
      <c:catAx>
        <c:axId val="98190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4399"/>
        <c:crosses val="autoZero"/>
        <c:auto val="1"/>
        <c:lblAlgn val="ctr"/>
        <c:lblOffset val="100"/>
        <c:noMultiLvlLbl val="0"/>
      </c:catAx>
      <c:valAx>
        <c:axId val="99954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90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[Excel50.xlsx]ASG 30!PivotTable8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 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'ASG 30'!$J$5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'ASG 30'!$I$6:$I$8</c:f>
              <c:strCache>
                <c:ptCount val="2"/>
                <c:pt idx="0">
                  <c:v>January</c:v>
                </c:pt>
                <c:pt idx="1">
                  <c:v>February</c:v>
                </c:pt>
              </c:strCache>
            </c:strRef>
          </c:cat>
          <c:val>
            <c:numRef>
              <c:f>'ASG 30'!$J$6:$J$8</c:f>
              <c:numCache>
                <c:formatCode>General</c:formatCode>
                <c:ptCount val="2"/>
                <c:pt idx="0">
                  <c:v>966365</c:v>
                </c:pt>
                <c:pt idx="1">
                  <c:v>2368415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8-4D05-B01F-589B9EBDB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2832879"/>
        <c:axId val="1007974079"/>
      </c:barChart>
      <c:catAx>
        <c:axId val="101283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974079"/>
        <c:crosses val="autoZero"/>
        <c:auto val="1"/>
        <c:lblAlgn val="ctr"/>
        <c:lblOffset val="100"/>
        <c:noMultiLvlLbl val="0"/>
      </c:catAx>
      <c:valAx>
        <c:axId val="10079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3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[Excel50.xlsx]ASG 30!PivotTable12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'ASG 30'!$J$20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'ASG 30'!$I$21:$I$39</c:f>
              <c:strCache>
                <c:ptCount val="18"/>
                <c:pt idx="0">
                  <c:v>02-02-2018</c:v>
                </c:pt>
                <c:pt idx="1">
                  <c:v>05-02-2018</c:v>
                </c:pt>
                <c:pt idx="2">
                  <c:v>09-02-2018</c:v>
                </c:pt>
                <c:pt idx="3">
                  <c:v>12-01-2018</c:v>
                </c:pt>
                <c:pt idx="4">
                  <c:v>13-02-2018</c:v>
                </c:pt>
                <c:pt idx="5">
                  <c:v>13-02-2019</c:v>
                </c:pt>
                <c:pt idx="6">
                  <c:v>15-02-2018</c:v>
                </c:pt>
                <c:pt idx="7">
                  <c:v>15-02-2019</c:v>
                </c:pt>
                <c:pt idx="8">
                  <c:v>16-01-2018</c:v>
                </c:pt>
                <c:pt idx="9">
                  <c:v>19-01-2018</c:v>
                </c:pt>
                <c:pt idx="10">
                  <c:v>22-01-2018</c:v>
                </c:pt>
                <c:pt idx="11">
                  <c:v>22-02-2018</c:v>
                </c:pt>
                <c:pt idx="12">
                  <c:v>22-02-2019</c:v>
                </c:pt>
                <c:pt idx="13">
                  <c:v>26-02-2018</c:v>
                </c:pt>
                <c:pt idx="14">
                  <c:v>26-02-2019</c:v>
                </c:pt>
                <c:pt idx="15">
                  <c:v>27-02-2018</c:v>
                </c:pt>
                <c:pt idx="16">
                  <c:v>27-02-2019</c:v>
                </c:pt>
                <c:pt idx="17">
                  <c:v>28-02-2018</c:v>
                </c:pt>
              </c:strCache>
            </c:strRef>
          </c:cat>
          <c:val>
            <c:numRef>
              <c:f>'ASG 30'!$J$21:$J$39</c:f>
              <c:numCache>
                <c:formatCode>General</c:formatCode>
                <c:ptCount val="18"/>
                <c:pt idx="0">
                  <c:v>24327</c:v>
                </c:pt>
                <c:pt idx="1">
                  <c:v>15205</c:v>
                </c:pt>
                <c:pt idx="2">
                  <c:v>15205</c:v>
                </c:pt>
                <c:pt idx="3">
                  <c:v>240000</c:v>
                </c:pt>
                <c:pt idx="4">
                  <c:v>50549</c:v>
                </c:pt>
                <c:pt idx="5">
                  <c:v>532478.59090909001</c:v>
                </c:pt>
                <c:pt idx="6">
                  <c:v>35007</c:v>
                </c:pt>
                <c:pt idx="7">
                  <c:v>574721.72027972003</c:v>
                </c:pt>
                <c:pt idx="8">
                  <c:v>352519</c:v>
                </c:pt>
                <c:pt idx="9">
                  <c:v>201440</c:v>
                </c:pt>
                <c:pt idx="10">
                  <c:v>172406</c:v>
                </c:pt>
                <c:pt idx="11">
                  <c:v>300000</c:v>
                </c:pt>
                <c:pt idx="12">
                  <c:v>616964.849650349</c:v>
                </c:pt>
                <c:pt idx="13">
                  <c:v>643835</c:v>
                </c:pt>
                <c:pt idx="14">
                  <c:v>659207.97902097902</c:v>
                </c:pt>
                <c:pt idx="15">
                  <c:v>564030</c:v>
                </c:pt>
                <c:pt idx="16">
                  <c:v>701451.108391608</c:v>
                </c:pt>
                <c:pt idx="17">
                  <c:v>720256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3-45F5-8208-8C0821EB2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261023"/>
        <c:axId val="1007960767"/>
      </c:lineChart>
      <c:catAx>
        <c:axId val="91026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960767"/>
        <c:crosses val="autoZero"/>
        <c:auto val="1"/>
        <c:lblAlgn val="ctr"/>
        <c:lblOffset val="100"/>
        <c:noMultiLvlLbl val="0"/>
      </c:catAx>
      <c:valAx>
        <c:axId val="100796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26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290512</xdr:colOff>
      <xdr:row>10</xdr:row>
      <xdr:rowOff>109537</xdr:rowOff>
    </xdr:from>
    <xdr:to>
      <xdr:col>10</xdr:col>
      <xdr:colOff>347662</xdr:colOff>
      <xdr:row>23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E241A2-CE13-4CC3-9A1D-A892C28A2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10</xdr:row>
      <xdr:rowOff>128587</xdr:rowOff>
    </xdr:from>
    <xdr:to>
      <xdr:col>15</xdr:col>
      <xdr:colOff>266700</xdr:colOff>
      <xdr:row>22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688F15-0FC7-4980-9FFF-94E552DA1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68</xdr:row>
      <xdr:rowOff>119062</xdr:rowOff>
    </xdr:from>
    <xdr:to>
      <xdr:col>4</xdr:col>
      <xdr:colOff>9525</xdr:colOff>
      <xdr:row>81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EE09F9-B74A-424B-BFAD-415B8092B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295275</xdr:colOff>
      <xdr:row>69</xdr:row>
      <xdr:rowOff>142875</xdr:rowOff>
    </xdr:from>
    <xdr:to>
      <xdr:col>8</xdr:col>
      <xdr:colOff>476250</xdr:colOff>
      <xdr:row>80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05D819-849F-4520-86B5-7353B6C45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847725</xdr:colOff>
      <xdr:row>75</xdr:row>
      <xdr:rowOff>4762</xdr:rowOff>
    </xdr:from>
    <xdr:to>
      <xdr:col>16</xdr:col>
      <xdr:colOff>123825</xdr:colOff>
      <xdr:row>88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937163-47D2-4903-8015-D11E07443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200025</xdr:colOff>
      <xdr:row>80</xdr:row>
      <xdr:rowOff>80962</xdr:rowOff>
    </xdr:from>
    <xdr:to>
      <xdr:col>25</xdr:col>
      <xdr:colOff>504825</xdr:colOff>
      <xdr:row>94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09ADB0-E8B9-4E9E-8EEB-1F59E4CAE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328612</xdr:colOff>
      <xdr:row>1</xdr:row>
      <xdr:rowOff>100012</xdr:rowOff>
    </xdr:from>
    <xdr:to>
      <xdr:col>18</xdr:col>
      <xdr:colOff>23812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AF9BD-F16D-46E0-A28E-95F60484D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390525</xdr:colOff>
      <xdr:row>21</xdr:row>
      <xdr:rowOff>80962</xdr:rowOff>
    </xdr:from>
    <xdr:to>
      <xdr:col>19</xdr:col>
      <xdr:colOff>85725</xdr:colOff>
      <xdr:row>35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5DC936-4865-46F3-A8D8-8F5C32CF1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tomgeo HR" refreshedDate="45653.562439699075" createdVersion="6" refreshedVersion="6" minRefreshableVersion="3" recordCount="36" xr:uid="{02FC8317-CD6C-4B1E-86DD-93719BD6C16F}">
  <cacheSource type="worksheet">
    <worksheetSource ref="A3:E39" sheet="ASG 14"/>
  </cacheSource>
  <cacheFields count="5">
    <cacheField name="Season" numFmtId="0">
      <sharedItems count="2">
        <s v="Fall"/>
        <s v="Spring"/>
      </sharedItems>
    </cacheField>
    <cacheField name="Year" numFmtId="0">
      <sharedItems containsSemiMixedTypes="0" containsString="0" containsNumber="1" containsInteger="1" minValue="1998" maxValue="1998"/>
    </cacheField>
    <cacheField name="Type" numFmtId="0">
      <sharedItems count="6">
        <s v="Amber Ale"/>
        <s v="Hefeweizen"/>
        <s v="Pale Ale"/>
        <s v="Pilsner"/>
        <s v="Porter"/>
        <s v="Stout"/>
      </sharedItems>
    </cacheField>
    <cacheField name="State" numFmtId="0">
      <sharedItems count="3">
        <s v="California"/>
        <s v="Oregon"/>
        <s v="Washington"/>
      </sharedItems>
    </cacheField>
    <cacheField name="Sales $" numFmtId="2">
      <sharedItems containsSemiMixedTypes="0" containsString="0" containsNumber="1" containsInteger="1" minValue="150000" maxValue="6087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tomgeo HR" refreshedDate="45653.562440393522" createdVersion="6" refreshedVersion="6" minRefreshableVersion="3" recordCount="18" xr:uid="{B3E07E9B-EFC3-48D5-9A52-09CB3B78CAD2}">
  <cacheSource type="worksheet">
    <worksheetSource ref="A4:E22" sheet="ASG 30"/>
  </cacheSource>
  <cacheFields count="5">
    <cacheField name="Date of Sale" numFmtId="0">
      <sharedItems/>
    </cacheField>
    <cacheField name="Month" numFmtId="0">
      <sharedItems count="2">
        <s v="January"/>
        <s v="February"/>
      </sharedItems>
    </cacheField>
    <cacheField name="Sales Amt" numFmtId="0">
      <sharedItems containsSemiMixedTypes="0" containsString="0" containsNumber="1" containsInteger="1" minValue="15106" maxValue="564030"/>
    </cacheField>
    <cacheField name="Date of Sale2" numFmtId="0">
      <sharedItems count="18">
        <s v="12-01-2018"/>
        <s v="16-01-2018"/>
        <s v="19-01-2018"/>
        <s v="22-01-2018"/>
        <s v="02-02-2018"/>
        <s v="05-02-2018"/>
        <s v="09-02-2018"/>
        <s v="13-02-2018"/>
        <s v="15-02-2018"/>
        <s v="22-02-2018"/>
        <s v="26-02-2018"/>
        <s v="27-02-2018"/>
        <s v="28-02-2018"/>
        <s v="13-02-2019"/>
        <s v="15-02-2019"/>
        <s v="22-02-2019"/>
        <s v="26-02-2019"/>
        <s v="27-02-2019"/>
      </sharedItems>
    </cacheField>
    <cacheField name="Sum of Sales Amt " numFmtId="0">
      <sharedItems containsSemiMixedTypes="0" containsString="0" containsNumber="1" minValue="15205" maxValue="7202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tomgeo HR" refreshedDate="45653.742284953703" createdVersion="6" refreshedVersion="6" minRefreshableVersion="3" recordCount="14" xr:uid="{67943DF8-CDDB-40A4-8274-C9A4BFE1F19D}">
  <cacheSource type="worksheet">
    <worksheetSource ref="A5:D19" sheet="ASG 13"/>
  </cacheSource>
  <cacheFields count="4">
    <cacheField name="Last Name" numFmtId="0">
      <sharedItems count="5">
        <s v="Smith"/>
        <s v="Johnson"/>
        <s v="Williams"/>
        <s v="Jones"/>
        <s v="Brown"/>
      </sharedItems>
    </cacheField>
    <cacheField name="Sales" numFmtId="166">
      <sharedItems containsSemiMixedTypes="0" containsString="0" containsNumber="1" containsInteger="1" minValue="1390" maxValue="19302"/>
    </cacheField>
    <cacheField name="Country" numFmtId="0">
      <sharedItems count="2">
        <s v="UK"/>
        <s v="USA"/>
      </sharedItems>
    </cacheField>
    <cacheField name="Quarter" numFmtId="0">
      <sharedItems count="4">
        <s v="Qtr 3"/>
        <s v="Qtr 4"/>
        <s v="Qtr 2"/>
        <s v="Qtr 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n v="1998"/>
    <x v="0"/>
    <x v="0"/>
    <n v="554536"/>
  </r>
  <r>
    <x v="0"/>
    <n v="1998"/>
    <x v="1"/>
    <x v="0"/>
    <n v="540643"/>
  </r>
  <r>
    <x v="0"/>
    <n v="1998"/>
    <x v="2"/>
    <x v="0"/>
    <n v="577548"/>
  </r>
  <r>
    <x v="0"/>
    <n v="1998"/>
    <x v="3"/>
    <x v="0"/>
    <n v="455905"/>
  </r>
  <r>
    <x v="0"/>
    <n v="1998"/>
    <x v="4"/>
    <x v="0"/>
    <n v="490871"/>
  </r>
  <r>
    <x v="0"/>
    <n v="1998"/>
    <x v="5"/>
    <x v="0"/>
    <n v="446383"/>
  </r>
  <r>
    <x v="0"/>
    <n v="1998"/>
    <x v="0"/>
    <x v="1"/>
    <n v="457726"/>
  </r>
  <r>
    <x v="0"/>
    <n v="1998"/>
    <x v="1"/>
    <x v="1"/>
    <n v="347696"/>
  </r>
  <r>
    <x v="0"/>
    <n v="1998"/>
    <x v="2"/>
    <x v="1"/>
    <n v="384541"/>
  </r>
  <r>
    <x v="0"/>
    <n v="1998"/>
    <x v="3"/>
    <x v="1"/>
    <n v="386420"/>
  </r>
  <r>
    <x v="0"/>
    <n v="1998"/>
    <x v="4"/>
    <x v="1"/>
    <n v="370970"/>
  </r>
  <r>
    <x v="0"/>
    <n v="1998"/>
    <x v="5"/>
    <x v="1"/>
    <n v="430754"/>
  </r>
  <r>
    <x v="0"/>
    <n v="1998"/>
    <x v="0"/>
    <x v="2"/>
    <n v="500847"/>
  </r>
  <r>
    <x v="0"/>
    <n v="1998"/>
    <x v="1"/>
    <x v="2"/>
    <n v="507070"/>
  </r>
  <r>
    <x v="0"/>
    <n v="1998"/>
    <x v="2"/>
    <x v="2"/>
    <n v="482346"/>
  </r>
  <r>
    <x v="0"/>
    <n v="1998"/>
    <x v="3"/>
    <x v="2"/>
    <n v="608713"/>
  </r>
  <r>
    <x v="0"/>
    <n v="1998"/>
    <x v="4"/>
    <x v="2"/>
    <n v="150000"/>
  </r>
  <r>
    <x v="0"/>
    <n v="1998"/>
    <x v="5"/>
    <x v="2"/>
    <n v="500649"/>
  </r>
  <r>
    <x v="1"/>
    <n v="1998"/>
    <x v="0"/>
    <x v="0"/>
    <n v="545780"/>
  </r>
  <r>
    <x v="1"/>
    <n v="1998"/>
    <x v="1"/>
    <x v="0"/>
    <n v="440644"/>
  </r>
  <r>
    <x v="1"/>
    <n v="1998"/>
    <x v="2"/>
    <x v="0"/>
    <n v="580359"/>
  </r>
  <r>
    <x v="1"/>
    <n v="1998"/>
    <x v="3"/>
    <x v="0"/>
    <n v="536225"/>
  </r>
  <r>
    <x v="1"/>
    <n v="1998"/>
    <x v="4"/>
    <x v="0"/>
    <n v="414908"/>
  </r>
  <r>
    <x v="1"/>
    <n v="1998"/>
    <x v="5"/>
    <x v="0"/>
    <n v="377997"/>
  </r>
  <r>
    <x v="1"/>
    <n v="1998"/>
    <x v="0"/>
    <x v="1"/>
    <n v="331289"/>
  </r>
  <r>
    <x v="1"/>
    <n v="1998"/>
    <x v="1"/>
    <x v="1"/>
    <n v="384572"/>
  </r>
  <r>
    <x v="1"/>
    <n v="1998"/>
    <x v="2"/>
    <x v="1"/>
    <n v="365813"/>
  </r>
  <r>
    <x v="1"/>
    <n v="1998"/>
    <x v="3"/>
    <x v="1"/>
    <n v="396338"/>
  </r>
  <r>
    <x v="1"/>
    <n v="1998"/>
    <x v="4"/>
    <x v="1"/>
    <n v="453761"/>
  </r>
  <r>
    <x v="1"/>
    <n v="1998"/>
    <x v="5"/>
    <x v="1"/>
    <n v="356538"/>
  </r>
  <r>
    <x v="1"/>
    <n v="1998"/>
    <x v="0"/>
    <x v="2"/>
    <n v="606332"/>
  </r>
  <r>
    <x v="1"/>
    <n v="1998"/>
    <x v="1"/>
    <x v="2"/>
    <n v="535218"/>
  </r>
  <r>
    <x v="1"/>
    <n v="1998"/>
    <x v="2"/>
    <x v="2"/>
    <n v="493364"/>
  </r>
  <r>
    <x v="1"/>
    <n v="1998"/>
    <x v="3"/>
    <x v="2"/>
    <n v="559100"/>
  </r>
  <r>
    <x v="1"/>
    <n v="1998"/>
    <x v="4"/>
    <x v="2"/>
    <n v="220350"/>
  </r>
  <r>
    <x v="1"/>
    <n v="1998"/>
    <x v="5"/>
    <x v="2"/>
    <n v="4769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19-01-2018"/>
    <x v="0"/>
    <n v="201440"/>
    <x v="0"/>
    <n v="240000"/>
  </r>
  <r>
    <s v="16-01-2018"/>
    <x v="0"/>
    <n v="352519"/>
    <x v="1"/>
    <n v="352519"/>
  </r>
  <r>
    <s v="22-01-2018"/>
    <x v="0"/>
    <n v="172406"/>
    <x v="2"/>
    <n v="201440"/>
  </r>
  <r>
    <s v="12-01-2018"/>
    <x v="0"/>
    <n v="240000"/>
    <x v="3"/>
    <n v="172406"/>
  </r>
  <r>
    <s v="05-02-2018"/>
    <x v="1"/>
    <n v="15205"/>
    <x v="4"/>
    <n v="24327"/>
  </r>
  <r>
    <s v="02-02-2018"/>
    <x v="1"/>
    <n v="24327"/>
    <x v="5"/>
    <n v="15205"/>
  </r>
  <r>
    <s v="13-02-2018"/>
    <x v="1"/>
    <n v="50549"/>
    <x v="6"/>
    <n v="15205"/>
  </r>
  <r>
    <s v="15-02-2018"/>
    <x v="1"/>
    <n v="15106"/>
    <x v="7"/>
    <n v="50549"/>
  </r>
  <r>
    <s v="15-02-2018"/>
    <x v="1"/>
    <n v="19901"/>
    <x v="8"/>
    <n v="35007"/>
  </r>
  <r>
    <s v="09-02-2018"/>
    <x v="1"/>
    <n v="15205"/>
    <x v="9"/>
    <n v="300000"/>
  </r>
  <r>
    <s v="22-02-2018"/>
    <x v="1"/>
    <n v="300000"/>
    <x v="10"/>
    <n v="643835"/>
  </r>
  <r>
    <s v="26-02-2018"/>
    <x v="1"/>
    <n v="150000"/>
    <x v="11"/>
    <n v="564030"/>
  </r>
  <r>
    <s v="26-02-2018"/>
    <x v="1"/>
    <n v="330553"/>
    <x v="12"/>
    <n v="720256"/>
  </r>
  <r>
    <s v="26-02-2018"/>
    <x v="1"/>
    <n v="163282"/>
    <x v="13"/>
    <n v="532478.59090909001"/>
  </r>
  <r>
    <s v="27-02-2018"/>
    <x v="1"/>
    <n v="564030"/>
    <x v="14"/>
    <n v="574721.72027972003"/>
  </r>
  <r>
    <s v="28-02-2018"/>
    <x v="1"/>
    <n v="503599"/>
    <x v="15"/>
    <n v="616964.849650349"/>
  </r>
  <r>
    <s v="28-02-2018"/>
    <x v="1"/>
    <n v="15218"/>
    <x v="16"/>
    <n v="659207.97902097902"/>
  </r>
  <r>
    <s v="28-02-2018"/>
    <x v="1"/>
    <n v="201440"/>
    <x v="17"/>
    <n v="701451.10839160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n v="16753"/>
    <x v="0"/>
    <x v="0"/>
  </r>
  <r>
    <x v="1"/>
    <n v="14808"/>
    <x v="1"/>
    <x v="1"/>
  </r>
  <r>
    <x v="2"/>
    <n v="10644"/>
    <x v="0"/>
    <x v="2"/>
  </r>
  <r>
    <x v="3"/>
    <n v="1390"/>
    <x v="1"/>
    <x v="0"/>
  </r>
  <r>
    <x v="4"/>
    <n v="4865"/>
    <x v="1"/>
    <x v="1"/>
  </r>
  <r>
    <x v="2"/>
    <n v="12438"/>
    <x v="0"/>
    <x v="3"/>
  </r>
  <r>
    <x v="1"/>
    <n v="9339"/>
    <x v="0"/>
    <x v="2"/>
  </r>
  <r>
    <x v="0"/>
    <n v="18919"/>
    <x v="1"/>
    <x v="0"/>
  </r>
  <r>
    <x v="3"/>
    <n v="9213"/>
    <x v="1"/>
    <x v="1"/>
  </r>
  <r>
    <x v="3"/>
    <n v="7433"/>
    <x v="0"/>
    <x v="3"/>
  </r>
  <r>
    <x v="4"/>
    <n v="3255"/>
    <x v="1"/>
    <x v="2"/>
  </r>
  <r>
    <x v="2"/>
    <n v="14867"/>
    <x v="1"/>
    <x v="0"/>
  </r>
  <r>
    <x v="2"/>
    <n v="19302"/>
    <x v="0"/>
    <x v="1"/>
  </r>
  <r>
    <x v="0"/>
    <n v="9698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3F62E0-2990-4899-BA98-70A989E0672F}" name="PivotTable14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F5:G10" firstHeaderRow="1" firstDataRow="1" firstDataCol="1"/>
  <pivotFields count="4">
    <pivotField showAll="0"/>
    <pivotField dataField="1" numFmtId="166" showAll="0"/>
    <pivotField showAll="0">
      <items count="3">
        <item x="1"/>
        <item x="0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BFC38-2B23-4684-AE2E-A9177A4D1958}" name="PivotTable13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M5:N8" firstHeaderRow="1" firstDataRow="1" firstDataCol="1"/>
  <pivotFields count="4">
    <pivotField showAll="0"/>
    <pivotField dataField="1" numFmtId="166" showAll="0"/>
    <pivotField axis="axisRow" showAll="0">
      <items count="3">
        <item x="1"/>
        <item x="0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Sales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5E73C9-B9C2-4787-BF99-59D1F9E1166E}" name="PivotTable5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64:H68" firstHeaderRow="1" firstDataRow="1" firstDataCol="1"/>
  <pivotFields count="5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 $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2F1026-F3D2-4C88-A5E7-7A82064D23BF}" name="PivotTable4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C64:D67" firstHeaderRow="1" firstDataRow="1" firstDataCol="1"/>
  <pivotFields count="5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numFmtId="2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Sales $" fld="4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85BE5-B8DC-4F96-BD74-DC28723F2479}" name="PivotTable7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T64:U79" firstHeaderRow="1" firstDataRow="1" firstDataCol="1"/>
  <pivotFields count="5">
    <pivotField axis="axisRow" showAll="0">
      <items count="3">
        <item x="0"/>
        <item x="1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numFmtId="2" showAll="0"/>
  </pivotFields>
  <rowFields count="2">
    <field x="0"/>
    <field x="2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Sales $" fld="4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3882B3-0D7D-46DA-AC30-B3853EC1F1E2}" name="PivotTable6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K64:L74" firstHeaderRow="1" firstDataRow="1" firstDataCol="1"/>
  <pivotFields count="5"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2">
    <field x="3"/>
    <field x="0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Sum of Sales $" fld="4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3A7405-817F-4DC0-9283-7C4B4895D308}" name="PivotTable8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5:J8" firstHeaderRow="1" firstDataRow="1" firstDataCol="1"/>
  <pivotFields count="5"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Sales Am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83087-6C5D-45E0-9A50-9083A33FDB61}" name="PivotTable12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I20:J39" firstHeaderRow="1" firstDataRow="1" firstDataCol="1"/>
  <pivotFields count="5">
    <pivotField showAll="0"/>
    <pivotField showAll="0"/>
    <pivotField showAll="0"/>
    <pivotField axis="axisRow" showAll="0" sortType="ascending">
      <items count="19">
        <item x="4"/>
        <item x="5"/>
        <item x="6"/>
        <item x="0"/>
        <item x="7"/>
        <item x="13"/>
        <item x="8"/>
        <item x="14"/>
        <item x="1"/>
        <item x="2"/>
        <item x="3"/>
        <item x="9"/>
        <item x="15"/>
        <item x="10"/>
        <item x="16"/>
        <item x="11"/>
        <item x="17"/>
        <item x="12"/>
        <item t="default"/>
      </items>
    </pivotField>
    <pivotField dataField="1" showAll="0"/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Sum of Sales Amt " fld="4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4AF4-C920-41EC-ADE5-B0EB9272317C}">
  <dimension ref="A2:S35"/>
  <sheetViews>
    <sheetView tabSelected="1" workbookViewId="0">
      <selection activeCell="M8" sqref="M8"/>
    </sheetView>
  </sheetViews>
  <sheetFormatPr defaultRowHeight="15" x14ac:dyDescent="0.25"/>
  <cols>
    <col min="2" max="2" width="11" customWidth="1"/>
  </cols>
  <sheetData>
    <row r="2" spans="1:10" ht="15.75" x14ac:dyDescent="0.25">
      <c r="A2" s="485" t="s">
        <v>1</v>
      </c>
      <c r="B2" s="483"/>
      <c r="C2" s="483"/>
      <c r="D2" s="483"/>
      <c r="E2" s="483"/>
      <c r="F2" s="483"/>
      <c r="G2" s="483"/>
      <c r="H2" s="483"/>
      <c r="I2" s="483"/>
      <c r="J2" s="483"/>
    </row>
    <row r="3" spans="1:10" x14ac:dyDescent="0.25">
      <c r="A3" s="486" t="s">
        <v>2</v>
      </c>
      <c r="B3" s="483"/>
      <c r="C3" s="483"/>
      <c r="D3" s="483"/>
      <c r="E3" s="483"/>
      <c r="F3" s="483"/>
      <c r="G3" s="483"/>
      <c r="H3" s="483"/>
      <c r="I3" s="483"/>
      <c r="J3" s="483"/>
    </row>
    <row r="4" spans="1:10" x14ac:dyDescent="0.25">
      <c r="A4" s="68" t="s">
        <v>3</v>
      </c>
      <c r="B4" s="68" t="s">
        <v>4</v>
      </c>
      <c r="C4" s="68" t="s">
        <v>5</v>
      </c>
      <c r="D4" s="68" t="s">
        <v>6</v>
      </c>
      <c r="E4" s="68" t="s">
        <v>7</v>
      </c>
      <c r="F4" s="68" t="s">
        <v>8</v>
      </c>
      <c r="G4" s="68" t="s">
        <v>9</v>
      </c>
      <c r="H4" s="68" t="s">
        <v>10</v>
      </c>
      <c r="I4" s="68" t="s">
        <v>11</v>
      </c>
      <c r="J4" s="68" t="s">
        <v>12</v>
      </c>
    </row>
    <row r="5" spans="1:10" x14ac:dyDescent="0.25">
      <c r="A5" s="2">
        <v>1</v>
      </c>
      <c r="B5" s="69" t="s">
        <v>13</v>
      </c>
      <c r="C5" s="2">
        <v>20</v>
      </c>
      <c r="D5" s="2">
        <v>10</v>
      </c>
      <c r="E5" s="2">
        <v>14</v>
      </c>
      <c r="F5" s="2">
        <v>18</v>
      </c>
      <c r="G5" s="2">
        <v>15</v>
      </c>
      <c r="H5" s="189">
        <f>SUM(C5:G5)</f>
        <v>77</v>
      </c>
      <c r="I5" s="190">
        <f>AVERAGE(C5:G5)</f>
        <v>15.4</v>
      </c>
      <c r="J5" s="189" t="str">
        <f>IF(I5&gt;15,"A","B")</f>
        <v>A</v>
      </c>
    </row>
    <row r="6" spans="1:10" x14ac:dyDescent="0.25">
      <c r="A6" s="2">
        <v>2</v>
      </c>
      <c r="B6" s="69" t="s">
        <v>14</v>
      </c>
      <c r="C6" s="2">
        <v>21</v>
      </c>
      <c r="D6" s="2">
        <v>12</v>
      </c>
      <c r="E6" s="2">
        <v>14</v>
      </c>
      <c r="F6" s="2">
        <v>12</v>
      </c>
      <c r="G6" s="2">
        <v>18</v>
      </c>
      <c r="H6" s="189">
        <f t="shared" ref="H6:H14" si="0">SUM(C6:G6)</f>
        <v>77</v>
      </c>
      <c r="I6" s="190">
        <f t="shared" ref="I6:I14" si="1">AVERAGE(C6:G6)</f>
        <v>15.4</v>
      </c>
      <c r="J6" s="189" t="str">
        <f t="shared" ref="J6:J13" si="2">IF(I6&gt;15,"A","B")</f>
        <v>A</v>
      </c>
    </row>
    <row r="7" spans="1:10" x14ac:dyDescent="0.25">
      <c r="A7" s="2">
        <v>3</v>
      </c>
      <c r="B7" s="69" t="s">
        <v>15</v>
      </c>
      <c r="C7" s="2">
        <v>33</v>
      </c>
      <c r="D7" s="2">
        <v>15</v>
      </c>
      <c r="E7" s="2">
        <v>7</v>
      </c>
      <c r="F7" s="2">
        <v>14</v>
      </c>
      <c r="G7" s="2">
        <v>17</v>
      </c>
      <c r="H7" s="189">
        <f t="shared" si="0"/>
        <v>86</v>
      </c>
      <c r="I7" s="190">
        <f t="shared" si="1"/>
        <v>17.2</v>
      </c>
      <c r="J7" s="189" t="str">
        <f t="shared" si="2"/>
        <v>A</v>
      </c>
    </row>
    <row r="8" spans="1:10" x14ac:dyDescent="0.25">
      <c r="A8" s="2">
        <v>4</v>
      </c>
      <c r="B8" s="69" t="s">
        <v>16</v>
      </c>
      <c r="C8" s="2">
        <v>15</v>
      </c>
      <c r="D8" s="2">
        <v>14</v>
      </c>
      <c r="E8" s="2">
        <v>8</v>
      </c>
      <c r="F8" s="2">
        <v>16</v>
      </c>
      <c r="G8" s="2">
        <v>20</v>
      </c>
      <c r="H8" s="189">
        <f t="shared" si="0"/>
        <v>73</v>
      </c>
      <c r="I8" s="190">
        <f t="shared" si="1"/>
        <v>14.6</v>
      </c>
      <c r="J8" s="189" t="str">
        <f t="shared" si="2"/>
        <v>B</v>
      </c>
    </row>
    <row r="9" spans="1:10" x14ac:dyDescent="0.25">
      <c r="A9" s="2">
        <v>5</v>
      </c>
      <c r="B9" s="69" t="s">
        <v>17</v>
      </c>
      <c r="C9" s="2">
        <v>14</v>
      </c>
      <c r="D9" s="2">
        <v>17</v>
      </c>
      <c r="E9" s="2">
        <v>10</v>
      </c>
      <c r="F9" s="2">
        <v>13</v>
      </c>
      <c r="G9" s="2">
        <v>18</v>
      </c>
      <c r="H9" s="189">
        <f t="shared" si="0"/>
        <v>72</v>
      </c>
      <c r="I9" s="190">
        <f t="shared" si="1"/>
        <v>14.4</v>
      </c>
      <c r="J9" s="189" t="str">
        <f t="shared" si="2"/>
        <v>B</v>
      </c>
    </row>
    <row r="10" spans="1:10" x14ac:dyDescent="0.25">
      <c r="A10" s="2">
        <v>6</v>
      </c>
      <c r="B10" s="69" t="s">
        <v>18</v>
      </c>
      <c r="C10" s="2">
        <v>16</v>
      </c>
      <c r="D10" s="2">
        <v>8</v>
      </c>
      <c r="E10" s="2">
        <v>20</v>
      </c>
      <c r="F10" s="2">
        <v>17</v>
      </c>
      <c r="G10" s="2">
        <v>15</v>
      </c>
      <c r="H10" s="189">
        <f t="shared" si="0"/>
        <v>76</v>
      </c>
      <c r="I10" s="190">
        <f t="shared" si="1"/>
        <v>15.2</v>
      </c>
      <c r="J10" s="189" t="str">
        <f t="shared" si="2"/>
        <v>A</v>
      </c>
    </row>
    <row r="11" spans="1:10" x14ac:dyDescent="0.25">
      <c r="A11" s="2">
        <v>7</v>
      </c>
      <c r="B11" s="69" t="s">
        <v>19</v>
      </c>
      <c r="C11" s="2">
        <v>18</v>
      </c>
      <c r="D11" s="2">
        <v>19</v>
      </c>
      <c r="E11" s="2">
        <v>3</v>
      </c>
      <c r="F11" s="2">
        <v>10</v>
      </c>
      <c r="G11" s="2">
        <v>14</v>
      </c>
      <c r="H11" s="189">
        <f t="shared" si="0"/>
        <v>64</v>
      </c>
      <c r="I11" s="190">
        <f t="shared" si="1"/>
        <v>12.8</v>
      </c>
      <c r="J11" s="189" t="str">
        <f t="shared" si="2"/>
        <v>B</v>
      </c>
    </row>
    <row r="12" spans="1:10" x14ac:dyDescent="0.25">
      <c r="A12" s="2">
        <v>8</v>
      </c>
      <c r="B12" s="69" t="s">
        <v>20</v>
      </c>
      <c r="C12" s="2">
        <v>19</v>
      </c>
      <c r="D12" s="2">
        <v>20</v>
      </c>
      <c r="E12" s="2">
        <v>7</v>
      </c>
      <c r="F12" s="2">
        <v>14</v>
      </c>
      <c r="G12" s="2">
        <v>18</v>
      </c>
      <c r="H12" s="189">
        <f t="shared" si="0"/>
        <v>78</v>
      </c>
      <c r="I12" s="190">
        <f t="shared" si="1"/>
        <v>15.6</v>
      </c>
      <c r="J12" s="189" t="str">
        <f t="shared" si="2"/>
        <v>A</v>
      </c>
    </row>
    <row r="13" spans="1:10" x14ac:dyDescent="0.25">
      <c r="A13" s="2">
        <v>9</v>
      </c>
      <c r="B13" s="69" t="s">
        <v>21</v>
      </c>
      <c r="C13" s="2">
        <v>22</v>
      </c>
      <c r="D13" s="2">
        <v>13</v>
      </c>
      <c r="E13" s="2">
        <v>8</v>
      </c>
      <c r="F13" s="2">
        <v>12</v>
      </c>
      <c r="G13" s="2">
        <v>19</v>
      </c>
      <c r="H13" s="189">
        <f t="shared" si="0"/>
        <v>74</v>
      </c>
      <c r="I13" s="190">
        <f t="shared" si="1"/>
        <v>14.8</v>
      </c>
      <c r="J13" s="189" t="str">
        <f t="shared" si="2"/>
        <v>B</v>
      </c>
    </row>
    <row r="14" spans="1:10" x14ac:dyDescent="0.25">
      <c r="A14" s="2">
        <v>10</v>
      </c>
      <c r="B14" s="69" t="s">
        <v>22</v>
      </c>
      <c r="C14" s="2">
        <v>26</v>
      </c>
      <c r="D14" s="2">
        <v>12</v>
      </c>
      <c r="E14" s="2">
        <v>10</v>
      </c>
      <c r="F14" s="2">
        <v>11</v>
      </c>
      <c r="G14" s="2">
        <v>27</v>
      </c>
      <c r="H14" s="189">
        <f t="shared" si="0"/>
        <v>86</v>
      </c>
      <c r="I14" s="190">
        <f t="shared" si="1"/>
        <v>17.2</v>
      </c>
      <c r="J14" s="189" t="str">
        <f>IF(I14&gt;15,"A","B")</f>
        <v>A</v>
      </c>
    </row>
    <row r="16" spans="1:10" x14ac:dyDescent="0.25">
      <c r="A16" s="487" t="s">
        <v>23</v>
      </c>
      <c r="B16" s="483"/>
      <c r="C16" s="483"/>
      <c r="D16" s="483"/>
      <c r="E16" s="483"/>
      <c r="F16" s="483"/>
      <c r="G16" s="483"/>
      <c r="H16" s="483"/>
      <c r="I16" s="483"/>
      <c r="J16" s="483"/>
    </row>
    <row r="17" spans="1:19" x14ac:dyDescent="0.25">
      <c r="A17" s="5"/>
    </row>
    <row r="18" spans="1:19" x14ac:dyDescent="0.25">
      <c r="A18" s="488" t="s">
        <v>24</v>
      </c>
      <c r="B18" s="483"/>
      <c r="C18" s="483"/>
      <c r="D18" s="483"/>
      <c r="E18" s="483"/>
      <c r="F18" s="483"/>
      <c r="G18" s="483"/>
      <c r="H18" s="483"/>
      <c r="I18" s="483"/>
      <c r="J18" s="483"/>
    </row>
    <row r="19" spans="1:19" x14ac:dyDescent="0.25">
      <c r="A19" s="6"/>
    </row>
    <row r="20" spans="1:19" x14ac:dyDescent="0.25">
      <c r="A20" s="6" t="s">
        <v>25</v>
      </c>
      <c r="K20" s="482" t="s">
        <v>26</v>
      </c>
      <c r="L20" s="483" t="s">
        <v>0</v>
      </c>
      <c r="M20" s="483" t="s">
        <v>0</v>
      </c>
      <c r="N20" s="483" t="s">
        <v>0</v>
      </c>
      <c r="O20" s="483" t="s">
        <v>0</v>
      </c>
      <c r="P20" s="483" t="s">
        <v>0</v>
      </c>
      <c r="Q20" s="483" t="s">
        <v>0</v>
      </c>
      <c r="R20" s="483" t="s">
        <v>0</v>
      </c>
      <c r="S20" s="483"/>
    </row>
    <row r="21" spans="1:19" x14ac:dyDescent="0.25">
      <c r="A21" s="7" t="s">
        <v>2393</v>
      </c>
      <c r="C21" s="191">
        <f>COUNTIF(J5:J14,"A")</f>
        <v>6</v>
      </c>
      <c r="K21" s="7"/>
    </row>
    <row r="22" spans="1:19" x14ac:dyDescent="0.25">
      <c r="A22" s="7" t="s">
        <v>2394</v>
      </c>
      <c r="C22" s="191">
        <f>COUNTIF(J5:J14,"B")</f>
        <v>4</v>
      </c>
      <c r="K22" s="7"/>
    </row>
    <row r="23" spans="1:19" x14ac:dyDescent="0.25">
      <c r="A23" s="7"/>
      <c r="K23" s="7"/>
    </row>
    <row r="24" spans="1:19" x14ac:dyDescent="0.25">
      <c r="A24" s="6" t="s">
        <v>27</v>
      </c>
      <c r="K24" s="482" t="s">
        <v>28</v>
      </c>
      <c r="L24" s="483" t="s">
        <v>0</v>
      </c>
      <c r="M24" s="483" t="s">
        <v>0</v>
      </c>
      <c r="N24" s="483" t="s">
        <v>0</v>
      </c>
      <c r="O24" s="483" t="s">
        <v>0</v>
      </c>
      <c r="P24" s="483" t="s">
        <v>0</v>
      </c>
      <c r="Q24" s="483" t="s">
        <v>0</v>
      </c>
      <c r="R24" s="483" t="s">
        <v>0</v>
      </c>
      <c r="S24" s="483"/>
    </row>
    <row r="25" spans="1:19" x14ac:dyDescent="0.25">
      <c r="A25" s="6"/>
      <c r="B25" s="68" t="s">
        <v>10</v>
      </c>
      <c r="C25" s="68" t="s">
        <v>11</v>
      </c>
      <c r="K25" s="7"/>
    </row>
    <row r="26" spans="1:19" x14ac:dyDescent="0.25">
      <c r="A26" s="69" t="s">
        <v>14</v>
      </c>
      <c r="B26" s="191">
        <f>SUMIF($B$5:$B$14,A26,$H$5:$H$14)</f>
        <v>77</v>
      </c>
      <c r="C26" s="191">
        <f>SUMIF($B$5:$B$14,A26,$I$5:$I$14)</f>
        <v>15.4</v>
      </c>
      <c r="K26" s="7"/>
    </row>
    <row r="27" spans="1:19" x14ac:dyDescent="0.25">
      <c r="A27" s="69" t="s">
        <v>15</v>
      </c>
      <c r="B27" s="191">
        <f>SUMIF($B$5:$B$14,A27,$H$5:$H$14)</f>
        <v>86</v>
      </c>
      <c r="C27" s="191">
        <f>SUMIF($B$5:$B$14,A27,$I$5:$I$14)</f>
        <v>17.2</v>
      </c>
      <c r="K27" s="7"/>
    </row>
    <row r="28" spans="1:19" x14ac:dyDescent="0.25">
      <c r="A28" s="188"/>
      <c r="K28" s="7"/>
    </row>
    <row r="29" spans="1:19" x14ac:dyDescent="0.25">
      <c r="A29" s="6" t="s">
        <v>29</v>
      </c>
      <c r="K29" s="482" t="s">
        <v>30</v>
      </c>
      <c r="L29" s="483" t="s">
        <v>0</v>
      </c>
      <c r="M29" s="483" t="s">
        <v>0</v>
      </c>
      <c r="N29" s="483" t="s">
        <v>0</v>
      </c>
      <c r="O29" s="483" t="s">
        <v>0</v>
      </c>
      <c r="P29" s="483" t="s">
        <v>0</v>
      </c>
      <c r="Q29" s="483" t="s">
        <v>0</v>
      </c>
      <c r="R29" s="483" t="s">
        <v>0</v>
      </c>
      <c r="S29" s="483"/>
    </row>
    <row r="30" spans="1:19" x14ac:dyDescent="0.25">
      <c r="A30" s="192">
        <f>COUNTA(B5:B14)</f>
        <v>10</v>
      </c>
      <c r="K30" s="7"/>
    </row>
    <row r="31" spans="1:19" x14ac:dyDescent="0.25">
      <c r="A31" s="6"/>
      <c r="K31" s="7"/>
    </row>
    <row r="32" spans="1:19" x14ac:dyDescent="0.25">
      <c r="A32" s="6" t="s">
        <v>31</v>
      </c>
      <c r="K32" s="484" t="s">
        <v>26</v>
      </c>
      <c r="L32" s="483" t="s">
        <v>0</v>
      </c>
      <c r="M32" s="483" t="s">
        <v>0</v>
      </c>
      <c r="N32" s="483" t="s">
        <v>0</v>
      </c>
      <c r="O32" s="483" t="s">
        <v>0</v>
      </c>
      <c r="P32" s="483" t="s">
        <v>0</v>
      </c>
      <c r="Q32" s="483" t="s">
        <v>0</v>
      </c>
      <c r="R32" s="483" t="s">
        <v>0</v>
      </c>
      <c r="S32" s="483"/>
    </row>
    <row r="33" spans="1:3" x14ac:dyDescent="0.25">
      <c r="B33" s="68" t="s">
        <v>2395</v>
      </c>
      <c r="C33" s="68" t="s">
        <v>2396</v>
      </c>
    </row>
    <row r="34" spans="1:3" x14ac:dyDescent="0.25">
      <c r="A34" t="s">
        <v>5</v>
      </c>
      <c r="B34" s="191">
        <f>COUNTIF(C5:C14,"&gt;20")</f>
        <v>4</v>
      </c>
      <c r="C34" s="191">
        <f>COUNTIF(C5:C14,"&gt;15")</f>
        <v>8</v>
      </c>
    </row>
    <row r="35" spans="1:3" x14ac:dyDescent="0.25">
      <c r="A35" t="s">
        <v>6</v>
      </c>
      <c r="B35" s="191">
        <f>COUNTIF(D5:D14,"&gt;20")</f>
        <v>0</v>
      </c>
      <c r="C35" s="191">
        <f>COUNTIF(D5:D14,"&gt;15")</f>
        <v>3</v>
      </c>
    </row>
  </sheetData>
  <mergeCells count="8">
    <mergeCell ref="K29:S29"/>
    <mergeCell ref="K32:S32"/>
    <mergeCell ref="A2:J2"/>
    <mergeCell ref="A3:J3"/>
    <mergeCell ref="A16:J16"/>
    <mergeCell ref="A18:J18"/>
    <mergeCell ref="K20:S20"/>
    <mergeCell ref="K24:S24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3"/>
  <sheetViews>
    <sheetView topLeftCell="A34" workbookViewId="0">
      <selection activeCell="B44" sqref="B44"/>
    </sheetView>
  </sheetViews>
  <sheetFormatPr defaultRowHeight="15" x14ac:dyDescent="0.25"/>
  <cols>
    <col min="1" max="1" width="60" style="166"/>
    <col min="2" max="2" width="19" style="166"/>
    <col min="3" max="3" width="13" style="166"/>
    <col min="4" max="4" width="19" style="166"/>
    <col min="5" max="5" width="11" style="166"/>
    <col min="6" max="6" width="13.28515625" style="166" customWidth="1"/>
    <col min="7" max="7" width="5" style="166"/>
  </cols>
  <sheetData>
    <row r="1" spans="1:7" ht="3.95" customHeight="1" x14ac:dyDescent="0.25">
      <c r="A1" s="237" t="s">
        <v>442</v>
      </c>
      <c r="B1" s="201"/>
      <c r="C1" s="201"/>
      <c r="D1" s="201"/>
      <c r="E1" s="201"/>
      <c r="F1" s="201"/>
      <c r="G1" s="201"/>
    </row>
    <row r="2" spans="1:7" ht="21" customHeight="1" x14ac:dyDescent="0.3">
      <c r="A2" s="238" t="s">
        <v>443</v>
      </c>
      <c r="B2" s="201"/>
      <c r="C2" s="201"/>
      <c r="D2" s="201"/>
      <c r="E2" s="201"/>
      <c r="F2" s="201"/>
      <c r="G2" s="201"/>
    </row>
    <row r="3" spans="1:7" ht="14.1" customHeight="1" x14ac:dyDescent="0.25"/>
    <row r="4" spans="1:7" ht="15.95" customHeight="1" x14ac:dyDescent="0.25">
      <c r="A4" s="239" t="s">
        <v>447</v>
      </c>
      <c r="B4" s="201"/>
      <c r="C4" s="201"/>
      <c r="D4" s="201"/>
      <c r="E4" s="201"/>
      <c r="F4" s="201"/>
      <c r="G4" s="201"/>
    </row>
    <row r="5" spans="1:7" ht="14.1" customHeight="1" x14ac:dyDescent="0.25">
      <c r="A5" s="226" t="s">
        <v>448</v>
      </c>
      <c r="B5" s="201"/>
      <c r="C5" s="201"/>
      <c r="D5" s="201"/>
      <c r="E5" s="201"/>
      <c r="F5" s="201"/>
      <c r="G5" s="201"/>
    </row>
    <row r="6" spans="1:7" ht="21.95" customHeight="1" x14ac:dyDescent="0.35">
      <c r="A6" s="240" t="s">
        <v>449</v>
      </c>
      <c r="B6" s="201"/>
      <c r="C6" s="201"/>
      <c r="D6" s="201"/>
      <c r="E6" s="201"/>
      <c r="F6" s="201"/>
      <c r="G6" s="201"/>
    </row>
    <row r="7" spans="1:7" ht="15" customHeight="1" x14ac:dyDescent="0.25">
      <c r="A7" s="50" t="s">
        <v>450</v>
      </c>
      <c r="B7" s="50" t="s">
        <v>451</v>
      </c>
      <c r="C7" s="50" t="s">
        <v>452</v>
      </c>
      <c r="D7" s="50" t="s">
        <v>453</v>
      </c>
      <c r="E7" s="50" t="s">
        <v>454</v>
      </c>
      <c r="F7" s="241" t="s">
        <v>455</v>
      </c>
      <c r="G7" s="218" t="s">
        <v>456</v>
      </c>
    </row>
    <row r="8" spans="1:7" ht="18" customHeight="1" x14ac:dyDescent="0.25">
      <c r="A8" s="254" t="s">
        <v>457</v>
      </c>
      <c r="B8" s="189" t="str">
        <f>VLOOKUP($A8,$A$12:$G$25,2,FALSE)</f>
        <v>Faith K. Macias</v>
      </c>
      <c r="C8" s="189" t="str">
        <f>VLOOKUP($A8,$A$12:$G$25,3,FALSE)</f>
        <v>845-04-3962</v>
      </c>
      <c r="D8" s="189" t="str">
        <f>VLOOKUP($A8,$A$12:$G$25,4,FALSE)</f>
        <v>Marketing</v>
      </c>
      <c r="E8" s="189" t="str">
        <f>VLOOKUP($A8,$A$12:$G$25,5,FALSE)</f>
        <v>27-01-2008</v>
      </c>
      <c r="F8" s="189">
        <f>VLOOKUP($A8,$A$12:$G$25,6,FALSE)</f>
        <v>73500</v>
      </c>
      <c r="G8" s="218" t="s">
        <v>458</v>
      </c>
    </row>
    <row r="9" spans="1:7" ht="18" customHeight="1" x14ac:dyDescent="0.25">
      <c r="A9" s="254" t="s">
        <v>459</v>
      </c>
      <c r="B9" s="189" t="str">
        <f>VLOOKUP($A9,$A$12:$G$25,2,FALSE)</f>
        <v>Lucian Q. Franklin</v>
      </c>
      <c r="C9" s="189" t="str">
        <f>VLOOKUP($A9,$A$12:$G$25,3,FALSE)</f>
        <v>345-28-4935</v>
      </c>
      <c r="D9" s="189" t="str">
        <f>VLOOKUP($A9,$A$12:$G$25,4,FALSE)</f>
        <v>IT/IS</v>
      </c>
      <c r="E9" s="189" t="str">
        <f>VLOOKUP($A9,$A$12:$G$25,5,FALSE)</f>
        <v>01-03-2008</v>
      </c>
      <c r="F9" s="189">
        <f>VLOOKUP($A9,$A$12:$G$25,6,FALSE)</f>
        <v>80000</v>
      </c>
      <c r="G9" s="218" t="s">
        <v>460</v>
      </c>
    </row>
    <row r="10" spans="1:7" ht="18" customHeight="1" x14ac:dyDescent="0.25">
      <c r="A10" s="254" t="s">
        <v>461</v>
      </c>
      <c r="B10" s="189" t="str">
        <f>VLOOKUP($A10,$A$12:$G$25,2,FALSE)</f>
        <v>Blaze V. Bridges</v>
      </c>
      <c r="C10" s="189" t="str">
        <f>VLOOKUP($A10,$A$12:$G$25,3,FALSE)</f>
        <v>503-53-8350</v>
      </c>
      <c r="D10" s="189" t="str">
        <f>VLOOKUP($A10,$A$12:$G$25,4,FALSE)</f>
        <v>Marketing</v>
      </c>
      <c r="E10" s="189" t="str">
        <f>VLOOKUP($A10,$A$12:$G$25,5,FALSE)</f>
        <v>16-04-2008</v>
      </c>
      <c r="F10" s="189">
        <f>VLOOKUP($A10,$A$12:$G$25,6,FALSE)</f>
        <v>95000</v>
      </c>
      <c r="G10" s="218" t="s">
        <v>462</v>
      </c>
    </row>
    <row r="11" spans="1:7" ht="14.1" customHeight="1" x14ac:dyDescent="0.25">
      <c r="A11" s="52" t="s">
        <v>463</v>
      </c>
      <c r="B11" s="52" t="s">
        <v>464</v>
      </c>
      <c r="C11" s="52" t="s">
        <v>465</v>
      </c>
      <c r="D11" s="52" t="s">
        <v>466</v>
      </c>
      <c r="E11" s="52" t="s">
        <v>467</v>
      </c>
      <c r="F11" s="242" t="s">
        <v>468</v>
      </c>
      <c r="G11" s="218" t="s">
        <v>469</v>
      </c>
    </row>
    <row r="12" spans="1:7" ht="18" customHeight="1" x14ac:dyDescent="0.25">
      <c r="A12" s="51" t="s">
        <v>470</v>
      </c>
      <c r="B12" s="53" t="s">
        <v>471</v>
      </c>
      <c r="C12" s="51" t="s">
        <v>472</v>
      </c>
      <c r="D12" s="53" t="s">
        <v>473</v>
      </c>
      <c r="E12" s="54" t="s">
        <v>474</v>
      </c>
      <c r="F12" s="243">
        <v>73500</v>
      </c>
      <c r="G12" s="218" t="s">
        <v>475</v>
      </c>
    </row>
    <row r="13" spans="1:7" ht="18" customHeight="1" x14ac:dyDescent="0.25">
      <c r="A13" s="51" t="s">
        <v>476</v>
      </c>
      <c r="B13" s="53" t="s">
        <v>477</v>
      </c>
      <c r="C13" s="51" t="s">
        <v>478</v>
      </c>
      <c r="D13" s="53" t="s">
        <v>479</v>
      </c>
      <c r="E13" s="54" t="s">
        <v>480</v>
      </c>
      <c r="F13" s="243">
        <v>80000</v>
      </c>
      <c r="G13" s="218" t="s">
        <v>481</v>
      </c>
    </row>
    <row r="14" spans="1:7" ht="18" customHeight="1" x14ac:dyDescent="0.25">
      <c r="A14" s="51" t="s">
        <v>482</v>
      </c>
      <c r="B14" s="53" t="s">
        <v>483</v>
      </c>
      <c r="C14" s="51" t="s">
        <v>484</v>
      </c>
      <c r="D14" s="53" t="s">
        <v>485</v>
      </c>
      <c r="E14" s="54" t="s">
        <v>486</v>
      </c>
      <c r="F14" s="243">
        <v>95000</v>
      </c>
      <c r="G14" s="218" t="s">
        <v>487</v>
      </c>
    </row>
    <row r="15" spans="1:7" ht="18" customHeight="1" x14ac:dyDescent="0.25">
      <c r="A15" s="51" t="s">
        <v>488</v>
      </c>
      <c r="B15" s="53" t="s">
        <v>489</v>
      </c>
      <c r="C15" s="51" t="s">
        <v>490</v>
      </c>
      <c r="D15" s="53" t="s">
        <v>491</v>
      </c>
      <c r="E15" s="54" t="s">
        <v>492</v>
      </c>
      <c r="F15" s="243">
        <v>105000</v>
      </c>
      <c r="G15" s="218" t="s">
        <v>493</v>
      </c>
    </row>
    <row r="16" spans="1:7" ht="18" customHeight="1" x14ac:dyDescent="0.25">
      <c r="A16" s="51" t="s">
        <v>494</v>
      </c>
      <c r="B16" s="53" t="s">
        <v>495</v>
      </c>
      <c r="C16" s="51" t="s">
        <v>496</v>
      </c>
      <c r="D16" s="53" t="s">
        <v>497</v>
      </c>
      <c r="E16" s="54" t="s">
        <v>498</v>
      </c>
      <c r="F16" s="243">
        <v>90000</v>
      </c>
      <c r="G16" s="218" t="s">
        <v>499</v>
      </c>
    </row>
    <row r="17" spans="1:7" ht="18" customHeight="1" x14ac:dyDescent="0.25">
      <c r="A17" s="51" t="s">
        <v>500</v>
      </c>
      <c r="B17" s="53" t="s">
        <v>501</v>
      </c>
      <c r="C17" s="51" t="s">
        <v>502</v>
      </c>
      <c r="D17" s="53" t="s">
        <v>503</v>
      </c>
      <c r="E17" s="54" t="s">
        <v>504</v>
      </c>
      <c r="F17" s="243">
        <v>60000</v>
      </c>
      <c r="G17" s="218" t="s">
        <v>505</v>
      </c>
    </row>
    <row r="18" spans="1:7" ht="18" customHeight="1" x14ac:dyDescent="0.25">
      <c r="A18" s="51" t="s">
        <v>506</v>
      </c>
      <c r="B18" s="53" t="s">
        <v>507</v>
      </c>
      <c r="C18" s="51" t="s">
        <v>508</v>
      </c>
      <c r="D18" s="53" t="s">
        <v>509</v>
      </c>
      <c r="E18" s="54" t="s">
        <v>510</v>
      </c>
      <c r="F18" s="243">
        <v>87000</v>
      </c>
      <c r="G18" s="218" t="s">
        <v>511</v>
      </c>
    </row>
    <row r="19" spans="1:7" ht="18" customHeight="1" x14ac:dyDescent="0.25">
      <c r="A19" s="51" t="s">
        <v>512</v>
      </c>
      <c r="B19" s="53" t="s">
        <v>513</v>
      </c>
      <c r="C19" s="51" t="s">
        <v>514</v>
      </c>
      <c r="D19" s="53" t="s">
        <v>515</v>
      </c>
      <c r="E19" s="54" t="s">
        <v>516</v>
      </c>
      <c r="F19" s="243">
        <v>104000</v>
      </c>
      <c r="G19" s="218" t="s">
        <v>517</v>
      </c>
    </row>
    <row r="20" spans="1:7" ht="18" customHeight="1" x14ac:dyDescent="0.25">
      <c r="A20" s="51" t="s">
        <v>518</v>
      </c>
      <c r="B20" s="53" t="s">
        <v>519</v>
      </c>
      <c r="C20" s="51" t="s">
        <v>520</v>
      </c>
      <c r="D20" s="53" t="s">
        <v>521</v>
      </c>
      <c r="E20" s="54" t="s">
        <v>522</v>
      </c>
      <c r="F20" s="243">
        <v>380050</v>
      </c>
      <c r="G20" s="218" t="s">
        <v>523</v>
      </c>
    </row>
    <row r="21" spans="1:7" ht="18" customHeight="1" x14ac:dyDescent="0.25">
      <c r="A21" s="51" t="s">
        <v>524</v>
      </c>
      <c r="B21" s="53" t="s">
        <v>525</v>
      </c>
      <c r="C21" s="51" t="s">
        <v>526</v>
      </c>
      <c r="D21" s="53" t="s">
        <v>527</v>
      </c>
      <c r="E21" s="54" t="s">
        <v>528</v>
      </c>
      <c r="F21" s="243">
        <v>93000</v>
      </c>
      <c r="G21" s="218" t="s">
        <v>529</v>
      </c>
    </row>
    <row r="22" spans="1:7" ht="18" customHeight="1" x14ac:dyDescent="0.25">
      <c r="A22" s="51" t="s">
        <v>530</v>
      </c>
      <c r="B22" s="53" t="s">
        <v>531</v>
      </c>
      <c r="C22" s="51" t="s">
        <v>532</v>
      </c>
      <c r="D22" s="53" t="s">
        <v>533</v>
      </c>
      <c r="E22" s="54" t="s">
        <v>534</v>
      </c>
      <c r="F22" s="243">
        <v>180000</v>
      </c>
      <c r="G22" s="218" t="s">
        <v>535</v>
      </c>
    </row>
    <row r="23" spans="1:7" ht="18" customHeight="1" x14ac:dyDescent="0.25">
      <c r="A23" s="51" t="s">
        <v>536</v>
      </c>
      <c r="B23" s="53" t="s">
        <v>537</v>
      </c>
      <c r="C23" s="51" t="s">
        <v>538</v>
      </c>
      <c r="D23" s="53" t="s">
        <v>539</v>
      </c>
      <c r="E23" s="54" t="s">
        <v>540</v>
      </c>
      <c r="F23" s="243">
        <v>100000</v>
      </c>
      <c r="G23" s="218" t="s">
        <v>541</v>
      </c>
    </row>
    <row r="24" spans="1:7" ht="18" customHeight="1" x14ac:dyDescent="0.25">
      <c r="A24" s="51" t="s">
        <v>542</v>
      </c>
      <c r="B24" s="53" t="s">
        <v>543</v>
      </c>
      <c r="C24" s="51" t="s">
        <v>544</v>
      </c>
      <c r="D24" s="53" t="s">
        <v>545</v>
      </c>
      <c r="E24" s="54" t="s">
        <v>546</v>
      </c>
      <c r="F24" s="243">
        <v>136000</v>
      </c>
      <c r="G24" s="218" t="s">
        <v>547</v>
      </c>
    </row>
    <row r="25" spans="1:7" ht="18" customHeight="1" x14ac:dyDescent="0.25">
      <c r="A25" s="51" t="s">
        <v>548</v>
      </c>
      <c r="B25" s="53" t="s">
        <v>549</v>
      </c>
      <c r="C25" s="51" t="s">
        <v>550</v>
      </c>
      <c r="D25" s="53" t="s">
        <v>551</v>
      </c>
      <c r="E25" s="54" t="s">
        <v>552</v>
      </c>
      <c r="F25" s="243">
        <v>68000</v>
      </c>
      <c r="G25" s="218" t="s">
        <v>553</v>
      </c>
    </row>
    <row r="26" spans="1:7" s="166" customFormat="1" ht="18" customHeight="1" x14ac:dyDescent="0.25">
      <c r="A26" s="255"/>
      <c r="B26" s="256"/>
      <c r="C26" s="255"/>
      <c r="D26" s="256"/>
      <c r="E26" s="257"/>
      <c r="F26" s="258"/>
      <c r="G26" s="212"/>
    </row>
    <row r="27" spans="1:7" s="166" customFormat="1" ht="18" customHeight="1" x14ac:dyDescent="0.25">
      <c r="A27" s="255"/>
      <c r="B27" s="256"/>
      <c r="C27" s="255"/>
      <c r="D27" s="256"/>
      <c r="E27" s="257"/>
      <c r="F27" s="258"/>
      <c r="G27" s="212"/>
    </row>
    <row r="28" spans="1:7" ht="14.1" customHeight="1" x14ac:dyDescent="0.25">
      <c r="A28" s="55" t="s">
        <v>554</v>
      </c>
      <c r="B28" s="244" t="s">
        <v>555</v>
      </c>
      <c r="C28" s="201" t="s">
        <v>556</v>
      </c>
      <c r="D28" s="201" t="s">
        <v>557</v>
      </c>
      <c r="E28" s="201" t="s">
        <v>558</v>
      </c>
      <c r="F28" s="201" t="s">
        <v>559</v>
      </c>
    </row>
    <row r="29" spans="1:7" s="166" customFormat="1" ht="14.1" customHeight="1" x14ac:dyDescent="0.25">
      <c r="A29" s="259">
        <f>COUNTA(A12:A25)</f>
        <v>14</v>
      </c>
      <c r="B29" s="244"/>
      <c r="C29" s="201"/>
      <c r="D29" s="201"/>
      <c r="E29" s="201"/>
      <c r="F29" s="201"/>
    </row>
    <row r="30" spans="1:7" s="166" customFormat="1" ht="14.1" customHeight="1" x14ac:dyDescent="0.25">
      <c r="A30" s="55"/>
      <c r="B30" s="244"/>
      <c r="C30" s="201"/>
      <c r="D30" s="201"/>
      <c r="E30" s="201"/>
      <c r="F30" s="201"/>
    </row>
    <row r="31" spans="1:7" ht="23.1" customHeight="1" x14ac:dyDescent="0.25">
      <c r="A31" s="56" t="s">
        <v>560</v>
      </c>
      <c r="B31" s="245" t="s">
        <v>561</v>
      </c>
      <c r="C31" s="201" t="s">
        <v>562</v>
      </c>
      <c r="D31" s="201" t="s">
        <v>563</v>
      </c>
      <c r="E31" s="201" t="s">
        <v>564</v>
      </c>
      <c r="F31" s="201" t="s">
        <v>565</v>
      </c>
      <c r="G31" s="201"/>
    </row>
    <row r="32" spans="1:7" s="166" customFormat="1" ht="23.1" customHeight="1" x14ac:dyDescent="0.25">
      <c r="A32" s="53" t="s">
        <v>503</v>
      </c>
      <c r="B32" s="260">
        <f>COUNTIF($D$12:$D$25,A32)</f>
        <v>2</v>
      </c>
      <c r="C32" s="201"/>
      <c r="D32" s="201"/>
      <c r="E32" s="201"/>
      <c r="F32" s="201"/>
      <c r="G32" s="201"/>
    </row>
    <row r="33" spans="1:7" s="166" customFormat="1" ht="23.1" customHeight="1" x14ac:dyDescent="0.25">
      <c r="A33" s="53" t="s">
        <v>473</v>
      </c>
      <c r="B33" s="260">
        <f>COUNTIF($D$12:$D$25,A33)</f>
        <v>7</v>
      </c>
      <c r="C33" s="201"/>
      <c r="D33" s="201"/>
      <c r="E33" s="201"/>
      <c r="F33" s="201"/>
      <c r="G33" s="201"/>
    </row>
    <row r="34" spans="1:7" ht="23.1" customHeight="1" x14ac:dyDescent="0.25">
      <c r="A34" s="168" t="s">
        <v>566</v>
      </c>
      <c r="B34" s="245" t="s">
        <v>567</v>
      </c>
      <c r="C34" s="201" t="s">
        <v>568</v>
      </c>
      <c r="D34" s="201" t="s">
        <v>569</v>
      </c>
      <c r="E34" s="201" t="s">
        <v>570</v>
      </c>
      <c r="F34" s="201" t="s">
        <v>571</v>
      </c>
      <c r="G34" s="201"/>
    </row>
    <row r="35" spans="1:7" s="166" customFormat="1" ht="23.1" customHeight="1" x14ac:dyDescent="0.25">
      <c r="A35" s="168"/>
      <c r="B35" s="52" t="s">
        <v>453</v>
      </c>
      <c r="C35" s="242" t="s">
        <v>455</v>
      </c>
      <c r="D35" s="201"/>
      <c r="E35" s="201"/>
      <c r="F35" s="201"/>
      <c r="G35" s="201"/>
    </row>
    <row r="36" spans="1:7" s="166" customFormat="1" ht="23.1" customHeight="1" x14ac:dyDescent="0.25">
      <c r="A36" s="53" t="s">
        <v>495</v>
      </c>
      <c r="B36" s="260" t="str">
        <f>VLOOKUP($A$36,$B$12:$F$25,3,FALSE)</f>
        <v>Engineering</v>
      </c>
      <c r="C36" s="260">
        <f>VLOOKUP($A$36,$B$12:$F$25,5,FALSE)</f>
        <v>90000</v>
      </c>
      <c r="D36" s="201"/>
      <c r="E36" s="201"/>
      <c r="F36" s="201"/>
      <c r="G36" s="201"/>
    </row>
    <row r="37" spans="1:7" s="166" customFormat="1" ht="23.1" customHeight="1" x14ac:dyDescent="0.25">
      <c r="A37" s="168"/>
      <c r="B37" s="245"/>
      <c r="C37" s="201"/>
      <c r="D37" s="201"/>
      <c r="E37" s="201"/>
      <c r="F37" s="201"/>
      <c r="G37" s="201"/>
    </row>
    <row r="38" spans="1:7" ht="23.1" customHeight="1" x14ac:dyDescent="0.25">
      <c r="A38" s="168" t="s">
        <v>572</v>
      </c>
      <c r="B38" s="245" t="s">
        <v>573</v>
      </c>
      <c r="C38" s="201" t="s">
        <v>574</v>
      </c>
      <c r="D38" s="201" t="s">
        <v>575</v>
      </c>
      <c r="E38" s="201" t="s">
        <v>576</v>
      </c>
      <c r="F38" s="201" t="s">
        <v>577</v>
      </c>
      <c r="G38" s="201"/>
    </row>
    <row r="39" spans="1:7" ht="21.95" customHeight="1" x14ac:dyDescent="0.25">
      <c r="A39" s="168" t="s">
        <v>578</v>
      </c>
      <c r="B39" s="245" t="s">
        <v>579</v>
      </c>
      <c r="C39" s="201" t="s">
        <v>580</v>
      </c>
      <c r="D39" s="201" t="s">
        <v>581</v>
      </c>
      <c r="E39" s="201" t="s">
        <v>582</v>
      </c>
      <c r="F39" s="201" t="s">
        <v>583</v>
      </c>
      <c r="G39" s="201"/>
    </row>
    <row r="40" spans="1:7" ht="15.95" customHeight="1" x14ac:dyDescent="0.25">
      <c r="E40" s="201"/>
      <c r="F40" s="201"/>
      <c r="G40" s="201"/>
    </row>
    <row r="41" spans="1:7" ht="14.1" customHeight="1" x14ac:dyDescent="0.25">
      <c r="E41" s="201"/>
      <c r="F41" s="201"/>
      <c r="G41" s="201"/>
    </row>
    <row r="42" spans="1:7" ht="14.1" customHeight="1" x14ac:dyDescent="0.25">
      <c r="E42" s="247" t="s">
        <v>590</v>
      </c>
    </row>
    <row r="43" spans="1:7" ht="14.1" customHeight="1" x14ac:dyDescent="0.25">
      <c r="E43" s="248" t="s">
        <v>592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5"/>
  <sheetViews>
    <sheetView topLeftCell="A4" workbookViewId="0">
      <selection activeCell="B24" sqref="B24:D24"/>
    </sheetView>
  </sheetViews>
  <sheetFormatPr defaultRowHeight="15" x14ac:dyDescent="0.25"/>
  <cols>
    <col min="1" max="1" width="51.5703125" bestFit="1" customWidth="1"/>
    <col min="2" max="2" width="6.85546875" bestFit="1" customWidth="1"/>
    <col min="3" max="3" width="18.5703125" bestFit="1" customWidth="1"/>
    <col min="4" max="4" width="6.5703125" bestFit="1" customWidth="1"/>
    <col min="5" max="5" width="15.28515625" customWidth="1"/>
    <col min="6" max="9" width="6.5703125" bestFit="1" customWidth="1"/>
    <col min="10" max="10" width="7.85546875" bestFit="1" customWidth="1"/>
  </cols>
  <sheetData>
    <row r="1" spans="1:10" ht="3.95" customHeight="1" x14ac:dyDescent="0.25">
      <c r="A1" s="499" t="s">
        <v>594</v>
      </c>
      <c r="B1" s="483"/>
      <c r="C1" s="483"/>
      <c r="D1" s="483"/>
      <c r="E1" s="483"/>
      <c r="F1" s="483"/>
      <c r="G1" s="483"/>
      <c r="H1" s="483"/>
      <c r="I1" s="483"/>
      <c r="J1" s="483"/>
    </row>
    <row r="2" spans="1:10" ht="21" customHeight="1" x14ac:dyDescent="0.25">
      <c r="A2" s="239" t="s">
        <v>584</v>
      </c>
      <c r="B2" s="201"/>
      <c r="C2" s="201"/>
      <c r="D2" s="201"/>
      <c r="E2" s="166"/>
      <c r="F2" s="166"/>
      <c r="G2" s="166"/>
      <c r="H2" s="166"/>
      <c r="I2" s="166"/>
      <c r="J2" s="166"/>
    </row>
    <row r="3" spans="1:10" ht="14.1" customHeight="1" x14ac:dyDescent="0.25">
      <c r="A3" s="226" t="s">
        <v>585</v>
      </c>
      <c r="B3" s="201"/>
      <c r="C3" s="201"/>
      <c r="D3" s="201"/>
      <c r="E3" s="166"/>
      <c r="F3" s="166"/>
      <c r="G3" s="166"/>
      <c r="H3" s="166"/>
    </row>
    <row r="4" spans="1:10" ht="14.1" customHeight="1" thickBot="1" x14ac:dyDescent="0.3">
      <c r="A4" s="58" t="s">
        <v>586</v>
      </c>
      <c r="B4" s="182" t="s">
        <v>587</v>
      </c>
      <c r="C4" s="59" t="s">
        <v>588</v>
      </c>
      <c r="D4" s="246" t="s">
        <v>589</v>
      </c>
      <c r="E4" s="166"/>
      <c r="F4" s="166"/>
      <c r="G4" s="166"/>
      <c r="H4" s="166"/>
    </row>
    <row r="5" spans="1:10" ht="14.1" customHeight="1" x14ac:dyDescent="0.25">
      <c r="A5" s="60" t="s">
        <v>591</v>
      </c>
      <c r="B5" s="249">
        <v>2.95</v>
      </c>
      <c r="C5" s="249">
        <v>3.75</v>
      </c>
      <c r="D5" s="249">
        <v>4.1500000000000004</v>
      </c>
      <c r="E5" s="166"/>
      <c r="F5" s="166"/>
      <c r="G5" s="166"/>
      <c r="H5" s="166"/>
    </row>
    <row r="6" spans="1:10" ht="14.1" customHeight="1" x14ac:dyDescent="0.25">
      <c r="A6" s="61" t="s">
        <v>593</v>
      </c>
      <c r="B6" s="250">
        <v>2.95</v>
      </c>
      <c r="C6" s="250">
        <v>3.65</v>
      </c>
      <c r="D6" s="250">
        <v>4.1500000000000004</v>
      </c>
      <c r="E6" s="166"/>
      <c r="F6" s="166"/>
      <c r="G6" s="166"/>
      <c r="H6" s="166"/>
    </row>
    <row r="7" spans="1:10" ht="14.1" customHeight="1" x14ac:dyDescent="0.25">
      <c r="A7" s="62" t="s">
        <v>595</v>
      </c>
      <c r="B7" s="251">
        <v>3.75</v>
      </c>
      <c r="C7" s="251">
        <v>3.95</v>
      </c>
      <c r="D7" s="251">
        <v>4.25</v>
      </c>
      <c r="E7" s="166"/>
      <c r="F7" s="166"/>
      <c r="G7" s="166"/>
      <c r="H7" s="166"/>
    </row>
    <row r="8" spans="1:10" ht="14.1" customHeight="1" x14ac:dyDescent="0.25">
      <c r="A8" s="62" t="s">
        <v>596</v>
      </c>
      <c r="B8" s="251">
        <v>3.25</v>
      </c>
      <c r="C8" s="251">
        <v>3.95</v>
      </c>
      <c r="D8" s="251">
        <v>4.4000000000000004</v>
      </c>
      <c r="E8" s="166"/>
      <c r="F8" s="166"/>
      <c r="G8" s="166"/>
      <c r="H8" s="166"/>
    </row>
    <row r="9" spans="1:10" ht="14.1" customHeight="1" x14ac:dyDescent="0.25">
      <c r="A9" s="62" t="s">
        <v>597</v>
      </c>
      <c r="B9" s="251">
        <v>3.45</v>
      </c>
      <c r="C9" s="251">
        <v>4.1500000000000004</v>
      </c>
      <c r="D9" s="251">
        <v>4.55</v>
      </c>
      <c r="E9" s="166"/>
      <c r="F9" s="166"/>
      <c r="G9" s="166"/>
      <c r="H9" s="166"/>
      <c r="I9" s="166"/>
      <c r="J9" s="166"/>
    </row>
    <row r="10" spans="1:10" ht="14.1" customHeight="1" x14ac:dyDescent="0.25">
      <c r="A10" s="62" t="s">
        <v>598</v>
      </c>
      <c r="B10" s="251">
        <v>2</v>
      </c>
      <c r="C10" s="251">
        <v>2.4</v>
      </c>
      <c r="D10" s="251">
        <v>2.75</v>
      </c>
      <c r="E10" s="166"/>
      <c r="F10" s="166"/>
      <c r="G10" s="166"/>
      <c r="H10" s="166"/>
      <c r="I10" s="166"/>
      <c r="J10" s="166"/>
    </row>
    <row r="11" spans="1:10" ht="24.95" customHeight="1" x14ac:dyDescent="0.25">
      <c r="A11" s="62" t="s">
        <v>599</v>
      </c>
      <c r="B11" s="251">
        <v>3.95</v>
      </c>
      <c r="C11" s="251">
        <v>4.75</v>
      </c>
      <c r="D11" s="251">
        <v>5.15</v>
      </c>
      <c r="E11" s="166" t="s">
        <v>607</v>
      </c>
      <c r="F11" s="166" t="s">
        <v>608</v>
      </c>
      <c r="G11" s="166" t="s">
        <v>609</v>
      </c>
      <c r="H11" s="166" t="s">
        <v>610</v>
      </c>
      <c r="I11" s="166"/>
      <c r="J11" s="166"/>
    </row>
    <row r="12" spans="1:10" ht="18" customHeight="1" x14ac:dyDescent="0.25">
      <c r="A12" s="62" t="s">
        <v>600</v>
      </c>
      <c r="B12" s="251">
        <v>2.25</v>
      </c>
      <c r="C12" s="251">
        <v>2.5</v>
      </c>
      <c r="D12" s="251">
        <v>2.75</v>
      </c>
      <c r="E12" s="166" t="s">
        <v>614</v>
      </c>
      <c r="F12" s="166" t="s">
        <v>615</v>
      </c>
      <c r="G12" s="166" t="s">
        <v>616</v>
      </c>
      <c r="H12" s="166" t="s">
        <v>617</v>
      </c>
      <c r="I12" s="166"/>
      <c r="J12" s="166"/>
    </row>
    <row r="13" spans="1:10" ht="18" customHeight="1" x14ac:dyDescent="0.25">
      <c r="A13" s="62" t="s">
        <v>601</v>
      </c>
      <c r="B13" s="251">
        <v>1.75</v>
      </c>
      <c r="C13" s="251">
        <v>1.95</v>
      </c>
      <c r="D13" s="251">
        <v>2.0499999999999998</v>
      </c>
      <c r="E13" s="166" t="s">
        <v>621</v>
      </c>
      <c r="F13" s="166" t="s">
        <v>622</v>
      </c>
      <c r="G13" s="166" t="s">
        <v>623</v>
      </c>
      <c r="H13" s="166" t="s">
        <v>624</v>
      </c>
      <c r="I13" s="166"/>
      <c r="J13" s="166"/>
    </row>
    <row r="14" spans="1:10" s="166" customFormat="1" ht="18" customHeight="1" x14ac:dyDescent="0.25">
      <c r="A14" s="188"/>
      <c r="B14" s="252"/>
      <c r="C14" s="252"/>
      <c r="D14" s="252"/>
    </row>
    <row r="15" spans="1:10" s="166" customFormat="1" ht="18" customHeight="1" x14ac:dyDescent="0.25">
      <c r="A15" s="188"/>
      <c r="B15" s="252"/>
      <c r="C15" s="252"/>
      <c r="D15" s="252"/>
    </row>
    <row r="16" spans="1:10" ht="14.1" customHeight="1" x14ac:dyDescent="0.25">
      <c r="A16" s="183" t="s">
        <v>602</v>
      </c>
      <c r="B16" s="166"/>
      <c r="C16" s="166"/>
      <c r="D16" s="166"/>
      <c r="E16" s="166"/>
      <c r="F16" s="166"/>
      <c r="G16" s="166"/>
      <c r="H16" s="166"/>
      <c r="I16" s="166"/>
      <c r="J16" s="166"/>
    </row>
    <row r="17" spans="1:11" ht="14.1" customHeight="1" x14ac:dyDescent="0.25">
      <c r="A17" s="183" t="s">
        <v>603</v>
      </c>
      <c r="B17" s="166"/>
      <c r="C17" s="166"/>
      <c r="D17" s="166"/>
    </row>
    <row r="18" spans="1:11" ht="24.95" customHeight="1" x14ac:dyDescent="0.25">
      <c r="A18" s="7" t="s">
        <v>604</v>
      </c>
      <c r="B18" s="253">
        <f>MATCH(A18,$A$4:$D$4,0)</f>
        <v>3</v>
      </c>
      <c r="D18" s="166" t="s">
        <v>606</v>
      </c>
      <c r="E18" s="169" t="s">
        <v>605</v>
      </c>
      <c r="F18" s="166" t="s">
        <v>632</v>
      </c>
      <c r="G18" s="166" t="s">
        <v>633</v>
      </c>
      <c r="H18" s="166"/>
      <c r="I18" s="166"/>
      <c r="J18" s="166"/>
    </row>
    <row r="19" spans="1:11" ht="18" customHeight="1" x14ac:dyDescent="0.25">
      <c r="A19" s="6" t="s">
        <v>611</v>
      </c>
      <c r="B19" s="253">
        <f t="shared" ref="B19:B20" si="0">MATCH(A19,$A$4:$D$4,0)</f>
        <v>4</v>
      </c>
      <c r="D19" s="166" t="s">
        <v>613</v>
      </c>
      <c r="E19" s="169" t="s">
        <v>612</v>
      </c>
      <c r="F19" t="s">
        <v>637</v>
      </c>
      <c r="G19" t="s">
        <v>638</v>
      </c>
    </row>
    <row r="20" spans="1:11" ht="17.100000000000001" customHeight="1" x14ac:dyDescent="0.25">
      <c r="A20" s="6" t="s">
        <v>618</v>
      </c>
      <c r="B20" s="253">
        <f t="shared" si="0"/>
        <v>2</v>
      </c>
      <c r="D20" s="166" t="s">
        <v>620</v>
      </c>
      <c r="E20" s="169" t="s">
        <v>619</v>
      </c>
      <c r="F20" t="s">
        <v>642</v>
      </c>
      <c r="G20" t="s">
        <v>643</v>
      </c>
    </row>
    <row r="21" spans="1:11" s="166" customFormat="1" ht="17.100000000000001" customHeight="1" x14ac:dyDescent="0.25">
      <c r="A21" s="168"/>
      <c r="E21" s="169"/>
    </row>
    <row r="22" spans="1:11" ht="15.95" customHeight="1" x14ac:dyDescent="0.25">
      <c r="A22" s="183" t="s">
        <v>625</v>
      </c>
      <c r="B22" s="166"/>
      <c r="C22" s="166"/>
      <c r="D22" s="166"/>
      <c r="E22" s="166"/>
      <c r="F22" s="166"/>
      <c r="G22" s="166"/>
      <c r="H22" s="166"/>
      <c r="I22" s="166"/>
      <c r="J22" s="166"/>
    </row>
    <row r="23" spans="1:11" s="166" customFormat="1" ht="15.95" customHeight="1" x14ac:dyDescent="0.25">
      <c r="B23" s="558" t="s">
        <v>587</v>
      </c>
      <c r="C23" s="559" t="s">
        <v>588</v>
      </c>
      <c r="D23" s="560" t="s">
        <v>589</v>
      </c>
    </row>
    <row r="24" spans="1:11" s="166" customFormat="1" ht="15.95" customHeight="1" x14ac:dyDescent="0.25">
      <c r="A24" s="62" t="s">
        <v>596</v>
      </c>
      <c r="B24" s="216">
        <f>VLOOKUP($A$24,$A$5:$D$13,2,FALSE)</f>
        <v>3.25</v>
      </c>
      <c r="C24" s="216">
        <f>VLOOKUP($A$24,$A$5:$D$13,3,FALSE)</f>
        <v>3.95</v>
      </c>
      <c r="D24" s="216">
        <f>VLOOKUP($A$24,$A$5:$D$13,4,FALSE)</f>
        <v>4.4000000000000004</v>
      </c>
    </row>
    <row r="25" spans="1:11" s="166" customFormat="1" ht="15.95" customHeight="1" x14ac:dyDescent="0.25"/>
    <row r="26" spans="1:11" ht="14.1" customHeight="1" x14ac:dyDescent="0.25">
      <c r="A26" s="508" t="s">
        <v>626</v>
      </c>
      <c r="B26" s="483" t="s">
        <v>627</v>
      </c>
      <c r="C26" s="483" t="s">
        <v>628</v>
      </c>
      <c r="D26" s="509" t="s">
        <v>629</v>
      </c>
      <c r="E26" s="166"/>
      <c r="F26" s="166"/>
      <c r="G26" s="166"/>
      <c r="H26" s="166"/>
      <c r="I26" s="166"/>
      <c r="J26" s="166"/>
    </row>
    <row r="27" spans="1:11" ht="14.1" customHeight="1" x14ac:dyDescent="0.25">
      <c r="A27" s="7" t="s">
        <v>630</v>
      </c>
      <c r="B27" s="7" t="s">
        <v>631</v>
      </c>
      <c r="C27" s="216">
        <f>VLOOKUP($A$27,$A$4:$D$13,MATCH($B27,$A$4:$D$4,0),FALSE)</f>
        <v>3.95</v>
      </c>
      <c r="D27" s="184"/>
      <c r="E27" s="166"/>
      <c r="F27" s="166"/>
      <c r="G27" s="166"/>
      <c r="H27" s="166"/>
      <c r="I27" s="166"/>
      <c r="J27" s="166"/>
      <c r="K27" s="166"/>
    </row>
    <row r="28" spans="1:11" ht="14.1" customHeight="1" x14ac:dyDescent="0.25">
      <c r="A28" s="7" t="s">
        <v>634</v>
      </c>
      <c r="B28" s="7" t="s">
        <v>635</v>
      </c>
      <c r="C28" s="216">
        <f t="shared" ref="C28:C29" si="1">VLOOKUP($A$27,$A$4:$D$13,MATCH($B28,$A$4:$D$4,0),FALSE)</f>
        <v>3.25</v>
      </c>
      <c r="D28" t="s">
        <v>636</v>
      </c>
    </row>
    <row r="29" spans="1:11" ht="23.1" customHeight="1" x14ac:dyDescent="0.25">
      <c r="A29" s="7" t="s">
        <v>639</v>
      </c>
      <c r="B29" s="7" t="s">
        <v>640</v>
      </c>
      <c r="C29" s="216">
        <f t="shared" si="1"/>
        <v>4.4000000000000004</v>
      </c>
      <c r="D29" t="s">
        <v>641</v>
      </c>
    </row>
    <row r="30" spans="1:11" ht="23.1" customHeight="1" x14ac:dyDescent="0.25"/>
    <row r="31" spans="1:11" ht="23.1" customHeight="1" x14ac:dyDescent="0.25"/>
    <row r="32" spans="1:11" ht="23.1" customHeight="1" x14ac:dyDescent="0.25"/>
    <row r="33" spans="1:4" ht="23.1" customHeight="1" x14ac:dyDescent="0.25"/>
    <row r="34" spans="1:4" ht="23.1" customHeight="1" x14ac:dyDescent="0.25"/>
    <row r="35" spans="1:4" ht="23.1" customHeight="1" x14ac:dyDescent="0.25"/>
    <row r="36" spans="1:4" ht="18" customHeight="1" x14ac:dyDescent="0.25"/>
    <row r="37" spans="1:4" ht="14.1" customHeight="1" x14ac:dyDescent="0.25"/>
    <row r="38" spans="1:4" ht="14.1" customHeight="1" x14ac:dyDescent="0.25"/>
    <row r="39" spans="1:4" ht="15" customHeight="1" x14ac:dyDescent="0.25"/>
    <row r="40" spans="1:4" ht="11.1" customHeight="1" x14ac:dyDescent="0.25"/>
    <row r="42" spans="1:4" ht="28.5" customHeight="1" x14ac:dyDescent="0.25"/>
    <row r="44" spans="1:4" x14ac:dyDescent="0.25">
      <c r="A44" s="16"/>
      <c r="B44" s="171"/>
      <c r="C44" s="172"/>
      <c r="D44" s="172"/>
    </row>
    <row r="45" spans="1:4" x14ac:dyDescent="0.25">
      <c r="A45" s="173"/>
      <c r="B45" s="166"/>
      <c r="C45" s="166"/>
      <c r="D45" s="166"/>
    </row>
  </sheetData>
  <mergeCells count="2">
    <mergeCell ref="A1:J1"/>
    <mergeCell ref="A26:D26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7D159-DF68-49E0-9A19-8AC9759A681E}">
  <dimension ref="A1:K24"/>
  <sheetViews>
    <sheetView workbookViewId="0">
      <selection activeCell="G21" sqref="G21"/>
    </sheetView>
  </sheetViews>
  <sheetFormatPr defaultRowHeight="15" x14ac:dyDescent="0.25"/>
  <cols>
    <col min="1" max="1" width="16.85546875" customWidth="1"/>
  </cols>
  <sheetData>
    <row r="1" spans="1:11" ht="15.75" x14ac:dyDescent="0.25">
      <c r="A1" s="177" t="s">
        <v>644</v>
      </c>
      <c r="B1" s="166"/>
      <c r="C1" s="166"/>
      <c r="D1" s="166"/>
    </row>
    <row r="2" spans="1:11" x14ac:dyDescent="0.25">
      <c r="A2" s="493" t="s">
        <v>645</v>
      </c>
      <c r="B2" s="493"/>
      <c r="C2" s="493"/>
      <c r="D2" s="493"/>
      <c r="E2" s="493"/>
    </row>
    <row r="3" spans="1:11" x14ac:dyDescent="0.25">
      <c r="A3" s="63" t="s">
        <v>646</v>
      </c>
      <c r="B3" s="63" t="s">
        <v>647</v>
      </c>
      <c r="C3" s="63" t="s">
        <v>648</v>
      </c>
      <c r="D3" s="63" t="s">
        <v>649</v>
      </c>
    </row>
    <row r="4" spans="1:11" x14ac:dyDescent="0.25">
      <c r="A4" s="265" t="s">
        <v>650</v>
      </c>
      <c r="B4" s="266" t="s">
        <v>651</v>
      </c>
      <c r="C4" s="266" t="s">
        <v>652</v>
      </c>
      <c r="D4" s="266" t="s">
        <v>653</v>
      </c>
      <c r="E4" s="266" t="s">
        <v>654</v>
      </c>
      <c r="F4" s="266" t="s">
        <v>655</v>
      </c>
      <c r="G4" s="266" t="s">
        <v>656</v>
      </c>
      <c r="H4" s="266" t="s">
        <v>657</v>
      </c>
      <c r="I4" s="266" t="s">
        <v>658</v>
      </c>
      <c r="J4" s="166"/>
    </row>
    <row r="5" spans="1:11" x14ac:dyDescent="0.25">
      <c r="A5" s="267" t="s">
        <v>659</v>
      </c>
      <c r="B5" s="268" t="s">
        <v>660</v>
      </c>
      <c r="C5" s="268" t="s">
        <v>661</v>
      </c>
      <c r="D5" s="268" t="s">
        <v>662</v>
      </c>
      <c r="E5" s="268" t="s">
        <v>663</v>
      </c>
      <c r="F5" s="268" t="s">
        <v>664</v>
      </c>
      <c r="G5" s="268" t="s">
        <v>665</v>
      </c>
      <c r="H5" s="268" t="s">
        <v>666</v>
      </c>
      <c r="I5" s="268" t="s">
        <v>667</v>
      </c>
      <c r="J5" s="166"/>
      <c r="K5" s="261"/>
    </row>
    <row r="6" spans="1:11" x14ac:dyDescent="0.25">
      <c r="A6" s="267" t="s">
        <v>668</v>
      </c>
      <c r="B6" s="268" t="s">
        <v>669</v>
      </c>
      <c r="C6" s="268" t="s">
        <v>670</v>
      </c>
      <c r="D6" s="268" t="s">
        <v>671</v>
      </c>
      <c r="E6" s="268" t="s">
        <v>672</v>
      </c>
      <c r="F6" s="268" t="s">
        <v>673</v>
      </c>
      <c r="G6" s="268" t="s">
        <v>674</v>
      </c>
      <c r="H6" s="268" t="s">
        <v>675</v>
      </c>
      <c r="I6" s="268" t="s">
        <v>676</v>
      </c>
      <c r="J6" s="166"/>
    </row>
    <row r="7" spans="1:11" x14ac:dyDescent="0.25">
      <c r="A7" s="267" t="s">
        <v>677</v>
      </c>
      <c r="B7" s="268" t="s">
        <v>678</v>
      </c>
      <c r="C7" s="268" t="s">
        <v>679</v>
      </c>
      <c r="D7" s="268" t="s">
        <v>680</v>
      </c>
      <c r="E7" s="268" t="s">
        <v>681</v>
      </c>
      <c r="F7" s="268" t="s">
        <v>682</v>
      </c>
      <c r="G7" s="268" t="s">
        <v>683</v>
      </c>
      <c r="H7" s="268" t="s">
        <v>684</v>
      </c>
      <c r="I7" s="268" t="s">
        <v>685</v>
      </c>
      <c r="J7" s="166"/>
    </row>
    <row r="8" spans="1:11" x14ac:dyDescent="0.25">
      <c r="A8" s="267" t="s">
        <v>686</v>
      </c>
      <c r="B8" s="268" t="s">
        <v>687</v>
      </c>
      <c r="C8" s="268" t="s">
        <v>688</v>
      </c>
      <c r="D8" s="268" t="s">
        <v>689</v>
      </c>
      <c r="E8" s="268" t="s">
        <v>690</v>
      </c>
      <c r="F8" s="268" t="s">
        <v>691</v>
      </c>
      <c r="G8" s="268" t="s">
        <v>692</v>
      </c>
      <c r="H8" s="268" t="s">
        <v>693</v>
      </c>
      <c r="I8" s="268" t="s">
        <v>694</v>
      </c>
      <c r="J8" s="166"/>
    </row>
    <row r="9" spans="1:11" x14ac:dyDescent="0.25">
      <c r="A9" s="267" t="s">
        <v>695</v>
      </c>
      <c r="B9" s="268" t="s">
        <v>696</v>
      </c>
      <c r="C9" s="268" t="s">
        <v>697</v>
      </c>
      <c r="D9" s="268" t="s">
        <v>698</v>
      </c>
      <c r="E9" s="268" t="s">
        <v>699</v>
      </c>
      <c r="F9" s="268" t="s">
        <v>700</v>
      </c>
      <c r="G9" s="268" t="s">
        <v>701</v>
      </c>
      <c r="H9" s="268" t="s">
        <v>702</v>
      </c>
      <c r="I9" s="268" t="s">
        <v>703</v>
      </c>
      <c r="J9" s="166"/>
    </row>
    <row r="10" spans="1:11" x14ac:dyDescent="0.25">
      <c r="A10" s="267" t="s">
        <v>704</v>
      </c>
      <c r="B10" s="268" t="s">
        <v>705</v>
      </c>
      <c r="C10" s="268" t="s">
        <v>706</v>
      </c>
      <c r="D10" s="268" t="s">
        <v>707</v>
      </c>
      <c r="E10" s="268" t="s">
        <v>708</v>
      </c>
      <c r="F10" s="268" t="s">
        <v>709</v>
      </c>
      <c r="G10" s="268" t="s">
        <v>710</v>
      </c>
      <c r="H10" s="268" t="s">
        <v>711</v>
      </c>
      <c r="I10" s="268" t="s">
        <v>712</v>
      </c>
      <c r="J10" s="166"/>
    </row>
    <row r="11" spans="1:11" x14ac:dyDescent="0.25">
      <c r="A11" s="267" t="s">
        <v>713</v>
      </c>
      <c r="B11" s="268" t="s">
        <v>714</v>
      </c>
      <c r="C11" s="268" t="s">
        <v>715</v>
      </c>
      <c r="D11" s="268" t="s">
        <v>716</v>
      </c>
      <c r="E11" s="268" t="s">
        <v>717</v>
      </c>
      <c r="F11" s="268" t="s">
        <v>718</v>
      </c>
      <c r="G11" s="268" t="s">
        <v>719</v>
      </c>
      <c r="H11" s="268" t="s">
        <v>720</v>
      </c>
      <c r="I11" s="268" t="s">
        <v>721</v>
      </c>
      <c r="J11" s="166"/>
    </row>
    <row r="12" spans="1:11" x14ac:dyDescent="0.25">
      <c r="A12" s="267" t="s">
        <v>722</v>
      </c>
      <c r="B12" s="268" t="s">
        <v>723</v>
      </c>
      <c r="C12" s="268" t="s">
        <v>724</v>
      </c>
      <c r="D12" s="268" t="s">
        <v>725</v>
      </c>
      <c r="E12" s="268" t="s">
        <v>726</v>
      </c>
      <c r="F12" s="268" t="s">
        <v>727</v>
      </c>
      <c r="G12" s="268" t="s">
        <v>728</v>
      </c>
      <c r="H12" s="268" t="s">
        <v>729</v>
      </c>
      <c r="I12" s="268" t="s">
        <v>730</v>
      </c>
      <c r="J12" s="166"/>
    </row>
    <row r="13" spans="1:11" s="166" customFormat="1" x14ac:dyDescent="0.25">
      <c r="A13" s="262"/>
      <c r="B13" s="263"/>
      <c r="C13" s="263"/>
      <c r="D13" s="263"/>
      <c r="E13" s="263"/>
      <c r="F13" s="263"/>
      <c r="G13" s="263"/>
      <c r="H13" s="263"/>
      <c r="I13" s="263"/>
    </row>
    <row r="14" spans="1:11" s="166" customFormat="1" x14ac:dyDescent="0.25">
      <c r="A14" s="262"/>
      <c r="B14" s="263"/>
      <c r="C14" s="263"/>
      <c r="D14" s="263"/>
      <c r="E14" s="263"/>
      <c r="F14" s="263"/>
      <c r="G14" s="263"/>
      <c r="H14" s="263"/>
      <c r="I14" s="263"/>
      <c r="J14" s="215"/>
    </row>
    <row r="15" spans="1:11" s="166" customFormat="1" x14ac:dyDescent="0.25">
      <c r="A15" s="262"/>
      <c r="B15" s="263"/>
      <c r="C15" s="263"/>
      <c r="D15" s="263"/>
      <c r="E15" s="263"/>
      <c r="F15" s="263"/>
      <c r="G15" s="263"/>
      <c r="H15" s="263"/>
      <c r="I15" s="263"/>
      <c r="J15" s="215"/>
    </row>
    <row r="16" spans="1:11" x14ac:dyDescent="0.25">
      <c r="A16" s="185" t="s">
        <v>731</v>
      </c>
      <c r="B16" s="166"/>
      <c r="C16" s="166"/>
      <c r="D16" s="166"/>
      <c r="I16" s="261"/>
    </row>
    <row r="17" spans="1:9" s="166" customFormat="1" x14ac:dyDescent="0.25">
      <c r="A17" s="264">
        <f>COUNTA(A5:A12)</f>
        <v>8</v>
      </c>
      <c r="I17" s="261"/>
    </row>
    <row r="18" spans="1:9" s="166" customFormat="1" x14ac:dyDescent="0.25">
      <c r="A18" s="185"/>
      <c r="I18" s="261"/>
    </row>
    <row r="19" spans="1:9" s="166" customFormat="1" x14ac:dyDescent="0.25">
      <c r="A19" s="185"/>
      <c r="I19" s="261"/>
    </row>
    <row r="20" spans="1:9" x14ac:dyDescent="0.25">
      <c r="A20" s="185" t="s">
        <v>732</v>
      </c>
      <c r="B20" s="166"/>
      <c r="C20" s="166"/>
      <c r="D20" s="166"/>
    </row>
    <row r="22" spans="1:9" x14ac:dyDescent="0.25">
      <c r="B22" s="64" t="s">
        <v>653</v>
      </c>
      <c r="C22" s="64" t="s">
        <v>657</v>
      </c>
    </row>
    <row r="23" spans="1:9" x14ac:dyDescent="0.25">
      <c r="A23" s="45" t="s">
        <v>677</v>
      </c>
      <c r="B23" s="216" t="str">
        <f>VLOOKUP($A23,$A$5:$H$12,4,FALSE)</f>
        <v>$8,377</v>
      </c>
      <c r="C23" s="216" t="str">
        <f>VLOOKUP($A23,$A$5:$H$12,8,FALSE)</f>
        <v>$21,159</v>
      </c>
    </row>
    <row r="24" spans="1:9" x14ac:dyDescent="0.25">
      <c r="A24" s="45" t="s">
        <v>722</v>
      </c>
      <c r="B24" s="216" t="str">
        <f>VLOOKUP($A24,$A$5:$H$12,4,FALSE)</f>
        <v>$6,469</v>
      </c>
      <c r="C24" s="216" t="str">
        <f>VLOOKUP($A24,$A$5:$H$12,8,FALSE)</f>
        <v>$3,334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3"/>
  <sheetViews>
    <sheetView topLeftCell="B4" workbookViewId="0">
      <selection activeCell="J6" sqref="J6"/>
    </sheetView>
  </sheetViews>
  <sheetFormatPr defaultRowHeight="15" x14ac:dyDescent="0.25"/>
  <cols>
    <col min="1" max="1" width="38"/>
    <col min="2" max="3" width="11"/>
    <col min="4" max="4" width="14"/>
    <col min="5" max="5" width="12"/>
    <col min="6" max="6" width="12.140625" bestFit="1" customWidth="1"/>
    <col min="7" max="7" width="13.140625" bestFit="1" customWidth="1"/>
    <col min="8" max="8" width="12.140625" bestFit="1" customWidth="1"/>
    <col min="11" max="11" width="13.140625" bestFit="1" customWidth="1"/>
    <col min="12" max="12" width="12.140625" bestFit="1" customWidth="1"/>
  </cols>
  <sheetData>
    <row r="1" spans="1:14" ht="10.5" customHeight="1" x14ac:dyDescent="0.25">
      <c r="A1" s="499" t="s">
        <v>733</v>
      </c>
      <c r="B1" s="483"/>
      <c r="C1" s="483"/>
      <c r="D1" s="483"/>
      <c r="E1" s="483"/>
    </row>
    <row r="2" spans="1:14" ht="21" customHeight="1" x14ac:dyDescent="0.3">
      <c r="A2" s="510" t="s">
        <v>734</v>
      </c>
      <c r="B2" s="483"/>
      <c r="C2" s="483"/>
      <c r="D2" s="483"/>
      <c r="E2" s="483"/>
    </row>
    <row r="3" spans="1:14" ht="15.95" customHeight="1" x14ac:dyDescent="0.25">
      <c r="A3" t="s">
        <v>735</v>
      </c>
      <c r="B3" s="22" t="s">
        <v>736</v>
      </c>
    </row>
    <row r="4" spans="1:14" ht="14.1" customHeight="1" x14ac:dyDescent="0.25">
      <c r="A4" t="s">
        <v>737</v>
      </c>
      <c r="B4" s="5" t="s">
        <v>738</v>
      </c>
    </row>
    <row r="5" spans="1:14" ht="14.1" customHeight="1" x14ac:dyDescent="0.25">
      <c r="A5" s="29" t="s">
        <v>739</v>
      </c>
      <c r="B5" s="29" t="s">
        <v>740</v>
      </c>
      <c r="C5" s="29" t="s">
        <v>741</v>
      </c>
      <c r="D5" s="29" t="s">
        <v>742</v>
      </c>
      <c r="F5" s="271" t="s">
        <v>2413</v>
      </c>
      <c r="G5" t="s">
        <v>2503</v>
      </c>
      <c r="M5" s="271" t="s">
        <v>2413</v>
      </c>
      <c r="N5" t="s">
        <v>2503</v>
      </c>
    </row>
    <row r="6" spans="1:14" ht="18" customHeight="1" x14ac:dyDescent="0.25">
      <c r="A6" s="4" t="s">
        <v>743</v>
      </c>
      <c r="B6" s="65">
        <v>16753</v>
      </c>
      <c r="C6" s="4" t="s">
        <v>744</v>
      </c>
      <c r="D6" s="4" t="s">
        <v>745</v>
      </c>
      <c r="F6" s="315" t="s">
        <v>760</v>
      </c>
      <c r="G6" s="272">
        <v>29569</v>
      </c>
      <c r="H6" s="271"/>
      <c r="I6" s="271"/>
      <c r="J6" s="271"/>
      <c r="K6" s="271"/>
      <c r="L6" s="271"/>
      <c r="M6" s="315" t="s">
        <v>747</v>
      </c>
      <c r="N6" s="272">
        <v>77015</v>
      </c>
    </row>
    <row r="7" spans="1:14" ht="18" customHeight="1" x14ac:dyDescent="0.25">
      <c r="A7" s="4" t="s">
        <v>746</v>
      </c>
      <c r="B7" s="65">
        <v>14808</v>
      </c>
      <c r="C7" s="4" t="s">
        <v>747</v>
      </c>
      <c r="D7" s="4" t="s">
        <v>748</v>
      </c>
      <c r="F7" s="315" t="s">
        <v>751</v>
      </c>
      <c r="G7" s="272">
        <v>23238</v>
      </c>
      <c r="M7" s="315" t="s">
        <v>744</v>
      </c>
      <c r="N7" s="272">
        <v>75909</v>
      </c>
    </row>
    <row r="8" spans="1:14" ht="18" customHeight="1" x14ac:dyDescent="0.25">
      <c r="A8" s="4" t="s">
        <v>749</v>
      </c>
      <c r="B8" s="65">
        <v>10644</v>
      </c>
      <c r="C8" s="4" t="s">
        <v>750</v>
      </c>
      <c r="D8" s="4" t="s">
        <v>751</v>
      </c>
      <c r="F8" s="315" t="s">
        <v>745</v>
      </c>
      <c r="G8" s="272">
        <v>51929</v>
      </c>
      <c r="M8" s="315" t="s">
        <v>1762</v>
      </c>
      <c r="N8" s="272">
        <v>152924</v>
      </c>
    </row>
    <row r="9" spans="1:14" ht="18" customHeight="1" x14ac:dyDescent="0.25">
      <c r="A9" s="4" t="s">
        <v>752</v>
      </c>
      <c r="B9" s="65">
        <v>1390</v>
      </c>
      <c r="C9" s="4" t="s">
        <v>753</v>
      </c>
      <c r="D9" s="4" t="s">
        <v>754</v>
      </c>
      <c r="F9" s="315" t="s">
        <v>748</v>
      </c>
      <c r="G9" s="272">
        <v>48188</v>
      </c>
    </row>
    <row r="10" spans="1:14" ht="18" customHeight="1" x14ac:dyDescent="0.25">
      <c r="A10" s="4" t="s">
        <v>755</v>
      </c>
      <c r="B10" s="65">
        <v>4865</v>
      </c>
      <c r="C10" s="4" t="s">
        <v>756</v>
      </c>
      <c r="D10" s="4" t="s">
        <v>757</v>
      </c>
      <c r="F10" s="315" t="s">
        <v>1762</v>
      </c>
      <c r="G10" s="272">
        <v>152924</v>
      </c>
    </row>
    <row r="11" spans="1:14" ht="18" customHeight="1" x14ac:dyDescent="0.25">
      <c r="A11" s="4" t="s">
        <v>758</v>
      </c>
      <c r="B11" s="65">
        <v>12438</v>
      </c>
      <c r="C11" s="4" t="s">
        <v>759</v>
      </c>
      <c r="D11" s="4" t="s">
        <v>760</v>
      </c>
    </row>
    <row r="12" spans="1:14" ht="18" customHeight="1" x14ac:dyDescent="0.25">
      <c r="A12" s="4" t="s">
        <v>761</v>
      </c>
      <c r="B12" s="65">
        <v>9339</v>
      </c>
      <c r="C12" s="4" t="s">
        <v>762</v>
      </c>
      <c r="D12" s="4" t="s">
        <v>763</v>
      </c>
      <c r="J12" s="271"/>
      <c r="K12" s="271"/>
      <c r="L12" s="271"/>
    </row>
    <row r="13" spans="1:14" ht="18" customHeight="1" x14ac:dyDescent="0.25">
      <c r="A13" s="4" t="s">
        <v>764</v>
      </c>
      <c r="B13" s="65">
        <v>18919</v>
      </c>
      <c r="C13" s="4" t="s">
        <v>765</v>
      </c>
      <c r="D13" s="4" t="s">
        <v>766</v>
      </c>
    </row>
    <row r="14" spans="1:14" ht="18" customHeight="1" x14ac:dyDescent="0.25">
      <c r="A14" s="4" t="s">
        <v>767</v>
      </c>
      <c r="B14" s="65">
        <v>9213</v>
      </c>
      <c r="C14" s="4" t="s">
        <v>768</v>
      </c>
      <c r="D14" s="4" t="s">
        <v>769</v>
      </c>
    </row>
    <row r="15" spans="1:14" ht="18" customHeight="1" x14ac:dyDescent="0.25">
      <c r="A15" s="4" t="s">
        <v>770</v>
      </c>
      <c r="B15" s="65">
        <v>7433</v>
      </c>
      <c r="C15" s="4" t="s">
        <v>771</v>
      </c>
      <c r="D15" s="4" t="s">
        <v>772</v>
      </c>
    </row>
    <row r="16" spans="1:14" ht="18" customHeight="1" x14ac:dyDescent="0.25">
      <c r="A16" s="4" t="s">
        <v>773</v>
      </c>
      <c r="B16" s="65">
        <v>3255</v>
      </c>
      <c r="C16" s="4" t="s">
        <v>774</v>
      </c>
      <c r="D16" s="4" t="s">
        <v>775</v>
      </c>
    </row>
    <row r="17" spans="1:4" ht="18" customHeight="1" x14ac:dyDescent="0.25">
      <c r="A17" s="4" t="s">
        <v>776</v>
      </c>
      <c r="B17" s="65">
        <v>14867</v>
      </c>
      <c r="C17" s="4" t="s">
        <v>777</v>
      </c>
      <c r="D17" s="4" t="s">
        <v>778</v>
      </c>
    </row>
    <row r="18" spans="1:4" ht="18" customHeight="1" x14ac:dyDescent="0.25">
      <c r="A18" s="4" t="s">
        <v>779</v>
      </c>
      <c r="B18" s="65">
        <v>19302</v>
      </c>
      <c r="C18" s="4" t="s">
        <v>780</v>
      </c>
      <c r="D18" s="4" t="s">
        <v>781</v>
      </c>
    </row>
    <row r="19" spans="1:4" ht="18" customHeight="1" x14ac:dyDescent="0.25">
      <c r="A19" s="4" t="s">
        <v>782</v>
      </c>
      <c r="B19" s="65">
        <v>9698</v>
      </c>
      <c r="C19" s="4" t="s">
        <v>783</v>
      </c>
      <c r="D19" s="4" t="s">
        <v>784</v>
      </c>
    </row>
    <row r="20" spans="1:4" ht="15.95" customHeight="1" x14ac:dyDescent="0.25"/>
    <row r="21" spans="1:4" ht="14.1" customHeight="1" x14ac:dyDescent="0.25"/>
    <row r="22" spans="1:4" ht="12.95" customHeight="1" x14ac:dyDescent="0.25"/>
    <row r="23" spans="1:4" ht="18" customHeight="1" x14ac:dyDescent="0.25"/>
    <row r="24" spans="1:4" ht="18" customHeight="1" x14ac:dyDescent="0.25"/>
    <row r="25" spans="1:4" ht="18" customHeight="1" x14ac:dyDescent="0.25"/>
    <row r="26" spans="1:4" ht="18" customHeight="1" x14ac:dyDescent="0.25"/>
    <row r="27" spans="1:4" ht="18" customHeight="1" x14ac:dyDescent="0.25"/>
    <row r="28" spans="1:4" ht="18" customHeight="1" x14ac:dyDescent="0.25"/>
    <row r="29" spans="1:4" ht="18" customHeight="1" x14ac:dyDescent="0.25"/>
    <row r="30" spans="1:4" ht="18" customHeight="1" x14ac:dyDescent="0.25"/>
    <row r="31" spans="1:4" ht="18" customHeight="1" x14ac:dyDescent="0.25"/>
    <row r="32" spans="1:4" ht="18" customHeight="1" x14ac:dyDescent="0.25"/>
    <row r="33" spans="1:5" ht="18" customHeight="1" x14ac:dyDescent="0.25"/>
    <row r="34" spans="1:5" ht="18" customHeight="1" x14ac:dyDescent="0.25"/>
    <row r="35" spans="1:5" ht="18" customHeight="1" x14ac:dyDescent="0.25"/>
    <row r="36" spans="1:5" ht="18" customHeight="1" x14ac:dyDescent="0.25"/>
    <row r="37" spans="1:5" ht="18" customHeight="1" x14ac:dyDescent="0.25"/>
    <row r="38" spans="1:5" ht="18" customHeight="1" x14ac:dyDescent="0.25"/>
    <row r="39" spans="1:5" ht="18" customHeight="1" x14ac:dyDescent="0.25"/>
    <row r="40" spans="1:5" ht="18" customHeight="1" x14ac:dyDescent="0.25"/>
    <row r="41" spans="1:5" ht="17.100000000000001" customHeight="1" x14ac:dyDescent="0.25"/>
    <row r="42" spans="1:5" ht="15" customHeight="1" x14ac:dyDescent="0.25">
      <c r="A42" s="16" t="s">
        <v>852</v>
      </c>
      <c r="B42" s="504" t="s">
        <v>853</v>
      </c>
      <c r="C42" s="505" t="s">
        <v>854</v>
      </c>
      <c r="D42" s="505" t="s">
        <v>855</v>
      </c>
      <c r="E42" s="505" t="s">
        <v>856</v>
      </c>
    </row>
    <row r="43" spans="1:5" ht="11.1" customHeight="1" x14ac:dyDescent="0.25">
      <c r="A43" s="502" t="s">
        <v>857</v>
      </c>
      <c r="B43" s="483"/>
      <c r="C43" s="483"/>
      <c r="D43" s="483"/>
      <c r="E43" s="483"/>
    </row>
  </sheetData>
  <mergeCells count="4">
    <mergeCell ref="A1:E1"/>
    <mergeCell ref="A2:E2"/>
    <mergeCell ref="B42:E42"/>
    <mergeCell ref="A43:E43"/>
  </mergeCells>
  <pageMargins left="0.75" right="0.75" top="1" bottom="1" header="0.5" footer="0.5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7C71F-2A32-48A0-A9D1-7A549EDA6CFA}">
  <dimension ref="A1:U79"/>
  <sheetViews>
    <sheetView topLeftCell="A25" workbookViewId="0">
      <selection activeCell="A59" sqref="A59"/>
    </sheetView>
  </sheetViews>
  <sheetFormatPr defaultRowHeight="15" x14ac:dyDescent="0.25"/>
  <cols>
    <col min="1" max="1" width="10.7109375" customWidth="1"/>
    <col min="3" max="3" width="13.140625" bestFit="1" customWidth="1"/>
    <col min="4" max="4" width="13.7109375" bestFit="1" customWidth="1"/>
    <col min="5" max="5" width="11.5703125" bestFit="1" customWidth="1"/>
    <col min="7" max="7" width="13.140625" bestFit="1" customWidth="1"/>
    <col min="8" max="8" width="13.7109375" bestFit="1" customWidth="1"/>
    <col min="10" max="10" width="15.5703125" bestFit="1" customWidth="1"/>
    <col min="11" max="11" width="13.5703125" bestFit="1" customWidth="1"/>
    <col min="12" max="12" width="13.7109375" bestFit="1" customWidth="1"/>
    <col min="20" max="20" width="15.5703125" bestFit="1" customWidth="1"/>
    <col min="21" max="21" width="13.7109375" bestFit="1" customWidth="1"/>
  </cols>
  <sheetData>
    <row r="1" spans="1:5" ht="15.75" x14ac:dyDescent="0.25">
      <c r="A1" t="s">
        <v>785</v>
      </c>
      <c r="B1" t="s">
        <v>786</v>
      </c>
      <c r="C1" s="22" t="s">
        <v>787</v>
      </c>
    </row>
    <row r="2" spans="1:5" x14ac:dyDescent="0.25">
      <c r="A2" t="s">
        <v>788</v>
      </c>
      <c r="B2" s="5" t="s">
        <v>789</v>
      </c>
    </row>
    <row r="3" spans="1:5" x14ac:dyDescent="0.25">
      <c r="A3" s="66" t="s">
        <v>790</v>
      </c>
      <c r="B3" s="66" t="s">
        <v>791</v>
      </c>
      <c r="C3" s="66" t="s">
        <v>792</v>
      </c>
      <c r="D3" s="66" t="s">
        <v>793</v>
      </c>
      <c r="E3" s="66" t="s">
        <v>794</v>
      </c>
    </row>
    <row r="4" spans="1:5" x14ac:dyDescent="0.25">
      <c r="A4" s="67" t="s">
        <v>795</v>
      </c>
      <c r="B4" s="67">
        <v>1998</v>
      </c>
      <c r="C4" s="67" t="s">
        <v>796</v>
      </c>
      <c r="D4" s="67" t="s">
        <v>797</v>
      </c>
      <c r="E4" s="269">
        <v>554536</v>
      </c>
    </row>
    <row r="5" spans="1:5" x14ac:dyDescent="0.25">
      <c r="A5" s="67" t="s">
        <v>798</v>
      </c>
      <c r="B5" s="67">
        <v>1998</v>
      </c>
      <c r="C5" s="67" t="s">
        <v>799</v>
      </c>
      <c r="D5" s="67" t="s">
        <v>800</v>
      </c>
      <c r="E5" s="269">
        <v>540643</v>
      </c>
    </row>
    <row r="6" spans="1:5" x14ac:dyDescent="0.25">
      <c r="A6" s="67" t="s">
        <v>801</v>
      </c>
      <c r="B6" s="67">
        <v>1998</v>
      </c>
      <c r="C6" s="67" t="s">
        <v>802</v>
      </c>
      <c r="D6" s="67" t="s">
        <v>803</v>
      </c>
      <c r="E6" s="269">
        <v>577548</v>
      </c>
    </row>
    <row r="7" spans="1:5" x14ac:dyDescent="0.25">
      <c r="A7" s="67" t="s">
        <v>804</v>
      </c>
      <c r="B7" s="67">
        <v>1998</v>
      </c>
      <c r="C7" s="67" t="s">
        <v>805</v>
      </c>
      <c r="D7" s="67" t="s">
        <v>806</v>
      </c>
      <c r="E7" s="269">
        <v>455905</v>
      </c>
    </row>
    <row r="8" spans="1:5" x14ac:dyDescent="0.25">
      <c r="A8" s="67" t="s">
        <v>807</v>
      </c>
      <c r="B8" s="67">
        <v>1998</v>
      </c>
      <c r="C8" s="67" t="s">
        <v>808</v>
      </c>
      <c r="D8" s="67" t="s">
        <v>809</v>
      </c>
      <c r="E8" s="269">
        <v>490871</v>
      </c>
    </row>
    <row r="9" spans="1:5" x14ac:dyDescent="0.25">
      <c r="A9" s="67" t="s">
        <v>810</v>
      </c>
      <c r="B9" s="67">
        <v>1998</v>
      </c>
      <c r="C9" s="67" t="s">
        <v>811</v>
      </c>
      <c r="D9" s="67" t="s">
        <v>812</v>
      </c>
      <c r="E9" s="269">
        <v>446383</v>
      </c>
    </row>
    <row r="10" spans="1:5" x14ac:dyDescent="0.25">
      <c r="A10" s="67" t="s">
        <v>813</v>
      </c>
      <c r="B10" s="67">
        <v>1998</v>
      </c>
      <c r="C10" s="67" t="s">
        <v>814</v>
      </c>
      <c r="D10" s="67" t="s">
        <v>815</v>
      </c>
      <c r="E10" s="269">
        <v>457726</v>
      </c>
    </row>
    <row r="11" spans="1:5" x14ac:dyDescent="0.25">
      <c r="A11" s="67" t="s">
        <v>816</v>
      </c>
      <c r="B11" s="67">
        <v>1998</v>
      </c>
      <c r="C11" s="67" t="s">
        <v>817</v>
      </c>
      <c r="D11" s="67" t="s">
        <v>818</v>
      </c>
      <c r="E11" s="269">
        <v>347696</v>
      </c>
    </row>
    <row r="12" spans="1:5" x14ac:dyDescent="0.25">
      <c r="A12" s="67" t="s">
        <v>819</v>
      </c>
      <c r="B12" s="67">
        <v>1998</v>
      </c>
      <c r="C12" s="67" t="s">
        <v>820</v>
      </c>
      <c r="D12" s="67" t="s">
        <v>821</v>
      </c>
      <c r="E12" s="269">
        <v>384541</v>
      </c>
    </row>
    <row r="13" spans="1:5" x14ac:dyDescent="0.25">
      <c r="A13" s="67" t="s">
        <v>822</v>
      </c>
      <c r="B13" s="67">
        <v>1998</v>
      </c>
      <c r="C13" s="67" t="s">
        <v>823</v>
      </c>
      <c r="D13" s="67" t="s">
        <v>824</v>
      </c>
      <c r="E13" s="269">
        <v>386420</v>
      </c>
    </row>
    <row r="14" spans="1:5" x14ac:dyDescent="0.25">
      <c r="A14" s="67" t="s">
        <v>825</v>
      </c>
      <c r="B14" s="67">
        <v>1998</v>
      </c>
      <c r="C14" s="67" t="s">
        <v>826</v>
      </c>
      <c r="D14" s="67" t="s">
        <v>827</v>
      </c>
      <c r="E14" s="269">
        <v>370970</v>
      </c>
    </row>
    <row r="15" spans="1:5" x14ac:dyDescent="0.25">
      <c r="A15" s="67" t="s">
        <v>828</v>
      </c>
      <c r="B15" s="67">
        <v>1998</v>
      </c>
      <c r="C15" s="67" t="s">
        <v>829</v>
      </c>
      <c r="D15" s="67" t="s">
        <v>830</v>
      </c>
      <c r="E15" s="269">
        <v>430754</v>
      </c>
    </row>
    <row r="16" spans="1:5" x14ac:dyDescent="0.25">
      <c r="A16" s="67" t="s">
        <v>831</v>
      </c>
      <c r="B16" s="67">
        <v>1998</v>
      </c>
      <c r="C16" s="67" t="s">
        <v>832</v>
      </c>
      <c r="D16" s="67" t="s">
        <v>833</v>
      </c>
      <c r="E16" s="269">
        <v>500847</v>
      </c>
    </row>
    <row r="17" spans="1:5" x14ac:dyDescent="0.25">
      <c r="A17" s="67" t="s">
        <v>834</v>
      </c>
      <c r="B17" s="67">
        <v>1998</v>
      </c>
      <c r="C17" s="67" t="s">
        <v>835</v>
      </c>
      <c r="D17" s="67" t="s">
        <v>836</v>
      </c>
      <c r="E17" s="269">
        <v>507070</v>
      </c>
    </row>
    <row r="18" spans="1:5" x14ac:dyDescent="0.25">
      <c r="A18" s="67" t="s">
        <v>837</v>
      </c>
      <c r="B18" s="67">
        <v>1998</v>
      </c>
      <c r="C18" s="67" t="s">
        <v>838</v>
      </c>
      <c r="D18" s="67" t="s">
        <v>839</v>
      </c>
      <c r="E18" s="269">
        <v>482346</v>
      </c>
    </row>
    <row r="19" spans="1:5" x14ac:dyDescent="0.25">
      <c r="A19" s="67" t="s">
        <v>840</v>
      </c>
      <c r="B19" s="67">
        <v>1998</v>
      </c>
      <c r="C19" s="67" t="s">
        <v>841</v>
      </c>
      <c r="D19" s="67" t="s">
        <v>842</v>
      </c>
      <c r="E19" s="269">
        <v>608713</v>
      </c>
    </row>
    <row r="20" spans="1:5" x14ac:dyDescent="0.25">
      <c r="A20" s="67" t="s">
        <v>843</v>
      </c>
      <c r="B20" s="67">
        <v>1998</v>
      </c>
      <c r="C20" s="67" t="s">
        <v>844</v>
      </c>
      <c r="D20" s="67" t="s">
        <v>845</v>
      </c>
      <c r="E20" s="269">
        <v>150000</v>
      </c>
    </row>
    <row r="21" spans="1:5" x14ac:dyDescent="0.25">
      <c r="A21" s="67" t="s">
        <v>846</v>
      </c>
      <c r="B21" s="67">
        <v>1998</v>
      </c>
      <c r="C21" s="67" t="s">
        <v>847</v>
      </c>
      <c r="D21" s="67" t="s">
        <v>848</v>
      </c>
      <c r="E21" s="269">
        <v>500649</v>
      </c>
    </row>
    <row r="22" spans="1:5" x14ac:dyDescent="0.25">
      <c r="A22" s="67" t="s">
        <v>849</v>
      </c>
      <c r="B22" s="67">
        <v>1998</v>
      </c>
      <c r="C22" s="67" t="s">
        <v>850</v>
      </c>
      <c r="D22" s="67" t="s">
        <v>851</v>
      </c>
      <c r="E22" s="269">
        <v>545780</v>
      </c>
    </row>
    <row r="23" spans="1:5" x14ac:dyDescent="0.25">
      <c r="A23" s="67" t="s">
        <v>849</v>
      </c>
      <c r="B23" s="67">
        <v>1998</v>
      </c>
      <c r="C23" s="67" t="s">
        <v>799</v>
      </c>
      <c r="D23" s="67" t="s">
        <v>797</v>
      </c>
      <c r="E23" s="269">
        <v>440644</v>
      </c>
    </row>
    <row r="24" spans="1:5" x14ac:dyDescent="0.25">
      <c r="A24" s="67" t="s">
        <v>849</v>
      </c>
      <c r="B24" s="67">
        <v>1998</v>
      </c>
      <c r="C24" s="67" t="s">
        <v>802</v>
      </c>
      <c r="D24" s="67" t="s">
        <v>797</v>
      </c>
      <c r="E24" s="270">
        <v>580359</v>
      </c>
    </row>
    <row r="25" spans="1:5" x14ac:dyDescent="0.25">
      <c r="A25" s="67" t="s">
        <v>849</v>
      </c>
      <c r="B25" s="67">
        <v>1998</v>
      </c>
      <c r="C25" s="67" t="s">
        <v>805</v>
      </c>
      <c r="D25" s="67" t="s">
        <v>797</v>
      </c>
      <c r="E25" s="270">
        <v>536225</v>
      </c>
    </row>
    <row r="26" spans="1:5" x14ac:dyDescent="0.25">
      <c r="A26" s="67" t="s">
        <v>849</v>
      </c>
      <c r="B26" s="67">
        <v>1998</v>
      </c>
      <c r="C26" s="67" t="s">
        <v>808</v>
      </c>
      <c r="D26" s="67" t="s">
        <v>797</v>
      </c>
      <c r="E26" s="270">
        <v>414908</v>
      </c>
    </row>
    <row r="27" spans="1:5" x14ac:dyDescent="0.25">
      <c r="A27" s="67" t="s">
        <v>849</v>
      </c>
      <c r="B27" s="67">
        <v>1998</v>
      </c>
      <c r="C27" s="67" t="s">
        <v>811</v>
      </c>
      <c r="D27" s="67" t="s">
        <v>797</v>
      </c>
      <c r="E27" s="270">
        <v>377997</v>
      </c>
    </row>
    <row r="28" spans="1:5" x14ac:dyDescent="0.25">
      <c r="A28" s="67" t="s">
        <v>849</v>
      </c>
      <c r="B28" s="67">
        <v>1998</v>
      </c>
      <c r="C28" s="67" t="s">
        <v>796</v>
      </c>
      <c r="D28" s="67" t="s">
        <v>815</v>
      </c>
      <c r="E28" s="270">
        <v>331289</v>
      </c>
    </row>
    <row r="29" spans="1:5" x14ac:dyDescent="0.25">
      <c r="A29" s="67" t="s">
        <v>849</v>
      </c>
      <c r="B29" s="67">
        <v>1998</v>
      </c>
      <c r="C29" s="67" t="s">
        <v>799</v>
      </c>
      <c r="D29" s="67" t="s">
        <v>815</v>
      </c>
      <c r="E29" s="270">
        <v>384572</v>
      </c>
    </row>
    <row r="30" spans="1:5" x14ac:dyDescent="0.25">
      <c r="A30" s="67" t="s">
        <v>849</v>
      </c>
      <c r="B30" s="67">
        <v>1998</v>
      </c>
      <c r="C30" s="67" t="s">
        <v>802</v>
      </c>
      <c r="D30" s="67" t="s">
        <v>815</v>
      </c>
      <c r="E30" s="270">
        <v>365813</v>
      </c>
    </row>
    <row r="31" spans="1:5" x14ac:dyDescent="0.25">
      <c r="A31" s="67" t="s">
        <v>849</v>
      </c>
      <c r="B31" s="67">
        <v>1998</v>
      </c>
      <c r="C31" s="67" t="s">
        <v>805</v>
      </c>
      <c r="D31" s="67" t="s">
        <v>815</v>
      </c>
      <c r="E31" s="270">
        <v>396338</v>
      </c>
    </row>
    <row r="32" spans="1:5" x14ac:dyDescent="0.25">
      <c r="A32" s="67" t="s">
        <v>849</v>
      </c>
      <c r="B32" s="67">
        <v>1998</v>
      </c>
      <c r="C32" s="67" t="s">
        <v>808</v>
      </c>
      <c r="D32" s="67" t="s">
        <v>815</v>
      </c>
      <c r="E32" s="270">
        <v>453761</v>
      </c>
    </row>
    <row r="33" spans="1:14" x14ac:dyDescent="0.25">
      <c r="A33" s="67" t="s">
        <v>849</v>
      </c>
      <c r="B33" s="67">
        <v>1998</v>
      </c>
      <c r="C33" s="67" t="s">
        <v>811</v>
      </c>
      <c r="D33" s="67" t="s">
        <v>815</v>
      </c>
      <c r="E33" s="270">
        <v>356538</v>
      </c>
    </row>
    <row r="34" spans="1:14" x14ac:dyDescent="0.25">
      <c r="A34" s="67" t="s">
        <v>849</v>
      </c>
      <c r="B34" s="67">
        <v>1998</v>
      </c>
      <c r="C34" s="67" t="s">
        <v>796</v>
      </c>
      <c r="D34" s="67" t="s">
        <v>833</v>
      </c>
      <c r="E34" s="270">
        <v>606332</v>
      </c>
    </row>
    <row r="35" spans="1:14" x14ac:dyDescent="0.25">
      <c r="A35" s="67" t="s">
        <v>849</v>
      </c>
      <c r="B35" s="67">
        <v>1998</v>
      </c>
      <c r="C35" s="67" t="s">
        <v>799</v>
      </c>
      <c r="D35" s="67" t="s">
        <v>833</v>
      </c>
      <c r="E35" s="270">
        <v>535218</v>
      </c>
    </row>
    <row r="36" spans="1:14" x14ac:dyDescent="0.25">
      <c r="A36" s="67" t="s">
        <v>849</v>
      </c>
      <c r="B36" s="67">
        <v>1998</v>
      </c>
      <c r="C36" s="67" t="s">
        <v>802</v>
      </c>
      <c r="D36" s="67" t="s">
        <v>833</v>
      </c>
      <c r="E36" s="270">
        <v>493364</v>
      </c>
    </row>
    <row r="37" spans="1:14" x14ac:dyDescent="0.25">
      <c r="A37" s="67" t="s">
        <v>849</v>
      </c>
      <c r="B37" s="67">
        <v>1998</v>
      </c>
      <c r="C37" s="67" t="s">
        <v>805</v>
      </c>
      <c r="D37" s="67" t="s">
        <v>833</v>
      </c>
      <c r="E37" s="270">
        <v>559100</v>
      </c>
    </row>
    <row r="38" spans="1:14" x14ac:dyDescent="0.25">
      <c r="A38" s="67" t="s">
        <v>849</v>
      </c>
      <c r="B38" s="67">
        <v>1998</v>
      </c>
      <c r="C38" s="67" t="s">
        <v>808</v>
      </c>
      <c r="D38" s="67" t="s">
        <v>833</v>
      </c>
      <c r="E38" s="270">
        <v>220350</v>
      </c>
    </row>
    <row r="39" spans="1:14" x14ac:dyDescent="0.25">
      <c r="A39" s="67" t="s">
        <v>849</v>
      </c>
      <c r="B39" s="67">
        <v>1998</v>
      </c>
      <c r="C39" s="67" t="s">
        <v>811</v>
      </c>
      <c r="D39" s="67" t="s">
        <v>833</v>
      </c>
      <c r="E39" s="270">
        <v>476975</v>
      </c>
    </row>
    <row r="40" spans="1:14" x14ac:dyDescent="0.25">
      <c r="E40" s="261"/>
    </row>
    <row r="42" spans="1:14" x14ac:dyDescent="0.25">
      <c r="L42" s="166"/>
    </row>
    <row r="43" spans="1:14" x14ac:dyDescent="0.25">
      <c r="A43" s="175" t="s">
        <v>0</v>
      </c>
      <c r="L43" s="166"/>
      <c r="N43" s="261"/>
    </row>
    <row r="44" spans="1:14" x14ac:dyDescent="0.25">
      <c r="A44" s="186" t="s">
        <v>859</v>
      </c>
      <c r="L44" s="166"/>
      <c r="N44" s="261"/>
    </row>
    <row r="45" spans="1:14" s="166" customFormat="1" x14ac:dyDescent="0.25">
      <c r="A45" s="186"/>
      <c r="N45" s="261"/>
    </row>
    <row r="46" spans="1:14" s="166" customFormat="1" x14ac:dyDescent="0.25">
      <c r="A46" s="67" t="s">
        <v>849</v>
      </c>
      <c r="B46" s="216">
        <f>COUNTIF($A$4:$A$39,A46)</f>
        <v>18</v>
      </c>
      <c r="N46" s="261"/>
    </row>
    <row r="47" spans="1:14" s="166" customFormat="1" x14ac:dyDescent="0.25">
      <c r="A47" s="67" t="s">
        <v>795</v>
      </c>
      <c r="B47" s="216">
        <f>COUNTIF($A$4:$A$39,A47)</f>
        <v>18</v>
      </c>
      <c r="N47" s="261"/>
    </row>
    <row r="48" spans="1:14" x14ac:dyDescent="0.25">
      <c r="A48" s="166" t="s">
        <v>0</v>
      </c>
      <c r="L48" s="166"/>
      <c r="N48" s="261"/>
    </row>
    <row r="49" spans="1:21" x14ac:dyDescent="0.25">
      <c r="A49" s="168" t="s">
        <v>860</v>
      </c>
      <c r="L49" s="166"/>
      <c r="N49" s="261"/>
    </row>
    <row r="50" spans="1:21" s="166" customFormat="1" x14ac:dyDescent="0.25">
      <c r="A50" s="67" t="s">
        <v>833</v>
      </c>
      <c r="B50" s="216">
        <f>COUNTIFS($D$4:$D$39,A50,$A$4:$A$39,"Fall")</f>
        <v>6</v>
      </c>
      <c r="N50" s="261"/>
    </row>
    <row r="51" spans="1:21" s="166" customFormat="1" x14ac:dyDescent="0.25">
      <c r="A51" s="67" t="s">
        <v>797</v>
      </c>
      <c r="B51" s="216">
        <f>COUNTIFS($D$4:$D$39,A51,$A$4:$A$39,"Fall")</f>
        <v>6</v>
      </c>
      <c r="N51" s="261"/>
    </row>
    <row r="52" spans="1:21" s="166" customFormat="1" x14ac:dyDescent="0.25">
      <c r="A52" s="168"/>
      <c r="N52" s="261"/>
    </row>
    <row r="53" spans="1:21" x14ac:dyDescent="0.25">
      <c r="A53" s="167" t="s">
        <v>861</v>
      </c>
      <c r="L53" s="166"/>
      <c r="N53" s="261"/>
    </row>
    <row r="54" spans="1:21" s="166" customFormat="1" x14ac:dyDescent="0.25">
      <c r="A54" s="167"/>
      <c r="N54" s="261"/>
    </row>
    <row r="55" spans="1:21" s="166" customFormat="1" x14ac:dyDescent="0.25">
      <c r="A55" s="67" t="s">
        <v>833</v>
      </c>
      <c r="B55" s="561">
        <f>SUMIFS($E$4:$E$39,$A$4:$A$39,"Spring",$D$4:$D$39,A55)</f>
        <v>2891339</v>
      </c>
      <c r="N55" s="261"/>
    </row>
    <row r="56" spans="1:21" s="166" customFormat="1" x14ac:dyDescent="0.25">
      <c r="A56" s="67" t="s">
        <v>797</v>
      </c>
      <c r="B56" s="561">
        <f>SUMIFS($E$4:$E$39,$A$4:$A$39,"Spring",$D$4:$D$39,A56)</f>
        <v>2895913</v>
      </c>
      <c r="N56" s="261"/>
    </row>
    <row r="57" spans="1:21" x14ac:dyDescent="0.25">
      <c r="A57" s="166" t="s">
        <v>0</v>
      </c>
      <c r="L57" s="166"/>
      <c r="N57" s="261"/>
    </row>
    <row r="58" spans="1:21" x14ac:dyDescent="0.25">
      <c r="A58" s="167" t="s">
        <v>862</v>
      </c>
      <c r="L58" s="166"/>
      <c r="N58" s="261"/>
    </row>
    <row r="59" spans="1:21" s="166" customFormat="1" x14ac:dyDescent="0.25">
      <c r="A59" s="72">
        <f>COUNTIFS(A4:A39,"Spring",D4:D39,"Washington")</f>
        <v>6</v>
      </c>
      <c r="N59" s="261"/>
    </row>
    <row r="60" spans="1:21" s="166" customFormat="1" x14ac:dyDescent="0.25">
      <c r="A60" s="167"/>
      <c r="N60" s="261"/>
    </row>
    <row r="61" spans="1:21" s="166" customFormat="1" x14ac:dyDescent="0.25">
      <c r="A61" s="167"/>
      <c r="N61" s="261"/>
    </row>
    <row r="62" spans="1:21" x14ac:dyDescent="0.25">
      <c r="A62" s="167" t="s">
        <v>863</v>
      </c>
      <c r="L62" s="166"/>
      <c r="N62" s="261"/>
    </row>
    <row r="63" spans="1:21" x14ac:dyDescent="0.25">
      <c r="L63" s="166"/>
      <c r="N63" s="261"/>
    </row>
    <row r="64" spans="1:21" x14ac:dyDescent="0.25">
      <c r="C64" s="271" t="s">
        <v>2413</v>
      </c>
      <c r="D64" t="s">
        <v>2414</v>
      </c>
      <c r="G64" s="271" t="s">
        <v>2413</v>
      </c>
      <c r="H64" t="s">
        <v>2414</v>
      </c>
      <c r="K64" s="271" t="s">
        <v>2413</v>
      </c>
      <c r="L64" t="s">
        <v>2414</v>
      </c>
      <c r="N64" s="261"/>
      <c r="T64" s="271" t="s">
        <v>2413</v>
      </c>
      <c r="U64" t="s">
        <v>2414</v>
      </c>
    </row>
    <row r="65" spans="3:21" x14ac:dyDescent="0.25">
      <c r="C65" s="206" t="s">
        <v>795</v>
      </c>
      <c r="D65" s="272">
        <v>8193618</v>
      </c>
      <c r="G65" s="206" t="s">
        <v>797</v>
      </c>
      <c r="H65" s="272">
        <v>5961799</v>
      </c>
      <c r="K65" s="206" t="s">
        <v>797</v>
      </c>
      <c r="L65" s="272">
        <v>5961799</v>
      </c>
      <c r="N65" s="273"/>
      <c r="T65" s="206" t="s">
        <v>795</v>
      </c>
      <c r="U65" s="272">
        <v>8193618</v>
      </c>
    </row>
    <row r="66" spans="3:21" x14ac:dyDescent="0.25">
      <c r="C66" s="206" t="s">
        <v>849</v>
      </c>
      <c r="D66" s="272">
        <v>8075563</v>
      </c>
      <c r="G66" s="206" t="s">
        <v>815</v>
      </c>
      <c r="H66" s="272">
        <v>4666418</v>
      </c>
      <c r="K66" s="274" t="s">
        <v>795</v>
      </c>
      <c r="L66" s="272">
        <v>3065886</v>
      </c>
      <c r="N66" s="273"/>
      <c r="T66" s="274" t="s">
        <v>796</v>
      </c>
      <c r="U66" s="272">
        <v>1513109</v>
      </c>
    </row>
    <row r="67" spans="3:21" x14ac:dyDescent="0.25">
      <c r="C67" s="206" t="s">
        <v>1762</v>
      </c>
      <c r="D67" s="272">
        <v>16269181</v>
      </c>
      <c r="G67" s="206" t="s">
        <v>833</v>
      </c>
      <c r="H67" s="272">
        <v>5640964</v>
      </c>
      <c r="K67" s="274" t="s">
        <v>849</v>
      </c>
      <c r="L67" s="272">
        <v>2895913</v>
      </c>
      <c r="N67" s="261"/>
      <c r="T67" s="274" t="s">
        <v>799</v>
      </c>
      <c r="U67" s="272">
        <v>1395409</v>
      </c>
    </row>
    <row r="68" spans="3:21" x14ac:dyDescent="0.25">
      <c r="G68" s="206" t="s">
        <v>1762</v>
      </c>
      <c r="H68" s="272">
        <v>16269181</v>
      </c>
      <c r="K68" s="206" t="s">
        <v>815</v>
      </c>
      <c r="L68" s="272">
        <v>4666418</v>
      </c>
      <c r="N68" s="261"/>
      <c r="T68" s="274" t="s">
        <v>802</v>
      </c>
      <c r="U68" s="272">
        <v>1444435</v>
      </c>
    </row>
    <row r="69" spans="3:21" x14ac:dyDescent="0.25">
      <c r="K69" s="274" t="s">
        <v>795</v>
      </c>
      <c r="L69" s="272">
        <v>2378107</v>
      </c>
      <c r="N69" s="261"/>
      <c r="T69" s="274" t="s">
        <v>805</v>
      </c>
      <c r="U69" s="272">
        <v>1451038</v>
      </c>
    </row>
    <row r="70" spans="3:21" x14ac:dyDescent="0.25">
      <c r="K70" s="274" t="s">
        <v>849</v>
      </c>
      <c r="L70" s="272">
        <v>2288311</v>
      </c>
      <c r="N70" s="261"/>
      <c r="T70" s="274" t="s">
        <v>808</v>
      </c>
      <c r="U70" s="272">
        <v>1011841</v>
      </c>
    </row>
    <row r="71" spans="3:21" x14ac:dyDescent="0.25">
      <c r="K71" s="206" t="s">
        <v>833</v>
      </c>
      <c r="L71" s="272">
        <v>5640964</v>
      </c>
      <c r="N71" s="273"/>
      <c r="T71" s="274" t="s">
        <v>811</v>
      </c>
      <c r="U71" s="272">
        <v>1377786</v>
      </c>
    </row>
    <row r="72" spans="3:21" x14ac:dyDescent="0.25">
      <c r="K72" s="274" t="s">
        <v>795</v>
      </c>
      <c r="L72" s="272">
        <v>2749625</v>
      </c>
      <c r="N72" s="261"/>
      <c r="T72" s="206" t="s">
        <v>849</v>
      </c>
      <c r="U72" s="272">
        <v>8075563</v>
      </c>
    </row>
    <row r="73" spans="3:21" x14ac:dyDescent="0.25">
      <c r="K73" s="274" t="s">
        <v>849</v>
      </c>
      <c r="L73" s="272">
        <v>2891339</v>
      </c>
      <c r="N73" s="261"/>
      <c r="T73" s="274" t="s">
        <v>796</v>
      </c>
      <c r="U73" s="272">
        <v>1483401</v>
      </c>
    </row>
    <row r="74" spans="3:21" x14ac:dyDescent="0.25">
      <c r="K74" s="206" t="s">
        <v>1762</v>
      </c>
      <c r="L74" s="272">
        <v>16269181</v>
      </c>
      <c r="N74" s="261"/>
      <c r="T74" s="274" t="s">
        <v>799</v>
      </c>
      <c r="U74" s="272">
        <v>1360434</v>
      </c>
    </row>
    <row r="75" spans="3:21" x14ac:dyDescent="0.25">
      <c r="L75" s="166"/>
      <c r="N75" s="261"/>
      <c r="T75" s="274" t="s">
        <v>802</v>
      </c>
      <c r="U75" s="272">
        <v>1439536</v>
      </c>
    </row>
    <row r="76" spans="3:21" x14ac:dyDescent="0.25">
      <c r="L76" s="166"/>
      <c r="N76" s="261"/>
      <c r="T76" s="274" t="s">
        <v>805</v>
      </c>
      <c r="U76" s="272">
        <v>1491663</v>
      </c>
    </row>
    <row r="77" spans="3:21" x14ac:dyDescent="0.25">
      <c r="L77" s="166"/>
      <c r="N77" s="261"/>
      <c r="T77" s="274" t="s">
        <v>808</v>
      </c>
      <c r="U77" s="272">
        <v>1089019</v>
      </c>
    </row>
    <row r="78" spans="3:21" x14ac:dyDescent="0.25">
      <c r="L78" s="166"/>
      <c r="N78" s="261"/>
      <c r="T78" s="274" t="s">
        <v>811</v>
      </c>
      <c r="U78" s="272">
        <v>1211510</v>
      </c>
    </row>
    <row r="79" spans="3:21" x14ac:dyDescent="0.25">
      <c r="N79" s="261"/>
      <c r="T79" s="206" t="s">
        <v>1762</v>
      </c>
      <c r="U79" s="272">
        <v>16269181</v>
      </c>
    </row>
  </sheetData>
  <pageMargins left="0.7" right="0.7" top="0.75" bottom="0.75" header="0.3" footer="0.3"/>
  <drawing r:id="rId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56"/>
  <sheetViews>
    <sheetView workbookViewId="0">
      <selection activeCell="O14" sqref="O14"/>
    </sheetView>
  </sheetViews>
  <sheetFormatPr defaultRowHeight="15" x14ac:dyDescent="0.25"/>
  <cols>
    <col min="1" max="1" width="11.140625" customWidth="1"/>
    <col min="2" max="2" width="9"/>
    <col min="3" max="3" width="12"/>
    <col min="4" max="4" width="11"/>
    <col min="5" max="5" width="12"/>
    <col min="6" max="6" width="18"/>
  </cols>
  <sheetData>
    <row r="1" spans="1:6" ht="3.95" customHeight="1" x14ac:dyDescent="0.25">
      <c r="A1" s="499" t="s">
        <v>858</v>
      </c>
      <c r="B1" s="483"/>
      <c r="C1" s="483"/>
      <c r="D1" s="483"/>
      <c r="E1" s="483"/>
      <c r="F1" s="483"/>
    </row>
    <row r="2" spans="1:6" ht="15.95" customHeight="1" x14ac:dyDescent="0.25">
      <c r="A2" t="s">
        <v>864</v>
      </c>
      <c r="B2" t="s">
        <v>865</v>
      </c>
      <c r="C2" s="22" t="s">
        <v>866</v>
      </c>
    </row>
    <row r="3" spans="1:6" ht="14.1" customHeight="1" x14ac:dyDescent="0.25">
      <c r="A3" t="s">
        <v>867</v>
      </c>
      <c r="B3" s="5" t="s">
        <v>868</v>
      </c>
    </row>
    <row r="4" spans="1:6" ht="14.1" customHeight="1" x14ac:dyDescent="0.25">
      <c r="A4" s="17" t="s">
        <v>869</v>
      </c>
      <c r="B4" s="68" t="s">
        <v>870</v>
      </c>
      <c r="C4" s="1" t="s">
        <v>871</v>
      </c>
      <c r="D4" s="17" t="s">
        <v>872</v>
      </c>
      <c r="E4" s="1" t="s">
        <v>873</v>
      </c>
      <c r="F4" s="1" t="s">
        <v>874</v>
      </c>
    </row>
    <row r="5" spans="1:6" ht="18" customHeight="1" x14ac:dyDescent="0.25">
      <c r="A5" s="2">
        <v>1</v>
      </c>
      <c r="B5" s="3" t="s">
        <v>875</v>
      </c>
      <c r="C5" s="3" t="s">
        <v>876</v>
      </c>
      <c r="D5" s="275">
        <v>4270</v>
      </c>
      <c r="E5" s="2" t="s">
        <v>877</v>
      </c>
      <c r="F5" s="3" t="s">
        <v>878</v>
      </c>
    </row>
    <row r="6" spans="1:6" ht="18" customHeight="1" x14ac:dyDescent="0.25">
      <c r="A6" s="2">
        <v>2</v>
      </c>
      <c r="B6" s="69" t="s">
        <v>879</v>
      </c>
      <c r="C6" s="3" t="s">
        <v>880</v>
      </c>
      <c r="D6" s="275">
        <v>8239</v>
      </c>
      <c r="E6" s="2" t="s">
        <v>881</v>
      </c>
      <c r="F6" s="3" t="s">
        <v>882</v>
      </c>
    </row>
    <row r="7" spans="1:6" ht="18" customHeight="1" x14ac:dyDescent="0.25">
      <c r="A7" s="2">
        <v>3</v>
      </c>
      <c r="B7" s="3" t="s">
        <v>883</v>
      </c>
      <c r="C7" s="3" t="s">
        <v>884</v>
      </c>
      <c r="D7" s="2">
        <v>617</v>
      </c>
      <c r="E7" s="2" t="s">
        <v>885</v>
      </c>
      <c r="F7" s="3" t="s">
        <v>886</v>
      </c>
    </row>
    <row r="8" spans="1:6" ht="18" customHeight="1" x14ac:dyDescent="0.25">
      <c r="A8" s="2">
        <v>4</v>
      </c>
      <c r="B8" s="3" t="s">
        <v>887</v>
      </c>
      <c r="C8" s="3" t="s">
        <v>888</v>
      </c>
      <c r="D8" s="275">
        <v>8384</v>
      </c>
      <c r="E8" s="2" t="s">
        <v>889</v>
      </c>
      <c r="F8" s="3" t="s">
        <v>890</v>
      </c>
    </row>
    <row r="9" spans="1:6" ht="18" customHeight="1" x14ac:dyDescent="0.25">
      <c r="A9" s="2">
        <v>5</v>
      </c>
      <c r="B9" s="3" t="s">
        <v>891</v>
      </c>
      <c r="C9" s="3" t="s">
        <v>892</v>
      </c>
      <c r="D9" s="275">
        <v>2626</v>
      </c>
      <c r="E9" s="2" t="s">
        <v>893</v>
      </c>
      <c r="F9" s="3" t="s">
        <v>894</v>
      </c>
    </row>
    <row r="10" spans="1:6" ht="18" customHeight="1" x14ac:dyDescent="0.25">
      <c r="A10" s="2">
        <v>6</v>
      </c>
      <c r="B10" s="3" t="s">
        <v>895</v>
      </c>
      <c r="C10" s="3" t="s">
        <v>896</v>
      </c>
      <c r="D10" s="275">
        <v>3610</v>
      </c>
      <c r="E10" s="2" t="s">
        <v>897</v>
      </c>
      <c r="F10" s="3" t="s">
        <v>898</v>
      </c>
    </row>
    <row r="11" spans="1:6" ht="18" customHeight="1" x14ac:dyDescent="0.25">
      <c r="A11" s="2">
        <v>7</v>
      </c>
      <c r="B11" s="69" t="s">
        <v>899</v>
      </c>
      <c r="C11" s="3" t="s">
        <v>900</v>
      </c>
      <c r="D11" s="275">
        <v>9062</v>
      </c>
      <c r="E11" s="2" t="s">
        <v>901</v>
      </c>
      <c r="F11" s="3" t="s">
        <v>902</v>
      </c>
    </row>
    <row r="12" spans="1:6" ht="18" customHeight="1" x14ac:dyDescent="0.25">
      <c r="A12" s="2">
        <v>8</v>
      </c>
      <c r="B12" s="3" t="s">
        <v>903</v>
      </c>
      <c r="C12" s="3" t="s">
        <v>904</v>
      </c>
      <c r="D12" s="275">
        <v>6906</v>
      </c>
      <c r="E12" s="2" t="s">
        <v>905</v>
      </c>
      <c r="F12" s="3" t="s">
        <v>906</v>
      </c>
    </row>
    <row r="13" spans="1:6" ht="18" customHeight="1" x14ac:dyDescent="0.25">
      <c r="A13" s="2">
        <v>9</v>
      </c>
      <c r="B13" s="3" t="s">
        <v>907</v>
      </c>
      <c r="C13" s="3" t="s">
        <v>908</v>
      </c>
      <c r="D13" s="275">
        <v>2417</v>
      </c>
      <c r="E13" s="2" t="s">
        <v>909</v>
      </c>
      <c r="F13" s="3" t="s">
        <v>910</v>
      </c>
    </row>
    <row r="14" spans="1:6" ht="18" customHeight="1" x14ac:dyDescent="0.25">
      <c r="A14" s="2">
        <v>10</v>
      </c>
      <c r="B14" s="3" t="s">
        <v>911</v>
      </c>
      <c r="C14" s="3" t="s">
        <v>912</v>
      </c>
      <c r="D14" s="275">
        <v>7431</v>
      </c>
      <c r="E14" s="2" t="s">
        <v>913</v>
      </c>
      <c r="F14" s="3" t="s">
        <v>914</v>
      </c>
    </row>
    <row r="15" spans="1:6" ht="18" customHeight="1" x14ac:dyDescent="0.25">
      <c r="A15" s="2">
        <v>11</v>
      </c>
      <c r="B15" s="3" t="s">
        <v>915</v>
      </c>
      <c r="C15" s="3" t="s">
        <v>916</v>
      </c>
      <c r="D15" s="275">
        <v>8250</v>
      </c>
      <c r="E15" s="2" t="s">
        <v>917</v>
      </c>
      <c r="F15" s="3" t="s">
        <v>918</v>
      </c>
    </row>
    <row r="16" spans="1:6" ht="18" customHeight="1" x14ac:dyDescent="0.25">
      <c r="A16" s="2">
        <v>12</v>
      </c>
      <c r="B16" s="69" t="s">
        <v>919</v>
      </c>
      <c r="C16" s="3" t="s">
        <v>920</v>
      </c>
      <c r="D16" s="275">
        <v>7012</v>
      </c>
      <c r="E16" s="2" t="s">
        <v>921</v>
      </c>
      <c r="F16" s="3" t="s">
        <v>922</v>
      </c>
    </row>
    <row r="17" spans="1:6" ht="18" customHeight="1" x14ac:dyDescent="0.25">
      <c r="A17" s="2">
        <v>13</v>
      </c>
      <c r="B17" s="3" t="s">
        <v>923</v>
      </c>
      <c r="C17" s="3" t="s">
        <v>924</v>
      </c>
      <c r="D17" s="275">
        <v>1903</v>
      </c>
      <c r="E17" s="2" t="s">
        <v>925</v>
      </c>
      <c r="F17" s="3" t="s">
        <v>926</v>
      </c>
    </row>
    <row r="18" spans="1:6" ht="17.100000000000001" customHeight="1" x14ac:dyDescent="0.25">
      <c r="A18" s="2">
        <v>14</v>
      </c>
      <c r="B18" s="69" t="s">
        <v>927</v>
      </c>
      <c r="C18" s="3" t="s">
        <v>928</v>
      </c>
      <c r="D18" s="275">
        <v>2824</v>
      </c>
      <c r="E18" s="2" t="s">
        <v>929</v>
      </c>
      <c r="F18" s="3" t="s">
        <v>930</v>
      </c>
    </row>
    <row r="19" spans="1:6" x14ac:dyDescent="0.25">
      <c r="A19" s="2">
        <v>15</v>
      </c>
      <c r="B19" s="69" t="s">
        <v>907</v>
      </c>
      <c r="C19" s="69" t="s">
        <v>884</v>
      </c>
      <c r="D19" s="275">
        <v>6946</v>
      </c>
      <c r="E19" s="2" t="s">
        <v>932</v>
      </c>
      <c r="F19" s="69" t="s">
        <v>910</v>
      </c>
    </row>
    <row r="20" spans="1:6" x14ac:dyDescent="0.25">
      <c r="A20" s="2">
        <v>16</v>
      </c>
      <c r="B20" s="69" t="s">
        <v>883</v>
      </c>
      <c r="C20" s="69" t="s">
        <v>884</v>
      </c>
      <c r="D20" s="275">
        <v>2320</v>
      </c>
      <c r="E20" s="2" t="s">
        <v>933</v>
      </c>
      <c r="F20" s="69" t="s">
        <v>882</v>
      </c>
    </row>
    <row r="21" spans="1:6" x14ac:dyDescent="0.25">
      <c r="A21" s="2">
        <v>17</v>
      </c>
      <c r="B21" s="69" t="s">
        <v>883</v>
      </c>
      <c r="C21" s="69" t="s">
        <v>884</v>
      </c>
      <c r="D21" s="275">
        <v>2116</v>
      </c>
      <c r="E21" s="2" t="s">
        <v>934</v>
      </c>
      <c r="F21" s="69" t="s">
        <v>878</v>
      </c>
    </row>
    <row r="22" spans="1:6" x14ac:dyDescent="0.25">
      <c r="A22" s="2">
        <v>18</v>
      </c>
      <c r="B22" s="69" t="s">
        <v>883</v>
      </c>
      <c r="C22" s="69" t="s">
        <v>884</v>
      </c>
      <c r="D22" s="275">
        <v>1135</v>
      </c>
      <c r="E22" s="2" t="s">
        <v>935</v>
      </c>
      <c r="F22" s="69" t="s">
        <v>882</v>
      </c>
    </row>
    <row r="23" spans="1:6" x14ac:dyDescent="0.25">
      <c r="A23" s="2">
        <v>19</v>
      </c>
      <c r="B23" s="69" t="s">
        <v>879</v>
      </c>
      <c r="C23" s="69" t="s">
        <v>876</v>
      </c>
      <c r="D23" s="275">
        <v>3595</v>
      </c>
      <c r="E23" s="2" t="s">
        <v>935</v>
      </c>
      <c r="F23" s="69" t="s">
        <v>882</v>
      </c>
    </row>
    <row r="24" spans="1:6" x14ac:dyDescent="0.25">
      <c r="A24" s="2">
        <v>20</v>
      </c>
      <c r="B24" s="69" t="s">
        <v>907</v>
      </c>
      <c r="C24" s="69" t="s">
        <v>884</v>
      </c>
      <c r="D24" s="275">
        <v>1161</v>
      </c>
      <c r="E24" s="2" t="s">
        <v>936</v>
      </c>
      <c r="F24" s="69" t="s">
        <v>878</v>
      </c>
    </row>
    <row r="25" spans="1:6" x14ac:dyDescent="0.25">
      <c r="A25" s="2">
        <v>21</v>
      </c>
      <c r="B25" s="69" t="s">
        <v>895</v>
      </c>
      <c r="C25" s="69" t="s">
        <v>884</v>
      </c>
      <c r="D25" s="275">
        <v>2256</v>
      </c>
      <c r="E25" s="2" t="s">
        <v>937</v>
      </c>
      <c r="F25" s="69" t="s">
        <v>910</v>
      </c>
    </row>
    <row r="26" spans="1:6" x14ac:dyDescent="0.25">
      <c r="A26" s="2">
        <v>22</v>
      </c>
      <c r="B26" s="69" t="s">
        <v>883</v>
      </c>
      <c r="C26" s="69" t="s">
        <v>884</v>
      </c>
      <c r="D26" s="275">
        <v>1004</v>
      </c>
      <c r="E26" s="2" t="s">
        <v>938</v>
      </c>
      <c r="F26" s="69" t="s">
        <v>906</v>
      </c>
    </row>
    <row r="27" spans="1:6" x14ac:dyDescent="0.25">
      <c r="A27" s="2">
        <v>23</v>
      </c>
      <c r="B27" s="69" t="s">
        <v>883</v>
      </c>
      <c r="C27" s="69" t="s">
        <v>884</v>
      </c>
      <c r="D27" s="275">
        <v>3642</v>
      </c>
      <c r="E27" s="2" t="s">
        <v>939</v>
      </c>
      <c r="F27" s="69" t="s">
        <v>890</v>
      </c>
    </row>
    <row r="28" spans="1:6" x14ac:dyDescent="0.25">
      <c r="A28" s="2">
        <v>24</v>
      </c>
      <c r="B28" s="69" t="s">
        <v>883</v>
      </c>
      <c r="C28" s="69" t="s">
        <v>884</v>
      </c>
      <c r="D28" s="275">
        <v>4582</v>
      </c>
      <c r="E28" s="2" t="s">
        <v>940</v>
      </c>
      <c r="F28" s="69" t="s">
        <v>878</v>
      </c>
    </row>
    <row r="29" spans="1:6" x14ac:dyDescent="0.25">
      <c r="A29" s="2">
        <v>25</v>
      </c>
      <c r="B29" s="69" t="s">
        <v>891</v>
      </c>
      <c r="C29" s="69" t="s">
        <v>876</v>
      </c>
      <c r="D29" s="275">
        <v>3559</v>
      </c>
      <c r="E29" s="2" t="s">
        <v>940</v>
      </c>
      <c r="F29" s="69" t="s">
        <v>882</v>
      </c>
    </row>
    <row r="30" spans="1:6" x14ac:dyDescent="0.25">
      <c r="A30" s="2">
        <v>26</v>
      </c>
      <c r="B30" s="69" t="s">
        <v>875</v>
      </c>
      <c r="C30" s="69" t="s">
        <v>876</v>
      </c>
      <c r="D30" s="275">
        <v>5154</v>
      </c>
      <c r="E30" s="2" t="s">
        <v>940</v>
      </c>
      <c r="F30" s="69" t="s">
        <v>902</v>
      </c>
    </row>
    <row r="31" spans="1:6" x14ac:dyDescent="0.25">
      <c r="A31" s="2">
        <v>27</v>
      </c>
      <c r="B31" s="69" t="s">
        <v>941</v>
      </c>
      <c r="C31" s="69" t="s">
        <v>884</v>
      </c>
      <c r="D31" s="275">
        <v>7388</v>
      </c>
      <c r="E31" s="2" t="s">
        <v>942</v>
      </c>
      <c r="F31" s="69" t="s">
        <v>910</v>
      </c>
    </row>
    <row r="32" spans="1:6" x14ac:dyDescent="0.25">
      <c r="A32" s="2">
        <v>28</v>
      </c>
      <c r="B32" s="69" t="s">
        <v>891</v>
      </c>
      <c r="C32" s="69" t="s">
        <v>876</v>
      </c>
      <c r="D32" s="275">
        <v>7163</v>
      </c>
      <c r="E32" s="2" t="s">
        <v>942</v>
      </c>
      <c r="F32" s="69" t="s">
        <v>878</v>
      </c>
    </row>
    <row r="33" spans="1:14" x14ac:dyDescent="0.25">
      <c r="A33" s="2">
        <v>29</v>
      </c>
      <c r="B33" s="69" t="s">
        <v>891</v>
      </c>
      <c r="C33" s="69" t="s">
        <v>876</v>
      </c>
      <c r="D33" s="275">
        <v>5101</v>
      </c>
      <c r="E33" s="2" t="s">
        <v>943</v>
      </c>
      <c r="F33" s="69" t="s">
        <v>894</v>
      </c>
    </row>
    <row r="34" spans="1:14" x14ac:dyDescent="0.25">
      <c r="A34" s="2">
        <v>30</v>
      </c>
      <c r="B34" s="69" t="s">
        <v>907</v>
      </c>
      <c r="C34" s="69" t="s">
        <v>884</v>
      </c>
      <c r="D34" s="275">
        <v>7602</v>
      </c>
      <c r="E34" s="2" t="s">
        <v>944</v>
      </c>
      <c r="F34" s="69" t="s">
        <v>910</v>
      </c>
    </row>
    <row r="37" spans="1:14" x14ac:dyDescent="0.25">
      <c r="A37" s="166"/>
      <c r="B37" s="166"/>
      <c r="C37" s="166"/>
      <c r="D37" s="166"/>
      <c r="E37" s="166"/>
      <c r="F37" s="511"/>
      <c r="G37" s="483"/>
      <c r="I37" s="31" t="s">
        <v>945</v>
      </c>
    </row>
    <row r="38" spans="1:14" x14ac:dyDescent="0.25">
      <c r="A38" s="166"/>
      <c r="B38" s="166"/>
      <c r="C38" s="166"/>
      <c r="D38" s="201" t="s">
        <v>947</v>
      </c>
      <c r="E38" s="201" t="s">
        <v>948</v>
      </c>
      <c r="F38" s="245"/>
      <c r="I38" s="69" t="s">
        <v>884</v>
      </c>
      <c r="J38" s="191">
        <f>COUNTIF($C$5:$C$34,I38)</f>
        <v>18</v>
      </c>
    </row>
    <row r="39" spans="1:14" x14ac:dyDescent="0.25">
      <c r="A39" s="166"/>
      <c r="B39" s="166"/>
      <c r="C39" s="166"/>
      <c r="D39" s="201" t="s">
        <v>950</v>
      </c>
      <c r="E39" s="201" t="s">
        <v>951</v>
      </c>
      <c r="F39" s="245"/>
      <c r="I39" s="69" t="s">
        <v>876</v>
      </c>
      <c r="J39" s="191">
        <f>COUNTIF($C$5:$C$34,I39)</f>
        <v>12</v>
      </c>
    </row>
    <row r="40" spans="1:14" x14ac:dyDescent="0.25">
      <c r="A40" s="166"/>
      <c r="B40" s="166"/>
      <c r="C40" s="166"/>
      <c r="D40" s="166"/>
      <c r="E40" s="201" t="s">
        <v>953</v>
      </c>
      <c r="F40" s="244"/>
      <c r="I40" s="6" t="s">
        <v>946</v>
      </c>
    </row>
    <row r="41" spans="1:14" x14ac:dyDescent="0.25">
      <c r="A41" s="166"/>
      <c r="B41" s="166"/>
      <c r="C41" s="166" t="s">
        <v>954</v>
      </c>
      <c r="D41" s="166" t="s">
        <v>955</v>
      </c>
      <c r="E41" s="166" t="s">
        <v>956</v>
      </c>
      <c r="F41" s="244"/>
      <c r="I41" s="69" t="s">
        <v>907</v>
      </c>
      <c r="J41" s="191">
        <f>SUMIF($B$5:$B$34,I41,$D$5:$D$34)</f>
        <v>25557</v>
      </c>
    </row>
    <row r="42" spans="1:14" x14ac:dyDescent="0.25">
      <c r="A42" s="167"/>
      <c r="B42" s="166" t="s">
        <v>957</v>
      </c>
      <c r="C42" s="166"/>
      <c r="D42" s="201" t="s">
        <v>958</v>
      </c>
      <c r="E42" s="201" t="s">
        <v>959</v>
      </c>
      <c r="F42" s="244"/>
      <c r="I42" s="69" t="s">
        <v>883</v>
      </c>
      <c r="J42" s="191">
        <f>SUMIF($B$5:$B$34,I42,$D$5:$D$34)</f>
        <v>38956</v>
      </c>
    </row>
    <row r="44" spans="1:14" x14ac:dyDescent="0.25">
      <c r="A44" s="166"/>
      <c r="B44" s="166"/>
      <c r="C44" s="166"/>
      <c r="D44" s="166"/>
      <c r="E44" s="166"/>
      <c r="I44" s="6" t="s">
        <v>949</v>
      </c>
    </row>
    <row r="45" spans="1:14" x14ac:dyDescent="0.25">
      <c r="I45" s="191">
        <f>COUNTA(B5:B34)</f>
        <v>30</v>
      </c>
    </row>
    <row r="48" spans="1:14" x14ac:dyDescent="0.25">
      <c r="A48" s="166"/>
      <c r="B48" s="166"/>
      <c r="C48" s="166"/>
      <c r="D48" s="166"/>
      <c r="E48" s="166"/>
      <c r="I48" s="493" t="s">
        <v>952</v>
      </c>
      <c r="J48" s="493"/>
      <c r="K48" s="493"/>
      <c r="L48" s="493"/>
      <c r="M48" s="493"/>
      <c r="N48" s="493"/>
    </row>
    <row r="49" spans="9:11" x14ac:dyDescent="0.25">
      <c r="J49" s="69" t="s">
        <v>890</v>
      </c>
      <c r="K49" s="69" t="s">
        <v>882</v>
      </c>
    </row>
    <row r="50" spans="9:11" x14ac:dyDescent="0.25">
      <c r="I50" s="69" t="s">
        <v>907</v>
      </c>
      <c r="J50" s="191">
        <f>COUNTIFS($B$5:$B$34,"Apple",$F$5:$F$34,"Canada")</f>
        <v>1</v>
      </c>
      <c r="K50" s="191">
        <f>COUNTIFS($B$5:$B$34,"Apple",$F$5:$F$34,"United Kingdom")</f>
        <v>0</v>
      </c>
    </row>
    <row r="51" spans="9:11" x14ac:dyDescent="0.25">
      <c r="I51" s="69" t="s">
        <v>883</v>
      </c>
      <c r="J51" s="191">
        <f>COUNTIFS($B$5:$B$34,"Banana",$F$5:$F$34,"Canada")</f>
        <v>2</v>
      </c>
      <c r="K51" s="191">
        <f>COUNTIFS($B$5:$B$34,"Banana",$F$5:$F$34,"United Kingdom")</f>
        <v>2</v>
      </c>
    </row>
    <row r="52" spans="9:11" s="166" customFormat="1" x14ac:dyDescent="0.25">
      <c r="I52" s="188"/>
    </row>
    <row r="53" spans="9:11" x14ac:dyDescent="0.25">
      <c r="I53" s="167" t="s">
        <v>2415</v>
      </c>
    </row>
    <row r="54" spans="9:11" x14ac:dyDescent="0.25">
      <c r="J54" s="69" t="s">
        <v>878</v>
      </c>
    </row>
    <row r="55" spans="9:11" x14ac:dyDescent="0.25">
      <c r="I55" t="s">
        <v>907</v>
      </c>
      <c r="J55" s="191">
        <f>SUMIFS($D$5:$D$34,$B$5:$B$34,"Apple",$F$5:$F$34,"United States")</f>
        <v>1161</v>
      </c>
    </row>
    <row r="56" spans="9:11" x14ac:dyDescent="0.25">
      <c r="I56" t="s">
        <v>883</v>
      </c>
      <c r="J56" s="191">
        <f>SUMIFS($D$5:$D$34,$B$5:$B$34,"Banana",$F$5:$F$34,"United States")</f>
        <v>7315</v>
      </c>
    </row>
  </sheetData>
  <mergeCells count="3">
    <mergeCell ref="I48:N48"/>
    <mergeCell ref="F37:G37"/>
    <mergeCell ref="A1:F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7"/>
  <sheetViews>
    <sheetView topLeftCell="A22" workbookViewId="0">
      <selection activeCell="B18" sqref="B18:B19"/>
    </sheetView>
  </sheetViews>
  <sheetFormatPr defaultRowHeight="15" x14ac:dyDescent="0.25"/>
  <cols>
    <col min="1" max="1" width="56"/>
    <col min="2" max="2" width="21"/>
    <col min="3" max="3" width="15"/>
    <col min="4" max="4" width="8"/>
    <col min="5" max="5" width="12"/>
    <col min="6" max="6" width="18"/>
  </cols>
  <sheetData>
    <row r="1" spans="1:6" ht="3.95" customHeight="1" x14ac:dyDescent="0.25">
      <c r="A1" s="499" t="s">
        <v>931</v>
      </c>
      <c r="B1" s="483"/>
      <c r="C1" s="483"/>
      <c r="D1" s="483"/>
      <c r="E1" s="483"/>
      <c r="F1" s="483"/>
    </row>
    <row r="2" spans="1:6" ht="15.95" customHeight="1" x14ac:dyDescent="0.25">
      <c r="A2" s="500" t="s">
        <v>960</v>
      </c>
      <c r="B2" s="483"/>
      <c r="C2" s="483"/>
      <c r="D2" s="483"/>
      <c r="E2" s="483"/>
      <c r="F2" s="483"/>
    </row>
    <row r="3" spans="1:6" ht="14.1" customHeight="1" x14ac:dyDescent="0.25">
      <c r="A3" s="493" t="s">
        <v>961</v>
      </c>
      <c r="B3" s="483"/>
      <c r="C3" s="483"/>
      <c r="D3" s="483"/>
      <c r="E3" s="483"/>
      <c r="F3" s="483"/>
    </row>
    <row r="4" spans="1:6" ht="14.1" customHeight="1" x14ac:dyDescent="0.25">
      <c r="A4" s="70" t="s">
        <v>962</v>
      </c>
      <c r="B4" s="70" t="s">
        <v>963</v>
      </c>
      <c r="C4" s="70" t="s">
        <v>964</v>
      </c>
      <c r="D4" s="517" t="s">
        <v>965</v>
      </c>
      <c r="E4" s="513" t="s">
        <v>966</v>
      </c>
      <c r="F4" s="514" t="s">
        <v>967</v>
      </c>
    </row>
    <row r="5" spans="1:6" ht="18" customHeight="1" x14ac:dyDescent="0.25">
      <c r="A5" s="3" t="s">
        <v>968</v>
      </c>
      <c r="B5" s="3" t="s">
        <v>969</v>
      </c>
      <c r="C5" s="3" t="s">
        <v>970</v>
      </c>
      <c r="D5" s="512">
        <v>74</v>
      </c>
      <c r="E5" s="513" t="s">
        <v>971</v>
      </c>
      <c r="F5" s="514" t="s">
        <v>972</v>
      </c>
    </row>
    <row r="6" spans="1:6" ht="18" customHeight="1" x14ac:dyDescent="0.25">
      <c r="A6" s="3" t="s">
        <v>973</v>
      </c>
      <c r="B6" s="3" t="s">
        <v>974</v>
      </c>
      <c r="C6" s="3" t="s">
        <v>975</v>
      </c>
      <c r="D6" s="512">
        <v>92</v>
      </c>
      <c r="E6" s="513" t="s">
        <v>976</v>
      </c>
      <c r="F6" s="514" t="s">
        <v>977</v>
      </c>
    </row>
    <row r="7" spans="1:6" ht="18" customHeight="1" x14ac:dyDescent="0.25">
      <c r="A7" s="3" t="s">
        <v>978</v>
      </c>
      <c r="B7" s="3" t="s">
        <v>979</v>
      </c>
      <c r="C7" s="3" t="s">
        <v>980</v>
      </c>
      <c r="D7" s="512">
        <v>65</v>
      </c>
      <c r="E7" s="513" t="s">
        <v>981</v>
      </c>
      <c r="F7" s="514" t="s">
        <v>982</v>
      </c>
    </row>
    <row r="8" spans="1:6" ht="18" customHeight="1" x14ac:dyDescent="0.25">
      <c r="A8" s="3" t="s">
        <v>983</v>
      </c>
      <c r="B8" s="3" t="s">
        <v>984</v>
      </c>
      <c r="C8" s="3" t="s">
        <v>985</v>
      </c>
      <c r="D8" s="512">
        <v>82</v>
      </c>
      <c r="E8" s="513" t="s">
        <v>986</v>
      </c>
      <c r="F8" s="514" t="s">
        <v>987</v>
      </c>
    </row>
    <row r="9" spans="1:6" ht="18" customHeight="1" x14ac:dyDescent="0.25">
      <c r="A9" s="3" t="s">
        <v>988</v>
      </c>
      <c r="B9" s="3" t="s">
        <v>989</v>
      </c>
      <c r="C9" s="3" t="s">
        <v>990</v>
      </c>
      <c r="D9" s="512">
        <v>50</v>
      </c>
      <c r="E9" s="513" t="s">
        <v>991</v>
      </c>
      <c r="F9" s="514" t="s">
        <v>992</v>
      </c>
    </row>
    <row r="10" spans="1:6" ht="18" customHeight="1" x14ac:dyDescent="0.25">
      <c r="A10" s="3" t="s">
        <v>993</v>
      </c>
      <c r="B10" s="3" t="s">
        <v>994</v>
      </c>
      <c r="C10" s="3" t="s">
        <v>995</v>
      </c>
      <c r="D10" s="512">
        <v>91</v>
      </c>
      <c r="E10" s="513" t="s">
        <v>996</v>
      </c>
      <c r="F10" s="514" t="s">
        <v>997</v>
      </c>
    </row>
    <row r="11" spans="1:6" ht="18" customHeight="1" x14ac:dyDescent="0.25">
      <c r="A11" s="3" t="s">
        <v>998</v>
      </c>
      <c r="B11" s="3" t="s">
        <v>999</v>
      </c>
      <c r="C11" s="3" t="s">
        <v>1000</v>
      </c>
      <c r="D11" s="512">
        <v>96</v>
      </c>
      <c r="E11" s="513" t="s">
        <v>1001</v>
      </c>
      <c r="F11" s="514" t="s">
        <v>1002</v>
      </c>
    </row>
    <row r="12" spans="1:6" ht="18" customHeight="1" x14ac:dyDescent="0.25">
      <c r="A12" s="3" t="s">
        <v>1003</v>
      </c>
      <c r="B12" s="3" t="s">
        <v>1004</v>
      </c>
      <c r="C12" s="3" t="s">
        <v>1005</v>
      </c>
      <c r="D12" s="512">
        <v>58</v>
      </c>
      <c r="E12" s="513" t="s">
        <v>1006</v>
      </c>
      <c r="F12" s="514" t="s">
        <v>1007</v>
      </c>
    </row>
    <row r="13" spans="1:6" ht="18" customHeight="1" x14ac:dyDescent="0.25">
      <c r="A13" s="3" t="s">
        <v>1008</v>
      </c>
      <c r="B13" s="3" t="s">
        <v>1009</v>
      </c>
      <c r="C13" s="3" t="s">
        <v>1010</v>
      </c>
      <c r="D13" s="512">
        <v>67</v>
      </c>
      <c r="E13" s="513" t="s">
        <v>1011</v>
      </c>
      <c r="F13" s="514" t="s">
        <v>1012</v>
      </c>
    </row>
    <row r="14" spans="1:6" ht="18" customHeight="1" x14ac:dyDescent="0.25">
      <c r="A14" s="3" t="s">
        <v>1013</v>
      </c>
      <c r="B14" s="3" t="s">
        <v>1014</v>
      </c>
      <c r="C14" s="3" t="s">
        <v>1015</v>
      </c>
      <c r="D14" s="512">
        <v>54</v>
      </c>
      <c r="E14" s="513" t="s">
        <v>1016</v>
      </c>
      <c r="F14" s="514" t="s">
        <v>1017</v>
      </c>
    </row>
    <row r="15" spans="1:6" ht="17.100000000000001" customHeight="1" x14ac:dyDescent="0.25">
      <c r="A15" s="3" t="s">
        <v>1018</v>
      </c>
      <c r="B15" s="3" t="s">
        <v>1019</v>
      </c>
      <c r="C15" s="3" t="s">
        <v>1020</v>
      </c>
      <c r="D15" s="512">
        <v>83</v>
      </c>
      <c r="E15" s="513" t="s">
        <v>1021</v>
      </c>
      <c r="F15" s="514" t="s">
        <v>1022</v>
      </c>
    </row>
    <row r="16" spans="1:6" ht="14.1" customHeight="1" x14ac:dyDescent="0.25">
      <c r="A16" s="19" t="s">
        <v>1023</v>
      </c>
      <c r="B16" s="501"/>
      <c r="C16" s="498"/>
      <c r="D16" s="498"/>
      <c r="E16" s="498"/>
      <c r="F16" s="498"/>
    </row>
    <row r="17" spans="1:6" ht="14.1" customHeight="1" x14ac:dyDescent="0.25">
      <c r="A17" s="5" t="s">
        <v>1024</v>
      </c>
      <c r="B17" s="501"/>
      <c r="C17" s="483"/>
      <c r="D17" s="483"/>
      <c r="E17" s="483"/>
      <c r="F17" s="483"/>
    </row>
    <row r="18" spans="1:6" s="166" customFormat="1" ht="14.1" customHeight="1" x14ac:dyDescent="0.25">
      <c r="A18" s="69" t="s">
        <v>969</v>
      </c>
      <c r="B18" s="562">
        <f>COUNTIF($B$5:$B$15,"Male")</f>
        <v>5</v>
      </c>
    </row>
    <row r="19" spans="1:6" s="166" customFormat="1" ht="14.1" customHeight="1" x14ac:dyDescent="0.25">
      <c r="A19" s="69" t="s">
        <v>974</v>
      </c>
      <c r="B19" s="562">
        <f>COUNTIF($B$5:$B$15,"Female")</f>
        <v>6</v>
      </c>
    </row>
    <row r="20" spans="1:6" ht="14.1" customHeight="1" x14ac:dyDescent="0.25">
      <c r="A20" t="s">
        <v>1025</v>
      </c>
      <c r="B20" s="501"/>
      <c r="C20" s="483"/>
      <c r="D20" s="483"/>
      <c r="E20" s="483"/>
      <c r="F20" s="483"/>
    </row>
    <row r="21" spans="1:6" ht="14.1" customHeight="1" x14ac:dyDescent="0.25">
      <c r="A21" s="20" t="s">
        <v>1026</v>
      </c>
      <c r="B21" s="515" t="s">
        <v>1027</v>
      </c>
      <c r="C21" s="483" t="s">
        <v>1028</v>
      </c>
      <c r="D21" s="483" t="s">
        <v>1029</v>
      </c>
      <c r="E21" s="483" t="s">
        <v>1030</v>
      </c>
      <c r="F21" s="483" t="s">
        <v>1031</v>
      </c>
    </row>
    <row r="22" spans="1:6" s="166" customFormat="1" ht="14.1" customHeight="1" x14ac:dyDescent="0.25">
      <c r="A22" s="20"/>
      <c r="B22" s="179"/>
    </row>
    <row r="23" spans="1:6" s="166" customFormat="1" ht="14.1" customHeight="1" x14ac:dyDescent="0.25">
      <c r="A23" s="20" t="s">
        <v>2416</v>
      </c>
      <c r="B23" s="276">
        <f>COUNTIFS(B5:B15,"Male",C5:C15,"United States")</f>
        <v>4</v>
      </c>
    </row>
    <row r="24" spans="1:6" s="166" customFormat="1" ht="14.1" customHeight="1" x14ac:dyDescent="0.25">
      <c r="A24" s="20"/>
      <c r="B24" s="179"/>
    </row>
    <row r="25" spans="1:6" ht="23.1" customHeight="1" x14ac:dyDescent="0.25">
      <c r="A25" s="71" t="s">
        <v>1032</v>
      </c>
      <c r="B25" s="501" t="s">
        <v>1033</v>
      </c>
      <c r="C25" s="516" t="s">
        <v>1034</v>
      </c>
      <c r="D25" s="516" t="s">
        <v>1035</v>
      </c>
      <c r="E25" s="516" t="s">
        <v>1036</v>
      </c>
      <c r="F25" s="516" t="s">
        <v>1037</v>
      </c>
    </row>
    <row r="26" spans="1:6" x14ac:dyDescent="0.25">
      <c r="B26" s="165" t="s">
        <v>741</v>
      </c>
    </row>
    <row r="27" spans="1:6" x14ac:dyDescent="0.25">
      <c r="A27" s="69" t="s">
        <v>983</v>
      </c>
      <c r="B27" s="191" t="str">
        <f>VLOOKUP(A27,$A$4:$C$15,3,FALSE)</f>
        <v>Canada</v>
      </c>
    </row>
    <row r="28" spans="1:6" x14ac:dyDescent="0.25">
      <c r="A28" s="69" t="s">
        <v>407</v>
      </c>
      <c r="B28" s="191" t="str">
        <f>VLOOKUP(A28,$A$4:$C$15,3,FALSE)</f>
        <v>Canada</v>
      </c>
    </row>
    <row r="30" spans="1:6" ht="14.1" customHeight="1" x14ac:dyDescent="0.25">
      <c r="A30" s="5" t="s">
        <v>1038</v>
      </c>
      <c r="B30" s="32" t="s">
        <v>1039</v>
      </c>
    </row>
    <row r="31" spans="1:6" x14ac:dyDescent="0.25">
      <c r="B31" s="69" t="s">
        <v>878</v>
      </c>
    </row>
    <row r="32" spans="1:6" x14ac:dyDescent="0.25">
      <c r="A32" s="69" t="s">
        <v>969</v>
      </c>
      <c r="B32" t="e">
        <f>SUMIFS($D$5:$F$15,$B$5:$B$15,A32,$C$5:$C$15,$B$31)</f>
        <v>#VALUE!</v>
      </c>
    </row>
    <row r="33" spans="1:2" x14ac:dyDescent="0.25">
      <c r="A33" s="69" t="s">
        <v>974</v>
      </c>
      <c r="B33" s="166" t="e">
        <f>SUMIFS($D$5:$F$15,$B$5:$B$15,A33,$C$5:$C$15,$B$31)</f>
        <v>#VALUE!</v>
      </c>
    </row>
    <row r="34" spans="1:2" s="166" customFormat="1" x14ac:dyDescent="0.25"/>
    <row r="35" spans="1:2" ht="14.1" customHeight="1" x14ac:dyDescent="0.25">
      <c r="A35" s="5" t="s">
        <v>1040</v>
      </c>
    </row>
    <row r="37" spans="1:2" x14ac:dyDescent="0.25">
      <c r="A37" s="191">
        <f>COUNTIFS(B5:B15,"Male",C5:C15,"United States")</f>
        <v>4</v>
      </c>
    </row>
  </sheetData>
  <mergeCells count="20">
    <mergeCell ref="A1:F1"/>
    <mergeCell ref="A2:F2"/>
    <mergeCell ref="A3:F3"/>
    <mergeCell ref="D4:F4"/>
    <mergeCell ref="D5:F5"/>
    <mergeCell ref="D6:F6"/>
    <mergeCell ref="D7:F7"/>
    <mergeCell ref="D8:F8"/>
    <mergeCell ref="D9:F9"/>
    <mergeCell ref="D10:F10"/>
    <mergeCell ref="D11:F11"/>
    <mergeCell ref="D12:F12"/>
    <mergeCell ref="D13:F13"/>
    <mergeCell ref="B21:F21"/>
    <mergeCell ref="B25:F25"/>
    <mergeCell ref="D14:F14"/>
    <mergeCell ref="D15:F15"/>
    <mergeCell ref="B16:F16"/>
    <mergeCell ref="B17:F17"/>
    <mergeCell ref="B20:F20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4"/>
  <sheetViews>
    <sheetView workbookViewId="0">
      <selection activeCell="J8" sqref="J8"/>
    </sheetView>
  </sheetViews>
  <sheetFormatPr defaultRowHeight="15" x14ac:dyDescent="0.25"/>
  <cols>
    <col min="1" max="1" width="38"/>
    <col min="2" max="2" width="14"/>
    <col min="3" max="3" width="13"/>
    <col min="4" max="4" width="8"/>
    <col min="5" max="5" width="11"/>
    <col min="6" max="6" width="18"/>
  </cols>
  <sheetData>
    <row r="1" spans="1:6" ht="3.95" customHeight="1" x14ac:dyDescent="0.25">
      <c r="A1" s="499" t="s">
        <v>1041</v>
      </c>
      <c r="B1" s="483"/>
      <c r="C1" s="483"/>
      <c r="D1" s="483"/>
      <c r="E1" s="483"/>
      <c r="F1" s="483"/>
    </row>
    <row r="2" spans="1:6" ht="15.95" customHeight="1" x14ac:dyDescent="0.25">
      <c r="A2" s="500" t="s">
        <v>1042</v>
      </c>
      <c r="B2" s="483"/>
      <c r="C2" s="483"/>
      <c r="D2" s="483"/>
      <c r="E2" s="483"/>
      <c r="F2" s="483"/>
    </row>
    <row r="3" spans="1:6" ht="14.1" customHeight="1" x14ac:dyDescent="0.25">
      <c r="A3" s="493" t="s">
        <v>1043</v>
      </c>
      <c r="B3" s="483"/>
      <c r="C3" s="483"/>
      <c r="D3" s="483"/>
      <c r="E3" s="483"/>
      <c r="F3" s="483"/>
    </row>
    <row r="4" spans="1:6" ht="14.1" customHeight="1" x14ac:dyDescent="0.25">
      <c r="A4" s="1" t="s">
        <v>1044</v>
      </c>
      <c r="B4" s="1" t="s">
        <v>1045</v>
      </c>
      <c r="C4" s="1" t="s">
        <v>1046</v>
      </c>
      <c r="D4" s="72" t="s">
        <v>1047</v>
      </c>
      <c r="E4" s="72" t="s">
        <v>1048</v>
      </c>
      <c r="F4" s="72" t="s">
        <v>1049</v>
      </c>
    </row>
    <row r="5" spans="1:6" ht="18" customHeight="1" x14ac:dyDescent="0.25">
      <c r="A5" s="2">
        <v>101</v>
      </c>
      <c r="B5" s="3" t="s">
        <v>1050</v>
      </c>
      <c r="C5" s="3" t="s">
        <v>1051</v>
      </c>
      <c r="D5" s="2">
        <v>104</v>
      </c>
      <c r="E5" s="189" t="str">
        <f>VLOOKUP(D5,$A$5:$C$8,2,FALSE)</f>
        <v>HP</v>
      </c>
      <c r="F5" s="189" t="str">
        <f>VLOOKUP(D5,$A$5:$C$8,3,FALSE)</f>
        <v>Printer</v>
      </c>
    </row>
    <row r="6" spans="1:6" ht="18" customHeight="1" x14ac:dyDescent="0.25">
      <c r="A6" s="2">
        <v>102</v>
      </c>
      <c r="B6" s="3" t="s">
        <v>1054</v>
      </c>
      <c r="C6" s="3" t="s">
        <v>1055</v>
      </c>
      <c r="D6" s="2">
        <v>103</v>
      </c>
      <c r="E6" s="189" t="str">
        <f t="shared" ref="E6:E13" si="0">VLOOKUP(D6,$A$5:$C$8,2,FALSE)</f>
        <v>Logitech</v>
      </c>
      <c r="F6" s="189" t="str">
        <f t="shared" ref="F6:F14" si="1">VLOOKUP(D6,$A$5:$C$8,3,FALSE)</f>
        <v>Mouse</v>
      </c>
    </row>
    <row r="7" spans="1:6" ht="18" customHeight="1" x14ac:dyDescent="0.25">
      <c r="A7" s="2">
        <v>103</v>
      </c>
      <c r="B7" s="3" t="s">
        <v>1056</v>
      </c>
      <c r="C7" s="3" t="s">
        <v>1057</v>
      </c>
      <c r="D7" s="2">
        <v>104</v>
      </c>
      <c r="E7" s="189" t="str">
        <f t="shared" si="0"/>
        <v>HP</v>
      </c>
      <c r="F7" s="189" t="str">
        <f t="shared" si="1"/>
        <v>Printer</v>
      </c>
    </row>
    <row r="8" spans="1:6" ht="18" customHeight="1" x14ac:dyDescent="0.25">
      <c r="A8" s="2">
        <v>104</v>
      </c>
      <c r="B8" s="3" t="s">
        <v>1058</v>
      </c>
      <c r="C8" s="3" t="s">
        <v>1059</v>
      </c>
      <c r="D8" s="2">
        <v>101</v>
      </c>
      <c r="E8" s="189" t="str">
        <f t="shared" si="0"/>
        <v>Dell</v>
      </c>
      <c r="F8" s="189" t="str">
        <f t="shared" si="1"/>
        <v>Computer</v>
      </c>
    </row>
    <row r="9" spans="1:6" ht="18" customHeight="1" x14ac:dyDescent="0.25">
      <c r="A9" s="19" t="s">
        <v>1060</v>
      </c>
      <c r="B9" s="19" t="s">
        <v>1061</v>
      </c>
      <c r="C9" s="73" t="s">
        <v>1062</v>
      </c>
      <c r="D9" s="2">
        <v>102</v>
      </c>
      <c r="E9" s="189" t="str">
        <f t="shared" si="0"/>
        <v>Logitech</v>
      </c>
      <c r="F9" s="189" t="str">
        <f t="shared" si="1"/>
        <v>Keyboard</v>
      </c>
    </row>
    <row r="10" spans="1:6" ht="18" customHeight="1" x14ac:dyDescent="0.25">
      <c r="A10" s="487"/>
      <c r="B10" s="483"/>
      <c r="C10" s="518"/>
      <c r="D10" s="2">
        <v>103</v>
      </c>
      <c r="E10" s="189" t="str">
        <f t="shared" si="0"/>
        <v>Logitech</v>
      </c>
      <c r="F10" s="189" t="str">
        <f t="shared" si="1"/>
        <v>Mouse</v>
      </c>
    </row>
    <row r="11" spans="1:6" ht="18" customHeight="1" x14ac:dyDescent="0.25">
      <c r="A11" t="s">
        <v>1063</v>
      </c>
      <c r="B11" t="s">
        <v>1064</v>
      </c>
      <c r="C11" s="74" t="s">
        <v>1065</v>
      </c>
      <c r="D11" s="2">
        <v>101</v>
      </c>
      <c r="E11" s="189" t="str">
        <f t="shared" si="0"/>
        <v>Dell</v>
      </c>
      <c r="F11" s="189" t="str">
        <f t="shared" si="1"/>
        <v>Computer</v>
      </c>
    </row>
    <row r="12" spans="1:6" ht="18" customHeight="1" x14ac:dyDescent="0.25">
      <c r="A12" t="s">
        <v>1066</v>
      </c>
      <c r="B12" t="s">
        <v>1067</v>
      </c>
      <c r="C12" s="74" t="s">
        <v>1068</v>
      </c>
      <c r="D12" s="2">
        <v>104</v>
      </c>
      <c r="E12" s="189" t="str">
        <f t="shared" si="0"/>
        <v>HP</v>
      </c>
      <c r="F12" s="189" t="str">
        <f t="shared" si="1"/>
        <v>Printer</v>
      </c>
    </row>
    <row r="13" spans="1:6" ht="18" customHeight="1" x14ac:dyDescent="0.25">
      <c r="A13" t="s">
        <v>1069</v>
      </c>
      <c r="B13" t="s">
        <v>1070</v>
      </c>
      <c r="C13" s="74" t="s">
        <v>1071</v>
      </c>
      <c r="D13" s="2">
        <v>101</v>
      </c>
      <c r="E13" s="189" t="str">
        <f t="shared" si="0"/>
        <v>Dell</v>
      </c>
      <c r="F13" s="189" t="str">
        <f t="shared" si="1"/>
        <v>Computer</v>
      </c>
    </row>
    <row r="14" spans="1:6" ht="18" customHeight="1" x14ac:dyDescent="0.25">
      <c r="A14" t="s">
        <v>1072</v>
      </c>
      <c r="B14" t="s">
        <v>1073</v>
      </c>
      <c r="C14" s="74" t="s">
        <v>1074</v>
      </c>
      <c r="D14" s="2">
        <v>102</v>
      </c>
      <c r="E14" s="189" t="str">
        <f>VLOOKUP(D14,$A$5:$C$8,2,FALSE)</f>
        <v>Logitech</v>
      </c>
      <c r="F14" s="189" t="str">
        <f t="shared" si="1"/>
        <v>Keyboard</v>
      </c>
    </row>
  </sheetData>
  <mergeCells count="4">
    <mergeCell ref="A1:F1"/>
    <mergeCell ref="A2:F2"/>
    <mergeCell ref="A3:F3"/>
    <mergeCell ref="A10:C10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DCAD7-3623-4002-8E0E-9F71BE5564D0}">
  <dimension ref="A1:F16"/>
  <sheetViews>
    <sheetView workbookViewId="0">
      <selection activeCell="G12" sqref="G12"/>
    </sheetView>
  </sheetViews>
  <sheetFormatPr defaultRowHeight="15" x14ac:dyDescent="0.25"/>
  <sheetData>
    <row r="1" spans="1:6" ht="15.75" x14ac:dyDescent="0.25">
      <c r="A1" s="500" t="s">
        <v>1075</v>
      </c>
      <c r="B1" s="483"/>
      <c r="C1" s="483"/>
      <c r="D1" s="483"/>
      <c r="E1" s="483"/>
      <c r="F1" s="483"/>
    </row>
    <row r="2" spans="1:6" x14ac:dyDescent="0.25">
      <c r="A2" s="493" t="s">
        <v>1076</v>
      </c>
      <c r="B2" s="483"/>
      <c r="C2" s="483"/>
      <c r="D2" s="483"/>
      <c r="E2" s="483"/>
      <c r="F2" s="483"/>
    </row>
    <row r="3" spans="1:6" x14ac:dyDescent="0.25">
      <c r="A3" s="75" t="s">
        <v>1044</v>
      </c>
      <c r="B3" s="76">
        <v>101</v>
      </c>
      <c r="C3" s="76">
        <v>102</v>
      </c>
      <c r="D3" s="76">
        <v>103</v>
      </c>
      <c r="E3" s="519">
        <v>104</v>
      </c>
      <c r="F3" s="514" t="s">
        <v>0</v>
      </c>
    </row>
    <row r="4" spans="1:6" x14ac:dyDescent="0.25">
      <c r="A4" s="35" t="s">
        <v>1045</v>
      </c>
      <c r="B4" s="4" t="s">
        <v>1050</v>
      </c>
      <c r="C4" s="4" t="s">
        <v>1054</v>
      </c>
      <c r="D4" s="4" t="s">
        <v>1054</v>
      </c>
      <c r="E4" s="520" t="s">
        <v>1052</v>
      </c>
      <c r="F4" s="514" t="s">
        <v>0</v>
      </c>
    </row>
    <row r="5" spans="1:6" x14ac:dyDescent="0.25">
      <c r="A5" s="35" t="s">
        <v>870</v>
      </c>
      <c r="B5" s="4" t="s">
        <v>1051</v>
      </c>
      <c r="C5" s="4" t="s">
        <v>1055</v>
      </c>
      <c r="D5" s="4" t="s">
        <v>1057</v>
      </c>
      <c r="E5" s="520" t="s">
        <v>1053</v>
      </c>
      <c r="F5" s="514" t="s">
        <v>0</v>
      </c>
    </row>
    <row r="6" spans="1:6" x14ac:dyDescent="0.25">
      <c r="A6" s="77" t="s">
        <v>1044</v>
      </c>
      <c r="B6" s="77" t="s">
        <v>870</v>
      </c>
      <c r="C6" s="78" t="s">
        <v>1045</v>
      </c>
      <c r="D6" s="166"/>
      <c r="E6" s="166"/>
      <c r="F6" s="166"/>
    </row>
    <row r="7" spans="1:6" x14ac:dyDescent="0.25">
      <c r="A7" s="2">
        <v>104</v>
      </c>
      <c r="B7" s="233" t="str">
        <f>HLOOKUP(A7,$A$3:$F$5,3,FALSE)</f>
        <v>Printer</v>
      </c>
      <c r="C7" s="29" t="str">
        <f>HLOOKUP(A7,$A$3:$F$5,2,FALSE)</f>
        <v>HP</v>
      </c>
      <c r="D7" s="166"/>
      <c r="E7" s="166"/>
      <c r="F7" s="166"/>
    </row>
    <row r="8" spans="1:6" x14ac:dyDescent="0.25">
      <c r="A8" s="2">
        <v>103</v>
      </c>
      <c r="B8" s="233" t="str">
        <f t="shared" ref="B8:B16" si="0">HLOOKUP(A8,$A$3:$F$5,3,FALSE)</f>
        <v>Mouse</v>
      </c>
      <c r="C8" s="29" t="str">
        <f t="shared" ref="C8:C16" si="1">HLOOKUP(A8,$A$3:$F$5,2,FALSE)</f>
        <v>Logitech</v>
      </c>
      <c r="D8" s="166"/>
      <c r="E8" s="166"/>
      <c r="F8" s="166"/>
    </row>
    <row r="9" spans="1:6" x14ac:dyDescent="0.25">
      <c r="A9" s="2">
        <v>104</v>
      </c>
      <c r="B9" s="233" t="str">
        <f t="shared" si="0"/>
        <v>Printer</v>
      </c>
      <c r="C9" s="29" t="str">
        <f t="shared" si="1"/>
        <v>HP</v>
      </c>
      <c r="D9" s="166"/>
      <c r="E9" s="166"/>
      <c r="F9" s="166"/>
    </row>
    <row r="10" spans="1:6" x14ac:dyDescent="0.25">
      <c r="A10" s="2">
        <v>101</v>
      </c>
      <c r="B10" s="233" t="str">
        <f t="shared" si="0"/>
        <v>Computer</v>
      </c>
      <c r="C10" s="29" t="str">
        <f t="shared" si="1"/>
        <v>Dell</v>
      </c>
      <c r="D10" s="166"/>
      <c r="E10" s="166"/>
      <c r="F10" s="166"/>
    </row>
    <row r="11" spans="1:6" x14ac:dyDescent="0.25">
      <c r="A11" s="2">
        <v>102</v>
      </c>
      <c r="B11" s="233" t="str">
        <f t="shared" si="0"/>
        <v>Keyboard</v>
      </c>
      <c r="C11" s="29" t="str">
        <f t="shared" si="1"/>
        <v>Logitech</v>
      </c>
      <c r="D11" s="166"/>
      <c r="E11" s="166"/>
      <c r="F11" s="166"/>
    </row>
    <row r="12" spans="1:6" x14ac:dyDescent="0.25">
      <c r="A12" s="2">
        <v>103</v>
      </c>
      <c r="B12" s="233" t="str">
        <f t="shared" si="0"/>
        <v>Mouse</v>
      </c>
      <c r="C12" s="29" t="str">
        <f t="shared" si="1"/>
        <v>Logitech</v>
      </c>
      <c r="D12" s="166"/>
      <c r="E12" s="166"/>
      <c r="F12" s="166"/>
    </row>
    <row r="13" spans="1:6" x14ac:dyDescent="0.25">
      <c r="A13" s="2">
        <v>101</v>
      </c>
      <c r="B13" s="233" t="str">
        <f t="shared" si="0"/>
        <v>Computer</v>
      </c>
      <c r="C13" s="29" t="str">
        <f t="shared" si="1"/>
        <v>Dell</v>
      </c>
      <c r="D13" s="166"/>
      <c r="E13" s="166"/>
      <c r="F13" s="166"/>
    </row>
    <row r="14" spans="1:6" x14ac:dyDescent="0.25">
      <c r="A14" s="2">
        <v>104</v>
      </c>
      <c r="B14" s="233" t="str">
        <f t="shared" si="0"/>
        <v>Printer</v>
      </c>
      <c r="C14" s="29" t="str">
        <f t="shared" si="1"/>
        <v>HP</v>
      </c>
      <c r="D14" s="166"/>
      <c r="E14" s="166"/>
      <c r="F14" s="166"/>
    </row>
    <row r="15" spans="1:6" x14ac:dyDescent="0.25">
      <c r="A15" s="2">
        <v>101</v>
      </c>
      <c r="B15" s="233" t="str">
        <f t="shared" si="0"/>
        <v>Computer</v>
      </c>
      <c r="C15" s="29" t="str">
        <f t="shared" si="1"/>
        <v>Dell</v>
      </c>
      <c r="D15" s="166"/>
      <c r="E15" s="166"/>
      <c r="F15" s="166"/>
    </row>
    <row r="16" spans="1:6" x14ac:dyDescent="0.25">
      <c r="A16" s="2">
        <v>102</v>
      </c>
      <c r="B16" s="233" t="str">
        <f t="shared" si="0"/>
        <v>Keyboard</v>
      </c>
      <c r="C16" s="29" t="str">
        <f t="shared" si="1"/>
        <v>Logitech</v>
      </c>
      <c r="D16" s="166"/>
      <c r="E16" s="166"/>
      <c r="F16" s="166"/>
    </row>
  </sheetData>
  <mergeCells count="5">
    <mergeCell ref="A1:F1"/>
    <mergeCell ref="A2:F2"/>
    <mergeCell ref="E3:F3"/>
    <mergeCell ref="E4:F4"/>
    <mergeCell ref="E5:F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34"/>
  <sheetViews>
    <sheetView workbookViewId="0">
      <selection activeCell="D17" sqref="D17"/>
    </sheetView>
  </sheetViews>
  <sheetFormatPr defaultRowHeight="15" x14ac:dyDescent="0.25"/>
  <cols>
    <col min="1" max="1" width="38"/>
    <col min="2" max="2" width="7"/>
    <col min="3" max="3" width="16"/>
    <col min="4" max="4" width="28.28515625" customWidth="1"/>
    <col min="5" max="5" width="9"/>
    <col min="6" max="6" width="12"/>
  </cols>
  <sheetData>
    <row r="1" spans="1:6" ht="3.95" customHeight="1" x14ac:dyDescent="0.25">
      <c r="A1" s="499" t="s">
        <v>1077</v>
      </c>
      <c r="B1" s="483"/>
      <c r="C1" s="483"/>
      <c r="D1" s="483"/>
      <c r="E1" s="483"/>
      <c r="F1" s="483"/>
    </row>
    <row r="2" spans="1:6" ht="15.95" customHeight="1" x14ac:dyDescent="0.25">
      <c r="A2" t="s">
        <v>1078</v>
      </c>
      <c r="B2" t="s">
        <v>1079</v>
      </c>
      <c r="C2" s="22" t="s">
        <v>1080</v>
      </c>
    </row>
    <row r="3" spans="1:6" ht="14.1" customHeight="1" x14ac:dyDescent="0.25">
      <c r="A3" t="s">
        <v>1081</v>
      </c>
      <c r="B3" s="5" t="s">
        <v>1082</v>
      </c>
    </row>
    <row r="4" spans="1:6" ht="15" customHeight="1" x14ac:dyDescent="0.25">
      <c r="A4" s="75" t="s">
        <v>1083</v>
      </c>
      <c r="B4" s="75" t="s">
        <v>1084</v>
      </c>
      <c r="C4" s="79" t="s">
        <v>1085</v>
      </c>
      <c r="D4" s="80" t="s">
        <v>1086</v>
      </c>
    </row>
    <row r="5" spans="1:6" ht="18" customHeight="1" x14ac:dyDescent="0.25">
      <c r="A5" s="3" t="s">
        <v>1087</v>
      </c>
      <c r="B5" s="3">
        <v>5535</v>
      </c>
      <c r="C5" s="81">
        <v>5414</v>
      </c>
      <c r="D5" s="82">
        <v>9027</v>
      </c>
    </row>
    <row r="6" spans="1:6" ht="18" customHeight="1" x14ac:dyDescent="0.25">
      <c r="A6" s="3" t="s">
        <v>1088</v>
      </c>
      <c r="B6" s="3">
        <v>5013</v>
      </c>
      <c r="C6" s="81">
        <v>5107</v>
      </c>
      <c r="D6" s="82">
        <v>11667</v>
      </c>
    </row>
    <row r="7" spans="1:6" ht="18" customHeight="1" x14ac:dyDescent="0.25">
      <c r="A7" s="3" t="s">
        <v>1089</v>
      </c>
      <c r="B7" s="3">
        <v>6597</v>
      </c>
      <c r="C7" s="81">
        <v>3858</v>
      </c>
      <c r="D7" s="82">
        <v>1507</v>
      </c>
    </row>
    <row r="8" spans="1:6" ht="17.100000000000001" customHeight="1" x14ac:dyDescent="0.25">
      <c r="A8" s="3" t="s">
        <v>1090</v>
      </c>
      <c r="B8" s="3">
        <v>3195</v>
      </c>
      <c r="C8" s="81">
        <v>3654</v>
      </c>
      <c r="D8" s="82">
        <v>7225</v>
      </c>
    </row>
    <row r="9" spans="1:6" ht="15" customHeight="1" x14ac:dyDescent="0.25">
      <c r="A9" s="83" t="s">
        <v>1091</v>
      </c>
      <c r="B9" s="75" t="s">
        <v>1092</v>
      </c>
      <c r="C9" s="84">
        <v>1507</v>
      </c>
      <c r="D9" s="521" t="s">
        <v>1093</v>
      </c>
      <c r="E9" s="498" t="s">
        <v>1094</v>
      </c>
      <c r="F9" s="483" t="s">
        <v>1095</v>
      </c>
    </row>
    <row r="10" spans="1:6" ht="18" customHeight="1" x14ac:dyDescent="0.25">
      <c r="A10" s="3" t="s">
        <v>1096</v>
      </c>
      <c r="B10" s="4" t="s">
        <v>1097</v>
      </c>
      <c r="C10" s="277">
        <f>INDEX($A$4:$D$8,MATCH(A10,$A$4:$A$8,0),MATCH(B10,$A$4:$D$4,0))</f>
        <v>3654</v>
      </c>
      <c r="D10" s="85" t="s">
        <v>1098</v>
      </c>
      <c r="E10" t="s">
        <v>1099</v>
      </c>
      <c r="F10" t="s">
        <v>1100</v>
      </c>
    </row>
    <row r="11" spans="1:6" ht="18" customHeight="1" x14ac:dyDescent="0.25">
      <c r="A11" s="3" t="s">
        <v>1101</v>
      </c>
      <c r="B11" s="4" t="s">
        <v>1102</v>
      </c>
      <c r="C11" s="277">
        <f t="shared" ref="C11:C12" si="0">INDEX($A$4:$D$8,MATCH(A11,$A$4:$A$8,0),MATCH(B11,$A$4:$D$4,0))</f>
        <v>5013</v>
      </c>
      <c r="D11" s="85" t="s">
        <v>1103</v>
      </c>
      <c r="E11" t="s">
        <v>1104</v>
      </c>
      <c r="F11" t="s">
        <v>1105</v>
      </c>
    </row>
    <row r="12" spans="1:6" ht="18" customHeight="1" x14ac:dyDescent="0.25">
      <c r="A12" s="3" t="s">
        <v>1106</v>
      </c>
      <c r="B12" s="4" t="s">
        <v>1107</v>
      </c>
      <c r="C12" s="277">
        <f t="shared" si="0"/>
        <v>9027</v>
      </c>
      <c r="D12" s="85" t="s">
        <v>1108</v>
      </c>
      <c r="E12" t="s">
        <v>1109</v>
      </c>
      <c r="F12" t="s">
        <v>1110</v>
      </c>
    </row>
    <row r="13" spans="1:6" ht="15.95" customHeight="1" x14ac:dyDescent="0.25"/>
    <row r="14" spans="1:6" ht="14.1" customHeight="1" x14ac:dyDescent="0.25"/>
    <row r="15" spans="1:6" ht="15.95" customHeight="1" x14ac:dyDescent="0.25"/>
    <row r="16" spans="1:6" ht="18.95" customHeight="1" x14ac:dyDescent="0.25"/>
    <row r="17" ht="18.95" customHeight="1" x14ac:dyDescent="0.25"/>
    <row r="18" ht="18.95" customHeight="1" x14ac:dyDescent="0.25"/>
    <row r="19" ht="18.95" customHeight="1" x14ac:dyDescent="0.25"/>
    <row r="20" ht="18.95" customHeight="1" x14ac:dyDescent="0.25"/>
    <row r="21" ht="18.95" customHeight="1" x14ac:dyDescent="0.25"/>
    <row r="22" ht="18.95" customHeight="1" x14ac:dyDescent="0.25"/>
    <row r="23" ht="18.95" customHeight="1" x14ac:dyDescent="0.25"/>
    <row r="24" ht="18.95" customHeight="1" x14ac:dyDescent="0.25"/>
    <row r="25" ht="18.95" customHeight="1" x14ac:dyDescent="0.25"/>
    <row r="26" ht="18.95" customHeight="1" x14ac:dyDescent="0.25"/>
    <row r="27" ht="18.95" customHeight="1" x14ac:dyDescent="0.25"/>
    <row r="28" ht="18.95" customHeight="1" x14ac:dyDescent="0.25"/>
    <row r="29" ht="18.95" customHeight="1" x14ac:dyDescent="0.25"/>
    <row r="30" ht="18.95" customHeight="1" x14ac:dyDescent="0.25"/>
    <row r="31" ht="18.95" customHeight="1" x14ac:dyDescent="0.25"/>
    <row r="32" ht="18.95" customHeight="1" x14ac:dyDescent="0.25"/>
    <row r="33" ht="18.95" customHeight="1" x14ac:dyDescent="0.25"/>
    <row r="34" ht="18.95" customHeight="1" x14ac:dyDescent="0.25"/>
  </sheetData>
  <mergeCells count="2">
    <mergeCell ref="A1:F1"/>
    <mergeCell ref="D9:F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B458E-BB97-4680-BF8D-1098605A76B7}">
  <dimension ref="A2:J30"/>
  <sheetViews>
    <sheetView topLeftCell="A16" workbookViewId="0">
      <selection activeCell="D33" sqref="D33"/>
    </sheetView>
  </sheetViews>
  <sheetFormatPr defaultRowHeight="15" x14ac:dyDescent="0.25"/>
  <sheetData>
    <row r="2" spans="1:10" ht="15.75" x14ac:dyDescent="0.25">
      <c r="A2" s="489" t="s">
        <v>32</v>
      </c>
      <c r="B2" s="483" t="s">
        <v>0</v>
      </c>
      <c r="C2" s="483"/>
      <c r="D2" s="483"/>
      <c r="E2" s="483"/>
      <c r="F2" s="483"/>
      <c r="G2" s="483"/>
      <c r="H2" s="483"/>
      <c r="I2" s="483"/>
      <c r="J2" s="483"/>
    </row>
    <row r="3" spans="1:10" x14ac:dyDescent="0.25">
      <c r="A3" s="200" t="s">
        <v>33</v>
      </c>
    </row>
    <row r="4" spans="1:10" x14ac:dyDescent="0.25">
      <c r="A4" s="200"/>
      <c r="B4" s="201"/>
      <c r="C4" s="201"/>
      <c r="D4" s="201"/>
      <c r="E4" s="201"/>
      <c r="F4" s="201"/>
    </row>
    <row r="5" spans="1:10" x14ac:dyDescent="0.25">
      <c r="A5" s="9" t="s">
        <v>34</v>
      </c>
      <c r="B5" s="9" t="s">
        <v>35</v>
      </c>
      <c r="C5" s="9" t="s">
        <v>36</v>
      </c>
      <c r="D5" s="9" t="s">
        <v>37</v>
      </c>
      <c r="E5" s="9" t="s">
        <v>38</v>
      </c>
      <c r="F5" s="199" t="s">
        <v>39</v>
      </c>
    </row>
    <row r="6" spans="1:10" x14ac:dyDescent="0.25">
      <c r="A6" s="13">
        <v>1</v>
      </c>
      <c r="B6" s="14" t="s">
        <v>40</v>
      </c>
      <c r="C6" s="15">
        <v>20</v>
      </c>
      <c r="D6" s="15">
        <v>40000</v>
      </c>
      <c r="E6" s="193">
        <f>C6*D6</f>
        <v>800000</v>
      </c>
      <c r="F6" s="202" t="str">
        <f>IF(E6&gt;500000,"Expensive","Lets Buy It")</f>
        <v>Expensive</v>
      </c>
    </row>
    <row r="7" spans="1:10" x14ac:dyDescent="0.25">
      <c r="A7" s="13">
        <v>2</v>
      </c>
      <c r="B7" s="14" t="s">
        <v>41</v>
      </c>
      <c r="C7" s="15">
        <v>30</v>
      </c>
      <c r="D7" s="15">
        <v>20000</v>
      </c>
      <c r="E7" s="193">
        <f t="shared" ref="E7:E15" si="0">C7*D7</f>
        <v>600000</v>
      </c>
      <c r="F7" s="202" t="str">
        <f t="shared" ref="F7:F15" si="1">IF(E7&gt;500000,"Expensive","Lets Buy It")</f>
        <v>Expensive</v>
      </c>
    </row>
    <row r="8" spans="1:10" x14ac:dyDescent="0.25">
      <c r="A8" s="13">
        <v>3</v>
      </c>
      <c r="B8" s="14" t="s">
        <v>42</v>
      </c>
      <c r="C8" s="15">
        <v>15</v>
      </c>
      <c r="D8" s="15">
        <v>10000</v>
      </c>
      <c r="E8" s="193">
        <f t="shared" si="0"/>
        <v>150000</v>
      </c>
      <c r="F8" s="202" t="str">
        <f t="shared" si="1"/>
        <v>Lets Buy It</v>
      </c>
    </row>
    <row r="9" spans="1:10" x14ac:dyDescent="0.25">
      <c r="A9" s="13">
        <v>4</v>
      </c>
      <c r="B9" s="14" t="s">
        <v>43</v>
      </c>
      <c r="C9" s="15">
        <v>14</v>
      </c>
      <c r="D9" s="15">
        <v>15000</v>
      </c>
      <c r="E9" s="193">
        <f t="shared" si="0"/>
        <v>210000</v>
      </c>
      <c r="F9" s="202" t="str">
        <f t="shared" si="1"/>
        <v>Lets Buy It</v>
      </c>
    </row>
    <row r="10" spans="1:10" x14ac:dyDescent="0.25">
      <c r="A10" s="13">
        <v>5</v>
      </c>
      <c r="B10" s="14" t="s">
        <v>44</v>
      </c>
      <c r="C10" s="15">
        <v>18</v>
      </c>
      <c r="D10" s="15">
        <v>20000</v>
      </c>
      <c r="E10" s="193">
        <f t="shared" si="0"/>
        <v>360000</v>
      </c>
      <c r="F10" s="202" t="str">
        <f t="shared" si="1"/>
        <v>Lets Buy It</v>
      </c>
    </row>
    <row r="11" spans="1:10" x14ac:dyDescent="0.25">
      <c r="A11" s="13">
        <v>6</v>
      </c>
      <c r="B11" s="14" t="s">
        <v>45</v>
      </c>
      <c r="C11" s="15">
        <v>17</v>
      </c>
      <c r="D11" s="15">
        <v>2000</v>
      </c>
      <c r="E11" s="193">
        <f t="shared" si="0"/>
        <v>34000</v>
      </c>
      <c r="F11" s="202" t="str">
        <f t="shared" si="1"/>
        <v>Lets Buy It</v>
      </c>
    </row>
    <row r="12" spans="1:10" x14ac:dyDescent="0.25">
      <c r="A12" s="13">
        <v>7</v>
      </c>
      <c r="B12" s="14" t="s">
        <v>46</v>
      </c>
      <c r="C12" s="15">
        <v>10</v>
      </c>
      <c r="D12" s="15">
        <v>25000</v>
      </c>
      <c r="E12" s="193">
        <f t="shared" si="0"/>
        <v>250000</v>
      </c>
      <c r="F12" s="202" t="str">
        <f t="shared" si="1"/>
        <v>Lets Buy It</v>
      </c>
    </row>
    <row r="13" spans="1:10" x14ac:dyDescent="0.25">
      <c r="A13" s="13">
        <v>8</v>
      </c>
      <c r="B13" s="14" t="s">
        <v>47</v>
      </c>
      <c r="C13" s="15">
        <v>5</v>
      </c>
      <c r="D13" s="15">
        <v>250</v>
      </c>
      <c r="E13" s="193">
        <f t="shared" si="0"/>
        <v>1250</v>
      </c>
      <c r="F13" s="202" t="str">
        <f t="shared" si="1"/>
        <v>Lets Buy It</v>
      </c>
    </row>
    <row r="14" spans="1:10" x14ac:dyDescent="0.25">
      <c r="A14" s="13">
        <v>9</v>
      </c>
      <c r="B14" s="14" t="s">
        <v>48</v>
      </c>
      <c r="C14" s="15">
        <v>25</v>
      </c>
      <c r="D14" s="15">
        <v>100</v>
      </c>
      <c r="E14" s="193">
        <f t="shared" si="0"/>
        <v>2500</v>
      </c>
      <c r="F14" s="202" t="str">
        <f t="shared" si="1"/>
        <v>Lets Buy It</v>
      </c>
    </row>
    <row r="15" spans="1:10" x14ac:dyDescent="0.25">
      <c r="A15" s="13">
        <v>10</v>
      </c>
      <c r="B15" s="14" t="s">
        <v>49</v>
      </c>
      <c r="C15" s="15">
        <v>30</v>
      </c>
      <c r="D15" s="15">
        <v>12000</v>
      </c>
      <c r="E15" s="193">
        <f t="shared" si="0"/>
        <v>360000</v>
      </c>
      <c r="F15" s="202" t="str">
        <f t="shared" si="1"/>
        <v>Lets Buy It</v>
      </c>
    </row>
    <row r="16" spans="1:10" x14ac:dyDescent="0.25">
      <c r="A16" s="194"/>
      <c r="B16" s="195"/>
      <c r="C16" s="196"/>
      <c r="D16" s="197"/>
      <c r="E16" s="197"/>
      <c r="F16" s="197"/>
      <c r="G16" s="198"/>
      <c r="H16" s="198"/>
      <c r="I16" s="198"/>
      <c r="J16" s="198"/>
    </row>
    <row r="17" spans="1:10" x14ac:dyDescent="0.25">
      <c r="A17" t="s">
        <v>0</v>
      </c>
      <c r="B17" s="5" t="s">
        <v>50</v>
      </c>
    </row>
    <row r="18" spans="1:10" x14ac:dyDescent="0.25">
      <c r="B18" s="5"/>
    </row>
    <row r="19" spans="1:10" x14ac:dyDescent="0.25">
      <c r="A19" t="s">
        <v>0</v>
      </c>
      <c r="B19" s="6" t="s">
        <v>51</v>
      </c>
    </row>
    <row r="20" spans="1:10" x14ac:dyDescent="0.25">
      <c r="B20" s="192">
        <f>COUNTA(B6:B15)</f>
        <v>10</v>
      </c>
    </row>
    <row r="21" spans="1:10" x14ac:dyDescent="0.25">
      <c r="B21" s="6"/>
    </row>
    <row r="22" spans="1:10" x14ac:dyDescent="0.25">
      <c r="A22" t="s">
        <v>0</v>
      </c>
      <c r="B22" s="5" t="s">
        <v>52</v>
      </c>
    </row>
    <row r="23" spans="1:10" x14ac:dyDescent="0.25">
      <c r="C23" t="s">
        <v>2395</v>
      </c>
      <c r="D23" t="s">
        <v>2397</v>
      </c>
    </row>
    <row r="24" spans="1:10" x14ac:dyDescent="0.25">
      <c r="C24" s="191">
        <f>COUNTIF(C6:C15,"&gt;20")</f>
        <v>3</v>
      </c>
      <c r="D24" s="191">
        <f>COUNTIF(C6:C15,"&lt;20")</f>
        <v>6</v>
      </c>
    </row>
    <row r="26" spans="1:10" x14ac:dyDescent="0.25">
      <c r="B26" s="487" t="s">
        <v>53</v>
      </c>
      <c r="C26" s="483"/>
      <c r="D26" s="483"/>
      <c r="E26" s="483"/>
      <c r="F26" s="483"/>
      <c r="G26" s="483"/>
      <c r="H26" s="483"/>
      <c r="I26" s="483"/>
      <c r="J26" s="483"/>
    </row>
    <row r="27" spans="1:10" x14ac:dyDescent="0.25">
      <c r="B27" s="5"/>
      <c r="C27" s="9" t="s">
        <v>36</v>
      </c>
      <c r="D27" s="9" t="s">
        <v>37</v>
      </c>
      <c r="E27" s="9" t="s">
        <v>38</v>
      </c>
    </row>
    <row r="28" spans="1:10" x14ac:dyDescent="0.25">
      <c r="B28" s="5" t="s">
        <v>1051</v>
      </c>
      <c r="C28" s="191">
        <f>SUMIF($B$6:$B$15,$B$12,C6:C15)</f>
        <v>10</v>
      </c>
      <c r="D28" s="191">
        <f t="shared" ref="D28:E28" si="2">SUMIF($B$6:$B$15,$B$12,D6:D15)</f>
        <v>25000</v>
      </c>
      <c r="E28" s="191">
        <f t="shared" si="2"/>
        <v>250000</v>
      </c>
    </row>
    <row r="29" spans="1:10" x14ac:dyDescent="0.25">
      <c r="B29" s="5"/>
    </row>
    <row r="30" spans="1:10" x14ac:dyDescent="0.25">
      <c r="B30" s="488" t="s">
        <v>54</v>
      </c>
      <c r="C30" s="483"/>
      <c r="D30" s="483"/>
      <c r="E30" s="483"/>
      <c r="F30" s="483"/>
      <c r="G30" s="483"/>
      <c r="H30" s="483"/>
      <c r="I30" s="483"/>
      <c r="J30" s="483"/>
    </row>
  </sheetData>
  <mergeCells count="3">
    <mergeCell ref="A2:J2"/>
    <mergeCell ref="B26:J26"/>
    <mergeCell ref="B30:J3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7290A-96F7-44E9-AE26-A2B59C5BE798}">
  <dimension ref="A1:G23"/>
  <sheetViews>
    <sheetView workbookViewId="0">
      <selection activeCell="H6" sqref="H6"/>
    </sheetView>
  </sheetViews>
  <sheetFormatPr defaultRowHeight="15" x14ac:dyDescent="0.25"/>
  <sheetData>
    <row r="1" spans="1:7" ht="15.75" x14ac:dyDescent="0.25">
      <c r="A1" s="500" t="s">
        <v>1111</v>
      </c>
      <c r="B1" s="483"/>
      <c r="C1" s="483"/>
      <c r="D1" s="483"/>
      <c r="E1" s="483"/>
      <c r="F1" s="483"/>
    </row>
    <row r="2" spans="1:7" x14ac:dyDescent="0.25">
      <c r="A2" t="s">
        <v>1112</v>
      </c>
      <c r="B2" s="5" t="s">
        <v>1113</v>
      </c>
    </row>
    <row r="3" spans="1:7" x14ac:dyDescent="0.25">
      <c r="A3" s="86" t="s">
        <v>1114</v>
      </c>
      <c r="B3" s="86" t="s">
        <v>1115</v>
      </c>
      <c r="C3" s="86" t="s">
        <v>1116</v>
      </c>
      <c r="D3" s="86" t="s">
        <v>1117</v>
      </c>
      <c r="E3" s="86" t="s">
        <v>1118</v>
      </c>
      <c r="F3" s="86" t="s">
        <v>1119</v>
      </c>
    </row>
    <row r="4" spans="1:7" x14ac:dyDescent="0.25">
      <c r="A4" s="13" t="s">
        <v>1120</v>
      </c>
      <c r="B4" s="13">
        <v>92671</v>
      </c>
      <c r="C4" s="13" t="s">
        <v>1121</v>
      </c>
      <c r="D4" s="13" t="s">
        <v>1122</v>
      </c>
      <c r="E4" s="13" t="s">
        <v>1123</v>
      </c>
      <c r="F4" s="193">
        <f>INDEX(A3:D23,2,2)</f>
        <v>92671</v>
      </c>
    </row>
    <row r="5" spans="1:7" x14ac:dyDescent="0.25">
      <c r="A5" s="13" t="s">
        <v>1124</v>
      </c>
      <c r="B5" s="13">
        <v>84120</v>
      </c>
      <c r="C5" s="13" t="s">
        <v>1125</v>
      </c>
      <c r="D5" s="13" t="s">
        <v>1126</v>
      </c>
      <c r="E5" s="13" t="s">
        <v>1127</v>
      </c>
      <c r="F5" s="193">
        <f t="shared" ref="F5:F23" si="0">INDEX(A4:D24,2,2)</f>
        <v>84120</v>
      </c>
      <c r="G5" s="166"/>
    </row>
    <row r="6" spans="1:7" x14ac:dyDescent="0.25">
      <c r="A6" s="13" t="s">
        <v>1128</v>
      </c>
      <c r="B6" s="13">
        <v>50793</v>
      </c>
      <c r="C6" s="13" t="s">
        <v>1129</v>
      </c>
      <c r="D6" s="13" t="s">
        <v>1130</v>
      </c>
      <c r="E6" s="13" t="s">
        <v>1131</v>
      </c>
      <c r="F6" s="193">
        <f t="shared" si="0"/>
        <v>50793</v>
      </c>
    </row>
    <row r="7" spans="1:7" x14ac:dyDescent="0.25">
      <c r="A7" s="13" t="s">
        <v>1132</v>
      </c>
      <c r="B7" s="13">
        <v>77833</v>
      </c>
      <c r="C7" s="13" t="s">
        <v>1133</v>
      </c>
      <c r="D7" s="13" t="s">
        <v>1134</v>
      </c>
      <c r="E7" s="13" t="s">
        <v>1135</v>
      </c>
      <c r="F7" s="193">
        <f t="shared" si="0"/>
        <v>77833</v>
      </c>
    </row>
    <row r="8" spans="1:7" x14ac:dyDescent="0.25">
      <c r="A8" s="13" t="s">
        <v>1136</v>
      </c>
      <c r="B8" s="13">
        <v>58914</v>
      </c>
      <c r="C8" s="13" t="s">
        <v>1137</v>
      </c>
      <c r="D8" s="13" t="s">
        <v>1138</v>
      </c>
      <c r="E8" s="13" t="s">
        <v>1139</v>
      </c>
      <c r="F8" s="193">
        <f t="shared" si="0"/>
        <v>58914</v>
      </c>
    </row>
    <row r="9" spans="1:7" x14ac:dyDescent="0.25">
      <c r="A9" s="13" t="s">
        <v>1140</v>
      </c>
      <c r="B9" s="13">
        <v>51096</v>
      </c>
      <c r="C9" s="13" t="s">
        <v>1141</v>
      </c>
      <c r="D9" s="13" t="s">
        <v>1142</v>
      </c>
      <c r="E9" s="13" t="s">
        <v>1143</v>
      </c>
      <c r="F9" s="193">
        <f t="shared" si="0"/>
        <v>51096</v>
      </c>
    </row>
    <row r="10" spans="1:7" x14ac:dyDescent="0.25">
      <c r="A10" s="13" t="s">
        <v>1144</v>
      </c>
      <c r="B10" s="13">
        <v>83735</v>
      </c>
      <c r="C10" s="13" t="s">
        <v>1145</v>
      </c>
      <c r="D10" s="13" t="s">
        <v>1146</v>
      </c>
      <c r="E10" s="13" t="s">
        <v>1147</v>
      </c>
      <c r="F10" s="193">
        <f t="shared" si="0"/>
        <v>83735</v>
      </c>
    </row>
    <row r="11" spans="1:7" x14ac:dyDescent="0.25">
      <c r="A11" s="13" t="s">
        <v>1148</v>
      </c>
      <c r="B11" s="13">
        <v>74418</v>
      </c>
      <c r="C11" s="13" t="s">
        <v>1149</v>
      </c>
      <c r="D11" s="13" t="s">
        <v>1150</v>
      </c>
      <c r="E11" s="13" t="s">
        <v>1151</v>
      </c>
      <c r="F11" s="193">
        <f t="shared" si="0"/>
        <v>74418</v>
      </c>
    </row>
    <row r="12" spans="1:7" x14ac:dyDescent="0.25">
      <c r="A12" s="13" t="s">
        <v>1152</v>
      </c>
      <c r="B12" s="13">
        <v>51366</v>
      </c>
      <c r="C12" s="13" t="s">
        <v>1153</v>
      </c>
      <c r="D12" s="13" t="s">
        <v>1154</v>
      </c>
      <c r="E12" s="13" t="s">
        <v>1155</v>
      </c>
      <c r="F12" s="193">
        <f t="shared" si="0"/>
        <v>51366</v>
      </c>
    </row>
    <row r="13" spans="1:7" x14ac:dyDescent="0.25">
      <c r="A13" s="13" t="s">
        <v>1156</v>
      </c>
      <c r="B13" s="13">
        <v>54600</v>
      </c>
      <c r="C13" s="13" t="s">
        <v>1157</v>
      </c>
      <c r="D13" s="13" t="s">
        <v>1158</v>
      </c>
      <c r="E13" s="13" t="s">
        <v>1159</v>
      </c>
      <c r="F13" s="193">
        <f t="shared" si="0"/>
        <v>54600</v>
      </c>
    </row>
    <row r="14" spans="1:7" x14ac:dyDescent="0.25">
      <c r="A14" s="13" t="s">
        <v>1160</v>
      </c>
      <c r="B14" s="13">
        <v>93509</v>
      </c>
      <c r="C14" s="13" t="s">
        <v>1161</v>
      </c>
      <c r="D14" s="13" t="s">
        <v>1162</v>
      </c>
      <c r="E14" s="13" t="s">
        <v>1163</v>
      </c>
      <c r="F14" s="193">
        <f t="shared" si="0"/>
        <v>93509</v>
      </c>
    </row>
    <row r="15" spans="1:7" x14ac:dyDescent="0.25">
      <c r="A15" s="13" t="s">
        <v>1164</v>
      </c>
      <c r="B15" s="13">
        <v>80105</v>
      </c>
      <c r="C15" s="13" t="s">
        <v>1165</v>
      </c>
      <c r="D15" s="13" t="s">
        <v>1166</v>
      </c>
      <c r="E15" s="13" t="s">
        <v>1167</v>
      </c>
      <c r="F15" s="193">
        <f t="shared" si="0"/>
        <v>80105</v>
      </c>
    </row>
    <row r="16" spans="1:7" x14ac:dyDescent="0.25">
      <c r="A16" s="13" t="s">
        <v>1168</v>
      </c>
      <c r="B16" s="13">
        <v>60802</v>
      </c>
      <c r="C16" s="13" t="s">
        <v>1169</v>
      </c>
      <c r="D16" s="13" t="s">
        <v>1170</v>
      </c>
      <c r="E16" s="13" t="s">
        <v>1171</v>
      </c>
      <c r="F16" s="193">
        <f t="shared" si="0"/>
        <v>60802</v>
      </c>
    </row>
    <row r="17" spans="1:6" x14ac:dyDescent="0.25">
      <c r="A17" s="13" t="s">
        <v>1172</v>
      </c>
      <c r="B17" s="13">
        <v>76260</v>
      </c>
      <c r="C17" s="13" t="s">
        <v>1173</v>
      </c>
      <c r="D17" s="13" t="s">
        <v>1174</v>
      </c>
      <c r="E17" s="13" t="s">
        <v>1175</v>
      </c>
      <c r="F17" s="193">
        <f t="shared" si="0"/>
        <v>76260</v>
      </c>
    </row>
    <row r="18" spans="1:6" x14ac:dyDescent="0.25">
      <c r="A18" s="13" t="s">
        <v>1176</v>
      </c>
      <c r="B18" s="13">
        <v>88965</v>
      </c>
      <c r="C18" s="13" t="s">
        <v>1177</v>
      </c>
      <c r="D18" s="13" t="s">
        <v>1178</v>
      </c>
      <c r="E18" s="13" t="s">
        <v>1179</v>
      </c>
      <c r="F18" s="193">
        <f t="shared" si="0"/>
        <v>88965</v>
      </c>
    </row>
    <row r="19" spans="1:6" x14ac:dyDescent="0.25">
      <c r="A19" s="13" t="s">
        <v>1180</v>
      </c>
      <c r="B19" s="13">
        <v>63288</v>
      </c>
      <c r="C19" s="13" t="s">
        <v>1181</v>
      </c>
      <c r="D19" s="13" t="s">
        <v>1182</v>
      </c>
      <c r="E19" s="13" t="s">
        <v>1183</v>
      </c>
      <c r="F19" s="193">
        <f t="shared" si="0"/>
        <v>63288</v>
      </c>
    </row>
    <row r="20" spans="1:6" x14ac:dyDescent="0.25">
      <c r="A20" s="13" t="s">
        <v>1184</v>
      </c>
      <c r="B20" s="13">
        <v>45742</v>
      </c>
      <c r="C20" s="13" t="s">
        <v>1185</v>
      </c>
      <c r="D20" s="13" t="s">
        <v>1186</v>
      </c>
      <c r="E20" s="13" t="s">
        <v>1187</v>
      </c>
      <c r="F20" s="193">
        <f t="shared" si="0"/>
        <v>45742</v>
      </c>
    </row>
    <row r="21" spans="1:6" x14ac:dyDescent="0.25">
      <c r="A21" s="13" t="s">
        <v>1188</v>
      </c>
      <c r="B21" s="13">
        <v>88354</v>
      </c>
      <c r="C21" s="13" t="s">
        <v>1189</v>
      </c>
      <c r="D21" s="13" t="s">
        <v>1190</v>
      </c>
      <c r="E21" s="13" t="s">
        <v>1191</v>
      </c>
      <c r="F21" s="193">
        <f t="shared" si="0"/>
        <v>88354</v>
      </c>
    </row>
    <row r="22" spans="1:6" x14ac:dyDescent="0.25">
      <c r="A22" s="13" t="s">
        <v>1192</v>
      </c>
      <c r="B22" s="13">
        <v>76641</v>
      </c>
      <c r="C22" s="13" t="s">
        <v>1193</v>
      </c>
      <c r="D22" s="13" t="s">
        <v>1194</v>
      </c>
      <c r="E22" s="13" t="s">
        <v>1195</v>
      </c>
      <c r="F22" s="193">
        <f t="shared" si="0"/>
        <v>76641</v>
      </c>
    </row>
    <row r="23" spans="1:6" x14ac:dyDescent="0.25">
      <c r="A23" s="13" t="s">
        <v>1196</v>
      </c>
      <c r="B23" s="13">
        <v>61678</v>
      </c>
      <c r="C23" s="13" t="s">
        <v>1197</v>
      </c>
      <c r="D23" s="13" t="s">
        <v>1198</v>
      </c>
      <c r="E23" s="13" t="s">
        <v>1199</v>
      </c>
      <c r="F23" s="193">
        <f t="shared" si="0"/>
        <v>61678</v>
      </c>
    </row>
  </sheetData>
  <mergeCells count="1">
    <mergeCell ref="A1:F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47"/>
  <sheetViews>
    <sheetView topLeftCell="A28" workbookViewId="0">
      <selection activeCell="B40" sqref="B40:B41"/>
    </sheetView>
  </sheetViews>
  <sheetFormatPr defaultRowHeight="15" x14ac:dyDescent="0.25"/>
  <cols>
    <col min="1" max="1" width="66"/>
    <col min="2" max="2" width="12"/>
    <col min="3" max="3" width="17"/>
    <col min="4" max="4" width="10"/>
    <col min="5" max="5" width="13"/>
    <col min="6" max="6" width="19"/>
  </cols>
  <sheetData>
    <row r="1" spans="1:6" ht="3.95" customHeight="1" x14ac:dyDescent="0.25">
      <c r="A1" s="499" t="s">
        <v>1200</v>
      </c>
      <c r="B1" s="483"/>
      <c r="C1" s="483"/>
      <c r="D1" s="483"/>
      <c r="E1" s="483"/>
      <c r="F1" s="483"/>
    </row>
    <row r="2" spans="1:6" ht="15.95" customHeight="1" x14ac:dyDescent="0.25">
      <c r="A2" s="500" t="s">
        <v>1201</v>
      </c>
      <c r="B2" s="483"/>
      <c r="C2" s="483"/>
      <c r="D2" s="483"/>
      <c r="E2" s="483"/>
      <c r="F2" s="483"/>
    </row>
    <row r="3" spans="1:6" ht="14.1" customHeight="1" x14ac:dyDescent="0.25">
      <c r="A3" s="493" t="s">
        <v>1202</v>
      </c>
      <c r="B3" s="483"/>
      <c r="C3" s="483"/>
      <c r="D3" s="483"/>
      <c r="E3" s="483"/>
      <c r="F3" s="483"/>
    </row>
    <row r="4" spans="1:6" ht="15.95" customHeight="1" x14ac:dyDescent="0.25">
      <c r="A4" s="86" t="s">
        <v>1203</v>
      </c>
      <c r="B4" s="86" t="s">
        <v>1204</v>
      </c>
      <c r="C4" s="86" t="s">
        <v>1205</v>
      </c>
      <c r="D4" s="86" t="s">
        <v>1206</v>
      </c>
      <c r="E4" s="86" t="s">
        <v>1207</v>
      </c>
      <c r="F4" s="86" t="s">
        <v>1208</v>
      </c>
    </row>
    <row r="5" spans="1:6" ht="18.95" customHeight="1" x14ac:dyDescent="0.25">
      <c r="A5" s="13" t="s">
        <v>1209</v>
      </c>
      <c r="B5" s="13">
        <v>92671</v>
      </c>
      <c r="C5" s="13" t="s">
        <v>1210</v>
      </c>
      <c r="D5" s="13" t="s">
        <v>1211</v>
      </c>
      <c r="E5" s="13" t="s">
        <v>1212</v>
      </c>
      <c r="F5" s="193">
        <f t="shared" ref="F5:F24" si="0">INDEX($A$4:$D$24,MATCH(E5,$D$4:$D$24,0),MATCH(E$5,$D$4:$D$24,0))</f>
        <v>92671</v>
      </c>
    </row>
    <row r="6" spans="1:6" ht="18.95" customHeight="1" x14ac:dyDescent="0.25">
      <c r="A6" s="13" t="s">
        <v>1213</v>
      </c>
      <c r="B6" s="13">
        <v>84120</v>
      </c>
      <c r="C6" s="13" t="s">
        <v>1214</v>
      </c>
      <c r="D6" s="13" t="s">
        <v>1215</v>
      </c>
      <c r="E6" s="13" t="s">
        <v>1216</v>
      </c>
      <c r="F6" s="193">
        <f t="shared" si="0"/>
        <v>84120</v>
      </c>
    </row>
    <row r="7" spans="1:6" ht="18.95" customHeight="1" x14ac:dyDescent="0.25">
      <c r="A7" s="13" t="s">
        <v>1217</v>
      </c>
      <c r="B7" s="13">
        <v>50793</v>
      </c>
      <c r="C7" s="13" t="s">
        <v>1218</v>
      </c>
      <c r="D7" s="13" t="s">
        <v>1219</v>
      </c>
      <c r="E7" s="13" t="s">
        <v>1220</v>
      </c>
      <c r="F7" s="193">
        <f t="shared" si="0"/>
        <v>50793</v>
      </c>
    </row>
    <row r="8" spans="1:6" ht="18.95" customHeight="1" x14ac:dyDescent="0.25">
      <c r="A8" s="13" t="s">
        <v>1221</v>
      </c>
      <c r="B8" s="13">
        <v>77833</v>
      </c>
      <c r="C8" s="13" t="s">
        <v>1222</v>
      </c>
      <c r="D8" s="13" t="s">
        <v>1223</v>
      </c>
      <c r="E8" s="13" t="s">
        <v>1224</v>
      </c>
      <c r="F8" s="193">
        <f t="shared" si="0"/>
        <v>77833</v>
      </c>
    </row>
    <row r="9" spans="1:6" ht="18.95" customHeight="1" x14ac:dyDescent="0.25">
      <c r="A9" s="13" t="s">
        <v>1225</v>
      </c>
      <c r="B9" s="13">
        <v>58914</v>
      </c>
      <c r="C9" s="13" t="s">
        <v>1226</v>
      </c>
      <c r="D9" s="13" t="s">
        <v>1227</v>
      </c>
      <c r="E9" s="13" t="s">
        <v>1228</v>
      </c>
      <c r="F9" s="193">
        <f t="shared" si="0"/>
        <v>58914</v>
      </c>
    </row>
    <row r="10" spans="1:6" ht="18.95" customHeight="1" x14ac:dyDescent="0.25">
      <c r="A10" s="13" t="s">
        <v>1229</v>
      </c>
      <c r="B10" s="13">
        <v>51096</v>
      </c>
      <c r="C10" s="13" t="s">
        <v>1230</v>
      </c>
      <c r="D10" s="13" t="s">
        <v>1231</v>
      </c>
      <c r="E10" s="13" t="s">
        <v>1232</v>
      </c>
      <c r="F10" s="193">
        <f t="shared" si="0"/>
        <v>51096</v>
      </c>
    </row>
    <row r="11" spans="1:6" ht="18.95" customHeight="1" x14ac:dyDescent="0.25">
      <c r="A11" s="13" t="s">
        <v>1233</v>
      </c>
      <c r="B11" s="13">
        <v>83735</v>
      </c>
      <c r="C11" s="13" t="s">
        <v>1234</v>
      </c>
      <c r="D11" s="13" t="s">
        <v>1235</v>
      </c>
      <c r="E11" s="13" t="s">
        <v>1236</v>
      </c>
      <c r="F11" s="193">
        <f t="shared" si="0"/>
        <v>83735</v>
      </c>
    </row>
    <row r="12" spans="1:6" ht="18.95" customHeight="1" x14ac:dyDescent="0.25">
      <c r="A12" s="13" t="s">
        <v>1237</v>
      </c>
      <c r="B12" s="13">
        <v>74418</v>
      </c>
      <c r="C12" s="13" t="s">
        <v>1238</v>
      </c>
      <c r="D12" s="13" t="s">
        <v>1239</v>
      </c>
      <c r="E12" s="13" t="s">
        <v>1240</v>
      </c>
      <c r="F12" s="193">
        <f t="shared" si="0"/>
        <v>74418</v>
      </c>
    </row>
    <row r="13" spans="1:6" ht="18.95" customHeight="1" x14ac:dyDescent="0.25">
      <c r="A13" s="13" t="s">
        <v>1241</v>
      </c>
      <c r="B13" s="13">
        <v>51366</v>
      </c>
      <c r="C13" s="13" t="s">
        <v>1242</v>
      </c>
      <c r="D13" s="13" t="s">
        <v>1243</v>
      </c>
      <c r="E13" s="13" t="s">
        <v>1244</v>
      </c>
      <c r="F13" s="193">
        <f t="shared" si="0"/>
        <v>51366</v>
      </c>
    </row>
    <row r="14" spans="1:6" ht="18.95" customHeight="1" x14ac:dyDescent="0.25">
      <c r="A14" s="13" t="s">
        <v>1245</v>
      </c>
      <c r="B14" s="13">
        <v>54600</v>
      </c>
      <c r="C14" s="13" t="s">
        <v>1246</v>
      </c>
      <c r="D14" s="13" t="s">
        <v>1247</v>
      </c>
      <c r="E14" s="13" t="s">
        <v>1248</v>
      </c>
      <c r="F14" s="193">
        <f t="shared" si="0"/>
        <v>54600</v>
      </c>
    </row>
    <row r="15" spans="1:6" ht="18.95" customHeight="1" x14ac:dyDescent="0.25">
      <c r="A15" s="13" t="s">
        <v>1249</v>
      </c>
      <c r="B15" s="13">
        <v>93509</v>
      </c>
      <c r="C15" s="13" t="s">
        <v>1250</v>
      </c>
      <c r="D15" s="13" t="s">
        <v>1251</v>
      </c>
      <c r="E15" s="13" t="s">
        <v>1252</v>
      </c>
      <c r="F15" s="193">
        <f t="shared" si="0"/>
        <v>93509</v>
      </c>
    </row>
    <row r="16" spans="1:6" ht="18.95" customHeight="1" x14ac:dyDescent="0.25">
      <c r="A16" s="13" t="s">
        <v>1253</v>
      </c>
      <c r="B16" s="13">
        <v>80105</v>
      </c>
      <c r="C16" s="13" t="s">
        <v>1254</v>
      </c>
      <c r="D16" s="13" t="s">
        <v>1255</v>
      </c>
      <c r="E16" s="13" t="s">
        <v>1256</v>
      </c>
      <c r="F16" s="193">
        <f t="shared" si="0"/>
        <v>80105</v>
      </c>
    </row>
    <row r="17" spans="1:6" ht="18.95" customHeight="1" x14ac:dyDescent="0.25">
      <c r="A17" s="13" t="s">
        <v>1257</v>
      </c>
      <c r="B17" s="13">
        <v>60802</v>
      </c>
      <c r="C17" s="13" t="s">
        <v>1258</v>
      </c>
      <c r="D17" s="13" t="s">
        <v>1259</v>
      </c>
      <c r="E17" s="13" t="s">
        <v>1260</v>
      </c>
      <c r="F17" s="193">
        <f t="shared" si="0"/>
        <v>60802</v>
      </c>
    </row>
    <row r="18" spans="1:6" ht="18.95" customHeight="1" x14ac:dyDescent="0.25">
      <c r="A18" s="13" t="s">
        <v>1261</v>
      </c>
      <c r="B18" s="13">
        <v>76260</v>
      </c>
      <c r="C18" s="13" t="s">
        <v>1262</v>
      </c>
      <c r="D18" s="13" t="s">
        <v>1263</v>
      </c>
      <c r="E18" s="13" t="s">
        <v>1264</v>
      </c>
      <c r="F18" s="193">
        <f t="shared" si="0"/>
        <v>76260</v>
      </c>
    </row>
    <row r="19" spans="1:6" ht="18.95" customHeight="1" x14ac:dyDescent="0.25">
      <c r="A19" s="13" t="s">
        <v>1265</v>
      </c>
      <c r="B19" s="13">
        <v>88965</v>
      </c>
      <c r="C19" s="13" t="s">
        <v>1266</v>
      </c>
      <c r="D19" s="13" t="s">
        <v>1267</v>
      </c>
      <c r="E19" s="13" t="s">
        <v>1268</v>
      </c>
      <c r="F19" s="193">
        <f t="shared" si="0"/>
        <v>88965</v>
      </c>
    </row>
    <row r="20" spans="1:6" ht="18.95" customHeight="1" x14ac:dyDescent="0.25">
      <c r="A20" s="13" t="s">
        <v>1269</v>
      </c>
      <c r="B20" s="13">
        <v>63288</v>
      </c>
      <c r="C20" s="13" t="s">
        <v>1270</v>
      </c>
      <c r="D20" s="13" t="s">
        <v>1271</v>
      </c>
      <c r="E20" s="13" t="s">
        <v>1272</v>
      </c>
      <c r="F20" s="193">
        <f t="shared" si="0"/>
        <v>63288</v>
      </c>
    </row>
    <row r="21" spans="1:6" ht="18.95" customHeight="1" x14ac:dyDescent="0.25">
      <c r="A21" s="13" t="s">
        <v>1273</v>
      </c>
      <c r="B21" s="13">
        <v>45742</v>
      </c>
      <c r="C21" s="13" t="s">
        <v>1274</v>
      </c>
      <c r="D21" s="13" t="s">
        <v>1275</v>
      </c>
      <c r="E21" s="13" t="s">
        <v>1276</v>
      </c>
      <c r="F21" s="193">
        <f t="shared" si="0"/>
        <v>45742</v>
      </c>
    </row>
    <row r="22" spans="1:6" ht="18.95" customHeight="1" x14ac:dyDescent="0.25">
      <c r="A22" s="13" t="s">
        <v>1277</v>
      </c>
      <c r="B22" s="13">
        <v>88354</v>
      </c>
      <c r="C22" s="13" t="s">
        <v>1278</v>
      </c>
      <c r="D22" s="13" t="s">
        <v>1279</v>
      </c>
      <c r="E22" s="13" t="s">
        <v>1280</v>
      </c>
      <c r="F22" s="193">
        <f t="shared" si="0"/>
        <v>88354</v>
      </c>
    </row>
    <row r="23" spans="1:6" ht="18.95" customHeight="1" x14ac:dyDescent="0.25">
      <c r="A23" s="13" t="s">
        <v>1281</v>
      </c>
      <c r="B23" s="13">
        <v>76641</v>
      </c>
      <c r="C23" s="13" t="s">
        <v>1282</v>
      </c>
      <c r="D23" s="13" t="s">
        <v>1283</v>
      </c>
      <c r="E23" s="13" t="s">
        <v>1284</v>
      </c>
      <c r="F23" s="193">
        <f t="shared" si="0"/>
        <v>76641</v>
      </c>
    </row>
    <row r="24" spans="1:6" ht="18" customHeight="1" x14ac:dyDescent="0.25">
      <c r="A24" s="13" t="s">
        <v>1285</v>
      </c>
      <c r="B24" s="13">
        <v>61678</v>
      </c>
      <c r="C24" s="13" t="s">
        <v>1286</v>
      </c>
      <c r="D24" s="13" t="s">
        <v>1287</v>
      </c>
      <c r="E24" s="13" t="s">
        <v>1288</v>
      </c>
      <c r="F24" s="193">
        <f t="shared" si="0"/>
        <v>61678</v>
      </c>
    </row>
    <row r="25" spans="1:6" s="166" customFormat="1" ht="18" customHeight="1" x14ac:dyDescent="0.25">
      <c r="A25" s="194"/>
      <c r="B25" s="278"/>
      <c r="C25" s="278"/>
      <c r="D25" s="278"/>
      <c r="E25" s="278"/>
      <c r="F25" s="279"/>
    </row>
    <row r="26" spans="1:6" s="166" customFormat="1" ht="18" customHeight="1" x14ac:dyDescent="0.25">
      <c r="A26" s="194"/>
      <c r="B26" s="278"/>
      <c r="C26" s="278"/>
      <c r="D26" s="278"/>
      <c r="E26" s="278"/>
      <c r="F26" s="279"/>
    </row>
    <row r="27" spans="1:6" s="166" customFormat="1" ht="18" customHeight="1" x14ac:dyDescent="0.25">
      <c r="A27" s="194"/>
      <c r="B27" s="278"/>
      <c r="C27" s="278"/>
      <c r="D27" s="278"/>
      <c r="E27" s="278"/>
      <c r="F27" s="279"/>
    </row>
    <row r="28" spans="1:6" ht="15" customHeight="1" x14ac:dyDescent="0.25">
      <c r="A28" s="87" t="s">
        <v>1289</v>
      </c>
      <c r="B28" s="522" t="s">
        <v>1290</v>
      </c>
      <c r="C28" s="498" t="s">
        <v>1291</v>
      </c>
      <c r="D28" s="498" t="s">
        <v>1292</v>
      </c>
      <c r="E28" s="498" t="s">
        <v>1293</v>
      </c>
      <c r="F28" s="498" t="s">
        <v>1294</v>
      </c>
    </row>
    <row r="29" spans="1:6" s="166" customFormat="1" ht="15" customHeight="1" x14ac:dyDescent="0.25">
      <c r="A29" s="87"/>
      <c r="B29" s="280"/>
      <c r="C29" s="198"/>
      <c r="D29" s="198"/>
      <c r="E29" s="198"/>
      <c r="F29" s="198"/>
    </row>
    <row r="30" spans="1:6" s="166" customFormat="1" ht="15" customHeight="1" x14ac:dyDescent="0.25">
      <c r="A30" s="13" t="s">
        <v>473</v>
      </c>
      <c r="B30" s="563">
        <f>COUNTIF($C$5:$C$24,A30)</f>
        <v>5</v>
      </c>
      <c r="C30" s="198"/>
      <c r="D30" s="198"/>
      <c r="E30" s="198"/>
      <c r="F30" s="198"/>
    </row>
    <row r="31" spans="1:6" s="166" customFormat="1" ht="15" customHeight="1" x14ac:dyDescent="0.25">
      <c r="A31" s="13" t="s">
        <v>1133</v>
      </c>
      <c r="B31" s="563">
        <f t="shared" ref="B31:B33" si="1">COUNTIF($C$5:$C$24,A31)</f>
        <v>1</v>
      </c>
      <c r="C31" s="198"/>
      <c r="D31" s="198"/>
      <c r="E31" s="198"/>
      <c r="F31" s="198"/>
    </row>
    <row r="32" spans="1:6" s="166" customFormat="1" ht="15" customHeight="1" x14ac:dyDescent="0.25">
      <c r="A32" s="13" t="s">
        <v>503</v>
      </c>
      <c r="B32" s="563">
        <f t="shared" si="1"/>
        <v>3</v>
      </c>
      <c r="C32" s="198"/>
      <c r="D32" s="198"/>
      <c r="E32" s="198"/>
      <c r="F32" s="198"/>
    </row>
    <row r="33" spans="1:6" s="166" customFormat="1" ht="15" customHeight="1" x14ac:dyDescent="0.25">
      <c r="A33" s="13" t="s">
        <v>1141</v>
      </c>
      <c r="B33" s="563">
        <f t="shared" si="1"/>
        <v>3</v>
      </c>
      <c r="C33" s="198"/>
      <c r="D33" s="198"/>
      <c r="E33" s="198"/>
      <c r="F33" s="198"/>
    </row>
    <row r="34" spans="1:6" ht="15" customHeight="1" x14ac:dyDescent="0.25">
      <c r="A34" s="87" t="s">
        <v>1295</v>
      </c>
      <c r="B34" s="523" t="s">
        <v>1296</v>
      </c>
      <c r="C34" s="483" t="s">
        <v>1297</v>
      </c>
      <c r="D34" s="483" t="s">
        <v>1298</v>
      </c>
      <c r="E34" s="483" t="s">
        <v>1299</v>
      </c>
      <c r="F34" s="483" t="s">
        <v>1300</v>
      </c>
    </row>
    <row r="35" spans="1:6" s="166" customFormat="1" ht="15" customHeight="1" x14ac:dyDescent="0.25">
      <c r="A35" s="87"/>
      <c r="B35" s="86" t="s">
        <v>1115</v>
      </c>
    </row>
    <row r="36" spans="1:6" s="166" customFormat="1" ht="15" customHeight="1" x14ac:dyDescent="0.25">
      <c r="A36" s="13" t="s">
        <v>1160</v>
      </c>
      <c r="B36" s="563">
        <f>VLOOKUP(A36,A4:F24,6,FALSE)</f>
        <v>93509</v>
      </c>
    </row>
    <row r="37" spans="1:6" s="166" customFormat="1" ht="15" customHeight="1" x14ac:dyDescent="0.25">
      <c r="A37" s="194"/>
      <c r="B37" s="281"/>
    </row>
    <row r="38" spans="1:6" ht="14.1" customHeight="1" x14ac:dyDescent="0.25">
      <c r="A38" s="8" t="s">
        <v>1301</v>
      </c>
      <c r="B38" s="501" t="s">
        <v>1302</v>
      </c>
      <c r="C38" s="483" t="s">
        <v>1303</v>
      </c>
      <c r="D38" s="483" t="s">
        <v>1304</v>
      </c>
      <c r="E38" s="483" t="s">
        <v>1305</v>
      </c>
      <c r="F38" s="483" t="s">
        <v>1306</v>
      </c>
    </row>
    <row r="39" spans="1:6" ht="15.95" customHeight="1" x14ac:dyDescent="0.25">
      <c r="B39" s="86" t="s">
        <v>1115</v>
      </c>
    </row>
    <row r="40" spans="1:6" ht="14.1" customHeight="1" x14ac:dyDescent="0.25">
      <c r="A40" s="13" t="s">
        <v>473</v>
      </c>
      <c r="B40" s="216">
        <f>SUMIF($C$5:$C$24,A40,$F$5:$F$24)</f>
        <v>360325</v>
      </c>
    </row>
    <row r="41" spans="1:6" ht="15.95" customHeight="1" x14ac:dyDescent="0.25">
      <c r="A41" s="13" t="s">
        <v>1141</v>
      </c>
      <c r="B41" s="216">
        <f>SUMIF($C$5:$C$24,A41,$F$5:$F$24)</f>
        <v>214479</v>
      </c>
    </row>
    <row r="42" spans="1:6" ht="18" customHeight="1" x14ac:dyDescent="0.25"/>
    <row r="43" spans="1:6" ht="18" customHeight="1" x14ac:dyDescent="0.25"/>
    <row r="44" spans="1:6" ht="18" customHeight="1" x14ac:dyDescent="0.25"/>
    <row r="45" spans="1:6" ht="18" customHeight="1" x14ac:dyDescent="0.25"/>
    <row r="46" spans="1:6" ht="18" customHeight="1" x14ac:dyDescent="0.25"/>
    <row r="47" spans="1:6" ht="18" customHeight="1" x14ac:dyDescent="0.25"/>
  </sheetData>
  <mergeCells count="6">
    <mergeCell ref="B38:F38"/>
    <mergeCell ref="A1:F1"/>
    <mergeCell ref="A2:F2"/>
    <mergeCell ref="A3:F3"/>
    <mergeCell ref="B28:F28"/>
    <mergeCell ref="B34:F34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B389E-AB57-44EA-B12C-A7BF283A3FB9}">
  <dimension ref="A1:F15"/>
  <sheetViews>
    <sheetView workbookViewId="0">
      <selection activeCell="S7" sqref="S7"/>
    </sheetView>
  </sheetViews>
  <sheetFormatPr defaultRowHeight="15" x14ac:dyDescent="0.25"/>
  <cols>
    <col min="6" max="6" width="14.140625" customWidth="1"/>
  </cols>
  <sheetData>
    <row r="1" spans="1:6" ht="15.75" x14ac:dyDescent="0.25">
      <c r="A1" s="500" t="s">
        <v>1307</v>
      </c>
      <c r="B1" s="483"/>
      <c r="C1" s="483"/>
      <c r="D1" s="483"/>
      <c r="E1" s="483"/>
      <c r="F1" s="483"/>
    </row>
    <row r="2" spans="1:6" x14ac:dyDescent="0.25">
      <c r="A2" s="493" t="s">
        <v>1308</v>
      </c>
      <c r="B2" s="483"/>
      <c r="C2" s="483"/>
      <c r="D2" s="483"/>
      <c r="E2" s="483"/>
      <c r="F2" s="483"/>
    </row>
    <row r="3" spans="1:6" x14ac:dyDescent="0.25">
      <c r="A3" s="88" t="s">
        <v>1309</v>
      </c>
      <c r="B3" s="88" t="s">
        <v>1310</v>
      </c>
      <c r="C3" s="88" t="s">
        <v>1311</v>
      </c>
      <c r="D3" s="88" t="s">
        <v>1312</v>
      </c>
      <c r="E3" s="88" t="s">
        <v>1313</v>
      </c>
      <c r="F3" s="88" t="s">
        <v>1314</v>
      </c>
    </row>
    <row r="4" spans="1:6" x14ac:dyDescent="0.25">
      <c r="A4" s="70" t="s">
        <v>1315</v>
      </c>
      <c r="B4" s="3" t="s">
        <v>1316</v>
      </c>
      <c r="C4" s="3" t="s">
        <v>1317</v>
      </c>
      <c r="D4" s="3" t="s">
        <v>1318</v>
      </c>
      <c r="E4" s="3" t="s">
        <v>1319</v>
      </c>
      <c r="F4" s="72" t="str">
        <f>IF(AND(B4="PASS",C4="PASS",D4="PASS",E4="PASS"),"PROMOTED","NOT PROMOTED")</f>
        <v>NOT PROMOTED</v>
      </c>
    </row>
    <row r="5" spans="1:6" x14ac:dyDescent="0.25">
      <c r="A5" s="70" t="s">
        <v>1320</v>
      </c>
      <c r="B5" s="3" t="s">
        <v>1321</v>
      </c>
      <c r="C5" s="3" t="s">
        <v>1322</v>
      </c>
      <c r="D5" s="3" t="s">
        <v>1323</v>
      </c>
      <c r="E5" s="3" t="s">
        <v>1324</v>
      </c>
      <c r="F5" s="72" t="str">
        <f t="shared" ref="F5:F12" si="0">IF(AND(B5="PASS",C5="PASS",D5="PASS",E5="PASS"),"PROMOTED","NOT PROMOTED")</f>
        <v>PROMOTED</v>
      </c>
    </row>
    <row r="6" spans="1:6" x14ac:dyDescent="0.25">
      <c r="A6" s="70" t="s">
        <v>1325</v>
      </c>
      <c r="B6" s="3" t="s">
        <v>1326</v>
      </c>
      <c r="C6" s="3" t="s">
        <v>1327</v>
      </c>
      <c r="D6" s="3" t="s">
        <v>1328</v>
      </c>
      <c r="E6" s="3" t="s">
        <v>1329</v>
      </c>
      <c r="F6" s="72" t="str">
        <f t="shared" si="0"/>
        <v>NOT PROMOTED</v>
      </c>
    </row>
    <row r="7" spans="1:6" x14ac:dyDescent="0.25">
      <c r="A7" s="70" t="s">
        <v>1330</v>
      </c>
      <c r="B7" s="3" t="s">
        <v>1331</v>
      </c>
      <c r="C7" s="3" t="s">
        <v>1332</v>
      </c>
      <c r="D7" s="3" t="s">
        <v>1333</v>
      </c>
      <c r="E7" s="3" t="s">
        <v>1334</v>
      </c>
      <c r="F7" s="72" t="str">
        <f t="shared" si="0"/>
        <v>PROMOTED</v>
      </c>
    </row>
    <row r="8" spans="1:6" x14ac:dyDescent="0.25">
      <c r="A8" s="70" t="s">
        <v>1335</v>
      </c>
      <c r="B8" s="3" t="s">
        <v>1336</v>
      </c>
      <c r="C8" s="3" t="s">
        <v>1337</v>
      </c>
      <c r="D8" s="3" t="s">
        <v>1338</v>
      </c>
      <c r="E8" s="3" t="s">
        <v>1339</v>
      </c>
      <c r="F8" s="72" t="str">
        <f t="shared" si="0"/>
        <v>NOT PROMOTED</v>
      </c>
    </row>
    <row r="9" spans="1:6" x14ac:dyDescent="0.25">
      <c r="A9" s="70" t="s">
        <v>1340</v>
      </c>
      <c r="B9" s="3" t="s">
        <v>1341</v>
      </c>
      <c r="C9" s="3" t="s">
        <v>1342</v>
      </c>
      <c r="D9" s="3" t="s">
        <v>1343</v>
      </c>
      <c r="E9" s="3" t="s">
        <v>1344</v>
      </c>
      <c r="F9" s="72" t="str">
        <f t="shared" si="0"/>
        <v>NOT PROMOTED</v>
      </c>
    </row>
    <row r="10" spans="1:6" ht="15.75" thickBot="1" x14ac:dyDescent="0.3">
      <c r="A10" s="70" t="s">
        <v>1345</v>
      </c>
      <c r="B10" s="3" t="s">
        <v>1346</v>
      </c>
      <c r="C10" s="3" t="s">
        <v>1347</v>
      </c>
      <c r="D10" s="3" t="s">
        <v>1348</v>
      </c>
      <c r="E10" s="3" t="s">
        <v>1349</v>
      </c>
      <c r="F10" s="72" t="str">
        <f t="shared" si="0"/>
        <v>NOT PROMOTED</v>
      </c>
    </row>
    <row r="11" spans="1:6" ht="15.95" customHeight="1" x14ac:dyDescent="0.25">
      <c r="A11" s="89" t="s">
        <v>1351</v>
      </c>
      <c r="B11" s="48" t="s">
        <v>1352</v>
      </c>
      <c r="C11" s="48" t="s">
        <v>1353</v>
      </c>
      <c r="D11" s="48" t="s">
        <v>1354</v>
      </c>
      <c r="E11" s="48" t="s">
        <v>1355</v>
      </c>
      <c r="F11" s="72" t="str">
        <f t="shared" si="0"/>
        <v>NOT PROMOTED</v>
      </c>
    </row>
    <row r="12" spans="1:6" ht="15.95" customHeight="1" x14ac:dyDescent="0.25">
      <c r="A12" s="70" t="s">
        <v>1356</v>
      </c>
      <c r="B12" s="3" t="s">
        <v>1357</v>
      </c>
      <c r="C12" s="3" t="s">
        <v>1358</v>
      </c>
      <c r="D12" s="3" t="s">
        <v>1359</v>
      </c>
      <c r="E12" s="3" t="s">
        <v>1360</v>
      </c>
      <c r="F12" s="72" t="str">
        <f t="shared" si="0"/>
        <v>PROMOTED</v>
      </c>
    </row>
    <row r="13" spans="1:6" s="166" customFormat="1" ht="15.95" customHeight="1" x14ac:dyDescent="0.25">
      <c r="A13" s="211"/>
      <c r="B13" s="188"/>
      <c r="C13" s="188"/>
      <c r="D13" s="188"/>
      <c r="E13" s="188"/>
      <c r="F13" s="211"/>
    </row>
    <row r="14" spans="1:6" s="166" customFormat="1" ht="15.95" customHeight="1" x14ac:dyDescent="0.25">
      <c r="A14" s="211"/>
      <c r="B14" s="188"/>
      <c r="C14" s="188"/>
      <c r="D14" s="188"/>
      <c r="E14" s="188"/>
      <c r="F14" s="211"/>
    </row>
    <row r="15" spans="1:6" ht="14.1" customHeight="1" x14ac:dyDescent="0.25">
      <c r="A15" s="487"/>
      <c r="B15" s="483"/>
      <c r="C15" s="483"/>
      <c r="D15" s="483"/>
      <c r="E15" s="483"/>
      <c r="F15" s="483"/>
    </row>
  </sheetData>
  <mergeCells count="3">
    <mergeCell ref="A1:F1"/>
    <mergeCell ref="A2:F2"/>
    <mergeCell ref="A15:F1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33"/>
  <sheetViews>
    <sheetView topLeftCell="A22" workbookViewId="0">
      <selection activeCell="H13" sqref="H13"/>
    </sheetView>
  </sheetViews>
  <sheetFormatPr defaultRowHeight="15" x14ac:dyDescent="0.25"/>
  <cols>
    <col min="1" max="1" width="38"/>
    <col min="2" max="2" width="26"/>
    <col min="3" max="3" width="10"/>
    <col min="4" max="4" width="25"/>
    <col min="5" max="5" width="13"/>
    <col min="6" max="6" width="32"/>
  </cols>
  <sheetData>
    <row r="1" spans="1:6" ht="3.95" customHeight="1" x14ac:dyDescent="0.25">
      <c r="A1" s="499" t="s">
        <v>1350</v>
      </c>
      <c r="B1" s="483"/>
      <c r="C1" s="483"/>
      <c r="D1" s="483"/>
      <c r="E1" s="483"/>
      <c r="F1" s="483"/>
    </row>
    <row r="2" spans="1:6" ht="18.95" customHeight="1" x14ac:dyDescent="0.25">
      <c r="A2" s="489" t="s">
        <v>1361</v>
      </c>
      <c r="B2" s="483"/>
      <c r="C2" s="483"/>
      <c r="D2" s="483"/>
      <c r="E2" s="483"/>
      <c r="F2" s="483"/>
    </row>
    <row r="3" spans="1:6" ht="14.1" customHeight="1" x14ac:dyDescent="0.25">
      <c r="A3" s="493" t="s">
        <v>1362</v>
      </c>
      <c r="B3" s="483"/>
      <c r="C3" s="483"/>
      <c r="D3" s="483"/>
      <c r="E3" s="483"/>
      <c r="F3" s="483"/>
    </row>
    <row r="4" spans="1:6" ht="14.1" customHeight="1" x14ac:dyDescent="0.25">
      <c r="A4" s="90" t="s">
        <v>1363</v>
      </c>
      <c r="B4" s="90" t="s">
        <v>1364</v>
      </c>
      <c r="C4" s="90" t="s">
        <v>1365</v>
      </c>
      <c r="D4" s="90" t="s">
        <v>1366</v>
      </c>
      <c r="E4" s="531" t="s">
        <v>1367</v>
      </c>
      <c r="F4" s="514" t="s">
        <v>1368</v>
      </c>
    </row>
    <row r="5" spans="1:6" ht="18" customHeight="1" x14ac:dyDescent="0.25">
      <c r="A5" s="4" t="s">
        <v>1369</v>
      </c>
      <c r="B5" s="91">
        <v>250</v>
      </c>
      <c r="C5" s="4" t="s">
        <v>1370</v>
      </c>
      <c r="D5" s="4" t="s">
        <v>1371</v>
      </c>
      <c r="E5" s="520">
        <v>90</v>
      </c>
      <c r="F5" s="514" t="s">
        <v>1372</v>
      </c>
    </row>
    <row r="6" spans="1:6" ht="18" customHeight="1" x14ac:dyDescent="0.25">
      <c r="A6" s="4" t="s">
        <v>1373</v>
      </c>
      <c r="B6" s="91">
        <v>110</v>
      </c>
      <c r="C6" s="4" t="s">
        <v>1374</v>
      </c>
      <c r="D6" s="4" t="s">
        <v>1375</v>
      </c>
      <c r="E6" s="520">
        <v>77</v>
      </c>
      <c r="F6" s="514" t="s">
        <v>1376</v>
      </c>
    </row>
    <row r="7" spans="1:6" ht="18" customHeight="1" x14ac:dyDescent="0.25">
      <c r="A7" s="4" t="s">
        <v>1377</v>
      </c>
      <c r="B7" s="91">
        <v>300</v>
      </c>
      <c r="C7" s="4" t="s">
        <v>1378</v>
      </c>
      <c r="D7" s="4" t="s">
        <v>1379</v>
      </c>
      <c r="E7" s="520">
        <v>80</v>
      </c>
      <c r="F7" s="514" t="s">
        <v>1380</v>
      </c>
    </row>
    <row r="8" spans="1:6" ht="18" customHeight="1" x14ac:dyDescent="0.25">
      <c r="A8" s="4" t="s">
        <v>1381</v>
      </c>
      <c r="B8" s="91">
        <v>50</v>
      </c>
      <c r="C8" s="4" t="s">
        <v>1382</v>
      </c>
      <c r="D8" s="4" t="s">
        <v>1383</v>
      </c>
      <c r="E8" s="520">
        <v>65</v>
      </c>
      <c r="F8" s="514" t="s">
        <v>1384</v>
      </c>
    </row>
    <row r="9" spans="1:6" ht="18" customHeight="1" x14ac:dyDescent="0.25">
      <c r="A9" s="4" t="s">
        <v>1385</v>
      </c>
      <c r="B9" s="91">
        <v>45</v>
      </c>
      <c r="C9" s="4" t="s">
        <v>1386</v>
      </c>
      <c r="D9" s="4" t="s">
        <v>1387</v>
      </c>
      <c r="E9" s="520">
        <v>45</v>
      </c>
      <c r="F9" s="514" t="s">
        <v>1388</v>
      </c>
    </row>
    <row r="10" spans="1:6" ht="18" customHeight="1" x14ac:dyDescent="0.25">
      <c r="A10" s="4" t="s">
        <v>1389</v>
      </c>
      <c r="B10" s="91">
        <v>23</v>
      </c>
      <c r="C10" s="4" t="s">
        <v>1390</v>
      </c>
      <c r="D10" s="4" t="s">
        <v>1391</v>
      </c>
      <c r="E10" s="520">
        <v>55</v>
      </c>
      <c r="F10" s="514" t="s">
        <v>1392</v>
      </c>
    </row>
    <row r="11" spans="1:6" ht="18" customHeight="1" x14ac:dyDescent="0.25">
      <c r="A11" s="4" t="s">
        <v>1393</v>
      </c>
      <c r="B11" s="91">
        <v>25</v>
      </c>
      <c r="C11" s="92" t="s">
        <v>1394</v>
      </c>
      <c r="D11" s="93" t="s">
        <v>1395</v>
      </c>
      <c r="E11" s="93" t="s">
        <v>1396</v>
      </c>
      <c r="F11" s="93" t="s">
        <v>1397</v>
      </c>
    </row>
    <row r="12" spans="1:6" ht="18" customHeight="1" x14ac:dyDescent="0.25">
      <c r="A12" s="4" t="s">
        <v>1398</v>
      </c>
      <c r="B12" s="91">
        <v>90</v>
      </c>
      <c r="C12" s="94" t="s">
        <v>1399</v>
      </c>
      <c r="D12" s="95" t="s">
        <v>1400</v>
      </c>
      <c r="E12" s="96" t="s">
        <v>1401</v>
      </c>
      <c r="F12" s="96" t="s">
        <v>1402</v>
      </c>
    </row>
    <row r="13" spans="1:6" ht="18" customHeight="1" x14ac:dyDescent="0.25">
      <c r="A13" s="4" t="s">
        <v>1403</v>
      </c>
      <c r="B13" s="91">
        <v>450</v>
      </c>
      <c r="C13" s="97" t="s">
        <v>1404</v>
      </c>
      <c r="D13" s="283">
        <f>AVERAGEIF(D5:D10,"second",E5:F10)</f>
        <v>78.333333333333329</v>
      </c>
      <c r="E13" s="10" t="s">
        <v>1405</v>
      </c>
      <c r="F13" s="11"/>
    </row>
    <row r="14" spans="1:6" ht="18" customHeight="1" x14ac:dyDescent="0.25">
      <c r="A14" s="4" t="s">
        <v>1406</v>
      </c>
      <c r="B14" s="91">
        <v>23</v>
      </c>
      <c r="C14" s="97" t="s">
        <v>1407</v>
      </c>
      <c r="D14" s="284">
        <f>AVERAGEIF(D5:D10,"Third",E5:F10)</f>
        <v>59</v>
      </c>
      <c r="E14" s="10" t="s">
        <v>1408</v>
      </c>
      <c r="F14" s="11" t="s">
        <v>1409</v>
      </c>
    </row>
    <row r="15" spans="1:6" ht="18" customHeight="1" x14ac:dyDescent="0.25">
      <c r="A15" s="4" t="s">
        <v>1410</v>
      </c>
      <c r="B15" s="91">
        <v>250</v>
      </c>
      <c r="C15" s="98" t="s">
        <v>1411</v>
      </c>
      <c r="D15" s="19" t="s">
        <v>1412</v>
      </c>
      <c r="E15" s="19" t="s">
        <v>1413</v>
      </c>
      <c r="F15" s="19" t="s">
        <v>1414</v>
      </c>
    </row>
    <row r="16" spans="1:6" ht="18" customHeight="1" x14ac:dyDescent="0.25">
      <c r="A16" s="4" t="s">
        <v>1415</v>
      </c>
      <c r="B16" s="91">
        <v>25</v>
      </c>
      <c r="C16" s="99" t="s">
        <v>1416</v>
      </c>
      <c r="D16" t="s">
        <v>1417</v>
      </c>
      <c r="E16" t="s">
        <v>1418</v>
      </c>
      <c r="F16" t="s">
        <v>1419</v>
      </c>
    </row>
    <row r="17" spans="1:6" ht="14.1" customHeight="1" x14ac:dyDescent="0.25">
      <c r="A17" s="97" t="s">
        <v>1420</v>
      </c>
      <c r="B17" s="530">
        <f>AVERAGEIF(A5:A16,"B",B5:B16)</f>
        <v>37.5</v>
      </c>
      <c r="C17" s="527"/>
    </row>
    <row r="18" spans="1:6" ht="18" customHeight="1" x14ac:dyDescent="0.25">
      <c r="A18" s="97" t="s">
        <v>1421</v>
      </c>
      <c r="B18" s="524">
        <f>AVERAGEIF(A5:A16,"D",B5:B16)</f>
        <v>194.33333333333334</v>
      </c>
      <c r="C18" s="527" t="s">
        <v>1422</v>
      </c>
    </row>
    <row r="19" spans="1:6" ht="14.1" customHeight="1" x14ac:dyDescent="0.25">
      <c r="A19" s="90" t="s">
        <v>1423</v>
      </c>
      <c r="B19" s="90" t="s">
        <v>1424</v>
      </c>
      <c r="C19" s="90" t="s">
        <v>1425</v>
      </c>
      <c r="D19" s="90" t="s">
        <v>1426</v>
      </c>
      <c r="E19" s="531" t="s">
        <v>1427</v>
      </c>
      <c r="F19" s="514" t="s">
        <v>1428</v>
      </c>
    </row>
    <row r="20" spans="1:6" ht="18" customHeight="1" x14ac:dyDescent="0.25">
      <c r="A20" s="4" t="s">
        <v>1429</v>
      </c>
      <c r="B20" s="4" t="s">
        <v>1430</v>
      </c>
      <c r="C20" s="4">
        <v>25000</v>
      </c>
      <c r="D20" s="4" t="s">
        <v>1431</v>
      </c>
      <c r="E20" s="529">
        <v>250</v>
      </c>
      <c r="F20" s="514" t="s">
        <v>1432</v>
      </c>
    </row>
    <row r="21" spans="1:6" ht="18" customHeight="1" x14ac:dyDescent="0.25">
      <c r="A21" s="4" t="s">
        <v>1433</v>
      </c>
      <c r="B21" s="4" t="s">
        <v>1434</v>
      </c>
      <c r="C21" s="4">
        <v>12000</v>
      </c>
      <c r="D21" s="4" t="s">
        <v>1435</v>
      </c>
      <c r="E21" s="529">
        <v>110</v>
      </c>
      <c r="F21" s="514" t="s">
        <v>1436</v>
      </c>
    </row>
    <row r="22" spans="1:6" ht="18" customHeight="1" x14ac:dyDescent="0.25">
      <c r="A22" s="4" t="s">
        <v>1437</v>
      </c>
      <c r="B22" s="4" t="s">
        <v>1438</v>
      </c>
      <c r="C22" s="4">
        <v>4200</v>
      </c>
      <c r="D22" s="4" t="s">
        <v>1439</v>
      </c>
      <c r="E22" s="529">
        <v>300</v>
      </c>
      <c r="F22" s="514" t="s">
        <v>1440</v>
      </c>
    </row>
    <row r="23" spans="1:6" ht="18" customHeight="1" x14ac:dyDescent="0.25">
      <c r="A23" s="4" t="s">
        <v>1441</v>
      </c>
      <c r="B23" s="4" t="s">
        <v>1442</v>
      </c>
      <c r="C23" s="4">
        <v>5600</v>
      </c>
      <c r="D23" s="4" t="s">
        <v>1443</v>
      </c>
      <c r="E23" s="529">
        <v>50</v>
      </c>
      <c r="F23" s="514" t="s">
        <v>1444</v>
      </c>
    </row>
    <row r="24" spans="1:6" ht="18" customHeight="1" x14ac:dyDescent="0.25">
      <c r="A24" s="4" t="s">
        <v>1445</v>
      </c>
      <c r="B24" s="4" t="s">
        <v>1446</v>
      </c>
      <c r="C24" s="4">
        <v>15000</v>
      </c>
      <c r="D24" s="4" t="s">
        <v>1447</v>
      </c>
      <c r="E24" s="529">
        <v>45</v>
      </c>
      <c r="F24" s="514" t="s">
        <v>1448</v>
      </c>
    </row>
    <row r="25" spans="1:6" ht="18" customHeight="1" x14ac:dyDescent="0.25">
      <c r="A25" s="4" t="s">
        <v>1449</v>
      </c>
      <c r="B25" s="4" t="s">
        <v>1450</v>
      </c>
      <c r="C25" s="4">
        <v>7000</v>
      </c>
      <c r="D25" s="4" t="s">
        <v>1451</v>
      </c>
      <c r="E25" s="529">
        <v>23</v>
      </c>
      <c r="F25" s="514" t="s">
        <v>1452</v>
      </c>
    </row>
    <row r="26" spans="1:6" ht="18" customHeight="1" x14ac:dyDescent="0.25">
      <c r="A26" s="4" t="s">
        <v>1453</v>
      </c>
      <c r="B26" s="4" t="s">
        <v>1454</v>
      </c>
      <c r="C26" s="4">
        <v>5200</v>
      </c>
      <c r="D26" s="4" t="s">
        <v>1455</v>
      </c>
      <c r="E26" s="529">
        <v>25</v>
      </c>
      <c r="F26" s="514" t="s">
        <v>1456</v>
      </c>
    </row>
    <row r="27" spans="1:6" ht="18" customHeight="1" x14ac:dyDescent="0.25">
      <c r="A27" s="4" t="s">
        <v>1457</v>
      </c>
      <c r="B27" s="4" t="s">
        <v>1458</v>
      </c>
      <c r="C27" s="4">
        <v>6000</v>
      </c>
      <c r="D27" s="4" t="s">
        <v>1459</v>
      </c>
      <c r="E27" s="529">
        <v>90</v>
      </c>
      <c r="F27" s="514" t="s">
        <v>1460</v>
      </c>
    </row>
    <row r="28" spans="1:6" ht="18" customHeight="1" x14ac:dyDescent="0.25">
      <c r="A28" s="4" t="s">
        <v>1461</v>
      </c>
      <c r="B28" s="4" t="s">
        <v>1462</v>
      </c>
      <c r="C28" s="4">
        <v>8500</v>
      </c>
      <c r="D28" s="4" t="s">
        <v>1463</v>
      </c>
      <c r="E28" s="529">
        <v>450</v>
      </c>
      <c r="F28" s="514" t="s">
        <v>1464</v>
      </c>
    </row>
    <row r="29" spans="1:6" ht="18" customHeight="1" x14ac:dyDescent="0.25">
      <c r="A29" s="4" t="s">
        <v>1465</v>
      </c>
      <c r="B29" s="4" t="s">
        <v>1466</v>
      </c>
      <c r="C29" s="4">
        <v>12000</v>
      </c>
      <c r="D29" s="4" t="s">
        <v>1467</v>
      </c>
      <c r="E29" s="529">
        <v>23</v>
      </c>
      <c r="F29" s="514" t="s">
        <v>1468</v>
      </c>
    </row>
    <row r="30" spans="1:6" ht="18" customHeight="1" x14ac:dyDescent="0.25">
      <c r="A30" s="4" t="s">
        <v>1469</v>
      </c>
      <c r="B30" s="4" t="s">
        <v>1470</v>
      </c>
      <c r="C30" s="4">
        <v>4300</v>
      </c>
      <c r="D30" s="4" t="s">
        <v>1471</v>
      </c>
      <c r="E30" s="529">
        <v>250</v>
      </c>
      <c r="F30" s="514" t="s">
        <v>1472</v>
      </c>
    </row>
    <row r="31" spans="1:6" ht="17.100000000000001" customHeight="1" x14ac:dyDescent="0.25">
      <c r="A31" s="4" t="s">
        <v>1473</v>
      </c>
      <c r="B31" s="4" t="s">
        <v>1474</v>
      </c>
      <c r="C31" s="4">
        <v>1200</v>
      </c>
      <c r="D31" s="4" t="s">
        <v>1475</v>
      </c>
      <c r="E31" s="529">
        <v>25</v>
      </c>
      <c r="F31" s="514" t="s">
        <v>1476</v>
      </c>
    </row>
    <row r="32" spans="1:6" ht="15" customHeight="1" x14ac:dyDescent="0.25">
      <c r="A32" s="97" t="s">
        <v>1477</v>
      </c>
      <c r="B32" s="97" t="s">
        <v>1478</v>
      </c>
      <c r="C32" s="524">
        <f>AVERAGEIF(E20:F31,"&gt;250",E20:F31)</f>
        <v>375</v>
      </c>
      <c r="D32" s="525"/>
      <c r="E32" s="526"/>
      <c r="F32" s="527"/>
    </row>
    <row r="33" spans="1:6" ht="18" customHeight="1" x14ac:dyDescent="0.25">
      <c r="A33" s="285">
        <f>AVERAGEIF(A20:A31,"West",C20:C31)</f>
        <v>8233.3333333333339</v>
      </c>
      <c r="B33" s="97" t="s">
        <v>1479</v>
      </c>
      <c r="C33" s="524">
        <f>AVERAGEIF(E20:F31,"&lt;100",E20:F31)</f>
        <v>40.142857142857146</v>
      </c>
      <c r="D33" s="528" t="s">
        <v>1480</v>
      </c>
      <c r="E33" s="526" t="s">
        <v>1481</v>
      </c>
      <c r="F33" s="527" t="s">
        <v>1482</v>
      </c>
    </row>
  </sheetData>
  <mergeCells count="27">
    <mergeCell ref="A1:F1"/>
    <mergeCell ref="A2:F2"/>
    <mergeCell ref="A3:F3"/>
    <mergeCell ref="E4:F4"/>
    <mergeCell ref="E5:F5"/>
    <mergeCell ref="E6:F6"/>
    <mergeCell ref="E7:F7"/>
    <mergeCell ref="E8:F8"/>
    <mergeCell ref="E9:F9"/>
    <mergeCell ref="E10:F10"/>
    <mergeCell ref="B17:C17"/>
    <mergeCell ref="B18:C18"/>
    <mergeCell ref="E19:F19"/>
    <mergeCell ref="E20:F20"/>
    <mergeCell ref="E31:F31"/>
    <mergeCell ref="C32:F32"/>
    <mergeCell ref="C33:F33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36"/>
  <sheetViews>
    <sheetView workbookViewId="0">
      <selection activeCell="F7" sqref="F7"/>
    </sheetView>
  </sheetViews>
  <sheetFormatPr defaultRowHeight="15" x14ac:dyDescent="0.25"/>
  <cols>
    <col min="1" max="1" width="38"/>
    <col min="2" max="2" width="12"/>
    <col min="3" max="3" width="15"/>
    <col min="4" max="4" width="11"/>
    <col min="5" max="5" width="9"/>
    <col min="6" max="6" width="20"/>
  </cols>
  <sheetData>
    <row r="1" spans="1:7" ht="3.95" customHeight="1" x14ac:dyDescent="0.25">
      <c r="A1" s="499" t="s">
        <v>1483</v>
      </c>
      <c r="B1" s="483"/>
      <c r="C1" s="483"/>
      <c r="D1" s="483"/>
      <c r="E1" s="483"/>
      <c r="F1" s="483"/>
    </row>
    <row r="2" spans="1:7" ht="15.95" customHeight="1" x14ac:dyDescent="0.25">
      <c r="A2" s="500" t="s">
        <v>1484</v>
      </c>
      <c r="B2" s="483"/>
      <c r="C2" s="483"/>
      <c r="D2" s="483"/>
      <c r="E2" s="483"/>
      <c r="F2" s="483"/>
    </row>
    <row r="3" spans="1:7" ht="14.1" customHeight="1" x14ac:dyDescent="0.25">
      <c r="A3" s="493" t="s">
        <v>1485</v>
      </c>
      <c r="B3" s="483"/>
      <c r="C3" s="483"/>
      <c r="D3" s="483"/>
      <c r="E3" s="483"/>
      <c r="F3" s="483"/>
      <c r="G3" s="5"/>
    </row>
    <row r="4" spans="1:7" ht="14.1" customHeight="1" x14ac:dyDescent="0.25">
      <c r="A4" s="90" t="s">
        <v>1486</v>
      </c>
      <c r="B4" s="90" t="s">
        <v>1487</v>
      </c>
      <c r="C4" s="97" t="s">
        <v>1488</v>
      </c>
      <c r="D4" s="206"/>
      <c r="E4" s="206"/>
      <c r="F4" s="206"/>
    </row>
    <row r="5" spans="1:7" ht="18" customHeight="1" x14ac:dyDescent="0.25">
      <c r="A5" s="4" t="s">
        <v>1489</v>
      </c>
      <c r="B5" s="4" t="s">
        <v>1490</v>
      </c>
      <c r="C5" s="189" t="str">
        <f>IF(A5=B5,"MATCHING","NOT MATCHING")</f>
        <v>NOT MATCHING</v>
      </c>
      <c r="D5" s="206"/>
      <c r="E5" s="206"/>
      <c r="F5" s="206"/>
    </row>
    <row r="6" spans="1:7" ht="18" customHeight="1" x14ac:dyDescent="0.25">
      <c r="A6" s="4" t="s">
        <v>1491</v>
      </c>
      <c r="B6" s="4" t="s">
        <v>1492</v>
      </c>
      <c r="C6" s="189" t="str">
        <f t="shared" ref="C6:C9" si="0">IF(A6=B6,"MATCHING","NOT MATCHING")</f>
        <v>MATCHING</v>
      </c>
      <c r="D6" s="206"/>
      <c r="E6" s="206"/>
      <c r="F6" s="206"/>
    </row>
    <row r="7" spans="1:7" ht="18" customHeight="1" x14ac:dyDescent="0.25">
      <c r="A7" s="4" t="s">
        <v>1493</v>
      </c>
      <c r="B7" s="4" t="s">
        <v>1494</v>
      </c>
      <c r="C7" s="189" t="str">
        <f t="shared" si="0"/>
        <v>NOT MATCHING</v>
      </c>
      <c r="D7" s="206"/>
      <c r="E7" s="206"/>
      <c r="F7" s="206"/>
    </row>
    <row r="8" spans="1:7" ht="18" customHeight="1" x14ac:dyDescent="0.25">
      <c r="A8" s="4" t="s">
        <v>1495</v>
      </c>
      <c r="B8" s="4" t="s">
        <v>1496</v>
      </c>
      <c r="C8" s="189" t="str">
        <f t="shared" si="0"/>
        <v>MATCHING</v>
      </c>
      <c r="D8" s="206"/>
      <c r="E8" s="206"/>
      <c r="F8" s="206"/>
    </row>
    <row r="9" spans="1:7" ht="18" customHeight="1" x14ac:dyDescent="0.25">
      <c r="A9" s="4" t="s">
        <v>1497</v>
      </c>
      <c r="B9" s="4" t="s">
        <v>1498</v>
      </c>
      <c r="C9" s="189" t="str">
        <f t="shared" si="0"/>
        <v>NOT MATCHING</v>
      </c>
      <c r="D9" s="206"/>
      <c r="E9" s="206"/>
      <c r="F9" s="206"/>
    </row>
    <row r="10" spans="1:7" ht="18" customHeight="1" x14ac:dyDescent="0.25">
      <c r="A10" s="19" t="s">
        <v>1499</v>
      </c>
      <c r="B10" s="19" t="s">
        <v>1500</v>
      </c>
      <c r="C10" s="73" t="s">
        <v>1501</v>
      </c>
      <c r="D10" s="206"/>
      <c r="E10" s="206"/>
      <c r="F10" s="206"/>
    </row>
    <row r="11" spans="1:7" ht="18" customHeight="1" x14ac:dyDescent="0.25">
      <c r="A11" s="487" t="s">
        <v>1502</v>
      </c>
      <c r="B11" s="483" t="s">
        <v>1503</v>
      </c>
      <c r="C11" s="518" t="s">
        <v>1504</v>
      </c>
      <c r="D11" s="206"/>
      <c r="E11" s="206"/>
      <c r="F11" s="206"/>
    </row>
    <row r="12" spans="1:7" ht="17.100000000000001" customHeight="1" x14ac:dyDescent="0.25">
      <c r="A12" t="s">
        <v>1505</v>
      </c>
      <c r="B12" t="s">
        <v>1506</v>
      </c>
      <c r="C12" s="74" t="s">
        <v>1507</v>
      </c>
      <c r="D12" s="206"/>
      <c r="E12" s="206"/>
      <c r="F12" s="206"/>
    </row>
    <row r="13" spans="1:7" ht="14.1" customHeight="1" x14ac:dyDescent="0.25">
      <c r="A13" t="s">
        <v>1508</v>
      </c>
      <c r="B13" t="s">
        <v>1509</v>
      </c>
      <c r="C13" t="s">
        <v>1510</v>
      </c>
      <c r="D13" s="206"/>
      <c r="E13" s="206"/>
      <c r="F13" s="206"/>
    </row>
    <row r="14" spans="1:7" ht="14.1" customHeight="1" x14ac:dyDescent="0.25">
      <c r="A14" s="206"/>
      <c r="B14" s="206"/>
      <c r="C14" s="206"/>
      <c r="D14" s="206"/>
      <c r="E14" s="206"/>
    </row>
    <row r="15" spans="1:7" ht="18" customHeight="1" x14ac:dyDescent="0.25">
      <c r="A15" s="206"/>
      <c r="B15" s="206"/>
      <c r="C15" s="206"/>
      <c r="D15" s="206"/>
      <c r="E15" s="206"/>
    </row>
    <row r="16" spans="1:7" ht="18" customHeight="1" x14ac:dyDescent="0.25">
      <c r="A16" s="206"/>
      <c r="B16" s="206"/>
      <c r="C16" s="206"/>
      <c r="D16" s="206"/>
      <c r="E16" s="206"/>
    </row>
    <row r="17" spans="1:6" ht="18" customHeight="1" x14ac:dyDescent="0.25">
      <c r="A17" s="206"/>
      <c r="B17" s="206"/>
      <c r="C17" s="206"/>
      <c r="D17" s="206"/>
      <c r="E17" s="206"/>
    </row>
    <row r="18" spans="1:6" ht="18" customHeight="1" x14ac:dyDescent="0.25">
      <c r="A18" s="206"/>
      <c r="B18" s="206"/>
      <c r="C18" s="206"/>
      <c r="D18" s="206"/>
      <c r="E18" s="206"/>
    </row>
    <row r="19" spans="1:6" ht="18" customHeight="1" x14ac:dyDescent="0.25">
      <c r="A19" s="206"/>
      <c r="B19" s="206"/>
      <c r="C19" s="206"/>
      <c r="D19" s="206"/>
      <c r="E19" s="206"/>
    </row>
    <row r="20" spans="1:6" ht="18" customHeight="1" x14ac:dyDescent="0.25">
      <c r="A20" s="206"/>
      <c r="B20" s="206"/>
      <c r="C20" s="206"/>
      <c r="D20" s="206"/>
      <c r="E20" s="206"/>
      <c r="F20" s="206"/>
    </row>
    <row r="21" spans="1:6" ht="26.1" customHeight="1" x14ac:dyDescent="0.25">
      <c r="A21" s="200"/>
      <c r="B21" s="201"/>
      <c r="C21" s="201"/>
      <c r="D21" s="201"/>
      <c r="E21" s="201"/>
      <c r="F21" s="201"/>
    </row>
    <row r="22" spans="1:6" ht="21" customHeight="1" x14ac:dyDescent="0.25"/>
    <row r="23" spans="1:6" ht="15.95" customHeight="1" x14ac:dyDescent="0.25"/>
    <row r="24" spans="1:6" ht="30" customHeight="1" x14ac:dyDescent="0.25"/>
    <row r="25" spans="1:6" ht="18" customHeight="1" x14ac:dyDescent="0.25"/>
    <row r="26" spans="1:6" ht="18" customHeight="1" x14ac:dyDescent="0.25"/>
    <row r="27" spans="1:6" ht="18" customHeight="1" x14ac:dyDescent="0.25"/>
    <row r="28" spans="1:6" ht="18" customHeight="1" x14ac:dyDescent="0.25"/>
    <row r="29" spans="1:6" ht="18" customHeight="1" x14ac:dyDescent="0.25"/>
    <row r="30" spans="1:6" ht="18" customHeight="1" x14ac:dyDescent="0.25"/>
    <row r="31" spans="1:6" ht="14.1" customHeight="1" x14ac:dyDescent="0.25"/>
    <row r="32" spans="1:6" ht="30" customHeight="1" x14ac:dyDescent="0.25"/>
    <row r="33" ht="18" customHeight="1" x14ac:dyDescent="0.25"/>
    <row r="34" s="206" customFormat="1" ht="18" customHeight="1" x14ac:dyDescent="0.25"/>
    <row r="35" s="206" customFormat="1" ht="18" customHeight="1" x14ac:dyDescent="0.25"/>
    <row r="36" s="206" customFormat="1" ht="18" customHeight="1" x14ac:dyDescent="0.25"/>
  </sheetData>
  <mergeCells count="4">
    <mergeCell ref="A1:F1"/>
    <mergeCell ref="A2:F2"/>
    <mergeCell ref="A3:F3"/>
    <mergeCell ref="A11:C1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B658A-298D-472B-8D4C-8AC83E682A7D}">
  <dimension ref="A1:F9"/>
  <sheetViews>
    <sheetView workbookViewId="0">
      <selection activeCell="E8" sqref="E8"/>
    </sheetView>
  </sheetViews>
  <sheetFormatPr defaultRowHeight="15" x14ac:dyDescent="0.25"/>
  <cols>
    <col min="1" max="1" width="4.140625" bestFit="1" customWidth="1"/>
    <col min="2" max="2" width="8.85546875" bestFit="1" customWidth="1"/>
    <col min="3" max="3" width="16" bestFit="1" customWidth="1"/>
    <col min="4" max="4" width="20.140625" bestFit="1" customWidth="1"/>
  </cols>
  <sheetData>
    <row r="1" spans="1:6" ht="15.75" x14ac:dyDescent="0.25">
      <c r="A1" t="s">
        <v>1511</v>
      </c>
      <c r="B1" t="s">
        <v>1512</v>
      </c>
      <c r="C1" s="101" t="s">
        <v>1513</v>
      </c>
    </row>
    <row r="2" spans="1:6" x14ac:dyDescent="0.25">
      <c r="A2" s="488" t="s">
        <v>1514</v>
      </c>
      <c r="B2" s="483"/>
      <c r="C2" s="483"/>
      <c r="D2" s="483"/>
      <c r="E2" s="483"/>
      <c r="F2" s="483"/>
    </row>
    <row r="3" spans="1:6" ht="24.75" x14ac:dyDescent="0.25">
      <c r="A3" s="102" t="s">
        <v>1515</v>
      </c>
      <c r="B3" s="103" t="s">
        <v>1516</v>
      </c>
      <c r="C3" s="103" t="s">
        <v>1517</v>
      </c>
      <c r="D3" s="90" t="s">
        <v>1518</v>
      </c>
    </row>
    <row r="4" spans="1:6" x14ac:dyDescent="0.25">
      <c r="A4" s="4" t="s">
        <v>1519</v>
      </c>
      <c r="B4" s="4" t="s">
        <v>1520</v>
      </c>
      <c r="C4" s="4" t="s">
        <v>1521</v>
      </c>
      <c r="D4" s="189" t="str">
        <f>CONCATENATE(B4," ",C4)</f>
        <v>Vishal Mohan</v>
      </c>
    </row>
    <row r="5" spans="1:6" x14ac:dyDescent="0.25">
      <c r="A5" s="4" t="s">
        <v>1522</v>
      </c>
      <c r="B5" s="4" t="s">
        <v>1523</v>
      </c>
      <c r="C5" s="4" t="s">
        <v>1524</v>
      </c>
      <c r="D5" s="189" t="str">
        <f t="shared" ref="D5:D9" si="0">CONCATENATE(B5," ",C5)</f>
        <v>John Mathew</v>
      </c>
    </row>
    <row r="6" spans="1:6" x14ac:dyDescent="0.25">
      <c r="A6" s="4" t="s">
        <v>1525</v>
      </c>
      <c r="B6" s="4" t="s">
        <v>1526</v>
      </c>
      <c r="C6" s="4" t="s">
        <v>1527</v>
      </c>
      <c r="D6" s="189" t="str">
        <f t="shared" si="0"/>
        <v>Jamemah Powel</v>
      </c>
    </row>
    <row r="7" spans="1:6" x14ac:dyDescent="0.25">
      <c r="A7" s="4" t="s">
        <v>1528</v>
      </c>
      <c r="B7" s="4" t="s">
        <v>1529</v>
      </c>
      <c r="C7" s="4" t="s">
        <v>1530</v>
      </c>
      <c r="D7" s="189" t="str">
        <f t="shared" si="0"/>
        <v>Arundhati Swaminathan</v>
      </c>
    </row>
    <row r="8" spans="1:6" x14ac:dyDescent="0.25">
      <c r="A8" s="4" t="s">
        <v>1531</v>
      </c>
      <c r="B8" s="4" t="s">
        <v>1532</v>
      </c>
      <c r="C8" s="4" t="s">
        <v>1533</v>
      </c>
      <c r="D8" s="189" t="str">
        <f t="shared" si="0"/>
        <v>Peter Potter</v>
      </c>
    </row>
    <row r="9" spans="1:6" x14ac:dyDescent="0.25">
      <c r="A9" s="4" t="s">
        <v>1534</v>
      </c>
      <c r="B9" s="4" t="s">
        <v>1535</v>
      </c>
      <c r="C9" s="4" t="s">
        <v>1536</v>
      </c>
      <c r="D9" s="189" t="str">
        <f t="shared" si="0"/>
        <v>Roger Williams</v>
      </c>
    </row>
  </sheetData>
  <mergeCells count="1">
    <mergeCell ref="A2:F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50"/>
  <sheetViews>
    <sheetView topLeftCell="A40" workbookViewId="0">
      <selection activeCell="B43" sqref="B43:C44"/>
    </sheetView>
  </sheetViews>
  <sheetFormatPr defaultRowHeight="15" x14ac:dyDescent="0.25"/>
  <cols>
    <col min="1" max="1" width="44"/>
    <col min="2" max="2" width="13"/>
    <col min="3" max="3" width="18"/>
    <col min="4" max="4" width="23"/>
    <col min="5" max="5" width="13"/>
  </cols>
  <sheetData>
    <row r="1" spans="1:5" ht="3.95" customHeight="1" x14ac:dyDescent="0.25">
      <c r="A1" s="499" t="s">
        <v>1537</v>
      </c>
      <c r="B1" s="483"/>
      <c r="C1" s="483"/>
      <c r="D1" s="483"/>
      <c r="E1" s="483"/>
    </row>
    <row r="2" spans="1:5" ht="15.95" customHeight="1" x14ac:dyDescent="0.25">
      <c r="A2" s="500" t="s">
        <v>1538</v>
      </c>
      <c r="B2" s="483"/>
      <c r="C2" s="483"/>
      <c r="D2" s="483"/>
      <c r="E2" s="483"/>
    </row>
    <row r="3" spans="1:5" ht="14.1" customHeight="1" x14ac:dyDescent="0.25">
      <c r="A3" s="493" t="s">
        <v>1539</v>
      </c>
      <c r="B3" s="483"/>
      <c r="C3" s="483"/>
      <c r="D3" s="483"/>
      <c r="E3" s="483"/>
    </row>
    <row r="4" spans="1:5" ht="14.1" customHeight="1" x14ac:dyDescent="0.25">
      <c r="A4" s="533" t="s">
        <v>1540</v>
      </c>
      <c r="B4" s="534" t="s">
        <v>1541</v>
      </c>
      <c r="C4" s="104" t="s">
        <v>1542</v>
      </c>
      <c r="D4" s="104" t="s">
        <v>1543</v>
      </c>
      <c r="E4" s="105" t="s">
        <v>1544</v>
      </c>
    </row>
    <row r="5" spans="1:5" ht="30" customHeight="1" x14ac:dyDescent="0.25">
      <c r="A5" s="106" t="s">
        <v>1545</v>
      </c>
      <c r="B5" s="107" t="s">
        <v>1546</v>
      </c>
      <c r="C5" s="106" t="s">
        <v>1547</v>
      </c>
      <c r="D5" s="106" t="s">
        <v>1548</v>
      </c>
      <c r="E5" s="106" t="s">
        <v>1549</v>
      </c>
    </row>
    <row r="6" spans="1:5" ht="18" customHeight="1" x14ac:dyDescent="0.25">
      <c r="A6" s="4" t="s">
        <v>1550</v>
      </c>
      <c r="B6" s="4">
        <v>1101</v>
      </c>
      <c r="C6" s="4" t="s">
        <v>1551</v>
      </c>
      <c r="D6" s="4" t="s">
        <v>1552</v>
      </c>
      <c r="E6" s="4" t="s">
        <v>1553</v>
      </c>
    </row>
    <row r="7" spans="1:5" ht="18" customHeight="1" x14ac:dyDescent="0.25">
      <c r="A7" s="4" t="s">
        <v>1554</v>
      </c>
      <c r="B7" s="4">
        <v>1102</v>
      </c>
      <c r="C7" s="4" t="s">
        <v>1555</v>
      </c>
      <c r="D7" s="4" t="s">
        <v>1556</v>
      </c>
      <c r="E7" s="4" t="s">
        <v>1557</v>
      </c>
    </row>
    <row r="8" spans="1:5" ht="18" customHeight="1" x14ac:dyDescent="0.25">
      <c r="A8" s="4" t="s">
        <v>1558</v>
      </c>
      <c r="B8" s="4">
        <v>1103</v>
      </c>
      <c r="C8" s="4" t="s">
        <v>1559</v>
      </c>
      <c r="D8" s="4" t="s">
        <v>1560</v>
      </c>
      <c r="E8" s="4" t="s">
        <v>1561</v>
      </c>
    </row>
    <row r="9" spans="1:5" ht="18" customHeight="1" x14ac:dyDescent="0.25">
      <c r="A9" s="4" t="s">
        <v>1562</v>
      </c>
      <c r="B9" s="4">
        <v>1104</v>
      </c>
      <c r="C9" s="4" t="s">
        <v>1563</v>
      </c>
      <c r="D9" s="4" t="s">
        <v>1564</v>
      </c>
      <c r="E9" s="4" t="s">
        <v>1565</v>
      </c>
    </row>
    <row r="10" spans="1:5" ht="18" customHeight="1" x14ac:dyDescent="0.25">
      <c r="A10" s="4" t="s">
        <v>1566</v>
      </c>
      <c r="B10" s="4">
        <v>1105</v>
      </c>
      <c r="C10" s="4" t="s">
        <v>1567</v>
      </c>
      <c r="D10" s="4" t="s">
        <v>1568</v>
      </c>
      <c r="E10" s="4" t="s">
        <v>1569</v>
      </c>
    </row>
    <row r="11" spans="1:5" ht="18" customHeight="1" x14ac:dyDescent="0.25">
      <c r="A11" s="4" t="s">
        <v>1570</v>
      </c>
      <c r="B11" s="4">
        <v>1106</v>
      </c>
      <c r="C11" s="4" t="s">
        <v>1571</v>
      </c>
      <c r="D11" s="4" t="s">
        <v>1572</v>
      </c>
      <c r="E11" s="4" t="s">
        <v>1573</v>
      </c>
    </row>
    <row r="12" spans="1:5" ht="18" customHeight="1" x14ac:dyDescent="0.25">
      <c r="A12" s="4" t="s">
        <v>1574</v>
      </c>
      <c r="B12" s="4">
        <v>1107</v>
      </c>
      <c r="C12" s="4" t="s">
        <v>1575</v>
      </c>
      <c r="D12" s="4" t="s">
        <v>1576</v>
      </c>
      <c r="E12" s="4" t="s">
        <v>1577</v>
      </c>
    </row>
    <row r="13" spans="1:5" ht="18" customHeight="1" x14ac:dyDescent="0.25">
      <c r="A13" s="4" t="s">
        <v>1578</v>
      </c>
      <c r="B13" s="4">
        <v>1108</v>
      </c>
      <c r="C13" s="4" t="s">
        <v>1579</v>
      </c>
      <c r="D13" s="4" t="s">
        <v>1580</v>
      </c>
      <c r="E13" s="4" t="s">
        <v>1581</v>
      </c>
    </row>
    <row r="14" spans="1:5" ht="18" customHeight="1" x14ac:dyDescent="0.25">
      <c r="A14" s="4" t="s">
        <v>1582</v>
      </c>
      <c r="B14" s="4">
        <v>1109</v>
      </c>
      <c r="C14" s="4" t="s">
        <v>1583</v>
      </c>
      <c r="D14" s="4" t="s">
        <v>1584</v>
      </c>
      <c r="E14" s="4" t="s">
        <v>1585</v>
      </c>
    </row>
    <row r="15" spans="1:5" ht="18" customHeight="1" x14ac:dyDescent="0.25">
      <c r="A15" s="4" t="s">
        <v>1586</v>
      </c>
      <c r="B15" s="4">
        <v>1110</v>
      </c>
      <c r="C15" s="4" t="s">
        <v>1587</v>
      </c>
      <c r="D15" s="4" t="s">
        <v>1588</v>
      </c>
      <c r="E15" s="4" t="s">
        <v>1589</v>
      </c>
    </row>
    <row r="16" spans="1:5" ht="18" customHeight="1" x14ac:dyDescent="0.25">
      <c r="A16" s="4" t="s">
        <v>1590</v>
      </c>
      <c r="B16" s="4">
        <v>1111</v>
      </c>
      <c r="C16" s="4" t="s">
        <v>1591</v>
      </c>
      <c r="D16" s="4" t="s">
        <v>1592</v>
      </c>
      <c r="E16" s="4" t="s">
        <v>1593</v>
      </c>
    </row>
    <row r="17" spans="1:5" ht="18" customHeight="1" x14ac:dyDescent="0.25">
      <c r="A17" s="4" t="s">
        <v>1594</v>
      </c>
      <c r="B17" s="4">
        <v>1109</v>
      </c>
      <c r="C17" s="4" t="s">
        <v>1595</v>
      </c>
      <c r="D17" s="4" t="s">
        <v>1596</v>
      </c>
      <c r="E17" s="4" t="s">
        <v>1597</v>
      </c>
    </row>
    <row r="18" spans="1:5" ht="18" customHeight="1" x14ac:dyDescent="0.25">
      <c r="A18" s="4" t="s">
        <v>1598</v>
      </c>
      <c r="B18" s="4">
        <v>1112</v>
      </c>
      <c r="C18" s="4" t="s">
        <v>1599</v>
      </c>
      <c r="D18" s="4" t="s">
        <v>1600</v>
      </c>
      <c r="E18" s="4" t="s">
        <v>1601</v>
      </c>
    </row>
    <row r="19" spans="1:5" ht="18" customHeight="1" x14ac:dyDescent="0.25">
      <c r="A19" s="4" t="s">
        <v>1602</v>
      </c>
      <c r="B19" s="4">
        <v>1113</v>
      </c>
      <c r="C19" s="4" t="s">
        <v>1603</v>
      </c>
      <c r="D19" s="4" t="s">
        <v>1604</v>
      </c>
      <c r="E19" s="4" t="s">
        <v>1605</v>
      </c>
    </row>
    <row r="20" spans="1:5" ht="18" customHeight="1" x14ac:dyDescent="0.25">
      <c r="A20" s="4" t="s">
        <v>1606</v>
      </c>
      <c r="B20" s="4">
        <v>1114</v>
      </c>
      <c r="C20" s="4" t="s">
        <v>1607</v>
      </c>
      <c r="D20" s="4" t="s">
        <v>1608</v>
      </c>
      <c r="E20" s="4" t="s">
        <v>1609</v>
      </c>
    </row>
    <row r="21" spans="1:5" ht="18" customHeight="1" x14ac:dyDescent="0.25">
      <c r="A21" s="4" t="s">
        <v>1610</v>
      </c>
      <c r="B21" s="4">
        <v>1115</v>
      </c>
      <c r="C21" s="4" t="s">
        <v>1611</v>
      </c>
      <c r="D21" s="4" t="s">
        <v>1612</v>
      </c>
      <c r="E21" s="4" t="s">
        <v>1613</v>
      </c>
    </row>
    <row r="22" spans="1:5" ht="18" customHeight="1" x14ac:dyDescent="0.25">
      <c r="A22" s="4" t="s">
        <v>1614</v>
      </c>
      <c r="B22" s="4">
        <v>1109</v>
      </c>
      <c r="C22" s="4" t="s">
        <v>1615</v>
      </c>
      <c r="D22" s="4" t="s">
        <v>1616</v>
      </c>
      <c r="E22" s="4" t="s">
        <v>1617</v>
      </c>
    </row>
    <row r="23" spans="1:5" ht="18" customHeight="1" x14ac:dyDescent="0.25">
      <c r="A23" s="4" t="s">
        <v>1618</v>
      </c>
      <c r="B23" s="4">
        <v>1116</v>
      </c>
      <c r="C23" s="4" t="s">
        <v>1619</v>
      </c>
      <c r="D23" s="4" t="s">
        <v>1620</v>
      </c>
      <c r="E23" s="4" t="s">
        <v>1621</v>
      </c>
    </row>
    <row r="24" spans="1:5" ht="18" customHeight="1" x14ac:dyDescent="0.25">
      <c r="A24" s="4" t="s">
        <v>1622</v>
      </c>
      <c r="B24" s="4">
        <v>1116</v>
      </c>
      <c r="C24" s="4" t="s">
        <v>1623</v>
      </c>
      <c r="D24" s="4" t="s">
        <v>1624</v>
      </c>
      <c r="E24" s="4" t="s">
        <v>1625</v>
      </c>
    </row>
    <row r="25" spans="1:5" ht="18" customHeight="1" x14ac:dyDescent="0.25">
      <c r="A25" s="4" t="s">
        <v>1626</v>
      </c>
      <c r="B25" s="4">
        <v>1116</v>
      </c>
      <c r="C25" s="4" t="s">
        <v>1627</v>
      </c>
      <c r="D25" s="4" t="s">
        <v>1628</v>
      </c>
      <c r="E25" s="4" t="s">
        <v>1629</v>
      </c>
    </row>
    <row r="26" spans="1:5" ht="18" customHeight="1" x14ac:dyDescent="0.35">
      <c r="A26" s="108" t="s">
        <v>1630</v>
      </c>
      <c r="B26" s="4">
        <v>1010</v>
      </c>
      <c r="C26" s="4" t="s">
        <v>1631</v>
      </c>
      <c r="D26" s="4" t="s">
        <v>1632</v>
      </c>
      <c r="E26" s="4" t="s">
        <v>1633</v>
      </c>
    </row>
    <row r="27" spans="1:5" s="206" customFormat="1" ht="18" customHeight="1" x14ac:dyDescent="0.25">
      <c r="A27" s="287"/>
      <c r="B27" s="215"/>
      <c r="C27" s="215"/>
      <c r="D27" s="215"/>
      <c r="E27" s="215"/>
    </row>
    <row r="28" spans="1:5" s="206" customFormat="1" ht="18" customHeight="1" x14ac:dyDescent="0.25">
      <c r="A28" s="287"/>
      <c r="B28" s="215"/>
      <c r="C28" s="215"/>
      <c r="D28" s="215"/>
      <c r="E28" s="215"/>
    </row>
    <row r="29" spans="1:5" ht="14.1" customHeight="1" x14ac:dyDescent="0.25">
      <c r="A29" s="5" t="s">
        <v>1634</v>
      </c>
      <c r="B29" s="57" t="s">
        <v>1635</v>
      </c>
      <c r="C29" t="s">
        <v>1636</v>
      </c>
      <c r="D29" t="s">
        <v>1637</v>
      </c>
      <c r="E29" t="s">
        <v>1638</v>
      </c>
    </row>
    <row r="30" spans="1:5" s="206" customFormat="1" ht="14.1" customHeight="1" x14ac:dyDescent="0.25">
      <c r="A30" s="72">
        <f>COUNTA(C6:C26)</f>
        <v>21</v>
      </c>
      <c r="B30" s="210"/>
    </row>
    <row r="31" spans="1:5" s="206" customFormat="1" ht="14.1" customHeight="1" x14ac:dyDescent="0.25">
      <c r="A31" s="207"/>
      <c r="B31" s="210"/>
    </row>
    <row r="32" spans="1:5" ht="32.1" customHeight="1" x14ac:dyDescent="0.25">
      <c r="A32" s="109" t="s">
        <v>1639</v>
      </c>
      <c r="B32" s="57" t="s">
        <v>1640</v>
      </c>
      <c r="C32" t="s">
        <v>1641</v>
      </c>
      <c r="D32" t="s">
        <v>1642</v>
      </c>
      <c r="E32" t="s">
        <v>1643</v>
      </c>
    </row>
    <row r="33" spans="1:5" s="206" customFormat="1" ht="32.1" customHeight="1" x14ac:dyDescent="0.25">
      <c r="A33" s="564">
        <f>COUNTIF(D6:D26,"SALES EXECUTIVE")</f>
        <v>12</v>
      </c>
      <c r="B33" s="210"/>
    </row>
    <row r="34" spans="1:5" s="206" customFormat="1" ht="32.1" customHeight="1" x14ac:dyDescent="0.25">
      <c r="A34" s="109"/>
      <c r="B34" s="210"/>
    </row>
    <row r="35" spans="1:5" ht="15.95" customHeight="1" x14ac:dyDescent="0.25">
      <c r="A35" s="488" t="s">
        <v>1644</v>
      </c>
      <c r="B35" s="483" t="s">
        <v>1645</v>
      </c>
      <c r="C35" s="511" t="s">
        <v>1646</v>
      </c>
      <c r="D35" s="483" t="s">
        <v>1647</v>
      </c>
      <c r="E35" s="483" t="s">
        <v>1648</v>
      </c>
    </row>
    <row r="36" spans="1:5" s="206" customFormat="1" ht="15.95" customHeight="1" x14ac:dyDescent="0.25">
      <c r="A36" s="208"/>
      <c r="B36" s="4" t="s">
        <v>1584</v>
      </c>
      <c r="C36" s="210"/>
    </row>
    <row r="37" spans="1:5" s="206" customFormat="1" ht="15.95" customHeight="1" x14ac:dyDescent="0.25">
      <c r="A37" s="4" t="s">
        <v>1589</v>
      </c>
      <c r="B37" s="191">
        <f>COUNTIFS($D$6:$D$26,$B$36,$E$6:$E$26,A37)</f>
        <v>4</v>
      </c>
      <c r="C37" s="210"/>
    </row>
    <row r="38" spans="1:5" s="206" customFormat="1" ht="15.95" customHeight="1" x14ac:dyDescent="0.25">
      <c r="A38" s="4" t="s">
        <v>1613</v>
      </c>
      <c r="B38" s="191">
        <f>COUNTIFS($D$6:$D$26,$B$36,$E$6:$E$26,A38)</f>
        <v>4</v>
      </c>
      <c r="C38" s="210"/>
    </row>
    <row r="39" spans="1:5" s="206" customFormat="1" ht="15.95" customHeight="1" x14ac:dyDescent="0.25">
      <c r="A39" s="208"/>
      <c r="C39" s="210"/>
    </row>
    <row r="40" spans="1:5" s="206" customFormat="1" ht="15.95" customHeight="1" x14ac:dyDescent="0.25">
      <c r="A40" s="208"/>
      <c r="C40" s="210"/>
    </row>
    <row r="41" spans="1:5" ht="14.1" customHeight="1" x14ac:dyDescent="0.25">
      <c r="A41" s="5" t="s">
        <v>1649</v>
      </c>
      <c r="B41" t="s">
        <v>1650</v>
      </c>
      <c r="C41" s="501" t="s">
        <v>1651</v>
      </c>
      <c r="D41" s="483" t="s">
        <v>1652</v>
      </c>
      <c r="E41" s="483" t="s">
        <v>1653</v>
      </c>
    </row>
    <row r="42" spans="1:5" s="206" customFormat="1" ht="14.1" customHeight="1" x14ac:dyDescent="0.25">
      <c r="A42" s="207"/>
      <c r="B42" s="106" t="s">
        <v>1548</v>
      </c>
      <c r="C42" s="106" t="s">
        <v>1549</v>
      </c>
    </row>
    <row r="43" spans="1:5" s="206" customFormat="1" ht="14.1" customHeight="1" x14ac:dyDescent="0.25">
      <c r="A43" s="4" t="s">
        <v>1563</v>
      </c>
      <c r="B43" s="216" t="str">
        <f>VLOOKUP($A43,$C$5:$E$26,2,FALSE)</f>
        <v>SME</v>
      </c>
      <c r="C43" s="216" t="str">
        <f>VLOOKUP($A43,$C$5:$E$26,3,FALSE)</f>
        <v>MAILS</v>
      </c>
    </row>
    <row r="44" spans="1:5" s="206" customFormat="1" ht="14.1" customHeight="1" x14ac:dyDescent="0.25">
      <c r="A44" s="4" t="s">
        <v>1599</v>
      </c>
      <c r="B44" s="216" t="str">
        <f>VLOOKUP(A44,$C$5:$E$26,2,FALSE)</f>
        <v>SALES EXECUTIVE</v>
      </c>
      <c r="C44" s="216" t="str">
        <f>VLOOKUP($A44,$C$5:$E$26,3,FALSE)</f>
        <v>GROFFERS</v>
      </c>
    </row>
    <row r="45" spans="1:5" s="206" customFormat="1" ht="14.1" customHeight="1" x14ac:dyDescent="0.25">
      <c r="A45" s="215"/>
      <c r="C45" s="209"/>
    </row>
    <row r="46" spans="1:5" s="206" customFormat="1" ht="14.1" customHeight="1" x14ac:dyDescent="0.25">
      <c r="A46" s="215"/>
      <c r="C46" s="209"/>
    </row>
    <row r="47" spans="1:5" ht="29.1" customHeight="1" x14ac:dyDescent="0.25">
      <c r="A47" s="110" t="s">
        <v>1654</v>
      </c>
      <c r="B47" s="34" t="s">
        <v>1655</v>
      </c>
      <c r="C47" s="532" t="s">
        <v>1656</v>
      </c>
      <c r="D47" s="516" t="s">
        <v>1657</v>
      </c>
      <c r="E47" s="516" t="s">
        <v>1658</v>
      </c>
    </row>
    <row r="48" spans="1:5" ht="24" x14ac:dyDescent="0.25">
      <c r="B48" s="107" t="s">
        <v>1546</v>
      </c>
    </row>
    <row r="49" spans="1:2" x14ac:dyDescent="0.25">
      <c r="A49" s="4" t="s">
        <v>1611</v>
      </c>
      <c r="B49" s="216">
        <f>INDEX(A5:C26,MATCH(A49,$C$5:$C$26,0),MATCH($B$48,$A$5:$C$5,0))</f>
        <v>1115</v>
      </c>
    </row>
    <row r="50" spans="1:2" x14ac:dyDescent="0.25">
      <c r="A50" s="4" t="s">
        <v>1579</v>
      </c>
      <c r="B50" s="216">
        <f>INDEX(A6:C27,MATCH(A50,$C$5:$C$26,0),MATCH($B$48,$A$5:$C$5,0))</f>
        <v>1109</v>
      </c>
    </row>
  </sheetData>
  <mergeCells count="8">
    <mergeCell ref="A35:B35"/>
    <mergeCell ref="C35:E35"/>
    <mergeCell ref="C41:E41"/>
    <mergeCell ref="C47:E47"/>
    <mergeCell ref="A1:E1"/>
    <mergeCell ref="A2:E2"/>
    <mergeCell ref="A3:E3"/>
    <mergeCell ref="A4:B4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36"/>
  <sheetViews>
    <sheetView topLeftCell="A22" workbookViewId="0">
      <selection activeCell="G12" sqref="G12:H12"/>
    </sheetView>
  </sheetViews>
  <sheetFormatPr defaultRowHeight="15" x14ac:dyDescent="0.25"/>
  <cols>
    <col min="1" max="1" width="38"/>
    <col min="2" max="2" width="12"/>
    <col min="3" max="4" width="13"/>
    <col min="5" max="5" width="19"/>
  </cols>
  <sheetData>
    <row r="1" spans="1:5" ht="3.95" customHeight="1" x14ac:dyDescent="0.25">
      <c r="A1" s="499" t="s">
        <v>1659</v>
      </c>
      <c r="B1" s="483"/>
      <c r="C1" s="483"/>
      <c r="D1" s="483"/>
      <c r="E1" s="483"/>
    </row>
    <row r="2" spans="1:5" ht="21" customHeight="1" x14ac:dyDescent="0.3">
      <c r="A2" s="510" t="s">
        <v>1660</v>
      </c>
      <c r="B2" s="483"/>
      <c r="C2" s="483"/>
      <c r="D2" s="483"/>
      <c r="E2" s="483"/>
    </row>
    <row r="3" spans="1:5" ht="15.95" customHeight="1" x14ac:dyDescent="0.25">
      <c r="A3" t="s">
        <v>1661</v>
      </c>
      <c r="B3" t="s">
        <v>1662</v>
      </c>
      <c r="C3" s="22" t="s">
        <v>1663</v>
      </c>
    </row>
    <row r="4" spans="1:5" ht="14.1" customHeight="1" x14ac:dyDescent="0.25">
      <c r="A4" t="s">
        <v>1664</v>
      </c>
      <c r="B4" s="5" t="s">
        <v>1665</v>
      </c>
    </row>
    <row r="5" spans="1:5" ht="14.1" customHeight="1" x14ac:dyDescent="0.25">
      <c r="A5" t="s">
        <v>1666</v>
      </c>
      <c r="B5" t="s">
        <v>1667</v>
      </c>
      <c r="C5" s="111" t="s">
        <v>1668</v>
      </c>
    </row>
    <row r="6" spans="1:5" ht="14.1" customHeight="1" x14ac:dyDescent="0.25">
      <c r="A6" s="112" t="s">
        <v>1669</v>
      </c>
      <c r="B6" s="113" t="s">
        <v>1670</v>
      </c>
      <c r="C6" s="113" t="s">
        <v>1671</v>
      </c>
      <c r="D6" s="113" t="s">
        <v>1672</v>
      </c>
      <c r="E6" s="113" t="s">
        <v>1673</v>
      </c>
    </row>
    <row r="7" spans="1:5" ht="14.1" customHeight="1" x14ac:dyDescent="0.25">
      <c r="A7" s="114" t="s">
        <v>1674</v>
      </c>
      <c r="B7" s="114" t="s">
        <v>1675</v>
      </c>
      <c r="C7" s="114" t="s">
        <v>1676</v>
      </c>
      <c r="D7" s="114" t="s">
        <v>1677</v>
      </c>
      <c r="E7" s="114" t="s">
        <v>1678</v>
      </c>
    </row>
    <row r="8" spans="1:5" ht="18" customHeight="1" x14ac:dyDescent="0.25">
      <c r="A8" s="115">
        <v>101</v>
      </c>
      <c r="B8" s="115" t="s">
        <v>1679</v>
      </c>
      <c r="C8" s="115" t="s">
        <v>1680</v>
      </c>
      <c r="D8" s="115" t="s">
        <v>1681</v>
      </c>
      <c r="E8" s="115" t="s">
        <v>1682</v>
      </c>
    </row>
    <row r="9" spans="1:5" ht="18" customHeight="1" x14ac:dyDescent="0.25">
      <c r="A9" s="4">
        <v>102</v>
      </c>
      <c r="B9" s="4" t="s">
        <v>1683</v>
      </c>
      <c r="C9" s="4" t="s">
        <v>1684</v>
      </c>
      <c r="D9" s="4" t="s">
        <v>1685</v>
      </c>
      <c r="E9" s="4" t="s">
        <v>1686</v>
      </c>
    </row>
    <row r="10" spans="1:5" ht="18" customHeight="1" x14ac:dyDescent="0.25">
      <c r="A10" s="115">
        <v>103</v>
      </c>
      <c r="B10" s="115" t="s">
        <v>1687</v>
      </c>
      <c r="C10" s="115" t="s">
        <v>1688</v>
      </c>
      <c r="D10" s="115" t="s">
        <v>1689</v>
      </c>
      <c r="E10" s="115" t="s">
        <v>1690</v>
      </c>
    </row>
    <row r="11" spans="1:5" ht="18" customHeight="1" x14ac:dyDescent="0.25">
      <c r="A11" s="4">
        <v>104</v>
      </c>
      <c r="B11" s="4" t="s">
        <v>1691</v>
      </c>
      <c r="C11" s="4" t="s">
        <v>1692</v>
      </c>
      <c r="D11" s="4" t="s">
        <v>1693</v>
      </c>
      <c r="E11" s="4" t="s">
        <v>1694</v>
      </c>
    </row>
    <row r="12" spans="1:5" ht="18" customHeight="1" x14ac:dyDescent="0.25">
      <c r="A12" s="115">
        <v>105</v>
      </c>
      <c r="B12" s="115" t="s">
        <v>1695</v>
      </c>
      <c r="C12" s="115" t="s">
        <v>1696</v>
      </c>
      <c r="D12" s="115" t="s">
        <v>1697</v>
      </c>
      <c r="E12" s="115" t="s">
        <v>1698</v>
      </c>
    </row>
    <row r="13" spans="1:5" ht="18" customHeight="1" x14ac:dyDescent="0.25">
      <c r="A13" s="4">
        <v>106</v>
      </c>
      <c r="B13" s="4" t="s">
        <v>1699</v>
      </c>
      <c r="C13" s="4" t="s">
        <v>1700</v>
      </c>
      <c r="D13" s="4" t="s">
        <v>1701</v>
      </c>
      <c r="E13" s="4" t="s">
        <v>1702</v>
      </c>
    </row>
    <row r="14" spans="1:5" ht="18" customHeight="1" x14ac:dyDescent="0.25">
      <c r="A14" s="115">
        <v>107</v>
      </c>
      <c r="B14" s="115" t="s">
        <v>1703</v>
      </c>
      <c r="C14" s="115" t="s">
        <v>1704</v>
      </c>
      <c r="D14" s="115" t="s">
        <v>1705</v>
      </c>
      <c r="E14" s="115" t="s">
        <v>1706</v>
      </c>
    </row>
    <row r="15" spans="1:5" ht="18" customHeight="1" x14ac:dyDescent="0.25">
      <c r="A15" s="4">
        <v>108</v>
      </c>
      <c r="B15" s="4" t="s">
        <v>1707</v>
      </c>
      <c r="C15" s="4" t="s">
        <v>1708</v>
      </c>
      <c r="D15" s="4" t="s">
        <v>1709</v>
      </c>
      <c r="E15" s="4" t="s">
        <v>1710</v>
      </c>
    </row>
    <row r="16" spans="1:5" ht="18" customHeight="1" x14ac:dyDescent="0.25">
      <c r="A16" s="115">
        <v>109</v>
      </c>
      <c r="B16" s="115" t="s">
        <v>1711</v>
      </c>
      <c r="C16" s="115" t="s">
        <v>1712</v>
      </c>
      <c r="D16" s="115" t="s">
        <v>1713</v>
      </c>
      <c r="E16" s="115" t="s">
        <v>1714</v>
      </c>
    </row>
    <row r="17" spans="1:5" ht="17.100000000000001" customHeight="1" x14ac:dyDescent="0.25">
      <c r="A17" s="116">
        <v>110</v>
      </c>
      <c r="B17" s="116" t="s">
        <v>1715</v>
      </c>
      <c r="C17" s="116" t="s">
        <v>1716</v>
      </c>
      <c r="D17" s="116" t="s">
        <v>1717</v>
      </c>
      <c r="E17" s="116" t="s">
        <v>1718</v>
      </c>
    </row>
    <row r="18" spans="1:5" ht="14.1" customHeight="1" x14ac:dyDescent="0.25">
      <c r="A18" t="s">
        <v>1719</v>
      </c>
      <c r="B18" t="s">
        <v>1720</v>
      </c>
      <c r="C18" s="111" t="s">
        <v>1721</v>
      </c>
    </row>
    <row r="19" spans="1:5" ht="14.1" customHeight="1" x14ac:dyDescent="0.25">
      <c r="A19" s="112" t="s">
        <v>1722</v>
      </c>
      <c r="B19" s="113" t="s">
        <v>1723</v>
      </c>
      <c r="C19" s="113" t="s">
        <v>1724</v>
      </c>
      <c r="D19" s="113" t="s">
        <v>1725</v>
      </c>
      <c r="E19" s="113" t="s">
        <v>1726</v>
      </c>
    </row>
    <row r="20" spans="1:5" ht="14.1" customHeight="1" x14ac:dyDescent="0.25">
      <c r="A20" s="114" t="s">
        <v>1727</v>
      </c>
      <c r="B20" s="114" t="s">
        <v>1728</v>
      </c>
      <c r="C20" s="114" t="s">
        <v>1729</v>
      </c>
      <c r="D20" s="114" t="s">
        <v>1730</v>
      </c>
      <c r="E20" s="114" t="s">
        <v>1731</v>
      </c>
    </row>
    <row r="21" spans="1:5" ht="18" customHeight="1" x14ac:dyDescent="0.25">
      <c r="A21" s="115">
        <v>101</v>
      </c>
      <c r="B21" s="189" t="str">
        <f>VLOOKUP($A21,$A$6:$E$17,2,FALSE)</f>
        <v>Donald</v>
      </c>
      <c r="C21" s="189" t="str">
        <f>VLOOKUP($A21,$A$6:$E$17,3,FALSE)</f>
        <v>Patrick</v>
      </c>
      <c r="D21" s="189" t="str">
        <f>VLOOKUP($A21,$A$6:$E$17,4,FALSE)</f>
        <v>Finance</v>
      </c>
      <c r="E21" s="189" t="str">
        <f>VLOOKUP($A21,$A$6:$E$17,5,FALSE)</f>
        <v>Banglore</v>
      </c>
    </row>
    <row r="22" spans="1:5" ht="18" customHeight="1" x14ac:dyDescent="0.25">
      <c r="A22" s="4">
        <v>103</v>
      </c>
      <c r="B22" s="189" t="str">
        <f t="shared" ref="B22:B30" si="0">VLOOKUP($A22,$A$6:$E$17,2,FALSE)</f>
        <v>Ian</v>
      </c>
      <c r="C22" s="189" t="str">
        <f t="shared" ref="C22:C30" si="1">VLOOKUP($A22,$A$6:$E$17,3,FALSE)</f>
        <v>Jacob</v>
      </c>
      <c r="D22" s="189" t="str">
        <f t="shared" ref="D22:D30" si="2">VLOOKUP($A22,$A$6:$E$17,4,FALSE)</f>
        <v>Finance</v>
      </c>
      <c r="E22" s="189" t="str">
        <f t="shared" ref="E22:E30" si="3">VLOOKUP($A22,$A$6:$E$17,5,FALSE)</f>
        <v>Hyderabad</v>
      </c>
    </row>
    <row r="23" spans="1:5" ht="18" customHeight="1" x14ac:dyDescent="0.25">
      <c r="A23" s="115">
        <v>102</v>
      </c>
      <c r="B23" s="189" t="str">
        <f t="shared" si="0"/>
        <v>Samuel</v>
      </c>
      <c r="C23" s="189" t="str">
        <f t="shared" si="1"/>
        <v>Samson</v>
      </c>
      <c r="D23" s="189" t="str">
        <f t="shared" si="2"/>
        <v>Marketing</v>
      </c>
      <c r="E23" s="189" t="str">
        <f t="shared" si="3"/>
        <v>Hyderabad</v>
      </c>
    </row>
    <row r="24" spans="1:5" ht="18" customHeight="1" x14ac:dyDescent="0.25">
      <c r="A24" s="4">
        <v>105</v>
      </c>
      <c r="B24" s="189" t="str">
        <f t="shared" si="0"/>
        <v>Ian</v>
      </c>
      <c r="C24" s="189" t="str">
        <f t="shared" si="1"/>
        <v>Smith</v>
      </c>
      <c r="D24" s="189" t="str">
        <f t="shared" si="2"/>
        <v>Marketing</v>
      </c>
      <c r="E24" s="189" t="str">
        <f t="shared" si="3"/>
        <v>Banglore</v>
      </c>
    </row>
    <row r="25" spans="1:5" ht="18" customHeight="1" x14ac:dyDescent="0.25">
      <c r="A25" s="115">
        <v>108</v>
      </c>
      <c r="B25" s="189" t="str">
        <f t="shared" si="0"/>
        <v>Christine</v>
      </c>
      <c r="C25" s="189" t="str">
        <f t="shared" si="1"/>
        <v>Salvi</v>
      </c>
      <c r="D25" s="189" t="str">
        <f t="shared" si="2"/>
        <v>Marketing</v>
      </c>
      <c r="E25" s="189" t="str">
        <f t="shared" si="3"/>
        <v>Banglore</v>
      </c>
    </row>
    <row r="26" spans="1:5" ht="18" customHeight="1" x14ac:dyDescent="0.25">
      <c r="A26" s="4">
        <v>106</v>
      </c>
      <c r="B26" s="189" t="str">
        <f t="shared" si="0"/>
        <v>Henry</v>
      </c>
      <c r="C26" s="189" t="str">
        <f t="shared" si="1"/>
        <v>Madrid</v>
      </c>
      <c r="D26" s="189" t="str">
        <f t="shared" si="2"/>
        <v>IT</v>
      </c>
      <c r="E26" s="189" t="str">
        <f t="shared" si="3"/>
        <v>Pune</v>
      </c>
    </row>
    <row r="27" spans="1:5" ht="18" customHeight="1" x14ac:dyDescent="0.25">
      <c r="A27" s="115">
        <v>107</v>
      </c>
      <c r="B27" s="189" t="str">
        <f t="shared" si="0"/>
        <v>Ronica</v>
      </c>
      <c r="C27" s="189" t="str">
        <f t="shared" si="1"/>
        <v>Brave</v>
      </c>
      <c r="D27" s="189" t="str">
        <f t="shared" si="2"/>
        <v>Finance</v>
      </c>
      <c r="E27" s="189" t="str">
        <f t="shared" si="3"/>
        <v>Hyderabad</v>
      </c>
    </row>
    <row r="28" spans="1:5" ht="18" customHeight="1" x14ac:dyDescent="0.25">
      <c r="A28" s="4">
        <v>104</v>
      </c>
      <c r="B28" s="189" t="str">
        <f t="shared" si="0"/>
        <v>David</v>
      </c>
      <c r="C28" s="189" t="str">
        <f t="shared" si="1"/>
        <v>Johnson</v>
      </c>
      <c r="D28" s="189" t="str">
        <f t="shared" si="2"/>
        <v>Marketing</v>
      </c>
      <c r="E28" s="189" t="str">
        <f t="shared" si="3"/>
        <v>Pune</v>
      </c>
    </row>
    <row r="29" spans="1:5" ht="18" customHeight="1" x14ac:dyDescent="0.25">
      <c r="A29" s="115">
        <v>109</v>
      </c>
      <c r="B29" s="189" t="str">
        <f t="shared" si="0"/>
        <v>Andrew</v>
      </c>
      <c r="C29" s="189" t="str">
        <f t="shared" si="1"/>
        <v>Baisley</v>
      </c>
      <c r="D29" s="189" t="str">
        <f t="shared" si="2"/>
        <v>IT</v>
      </c>
      <c r="E29" s="189" t="str">
        <f t="shared" si="3"/>
        <v>Hyderabad</v>
      </c>
    </row>
    <row r="30" spans="1:5" ht="17.100000000000001" customHeight="1" x14ac:dyDescent="0.25">
      <c r="A30" s="116">
        <v>110</v>
      </c>
      <c r="B30" s="189" t="str">
        <f t="shared" si="0"/>
        <v>Erica</v>
      </c>
      <c r="C30" s="189" t="str">
        <f t="shared" si="1"/>
        <v>Irons</v>
      </c>
      <c r="D30" s="189" t="str">
        <f t="shared" si="2"/>
        <v>IT</v>
      </c>
      <c r="E30" s="189" t="str">
        <f t="shared" si="3"/>
        <v>Pune</v>
      </c>
    </row>
    <row r="31" spans="1:5" ht="15.95" customHeight="1" x14ac:dyDescent="0.25"/>
    <row r="32" spans="1:5" ht="14.1" customHeight="1" x14ac:dyDescent="0.25"/>
    <row r="33" ht="14.1" customHeight="1" x14ac:dyDescent="0.25"/>
    <row r="34" ht="23.1" customHeight="1" x14ac:dyDescent="0.25"/>
    <row r="35" ht="18" customHeight="1" x14ac:dyDescent="0.25"/>
    <row r="36" ht="18" customHeight="1" x14ac:dyDescent="0.25"/>
  </sheetData>
  <mergeCells count="2">
    <mergeCell ref="A1:E1"/>
    <mergeCell ref="A2:E2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6A256-F927-4367-99F3-DF947ED36603}">
  <dimension ref="A1:J39"/>
  <sheetViews>
    <sheetView workbookViewId="0">
      <selection activeCell="H35" sqref="H35"/>
    </sheetView>
  </sheetViews>
  <sheetFormatPr defaultRowHeight="15" x14ac:dyDescent="0.25"/>
  <cols>
    <col min="5" max="5" width="16.5703125" customWidth="1"/>
    <col min="9" max="9" width="13.140625" bestFit="1" customWidth="1"/>
    <col min="10" max="11" width="16.42578125" bestFit="1" customWidth="1"/>
  </cols>
  <sheetData>
    <row r="1" spans="1:10" ht="15.75" x14ac:dyDescent="0.25">
      <c r="A1" s="500" t="s">
        <v>1732</v>
      </c>
      <c r="B1" s="483"/>
      <c r="C1" s="483"/>
      <c r="D1" s="483"/>
      <c r="E1" s="483"/>
    </row>
    <row r="2" spans="1:10" x14ac:dyDescent="0.25">
      <c r="A2" s="493" t="s">
        <v>1733</v>
      </c>
      <c r="B2" s="483"/>
      <c r="C2" s="483"/>
      <c r="D2" s="483"/>
      <c r="E2" s="483"/>
    </row>
    <row r="3" spans="1:10" x14ac:dyDescent="0.25">
      <c r="A3" t="s">
        <v>1734</v>
      </c>
      <c r="B3" t="s">
        <v>1735</v>
      </c>
      <c r="C3" t="s">
        <v>1736</v>
      </c>
      <c r="D3" t="s">
        <v>1737</v>
      </c>
      <c r="E3" s="8" t="s">
        <v>1738</v>
      </c>
    </row>
    <row r="4" spans="1:10" x14ac:dyDescent="0.25">
      <c r="A4" s="106" t="s">
        <v>1739</v>
      </c>
      <c r="B4" s="106" t="s">
        <v>1740</v>
      </c>
      <c r="C4" s="106" t="s">
        <v>1741</v>
      </c>
      <c r="D4" s="88" t="s">
        <v>1746</v>
      </c>
      <c r="E4" s="290" t="s">
        <v>1747</v>
      </c>
    </row>
    <row r="5" spans="1:10" ht="15.75" thickBot="1" x14ac:dyDescent="0.3">
      <c r="A5" s="4" t="s">
        <v>1742</v>
      </c>
      <c r="B5" s="4" t="s">
        <v>1743</v>
      </c>
      <c r="C5" s="2">
        <v>201440</v>
      </c>
      <c r="D5" s="3" t="s">
        <v>1750</v>
      </c>
      <c r="E5" s="289">
        <v>240000</v>
      </c>
      <c r="I5" s="271" t="s">
        <v>2413</v>
      </c>
      <c r="J5" t="s">
        <v>2422</v>
      </c>
    </row>
    <row r="6" spans="1:10" x14ac:dyDescent="0.25">
      <c r="A6" s="4" t="s">
        <v>1744</v>
      </c>
      <c r="B6" s="4" t="s">
        <v>1745</v>
      </c>
      <c r="C6" s="2">
        <v>352519</v>
      </c>
      <c r="D6" s="48" t="s">
        <v>1744</v>
      </c>
      <c r="E6" s="292">
        <v>352519</v>
      </c>
      <c r="I6" s="206" t="s">
        <v>1743</v>
      </c>
      <c r="J6" s="272">
        <v>966365</v>
      </c>
    </row>
    <row r="7" spans="1:10" ht="15.75" thickBot="1" x14ac:dyDescent="0.3">
      <c r="A7" s="4" t="s">
        <v>1748</v>
      </c>
      <c r="B7" s="4" t="s">
        <v>1749</v>
      </c>
      <c r="C7" s="2">
        <v>172406</v>
      </c>
      <c r="D7" s="69" t="s">
        <v>1742</v>
      </c>
      <c r="E7" s="286">
        <v>201440</v>
      </c>
      <c r="I7" s="206" t="s">
        <v>1753</v>
      </c>
      <c r="J7" s="272">
        <v>2368415</v>
      </c>
    </row>
    <row r="8" spans="1:10" x14ac:dyDescent="0.25">
      <c r="A8" s="49" t="s">
        <v>1750</v>
      </c>
      <c r="B8" s="49" t="s">
        <v>1743</v>
      </c>
      <c r="C8" s="117">
        <v>240000</v>
      </c>
      <c r="D8" s="69" t="s">
        <v>1748</v>
      </c>
      <c r="E8" s="286">
        <v>172406</v>
      </c>
      <c r="I8" s="206" t="s">
        <v>1762</v>
      </c>
      <c r="J8" s="272">
        <v>3334780</v>
      </c>
    </row>
    <row r="9" spans="1:10" x14ac:dyDescent="0.25">
      <c r="A9" s="4" t="s">
        <v>1752</v>
      </c>
      <c r="B9" s="4" t="s">
        <v>1753</v>
      </c>
      <c r="C9" s="2">
        <v>15205</v>
      </c>
      <c r="D9" s="69" t="s">
        <v>1754</v>
      </c>
      <c r="E9" s="286">
        <v>24327</v>
      </c>
    </row>
    <row r="10" spans="1:10" x14ac:dyDescent="0.25">
      <c r="A10" s="4" t="s">
        <v>1754</v>
      </c>
      <c r="B10" s="4" t="s">
        <v>1753</v>
      </c>
      <c r="C10" s="2">
        <v>24327</v>
      </c>
      <c r="D10" s="69" t="s">
        <v>1752</v>
      </c>
      <c r="E10" s="286">
        <v>15205</v>
      </c>
    </row>
    <row r="11" spans="1:10" x14ac:dyDescent="0.25">
      <c r="A11" s="4" t="s">
        <v>1755</v>
      </c>
      <c r="B11" s="4" t="s">
        <v>1753</v>
      </c>
      <c r="C11" s="2">
        <v>50549</v>
      </c>
      <c r="D11" s="69" t="s">
        <v>1757</v>
      </c>
      <c r="E11" s="286">
        <v>15205</v>
      </c>
    </row>
    <row r="12" spans="1:10" x14ac:dyDescent="0.25">
      <c r="A12" s="4" t="s">
        <v>1756</v>
      </c>
      <c r="B12" s="4" t="s">
        <v>1753</v>
      </c>
      <c r="C12" s="2">
        <v>15106</v>
      </c>
      <c r="D12" s="69" t="s">
        <v>1755</v>
      </c>
      <c r="E12" s="286">
        <v>50549</v>
      </c>
    </row>
    <row r="13" spans="1:10" x14ac:dyDescent="0.25">
      <c r="A13" s="4" t="s">
        <v>1756</v>
      </c>
      <c r="B13" s="4" t="s">
        <v>1753</v>
      </c>
      <c r="C13" s="2">
        <v>19901</v>
      </c>
      <c r="D13" s="69" t="s">
        <v>1756</v>
      </c>
      <c r="E13" s="286">
        <v>35007</v>
      </c>
    </row>
    <row r="14" spans="1:10" x14ac:dyDescent="0.25">
      <c r="A14" s="4" t="s">
        <v>1757</v>
      </c>
      <c r="B14" s="4" t="s">
        <v>1753</v>
      </c>
      <c r="C14" s="2">
        <v>15205</v>
      </c>
      <c r="D14" s="69" t="s">
        <v>1758</v>
      </c>
      <c r="E14" s="286">
        <v>300000</v>
      </c>
    </row>
    <row r="15" spans="1:10" x14ac:dyDescent="0.25">
      <c r="A15" s="4" t="s">
        <v>1758</v>
      </c>
      <c r="B15" s="4" t="s">
        <v>1753</v>
      </c>
      <c r="C15" s="2">
        <v>300000</v>
      </c>
      <c r="D15" s="69" t="s">
        <v>1759</v>
      </c>
      <c r="E15" s="286">
        <v>643835</v>
      </c>
    </row>
    <row r="16" spans="1:10" x14ac:dyDescent="0.25">
      <c r="A16" s="4" t="s">
        <v>1759</v>
      </c>
      <c r="B16" s="4" t="s">
        <v>1753</v>
      </c>
      <c r="C16" s="2">
        <v>150000</v>
      </c>
      <c r="D16" s="69" t="s">
        <v>1760</v>
      </c>
      <c r="E16" s="286">
        <v>564030</v>
      </c>
    </row>
    <row r="17" spans="1:10" ht="15.75" thickBot="1" x14ac:dyDescent="0.3">
      <c r="A17" s="4" t="s">
        <v>1759</v>
      </c>
      <c r="B17" s="4" t="s">
        <v>1753</v>
      </c>
      <c r="C17" s="2">
        <v>330553</v>
      </c>
      <c r="D17" s="69" t="s">
        <v>1761</v>
      </c>
      <c r="E17" s="286">
        <v>720256</v>
      </c>
    </row>
    <row r="18" spans="1:10" x14ac:dyDescent="0.25">
      <c r="A18" s="4" t="s">
        <v>1759</v>
      </c>
      <c r="B18" s="4" t="s">
        <v>1753</v>
      </c>
      <c r="C18" s="2">
        <v>163282</v>
      </c>
      <c r="D18" s="69" t="s">
        <v>2417</v>
      </c>
      <c r="E18" s="291">
        <v>532478.59090909001</v>
      </c>
    </row>
    <row r="19" spans="1:10" x14ac:dyDescent="0.25">
      <c r="A19" s="4" t="s">
        <v>1760</v>
      </c>
      <c r="B19" s="4" t="s">
        <v>1753</v>
      </c>
      <c r="C19" s="2">
        <v>564030</v>
      </c>
      <c r="D19" s="69" t="s">
        <v>2418</v>
      </c>
      <c r="E19" s="288">
        <v>574721.72027972003</v>
      </c>
    </row>
    <row r="20" spans="1:10" x14ac:dyDescent="0.25">
      <c r="A20" s="4" t="s">
        <v>1761</v>
      </c>
      <c r="B20" s="4" t="s">
        <v>1753</v>
      </c>
      <c r="C20" s="2">
        <v>503599</v>
      </c>
      <c r="D20" s="69" t="s">
        <v>2419</v>
      </c>
      <c r="E20" s="288">
        <v>616964.849650349</v>
      </c>
      <c r="I20" s="271" t="s">
        <v>2413</v>
      </c>
      <c r="J20" t="s">
        <v>2423</v>
      </c>
    </row>
    <row r="21" spans="1:10" x14ac:dyDescent="0.25">
      <c r="A21" s="4" t="s">
        <v>1761</v>
      </c>
      <c r="B21" s="4" t="s">
        <v>1753</v>
      </c>
      <c r="C21" s="2">
        <v>15218</v>
      </c>
      <c r="D21" s="69" t="s">
        <v>2420</v>
      </c>
      <c r="E21" s="288">
        <v>659207.97902097902</v>
      </c>
      <c r="I21" s="206" t="s">
        <v>1754</v>
      </c>
      <c r="J21" s="272">
        <v>24327</v>
      </c>
    </row>
    <row r="22" spans="1:10" x14ac:dyDescent="0.25">
      <c r="A22" s="2" t="s">
        <v>1761</v>
      </c>
      <c r="B22" s="4" t="s">
        <v>1753</v>
      </c>
      <c r="C22" s="2">
        <v>201440</v>
      </c>
      <c r="D22" s="69" t="s">
        <v>2421</v>
      </c>
      <c r="E22" s="288">
        <v>701451.108391608</v>
      </c>
      <c r="I22" s="206" t="s">
        <v>1752</v>
      </c>
      <c r="J22" s="272">
        <v>15205</v>
      </c>
    </row>
    <row r="23" spans="1:10" x14ac:dyDescent="0.25">
      <c r="I23" s="206" t="s">
        <v>1757</v>
      </c>
      <c r="J23" s="272">
        <v>15205</v>
      </c>
    </row>
    <row r="24" spans="1:10" x14ac:dyDescent="0.25">
      <c r="I24" s="206" t="s">
        <v>1750</v>
      </c>
      <c r="J24" s="272">
        <v>240000</v>
      </c>
    </row>
    <row r="25" spans="1:10" x14ac:dyDescent="0.25">
      <c r="I25" s="206" t="s">
        <v>1755</v>
      </c>
      <c r="J25" s="272">
        <v>50549</v>
      </c>
    </row>
    <row r="26" spans="1:10" x14ac:dyDescent="0.25">
      <c r="I26" s="206" t="s">
        <v>2417</v>
      </c>
      <c r="J26" s="272">
        <v>532478.59090909001</v>
      </c>
    </row>
    <row r="27" spans="1:10" x14ac:dyDescent="0.25">
      <c r="I27" s="206" t="s">
        <v>1756</v>
      </c>
      <c r="J27" s="272">
        <v>35007</v>
      </c>
    </row>
    <row r="28" spans="1:10" x14ac:dyDescent="0.25">
      <c r="I28" s="206" t="s">
        <v>2418</v>
      </c>
      <c r="J28" s="272">
        <v>574721.72027972003</v>
      </c>
    </row>
    <row r="29" spans="1:10" x14ac:dyDescent="0.25">
      <c r="I29" s="206" t="s">
        <v>1744</v>
      </c>
      <c r="J29" s="272">
        <v>352519</v>
      </c>
    </row>
    <row r="30" spans="1:10" x14ac:dyDescent="0.25">
      <c r="I30" s="206" t="s">
        <v>1742</v>
      </c>
      <c r="J30" s="272">
        <v>201440</v>
      </c>
    </row>
    <row r="31" spans="1:10" x14ac:dyDescent="0.25">
      <c r="I31" s="206" t="s">
        <v>1748</v>
      </c>
      <c r="J31" s="272">
        <v>172406</v>
      </c>
    </row>
    <row r="32" spans="1:10" x14ac:dyDescent="0.25">
      <c r="I32" s="206" t="s">
        <v>1758</v>
      </c>
      <c r="J32" s="272">
        <v>300000</v>
      </c>
    </row>
    <row r="33" spans="9:10" x14ac:dyDescent="0.25">
      <c r="I33" s="206" t="s">
        <v>2419</v>
      </c>
      <c r="J33" s="272">
        <v>616964.849650349</v>
      </c>
    </row>
    <row r="34" spans="9:10" x14ac:dyDescent="0.25">
      <c r="I34" s="206" t="s">
        <v>1759</v>
      </c>
      <c r="J34" s="272">
        <v>643835</v>
      </c>
    </row>
    <row r="35" spans="9:10" x14ac:dyDescent="0.25">
      <c r="I35" s="206" t="s">
        <v>2420</v>
      </c>
      <c r="J35" s="272">
        <v>659207.97902097902</v>
      </c>
    </row>
    <row r="36" spans="9:10" x14ac:dyDescent="0.25">
      <c r="I36" s="206" t="s">
        <v>1760</v>
      </c>
      <c r="J36" s="272">
        <v>564030</v>
      </c>
    </row>
    <row r="37" spans="9:10" x14ac:dyDescent="0.25">
      <c r="I37" s="206" t="s">
        <v>2421</v>
      </c>
      <c r="J37" s="272">
        <v>701451.108391608</v>
      </c>
    </row>
    <row r="38" spans="9:10" x14ac:dyDescent="0.25">
      <c r="I38" s="206" t="s">
        <v>1761</v>
      </c>
      <c r="J38" s="272">
        <v>720256</v>
      </c>
    </row>
    <row r="39" spans="9:10" x14ac:dyDescent="0.25">
      <c r="I39" s="206" t="s">
        <v>1762</v>
      </c>
      <c r="J39" s="272">
        <v>6419603.2482517464</v>
      </c>
    </row>
  </sheetData>
  <mergeCells count="2">
    <mergeCell ref="A1:E1"/>
    <mergeCell ref="A2:E2"/>
  </mergeCells>
  <pageMargins left="0.7" right="0.7" top="0.75" bottom="0.75" header="0.3" footer="0.3"/>
  <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33"/>
  <sheetViews>
    <sheetView topLeftCell="A19" workbookViewId="0">
      <selection activeCell="M10" sqref="M10"/>
    </sheetView>
  </sheetViews>
  <sheetFormatPr defaultRowHeight="15" x14ac:dyDescent="0.25"/>
  <cols>
    <col min="1" max="1" width="38"/>
    <col min="2" max="2" width="10"/>
    <col min="3" max="4" width="11"/>
    <col min="5" max="5" width="8"/>
    <col min="6" max="6" width="9"/>
    <col min="7" max="7" width="6"/>
  </cols>
  <sheetData>
    <row r="1" spans="1:7" ht="3.95" customHeight="1" x14ac:dyDescent="0.25">
      <c r="A1" s="499" t="s">
        <v>1751</v>
      </c>
      <c r="B1" s="483"/>
      <c r="C1" s="483"/>
      <c r="D1" s="483"/>
      <c r="E1" s="483"/>
      <c r="F1" s="483"/>
      <c r="G1" s="483"/>
    </row>
    <row r="2" spans="1:7" ht="15.95" customHeight="1" x14ac:dyDescent="0.25">
      <c r="A2" s="500" t="s">
        <v>1763</v>
      </c>
      <c r="B2" s="483"/>
      <c r="C2" s="483"/>
      <c r="D2" s="483"/>
      <c r="E2" s="483"/>
      <c r="F2" s="483"/>
      <c r="G2" s="483"/>
    </row>
    <row r="3" spans="1:7" ht="14.1" customHeight="1" x14ac:dyDescent="0.25">
      <c r="A3" s="493" t="s">
        <v>1764</v>
      </c>
      <c r="B3" s="483"/>
      <c r="C3" s="483"/>
      <c r="D3" s="483"/>
      <c r="E3" s="483"/>
      <c r="F3" s="483"/>
      <c r="G3" s="483"/>
    </row>
    <row r="4" spans="1:7" ht="15" customHeight="1" x14ac:dyDescent="0.25">
      <c r="A4" s="90" t="s">
        <v>1765</v>
      </c>
      <c r="B4" s="4" t="s">
        <v>1766</v>
      </c>
      <c r="C4" s="4" t="s">
        <v>1767</v>
      </c>
      <c r="D4" s="4" t="s">
        <v>1768</v>
      </c>
      <c r="E4" s="4" t="s">
        <v>1769</v>
      </c>
      <c r="F4" s="4" t="s">
        <v>1770</v>
      </c>
      <c r="G4" s="4" t="s">
        <v>1771</v>
      </c>
    </row>
    <row r="5" spans="1:7" ht="17.100000000000001" customHeight="1" x14ac:dyDescent="0.25">
      <c r="A5" s="297" t="s">
        <v>1772</v>
      </c>
      <c r="B5" s="4">
        <v>240</v>
      </c>
      <c r="C5" s="4">
        <v>180</v>
      </c>
      <c r="D5" s="4">
        <v>310</v>
      </c>
      <c r="E5" s="4">
        <v>445</v>
      </c>
      <c r="F5" s="4">
        <v>650</v>
      </c>
      <c r="G5" s="4">
        <v>700</v>
      </c>
    </row>
    <row r="6" spans="1:7" ht="15" customHeight="1" x14ac:dyDescent="0.25">
      <c r="A6" s="297" t="s">
        <v>1773</v>
      </c>
      <c r="B6" s="4" t="s">
        <v>1774</v>
      </c>
    </row>
    <row r="7" spans="1:7" ht="17.100000000000001" customHeight="1" x14ac:dyDescent="0.25">
      <c r="A7" s="297" t="s">
        <v>1775</v>
      </c>
      <c r="B7" s="189">
        <f>HLOOKUP(B6,B4:G5,2,FALSE)</f>
        <v>445</v>
      </c>
    </row>
    <row r="8" spans="1:7" ht="14.1" customHeight="1" x14ac:dyDescent="0.25">
      <c r="A8" s="298" t="s">
        <v>1776</v>
      </c>
      <c r="B8" s="4" t="s">
        <v>1777</v>
      </c>
      <c r="C8" s="4" t="s">
        <v>1778</v>
      </c>
      <c r="D8" s="4" t="s">
        <v>1779</v>
      </c>
      <c r="E8" s="4" t="s">
        <v>1780</v>
      </c>
      <c r="F8" s="4" t="s">
        <v>1781</v>
      </c>
      <c r="G8" s="4" t="s">
        <v>1782</v>
      </c>
    </row>
    <row r="9" spans="1:7" ht="18" customHeight="1" x14ac:dyDescent="0.25">
      <c r="A9" s="298" t="s">
        <v>1783</v>
      </c>
      <c r="B9" s="4">
        <v>36</v>
      </c>
      <c r="C9" s="4">
        <v>45</v>
      </c>
      <c r="D9" s="4">
        <v>52</v>
      </c>
      <c r="E9" s="4">
        <v>66</v>
      </c>
      <c r="F9" s="4">
        <v>75</v>
      </c>
      <c r="G9" s="4">
        <v>40</v>
      </c>
    </row>
    <row r="10" spans="1:7" ht="18" customHeight="1" x14ac:dyDescent="0.25">
      <c r="A10" s="298" t="s">
        <v>1784</v>
      </c>
      <c r="B10" s="4">
        <v>82</v>
      </c>
      <c r="C10" s="4">
        <v>71</v>
      </c>
      <c r="D10" s="4">
        <v>56</v>
      </c>
      <c r="E10" s="4">
        <v>32</v>
      </c>
      <c r="F10" s="4">
        <v>81</v>
      </c>
      <c r="G10" s="4">
        <v>66</v>
      </c>
    </row>
    <row r="11" spans="1:7" ht="18" customHeight="1" x14ac:dyDescent="0.25">
      <c r="A11" s="298" t="s">
        <v>1785</v>
      </c>
      <c r="B11" s="4">
        <v>32</v>
      </c>
      <c r="C11" s="4">
        <v>45</v>
      </c>
      <c r="D11" s="4">
        <v>52</v>
      </c>
      <c r="E11" s="4">
        <v>51</v>
      </c>
      <c r="F11" s="4">
        <v>71</v>
      </c>
      <c r="G11" s="4">
        <v>74</v>
      </c>
    </row>
    <row r="12" spans="1:7" ht="14.1" customHeight="1" x14ac:dyDescent="0.25">
      <c r="A12" s="298" t="s">
        <v>2424</v>
      </c>
      <c r="B12" s="524">
        <f>HLOOKUP(F8,B8:G11,3,FALSE)</f>
        <v>81</v>
      </c>
      <c r="C12" s="527" t="s">
        <v>1786</v>
      </c>
    </row>
    <row r="13" spans="1:7" ht="14.1" customHeight="1" x14ac:dyDescent="0.25">
      <c r="A13" s="90" t="s">
        <v>1787</v>
      </c>
      <c r="B13" s="4" t="s">
        <v>1788</v>
      </c>
      <c r="C13" s="4" t="s">
        <v>1789</v>
      </c>
      <c r="D13" s="4" t="s">
        <v>1790</v>
      </c>
      <c r="E13" s="4" t="s">
        <v>1791</v>
      </c>
      <c r="F13" s="4" t="s">
        <v>1792</v>
      </c>
      <c r="G13" s="4" t="s">
        <v>1793</v>
      </c>
    </row>
    <row r="14" spans="1:7" ht="18" customHeight="1" x14ac:dyDescent="0.25">
      <c r="A14" s="90" t="s">
        <v>1794</v>
      </c>
      <c r="B14" s="4">
        <v>36</v>
      </c>
      <c r="C14" s="4">
        <v>45</v>
      </c>
      <c r="D14" s="4">
        <v>52</v>
      </c>
      <c r="E14" s="4">
        <v>66</v>
      </c>
      <c r="F14" s="4">
        <v>75</v>
      </c>
      <c r="G14" s="4">
        <v>40</v>
      </c>
    </row>
    <row r="15" spans="1:7" ht="18" customHeight="1" x14ac:dyDescent="0.25">
      <c r="A15" s="90" t="s">
        <v>1795</v>
      </c>
      <c r="B15" s="4">
        <v>82</v>
      </c>
      <c r="C15" s="4">
        <v>71</v>
      </c>
      <c r="D15" s="4">
        <v>56</v>
      </c>
      <c r="E15" s="4">
        <v>32</v>
      </c>
      <c r="F15" s="4">
        <v>81</v>
      </c>
      <c r="G15" s="4">
        <v>66</v>
      </c>
    </row>
    <row r="16" spans="1:7" ht="17.100000000000001" customHeight="1" x14ac:dyDescent="0.25">
      <c r="A16" s="90" t="s">
        <v>1796</v>
      </c>
      <c r="B16" s="4">
        <v>32</v>
      </c>
      <c r="C16" s="4">
        <v>45</v>
      </c>
      <c r="D16" s="4">
        <v>52</v>
      </c>
      <c r="E16" s="4">
        <v>51</v>
      </c>
      <c r="F16" s="4">
        <v>71</v>
      </c>
      <c r="G16" s="4">
        <v>74</v>
      </c>
    </row>
    <row r="17" spans="1:7" ht="14.1" customHeight="1" x14ac:dyDescent="0.25">
      <c r="A17" s="97" t="s">
        <v>2425</v>
      </c>
      <c r="B17" s="524">
        <f>HLOOKUP(D13,B13:G16,4,FALSE)</f>
        <v>52</v>
      </c>
      <c r="C17" s="527"/>
    </row>
    <row r="18" spans="1:7" ht="14.1" customHeight="1" x14ac:dyDescent="0.25">
      <c r="A18" s="90" t="s">
        <v>1797</v>
      </c>
      <c r="B18" s="4" t="s">
        <v>1798</v>
      </c>
      <c r="C18" s="3" t="s">
        <v>1799</v>
      </c>
      <c r="D18" s="3" t="s">
        <v>1800</v>
      </c>
      <c r="E18" s="3" t="s">
        <v>1801</v>
      </c>
      <c r="F18" s="3" t="s">
        <v>1802</v>
      </c>
    </row>
    <row r="19" spans="1:7" ht="18" customHeight="1" x14ac:dyDescent="0.25">
      <c r="A19" s="90" t="s">
        <v>1803</v>
      </c>
      <c r="B19" s="4">
        <v>66</v>
      </c>
      <c r="C19" s="4">
        <v>43</v>
      </c>
      <c r="D19" s="4">
        <v>36</v>
      </c>
      <c r="E19" s="4">
        <v>82</v>
      </c>
      <c r="F19" s="4">
        <v>89</v>
      </c>
    </row>
    <row r="20" spans="1:7" ht="18" customHeight="1" thickBot="1" x14ac:dyDescent="0.3">
      <c r="A20" s="90" t="s">
        <v>1804</v>
      </c>
      <c r="B20" s="4">
        <v>51</v>
      </c>
      <c r="C20" s="4">
        <v>83</v>
      </c>
      <c r="D20" s="4">
        <v>41</v>
      </c>
      <c r="E20" s="4">
        <v>125</v>
      </c>
      <c r="F20" s="4">
        <v>79</v>
      </c>
    </row>
    <row r="21" spans="1:7" x14ac:dyDescent="0.25">
      <c r="A21" s="118" t="s">
        <v>1805</v>
      </c>
      <c r="B21" s="49">
        <v>35</v>
      </c>
      <c r="C21" s="49">
        <v>97</v>
      </c>
      <c r="D21" s="49">
        <v>92</v>
      </c>
      <c r="E21" s="49">
        <v>41</v>
      </c>
      <c r="F21" s="49">
        <v>39</v>
      </c>
    </row>
    <row r="22" spans="1:7" x14ac:dyDescent="0.25">
      <c r="A22" s="90" t="s">
        <v>1806</v>
      </c>
      <c r="B22" s="4">
        <v>84</v>
      </c>
      <c r="C22" s="4">
        <v>76</v>
      </c>
      <c r="D22" s="4">
        <v>35</v>
      </c>
      <c r="E22" s="4">
        <v>48</v>
      </c>
      <c r="F22" s="4">
        <v>37</v>
      </c>
    </row>
    <row r="23" spans="1:7" x14ac:dyDescent="0.25">
      <c r="A23" s="90" t="s">
        <v>1807</v>
      </c>
      <c r="B23" s="4">
        <v>110</v>
      </c>
      <c r="C23" s="4">
        <v>77</v>
      </c>
      <c r="D23" s="4">
        <v>90</v>
      </c>
      <c r="E23" s="4">
        <v>37</v>
      </c>
      <c r="F23" s="4">
        <v>34</v>
      </c>
    </row>
    <row r="24" spans="1:7" x14ac:dyDescent="0.25">
      <c r="A24" s="90" t="s">
        <v>1808</v>
      </c>
      <c r="B24" s="4" t="s">
        <v>1809</v>
      </c>
      <c r="C24" s="98" t="s">
        <v>1810</v>
      </c>
      <c r="D24" s="19" t="s">
        <v>1811</v>
      </c>
      <c r="E24" s="19" t="s">
        <v>1812</v>
      </c>
      <c r="F24" s="19" t="s">
        <v>1813</v>
      </c>
    </row>
    <row r="25" spans="1:7" x14ac:dyDescent="0.25">
      <c r="A25" s="97" t="s">
        <v>1814</v>
      </c>
      <c r="B25" s="189">
        <f>HLOOKUP(B24,B18:F23,5,FALSE)</f>
        <v>48</v>
      </c>
      <c r="C25" s="119" t="s">
        <v>1815</v>
      </c>
      <c r="D25" s="120" t="s">
        <v>1816</v>
      </c>
      <c r="E25" s="120" t="s">
        <v>1817</v>
      </c>
      <c r="F25" s="120" t="s">
        <v>1818</v>
      </c>
    </row>
    <row r="26" spans="1:7" ht="24.75" x14ac:dyDescent="0.25">
      <c r="A26" s="102" t="s">
        <v>1819</v>
      </c>
      <c r="B26" s="121">
        <v>21</v>
      </c>
      <c r="C26" s="121">
        <v>33</v>
      </c>
      <c r="D26" s="121">
        <v>39</v>
      </c>
      <c r="E26" s="121">
        <v>42</v>
      </c>
      <c r="F26" s="121">
        <v>50</v>
      </c>
    </row>
    <row r="27" spans="1:7" x14ac:dyDescent="0.25">
      <c r="A27" s="90" t="s">
        <v>1820</v>
      </c>
      <c r="B27" s="4" t="s">
        <v>1821</v>
      </c>
      <c r="C27" s="4" t="s">
        <v>1822</v>
      </c>
      <c r="D27" s="4" t="s">
        <v>1823</v>
      </c>
      <c r="E27" s="4" t="s">
        <v>1824</v>
      </c>
      <c r="F27" s="4" t="s">
        <v>1825</v>
      </c>
    </row>
    <row r="28" spans="1:7" x14ac:dyDescent="0.25">
      <c r="A28" s="90" t="s">
        <v>1826</v>
      </c>
      <c r="B28" s="4">
        <v>42</v>
      </c>
    </row>
    <row r="29" spans="1:7" x14ac:dyDescent="0.25">
      <c r="A29" s="97" t="s">
        <v>1827</v>
      </c>
      <c r="B29" s="189" t="str">
        <f>HLOOKUP(B28,B26:F27,2,FALSE)</f>
        <v>Pune</v>
      </c>
    </row>
    <row r="30" spans="1:7" x14ac:dyDescent="0.25">
      <c r="A30" s="90" t="s">
        <v>1828</v>
      </c>
      <c r="B30" s="4" t="s">
        <v>1829</v>
      </c>
      <c r="C30" s="4" t="s">
        <v>1830</v>
      </c>
      <c r="D30" s="4" t="s">
        <v>1831</v>
      </c>
      <c r="E30" s="4" t="s">
        <v>1832</v>
      </c>
      <c r="F30" s="4" t="s">
        <v>1833</v>
      </c>
      <c r="G30" s="4" t="s">
        <v>1834</v>
      </c>
    </row>
    <row r="31" spans="1:7" x14ac:dyDescent="0.25">
      <c r="A31" s="90" t="s">
        <v>1835</v>
      </c>
      <c r="B31" s="4">
        <v>200</v>
      </c>
      <c r="C31" s="4">
        <v>125</v>
      </c>
      <c r="D31" s="4">
        <v>320</v>
      </c>
      <c r="E31" s="4">
        <v>250</v>
      </c>
      <c r="F31" s="4">
        <v>300</v>
      </c>
      <c r="G31" s="4">
        <v>421</v>
      </c>
    </row>
    <row r="32" spans="1:7" x14ac:dyDescent="0.25">
      <c r="A32" s="90" t="s">
        <v>1836</v>
      </c>
      <c r="B32" s="4" t="s">
        <v>1834</v>
      </c>
    </row>
    <row r="33" spans="1:2" x14ac:dyDescent="0.25">
      <c r="A33" s="97" t="s">
        <v>1837</v>
      </c>
      <c r="B33" s="189">
        <f>HLOOKUP(B32,B30:G31,2,FALSE)</f>
        <v>421</v>
      </c>
    </row>
  </sheetData>
  <mergeCells count="5">
    <mergeCell ref="A2:G2"/>
    <mergeCell ref="A3:G3"/>
    <mergeCell ref="B12:C12"/>
    <mergeCell ref="B17:C17"/>
    <mergeCell ref="A1:G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A5868-5F21-490B-92E2-71117DFC9FE8}">
  <dimension ref="A1:Q36"/>
  <sheetViews>
    <sheetView topLeftCell="A25" workbookViewId="0">
      <selection activeCell="J12" sqref="J12"/>
    </sheetView>
  </sheetViews>
  <sheetFormatPr defaultRowHeight="15" x14ac:dyDescent="0.25"/>
  <cols>
    <col min="6" max="6" width="10" bestFit="1" customWidth="1"/>
    <col min="10" max="10" width="13.28515625" customWidth="1"/>
  </cols>
  <sheetData>
    <row r="1" spans="1:13" x14ac:dyDescent="0.25">
      <c r="A1" s="491" t="s">
        <v>55</v>
      </c>
      <c r="B1" s="556"/>
      <c r="C1" s="556"/>
      <c r="D1" s="556"/>
      <c r="E1" s="556"/>
      <c r="F1" s="556"/>
      <c r="G1" s="556"/>
      <c r="H1" s="556"/>
      <c r="I1" s="556"/>
    </row>
    <row r="2" spans="1:13" x14ac:dyDescent="0.25">
      <c r="A2" s="491" t="s">
        <v>56</v>
      </c>
      <c r="B2" s="483"/>
      <c r="C2" s="483"/>
      <c r="D2" s="483"/>
      <c r="E2" s="483"/>
      <c r="F2" s="483"/>
      <c r="G2" s="483"/>
      <c r="H2" s="483"/>
      <c r="I2" s="483"/>
    </row>
    <row r="3" spans="1:13" x14ac:dyDescent="0.25">
      <c r="A3" s="17" t="s">
        <v>57</v>
      </c>
      <c r="B3" s="17" t="s">
        <v>58</v>
      </c>
      <c r="C3" s="17" t="s">
        <v>59</v>
      </c>
      <c r="D3" s="17" t="s">
        <v>60</v>
      </c>
      <c r="E3" s="17" t="s">
        <v>61</v>
      </c>
      <c r="F3" s="17" t="s">
        <v>62</v>
      </c>
      <c r="G3" s="17" t="s">
        <v>39</v>
      </c>
    </row>
    <row r="4" spans="1:13" x14ac:dyDescent="0.25">
      <c r="A4" s="69" t="s">
        <v>63</v>
      </c>
      <c r="B4" s="2">
        <v>20</v>
      </c>
      <c r="C4" s="2">
        <v>15</v>
      </c>
      <c r="D4" s="2">
        <v>20</v>
      </c>
      <c r="E4" s="189">
        <f>SUM(B4:D4)</f>
        <v>55</v>
      </c>
      <c r="F4" s="214">
        <f>AVERAGE(B4:D4)</f>
        <v>18.333333333333332</v>
      </c>
      <c r="G4" s="189" t="str">
        <f>_xlfn.IFS(F4&gt;20,"A",F4&gt;15,"B",F4&lt;15,"C")</f>
        <v>B</v>
      </c>
    </row>
    <row r="5" spans="1:13" x14ac:dyDescent="0.25">
      <c r="A5" s="69" t="s">
        <v>64</v>
      </c>
      <c r="B5" s="2">
        <v>30</v>
      </c>
      <c r="C5" s="2">
        <v>12</v>
      </c>
      <c r="D5" s="2">
        <v>15</v>
      </c>
      <c r="E5" s="189">
        <f t="shared" ref="E5:E12" si="0">SUM(B5:D5)</f>
        <v>57</v>
      </c>
      <c r="F5" s="214">
        <f t="shared" ref="F5:F12" si="1">AVERAGE(B5:D5)</f>
        <v>19</v>
      </c>
      <c r="G5" s="189" t="str">
        <f t="shared" ref="G5:G12" si="2">_xlfn.IFS(F5&gt;20,"A",F5&gt;15,"B",F5&lt;15,"C")</f>
        <v>B</v>
      </c>
    </row>
    <row r="6" spans="1:13" x14ac:dyDescent="0.25">
      <c r="A6" s="69" t="s">
        <v>65</v>
      </c>
      <c r="B6" s="2">
        <v>15</v>
      </c>
      <c r="C6" s="2">
        <v>14</v>
      </c>
      <c r="D6" s="2">
        <v>14</v>
      </c>
      <c r="E6" s="189">
        <f t="shared" si="0"/>
        <v>43</v>
      </c>
      <c r="F6" s="214">
        <f t="shared" si="1"/>
        <v>14.333333333333334</v>
      </c>
      <c r="G6" s="189" t="str">
        <f t="shared" si="2"/>
        <v>C</v>
      </c>
    </row>
    <row r="7" spans="1:13" x14ac:dyDescent="0.25">
      <c r="A7" s="69" t="s">
        <v>66</v>
      </c>
      <c r="B7" s="2">
        <v>12</v>
      </c>
      <c r="C7" s="2">
        <v>17</v>
      </c>
      <c r="D7" s="2">
        <v>17</v>
      </c>
      <c r="E7" s="189">
        <f t="shared" si="0"/>
        <v>46</v>
      </c>
      <c r="F7" s="214">
        <f t="shared" si="1"/>
        <v>15.333333333333334</v>
      </c>
      <c r="G7" s="189" t="str">
        <f t="shared" si="2"/>
        <v>B</v>
      </c>
    </row>
    <row r="8" spans="1:13" x14ac:dyDescent="0.25">
      <c r="A8" s="69" t="s">
        <v>67</v>
      </c>
      <c r="B8" s="2">
        <v>14</v>
      </c>
      <c r="C8" s="2">
        <v>18</v>
      </c>
      <c r="D8" s="2">
        <v>18</v>
      </c>
      <c r="E8" s="189">
        <f t="shared" si="0"/>
        <v>50</v>
      </c>
      <c r="F8" s="214">
        <f t="shared" si="1"/>
        <v>16.666666666666668</v>
      </c>
      <c r="G8" s="189" t="str">
        <f t="shared" si="2"/>
        <v>B</v>
      </c>
    </row>
    <row r="9" spans="1:13" x14ac:dyDescent="0.25">
      <c r="A9" s="69" t="s">
        <v>68</v>
      </c>
      <c r="B9" s="2">
        <v>16</v>
      </c>
      <c r="C9" s="2">
        <v>25</v>
      </c>
      <c r="D9" s="2">
        <v>20</v>
      </c>
      <c r="E9" s="189">
        <f t="shared" si="0"/>
        <v>61</v>
      </c>
      <c r="F9" s="214">
        <f t="shared" si="1"/>
        <v>20.333333333333332</v>
      </c>
      <c r="G9" s="189" t="str">
        <f t="shared" si="2"/>
        <v>A</v>
      </c>
    </row>
    <row r="10" spans="1:13" x14ac:dyDescent="0.25">
      <c r="A10" s="69" t="s">
        <v>69</v>
      </c>
      <c r="B10" s="2">
        <v>18</v>
      </c>
      <c r="C10" s="2">
        <v>21</v>
      </c>
      <c r="D10" s="2">
        <v>22</v>
      </c>
      <c r="E10" s="189">
        <f t="shared" si="0"/>
        <v>61</v>
      </c>
      <c r="F10" s="214">
        <f t="shared" si="1"/>
        <v>20.333333333333332</v>
      </c>
      <c r="G10" s="189" t="str">
        <f t="shared" si="2"/>
        <v>A</v>
      </c>
    </row>
    <row r="11" spans="1:13" x14ac:dyDescent="0.25">
      <c r="A11" s="69" t="s">
        <v>70</v>
      </c>
      <c r="B11" s="2">
        <v>17</v>
      </c>
      <c r="C11" s="2">
        <v>23</v>
      </c>
      <c r="D11" s="2">
        <v>13</v>
      </c>
      <c r="E11" s="189">
        <f t="shared" si="0"/>
        <v>53</v>
      </c>
      <c r="F11" s="214">
        <f t="shared" si="1"/>
        <v>17.666666666666668</v>
      </c>
      <c r="G11" s="189" t="str">
        <f t="shared" si="2"/>
        <v>B</v>
      </c>
    </row>
    <row r="12" spans="1:13" x14ac:dyDescent="0.25">
      <c r="A12" s="69" t="s">
        <v>71</v>
      </c>
      <c r="B12" s="2">
        <v>20</v>
      </c>
      <c r="C12" s="2">
        <v>25</v>
      </c>
      <c r="D12" s="2">
        <v>25</v>
      </c>
      <c r="E12" s="189">
        <f t="shared" si="0"/>
        <v>70</v>
      </c>
      <c r="F12" s="214">
        <f t="shared" si="1"/>
        <v>23.333333333333332</v>
      </c>
      <c r="G12" s="189" t="str">
        <f t="shared" si="2"/>
        <v>A</v>
      </c>
    </row>
    <row r="13" spans="1:13" x14ac:dyDescent="0.25">
      <c r="A13" s="315"/>
      <c r="B13" s="315"/>
      <c r="C13" s="315"/>
      <c r="D13" s="315"/>
      <c r="E13" s="315"/>
      <c r="F13" s="315"/>
      <c r="G13" s="315"/>
    </row>
    <row r="14" spans="1:13" x14ac:dyDescent="0.25">
      <c r="A14" s="315"/>
      <c r="B14" s="315"/>
      <c r="C14" s="315"/>
      <c r="D14" s="315"/>
      <c r="E14" s="315"/>
      <c r="F14" s="315"/>
      <c r="G14" s="315"/>
    </row>
    <row r="15" spans="1:13" x14ac:dyDescent="0.25">
      <c r="A15" s="315"/>
      <c r="B15" s="315"/>
      <c r="C15" s="315"/>
      <c r="D15" s="315"/>
      <c r="E15" s="315"/>
      <c r="F15" s="315"/>
      <c r="G15" s="315"/>
    </row>
    <row r="16" spans="1:13" x14ac:dyDescent="0.25">
      <c r="A16" s="18" t="s">
        <v>72</v>
      </c>
      <c r="B16" s="203"/>
      <c r="C16" s="204"/>
      <c r="D16" s="204"/>
      <c r="E16" s="204"/>
      <c r="F16" s="204"/>
      <c r="G16" s="204"/>
      <c r="I16" s="204" t="s">
        <v>0</v>
      </c>
      <c r="J16" s="203" t="s">
        <v>30</v>
      </c>
      <c r="K16" s="204" t="s">
        <v>0</v>
      </c>
      <c r="L16" s="204" t="s">
        <v>0</v>
      </c>
      <c r="M16" s="204" t="s">
        <v>0</v>
      </c>
    </row>
    <row r="17" spans="1:17" s="166" customFormat="1" x14ac:dyDescent="0.25">
      <c r="A17" s="213">
        <f>COUNTA(A4:A12)</f>
        <v>9</v>
      </c>
      <c r="B17" s="203"/>
      <c r="C17" s="212"/>
      <c r="D17" s="212"/>
      <c r="E17" s="212"/>
      <c r="F17" s="212"/>
      <c r="G17" s="212"/>
      <c r="I17" s="212"/>
      <c r="J17" s="203"/>
      <c r="K17" s="212"/>
      <c r="L17" s="212"/>
      <c r="M17" s="212"/>
    </row>
    <row r="18" spans="1:17" s="166" customFormat="1" x14ac:dyDescent="0.25">
      <c r="A18" s="211"/>
      <c r="B18" s="203"/>
      <c r="C18" s="212"/>
      <c r="D18" s="212"/>
      <c r="E18" s="212"/>
      <c r="F18" s="212"/>
      <c r="G18" s="212"/>
      <c r="I18" s="212"/>
      <c r="J18" s="203"/>
      <c r="K18" s="212"/>
      <c r="L18" s="212"/>
      <c r="M18" s="212"/>
    </row>
    <row r="19" spans="1:17" ht="13.5" customHeight="1" x14ac:dyDescent="0.25">
      <c r="A19" s="5" t="s">
        <v>73</v>
      </c>
      <c r="J19" s="484" t="s">
        <v>26</v>
      </c>
      <c r="K19" s="483" t="s">
        <v>0</v>
      </c>
      <c r="L19" s="483" t="s">
        <v>0</v>
      </c>
      <c r="M19" s="483" t="s">
        <v>0</v>
      </c>
      <c r="N19" s="483" t="s">
        <v>0</v>
      </c>
      <c r="O19" s="483" t="s">
        <v>0</v>
      </c>
      <c r="P19" s="483"/>
      <c r="Q19" s="483"/>
    </row>
    <row r="20" spans="1:17" x14ac:dyDescent="0.25">
      <c r="A20" s="191">
        <f>COUNTIF(B4:B12,"&gt;20")</f>
        <v>1</v>
      </c>
      <c r="J20" s="484"/>
      <c r="K20" s="483"/>
      <c r="L20" s="483"/>
      <c r="M20" s="483"/>
      <c r="N20" s="483"/>
      <c r="O20" s="483"/>
      <c r="P20" s="483"/>
      <c r="Q20" s="483"/>
    </row>
    <row r="21" spans="1:17" s="166" customFormat="1" x14ac:dyDescent="0.25">
      <c r="J21" s="170"/>
    </row>
    <row r="22" spans="1:17" x14ac:dyDescent="0.25">
      <c r="A22" s="20" t="s">
        <v>74</v>
      </c>
      <c r="J22" s="492" t="s">
        <v>75</v>
      </c>
      <c r="K22" s="483" t="s">
        <v>0</v>
      </c>
      <c r="L22" s="483" t="s">
        <v>0</v>
      </c>
      <c r="M22" s="483" t="s">
        <v>0</v>
      </c>
      <c r="N22" s="483" t="s">
        <v>0</v>
      </c>
      <c r="O22" s="483" t="s">
        <v>0</v>
      </c>
      <c r="P22" s="483"/>
      <c r="Q22" s="483"/>
    </row>
    <row r="23" spans="1:17" s="166" customFormat="1" x14ac:dyDescent="0.25">
      <c r="A23" s="20"/>
      <c r="B23" s="17" t="s">
        <v>61</v>
      </c>
      <c r="C23" s="17" t="s">
        <v>39</v>
      </c>
      <c r="J23" s="176"/>
    </row>
    <row r="24" spans="1:17" s="166" customFormat="1" x14ac:dyDescent="0.25">
      <c r="A24" s="69" t="s">
        <v>63</v>
      </c>
      <c r="B24" s="191">
        <f>VLOOKUP(A24,$A$4:$E$12,5,FALSE)</f>
        <v>55</v>
      </c>
      <c r="C24" s="191" t="str">
        <f>VLOOKUP(A24,$A$4:$G$12,7,FALSE)</f>
        <v>B</v>
      </c>
      <c r="J24" s="176"/>
    </row>
    <row r="25" spans="1:17" s="166" customFormat="1" x14ac:dyDescent="0.25">
      <c r="A25" s="69" t="s">
        <v>64</v>
      </c>
      <c r="B25" s="191">
        <f t="shared" ref="B25:B26" si="3">VLOOKUP(A25,$A$4:$E$12,5,FALSE)</f>
        <v>57</v>
      </c>
      <c r="C25" s="191" t="str">
        <f t="shared" ref="C25:C26" si="4">VLOOKUP(A25,$A$4:$G$12,7,FALSE)</f>
        <v>B</v>
      </c>
      <c r="J25" s="176"/>
    </row>
    <row r="26" spans="1:17" s="166" customFormat="1" x14ac:dyDescent="0.25">
      <c r="A26" s="69" t="s">
        <v>65</v>
      </c>
      <c r="B26" s="191">
        <f t="shared" si="3"/>
        <v>43</v>
      </c>
      <c r="C26" s="191" t="str">
        <f t="shared" si="4"/>
        <v>C</v>
      </c>
      <c r="J26" s="176"/>
    </row>
    <row r="27" spans="1:17" s="166" customFormat="1" x14ac:dyDescent="0.25">
      <c r="A27" s="20"/>
      <c r="J27" s="176"/>
    </row>
    <row r="28" spans="1:17" x14ac:dyDescent="0.25">
      <c r="A28" s="487" t="s">
        <v>76</v>
      </c>
      <c r="B28" s="483" t="s">
        <v>0</v>
      </c>
      <c r="C28" s="483"/>
      <c r="D28" s="483"/>
      <c r="E28" s="483"/>
      <c r="F28" s="483"/>
      <c r="G28" s="483"/>
      <c r="H28" s="483"/>
      <c r="I28" s="483"/>
    </row>
    <row r="29" spans="1:17" s="166" customFormat="1" x14ac:dyDescent="0.25">
      <c r="A29" s="167"/>
    </row>
    <row r="30" spans="1:17" s="166" customFormat="1" x14ac:dyDescent="0.25">
      <c r="A30" s="167"/>
    </row>
    <row r="31" spans="1:17" x14ac:dyDescent="0.25">
      <c r="A31" t="s">
        <v>0</v>
      </c>
      <c r="B31" s="8"/>
    </row>
    <row r="32" spans="1:17" x14ac:dyDescent="0.25">
      <c r="A32" s="5" t="s">
        <v>77</v>
      </c>
      <c r="J32" s="484" t="s">
        <v>75</v>
      </c>
      <c r="K32" s="483" t="s">
        <v>0</v>
      </c>
      <c r="L32" s="483" t="s">
        <v>0</v>
      </c>
      <c r="M32" s="483" t="s">
        <v>0</v>
      </c>
      <c r="N32" s="483" t="s">
        <v>0</v>
      </c>
      <c r="O32" s="483" t="s">
        <v>0</v>
      </c>
      <c r="P32" s="483"/>
      <c r="Q32" s="483"/>
    </row>
    <row r="33" spans="1:2" x14ac:dyDescent="0.25">
      <c r="B33" s="17" t="s">
        <v>2398</v>
      </c>
    </row>
    <row r="34" spans="1:2" x14ac:dyDescent="0.25">
      <c r="A34" s="69" t="s">
        <v>64</v>
      </c>
      <c r="B34" s="191">
        <f>E5/F5</f>
        <v>3</v>
      </c>
    </row>
    <row r="35" spans="1:2" x14ac:dyDescent="0.25">
      <c r="A35" s="69" t="s">
        <v>65</v>
      </c>
      <c r="B35" s="191">
        <f>E6/F6</f>
        <v>3</v>
      </c>
    </row>
    <row r="36" spans="1:2" x14ac:dyDescent="0.25">
      <c r="A36" s="69" t="s">
        <v>66</v>
      </c>
      <c r="B36" s="191">
        <f>E7/F7</f>
        <v>3</v>
      </c>
    </row>
  </sheetData>
  <mergeCells count="7">
    <mergeCell ref="A28:I28"/>
    <mergeCell ref="J32:Q32"/>
    <mergeCell ref="A1:I1"/>
    <mergeCell ref="A2:I2"/>
    <mergeCell ref="J19:Q19"/>
    <mergeCell ref="J20:Q20"/>
    <mergeCell ref="J22:Q22"/>
  </mergeCells>
  <pageMargins left="0.7" right="0.7" top="0.75" bottom="0.75" header="0.3" footer="0.3"/>
  <pageSetup paperSize="9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5"/>
  <sheetViews>
    <sheetView topLeftCell="A4" workbookViewId="0">
      <selection activeCell="H12" sqref="H12"/>
    </sheetView>
  </sheetViews>
  <sheetFormatPr defaultRowHeight="15" x14ac:dyDescent="0.25"/>
  <cols>
    <col min="1" max="1" width="38"/>
    <col min="2" max="2" width="16"/>
    <col min="3" max="3" width="17"/>
    <col min="4" max="4" width="15"/>
    <col min="5" max="5" width="7"/>
    <col min="6" max="6" width="9"/>
    <col min="7" max="7" width="7"/>
  </cols>
  <sheetData>
    <row r="1" spans="1:7" ht="15.95" customHeight="1" x14ac:dyDescent="0.25">
      <c r="A1" s="500" t="s">
        <v>1838</v>
      </c>
      <c r="B1" s="483"/>
      <c r="C1" s="483"/>
      <c r="D1" s="483"/>
      <c r="E1" s="483"/>
      <c r="F1" s="483"/>
      <c r="G1" s="483"/>
    </row>
    <row r="2" spans="1:7" ht="14.1" customHeight="1" x14ac:dyDescent="0.25">
      <c r="A2" s="493" t="s">
        <v>1839</v>
      </c>
      <c r="B2" s="483"/>
      <c r="C2" s="483"/>
      <c r="D2" s="483"/>
      <c r="E2" s="483"/>
      <c r="F2" s="483"/>
      <c r="G2" s="483"/>
    </row>
    <row r="3" spans="1:7" ht="47.1" customHeight="1" x14ac:dyDescent="0.25">
      <c r="A3" s="122" t="s">
        <v>1840</v>
      </c>
      <c r="B3" s="123" t="s">
        <v>1841</v>
      </c>
      <c r="C3" s="122" t="s">
        <v>1842</v>
      </c>
      <c r="D3" s="537" t="s">
        <v>1843</v>
      </c>
      <c r="E3" s="538" t="s">
        <v>1844</v>
      </c>
      <c r="F3" s="120" t="s">
        <v>1845</v>
      </c>
    </row>
    <row r="4" spans="1:7" ht="18" customHeight="1" x14ac:dyDescent="0.25">
      <c r="A4" s="4" t="s">
        <v>1846</v>
      </c>
      <c r="B4" s="4">
        <v>92</v>
      </c>
      <c r="C4" s="189" t="str">
        <f>IF(B4&gt;90,"A+",IF(B4&gt;85,"A",IF(B4&gt;80,"B+",IF(B4&gt;75,"B",IF(B4&gt;70,"C",IF(B4&gt;65,"C",IF(B4&gt;60,"D+",IF(B4&gt;50,"D","F"))))))))</f>
        <v>A+</v>
      </c>
      <c r="D4" s="4" t="s">
        <v>1847</v>
      </c>
      <c r="E4" s="535" t="s">
        <v>1848</v>
      </c>
      <c r="F4" s="536" t="s">
        <v>1849</v>
      </c>
    </row>
    <row r="5" spans="1:7" ht="18" customHeight="1" x14ac:dyDescent="0.25">
      <c r="A5" s="4" t="s">
        <v>1850</v>
      </c>
      <c r="B5" s="4">
        <v>88</v>
      </c>
      <c r="C5" s="189" t="str">
        <f t="shared" ref="C5:C12" si="0">IF(B5&gt;90,"A+",IF(B5&gt;85,"A",IF(B5&gt;80,"B+",IF(B5&gt;75,"B",IF(B5&gt;70,"C",IF(B5&gt;65,"C",IF(B5&gt;60,"D+",IF(B5&gt;50,"D","F"))))))))</f>
        <v>A</v>
      </c>
      <c r="D5" s="4" t="s">
        <v>1851</v>
      </c>
      <c r="E5" s="535" t="s">
        <v>1852</v>
      </c>
      <c r="F5" s="536" t="s">
        <v>1853</v>
      </c>
    </row>
    <row r="6" spans="1:7" ht="18" customHeight="1" x14ac:dyDescent="0.25">
      <c r="A6" s="4" t="s">
        <v>1854</v>
      </c>
      <c r="B6" s="4">
        <v>94</v>
      </c>
      <c r="C6" s="189" t="str">
        <f t="shared" si="0"/>
        <v>A+</v>
      </c>
      <c r="D6" s="4" t="s">
        <v>1855</v>
      </c>
      <c r="E6" s="535" t="s">
        <v>1856</v>
      </c>
      <c r="F6" s="536" t="s">
        <v>1857</v>
      </c>
    </row>
    <row r="7" spans="1:7" ht="18" customHeight="1" x14ac:dyDescent="0.25">
      <c r="A7" s="4" t="s">
        <v>1858</v>
      </c>
      <c r="B7" s="4">
        <v>84</v>
      </c>
      <c r="C7" s="189" t="str">
        <f t="shared" si="0"/>
        <v>B+</v>
      </c>
      <c r="D7" s="4" t="s">
        <v>1859</v>
      </c>
      <c r="E7" s="535" t="s">
        <v>1860</v>
      </c>
      <c r="F7" s="536" t="s">
        <v>1861</v>
      </c>
    </row>
    <row r="8" spans="1:7" ht="18" customHeight="1" x14ac:dyDescent="0.25">
      <c r="A8" s="4" t="s">
        <v>1862</v>
      </c>
      <c r="B8" s="4">
        <v>95</v>
      </c>
      <c r="C8" s="189" t="str">
        <f t="shared" si="0"/>
        <v>A+</v>
      </c>
      <c r="D8" s="4" t="s">
        <v>1863</v>
      </c>
      <c r="E8" s="535" t="s">
        <v>1864</v>
      </c>
      <c r="F8" s="536" t="s">
        <v>1865</v>
      </c>
    </row>
    <row r="9" spans="1:7" ht="18" customHeight="1" x14ac:dyDescent="0.25">
      <c r="A9" s="4" t="s">
        <v>1866</v>
      </c>
      <c r="B9" s="4">
        <v>78</v>
      </c>
      <c r="C9" s="189" t="str">
        <f t="shared" si="0"/>
        <v>B</v>
      </c>
      <c r="D9" s="4" t="s">
        <v>1867</v>
      </c>
      <c r="E9" s="535" t="s">
        <v>1868</v>
      </c>
      <c r="F9" s="536" t="s">
        <v>1869</v>
      </c>
    </row>
    <row r="10" spans="1:7" ht="18" customHeight="1" x14ac:dyDescent="0.25">
      <c r="A10" s="4" t="s">
        <v>1870</v>
      </c>
      <c r="B10" s="4">
        <v>59</v>
      </c>
      <c r="C10" s="189" t="str">
        <f t="shared" si="0"/>
        <v>D</v>
      </c>
      <c r="D10" s="4" t="s">
        <v>1871</v>
      </c>
      <c r="E10" s="535" t="s">
        <v>1872</v>
      </c>
      <c r="F10" s="536" t="s">
        <v>1873</v>
      </c>
    </row>
    <row r="11" spans="1:7" ht="18" customHeight="1" x14ac:dyDescent="0.25">
      <c r="A11" s="4" t="s">
        <v>1874</v>
      </c>
      <c r="B11" s="4">
        <v>43</v>
      </c>
      <c r="C11" s="189" t="str">
        <f t="shared" si="0"/>
        <v>F</v>
      </c>
      <c r="D11" s="4" t="s">
        <v>1875</v>
      </c>
      <c r="E11" s="535" t="s">
        <v>1876</v>
      </c>
      <c r="F11" s="536" t="s">
        <v>1877</v>
      </c>
    </row>
    <row r="12" spans="1:7" ht="18" customHeight="1" x14ac:dyDescent="0.25">
      <c r="A12" s="4" t="s">
        <v>1878</v>
      </c>
      <c r="B12" s="4">
        <v>90</v>
      </c>
      <c r="C12" s="189" t="str">
        <f t="shared" si="0"/>
        <v>A</v>
      </c>
      <c r="D12" s="4" t="s">
        <v>1879</v>
      </c>
      <c r="E12" s="535" t="s">
        <v>1880</v>
      </c>
      <c r="F12" s="536" t="s">
        <v>1881</v>
      </c>
    </row>
    <row r="13" spans="1:7" ht="15.95" customHeight="1" x14ac:dyDescent="0.25"/>
    <row r="14" spans="1:7" ht="14.1" customHeight="1" x14ac:dyDescent="0.25"/>
    <row r="15" spans="1:7" ht="12.95" customHeight="1" x14ac:dyDescent="0.25"/>
  </sheetData>
  <mergeCells count="12">
    <mergeCell ref="A1:G1"/>
    <mergeCell ref="A2:G2"/>
    <mergeCell ref="D3:E3"/>
    <mergeCell ref="E4:F4"/>
    <mergeCell ref="E5:F5"/>
    <mergeCell ref="E11:F11"/>
    <mergeCell ref="E12:F12"/>
    <mergeCell ref="E6:F6"/>
    <mergeCell ref="E7:F7"/>
    <mergeCell ref="E8:F8"/>
    <mergeCell ref="E9:F9"/>
    <mergeCell ref="E10:F10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55040-B488-49A2-BDAE-61F1A26F912E}">
  <dimension ref="A1:L25"/>
  <sheetViews>
    <sheetView workbookViewId="0">
      <selection activeCell="P10" sqref="P10"/>
    </sheetView>
  </sheetViews>
  <sheetFormatPr defaultRowHeight="15" x14ac:dyDescent="0.25"/>
  <sheetData>
    <row r="1" spans="1:12" ht="15.75" x14ac:dyDescent="0.25">
      <c r="A1" s="500" t="s">
        <v>1882</v>
      </c>
      <c r="B1" s="483"/>
      <c r="C1" s="483"/>
      <c r="D1" s="483"/>
      <c r="E1" s="483"/>
      <c r="F1" s="483"/>
      <c r="G1" s="483"/>
    </row>
    <row r="2" spans="1:12" x14ac:dyDescent="0.25">
      <c r="A2" s="493" t="s">
        <v>1883</v>
      </c>
      <c r="B2" s="483"/>
      <c r="C2" s="483"/>
      <c r="D2" s="483"/>
      <c r="E2" s="483"/>
      <c r="F2" s="483"/>
      <c r="G2" s="483"/>
    </row>
    <row r="3" spans="1:12" x14ac:dyDescent="0.25">
      <c r="A3" s="124" t="s">
        <v>1884</v>
      </c>
      <c r="B3" s="125" t="s">
        <v>1885</v>
      </c>
      <c r="C3" s="124" t="s">
        <v>1886</v>
      </c>
      <c r="D3" s="125" t="s">
        <v>1887</v>
      </c>
      <c r="E3" s="124" t="s">
        <v>1888</v>
      </c>
      <c r="F3" s="300" t="s">
        <v>1889</v>
      </c>
      <c r="G3" s="282"/>
    </row>
    <row r="4" spans="1:12" x14ac:dyDescent="0.25">
      <c r="A4" s="126" t="s">
        <v>1890</v>
      </c>
      <c r="B4" s="126" t="s">
        <v>1891</v>
      </c>
      <c r="C4" s="126" t="s">
        <v>1892</v>
      </c>
      <c r="D4" s="126" t="s">
        <v>1893</v>
      </c>
      <c r="E4" s="126" t="s">
        <v>1894</v>
      </c>
      <c r="F4" s="301" t="s">
        <v>1895</v>
      </c>
      <c r="G4" s="282"/>
      <c r="I4" s="126" t="s">
        <v>1997</v>
      </c>
      <c r="J4" s="126" t="s">
        <v>1998</v>
      </c>
      <c r="K4" s="126" t="s">
        <v>1999</v>
      </c>
      <c r="L4" s="126" t="s">
        <v>2000</v>
      </c>
    </row>
    <row r="5" spans="1:12" x14ac:dyDescent="0.25">
      <c r="A5" s="51" t="s">
        <v>1896</v>
      </c>
      <c r="B5" s="51" t="s">
        <v>1897</v>
      </c>
      <c r="C5" s="51" t="s">
        <v>1898</v>
      </c>
      <c r="D5" s="51" t="s">
        <v>1899</v>
      </c>
      <c r="E5" s="51" t="s">
        <v>1900</v>
      </c>
      <c r="F5" s="299">
        <v>92671</v>
      </c>
      <c r="G5" s="282"/>
      <c r="I5" s="51" t="s">
        <v>2001</v>
      </c>
      <c r="J5" s="51" t="s">
        <v>2002</v>
      </c>
      <c r="K5" s="302" t="str">
        <f>VLOOKUP($I5,$A$4:$F$24,4,FALSE)</f>
        <v>Sales</v>
      </c>
      <c r="L5" s="302">
        <f>VLOOKUP($I5,$A$4:$F$24,6,FALSE)</f>
        <v>92671</v>
      </c>
    </row>
    <row r="6" spans="1:12" x14ac:dyDescent="0.25">
      <c r="A6" s="51" t="s">
        <v>1901</v>
      </c>
      <c r="B6" s="51" t="s">
        <v>1902</v>
      </c>
      <c r="C6" s="51" t="s">
        <v>1903</v>
      </c>
      <c r="D6" s="51" t="s">
        <v>1904</v>
      </c>
      <c r="E6" s="51" t="s">
        <v>1905</v>
      </c>
      <c r="F6" s="299">
        <v>84120</v>
      </c>
      <c r="G6" s="282"/>
      <c r="I6" s="51" t="s">
        <v>2003</v>
      </c>
      <c r="J6" s="51" t="s">
        <v>2004</v>
      </c>
      <c r="K6" s="302" t="str">
        <f t="shared" ref="K6:K24" si="0">VLOOKUP(I6,$A$4:$F$24,4,FALSE)</f>
        <v>Operations</v>
      </c>
      <c r="L6" s="302">
        <f t="shared" ref="L6:L24" si="1">VLOOKUP($I6,$A$4:$F$24,6,FALSE)</f>
        <v>84120</v>
      </c>
    </row>
    <row r="7" spans="1:12" ht="15.75" thickBot="1" x14ac:dyDescent="0.3">
      <c r="A7" s="51" t="s">
        <v>1906</v>
      </c>
      <c r="B7" s="51" t="s">
        <v>1907</v>
      </c>
      <c r="C7" s="51" t="s">
        <v>1908</v>
      </c>
      <c r="D7" s="51" t="s">
        <v>1909</v>
      </c>
      <c r="E7" s="51" t="s">
        <v>1910</v>
      </c>
      <c r="F7" s="299">
        <v>50793</v>
      </c>
      <c r="G7" s="282"/>
      <c r="I7" s="51" t="s">
        <v>2005</v>
      </c>
      <c r="J7" s="51" t="s">
        <v>2006</v>
      </c>
      <c r="K7" s="302" t="str">
        <f t="shared" si="0"/>
        <v>Marketing</v>
      </c>
      <c r="L7" s="302">
        <f t="shared" si="1"/>
        <v>50793</v>
      </c>
    </row>
    <row r="8" spans="1:12" x14ac:dyDescent="0.25">
      <c r="A8" s="127" t="s">
        <v>1911</v>
      </c>
      <c r="B8" s="127" t="s">
        <v>1912</v>
      </c>
      <c r="C8" s="127" t="s">
        <v>1913</v>
      </c>
      <c r="D8" s="127" t="s">
        <v>1914</v>
      </c>
      <c r="E8" s="127" t="s">
        <v>1915</v>
      </c>
      <c r="F8" s="128">
        <v>77833</v>
      </c>
      <c r="I8" s="51" t="s">
        <v>2007</v>
      </c>
      <c r="J8" s="51" t="s">
        <v>2008</v>
      </c>
      <c r="K8" s="302" t="str">
        <f t="shared" si="0"/>
        <v>Marketing</v>
      </c>
      <c r="L8" s="302">
        <f t="shared" si="1"/>
        <v>77833</v>
      </c>
    </row>
    <row r="9" spans="1:12" x14ac:dyDescent="0.25">
      <c r="A9" s="51" t="s">
        <v>1916</v>
      </c>
      <c r="B9" s="51" t="s">
        <v>1917</v>
      </c>
      <c r="C9" s="51" t="s">
        <v>1918</v>
      </c>
      <c r="D9" s="51" t="s">
        <v>1919</v>
      </c>
      <c r="E9" s="51" t="s">
        <v>1920</v>
      </c>
      <c r="F9" s="54">
        <v>58914</v>
      </c>
      <c r="I9" s="51" t="s">
        <v>2009</v>
      </c>
      <c r="J9" s="51" t="s">
        <v>2010</v>
      </c>
      <c r="K9" s="302" t="str">
        <f t="shared" si="0"/>
        <v>Sales</v>
      </c>
      <c r="L9" s="302">
        <f t="shared" si="1"/>
        <v>58914</v>
      </c>
    </row>
    <row r="10" spans="1:12" x14ac:dyDescent="0.25">
      <c r="A10" s="51" t="s">
        <v>1921</v>
      </c>
      <c r="B10" s="51" t="s">
        <v>1922</v>
      </c>
      <c r="C10" s="51" t="s">
        <v>1923</v>
      </c>
      <c r="D10" s="51" t="s">
        <v>1924</v>
      </c>
      <c r="E10" s="51" t="s">
        <v>1925</v>
      </c>
      <c r="F10" s="54">
        <v>51096</v>
      </c>
      <c r="I10" s="51" t="s">
        <v>2011</v>
      </c>
      <c r="J10" s="51" t="s">
        <v>2012</v>
      </c>
      <c r="K10" s="302" t="str">
        <f t="shared" si="0"/>
        <v>IT</v>
      </c>
      <c r="L10" s="302">
        <f t="shared" si="1"/>
        <v>51096</v>
      </c>
    </row>
    <row r="11" spans="1:12" x14ac:dyDescent="0.25">
      <c r="A11" s="51" t="s">
        <v>1926</v>
      </c>
      <c r="B11" s="51" t="s">
        <v>1927</v>
      </c>
      <c r="C11" s="51" t="s">
        <v>1928</v>
      </c>
      <c r="D11" s="51" t="s">
        <v>1929</v>
      </c>
      <c r="E11" s="51" t="s">
        <v>1930</v>
      </c>
      <c r="F11" s="54">
        <v>88965</v>
      </c>
      <c r="I11" s="51" t="s">
        <v>2013</v>
      </c>
      <c r="J11" s="51" t="s">
        <v>2014</v>
      </c>
      <c r="K11" s="302" t="str">
        <f t="shared" si="0"/>
        <v>Operations</v>
      </c>
      <c r="L11" s="302">
        <f t="shared" si="1"/>
        <v>88965</v>
      </c>
    </row>
    <row r="12" spans="1:12" x14ac:dyDescent="0.25">
      <c r="A12" s="51" t="s">
        <v>1931</v>
      </c>
      <c r="B12" s="51" t="s">
        <v>1932</v>
      </c>
      <c r="C12" s="51" t="s">
        <v>1933</v>
      </c>
      <c r="D12" s="51" t="s">
        <v>1934</v>
      </c>
      <c r="E12" s="51" t="s">
        <v>1935</v>
      </c>
      <c r="F12" s="54">
        <v>63288</v>
      </c>
      <c r="I12" s="51" t="s">
        <v>2015</v>
      </c>
      <c r="J12" s="51" t="s">
        <v>2016</v>
      </c>
      <c r="K12" s="302" t="str">
        <f t="shared" si="0"/>
        <v>Sales</v>
      </c>
      <c r="L12" s="302">
        <f t="shared" si="1"/>
        <v>63288</v>
      </c>
    </row>
    <row r="13" spans="1:12" x14ac:dyDescent="0.25">
      <c r="A13" s="51" t="s">
        <v>1936</v>
      </c>
      <c r="B13" s="51" t="s">
        <v>1937</v>
      </c>
      <c r="C13" s="51" t="s">
        <v>1938</v>
      </c>
      <c r="D13" s="51" t="s">
        <v>1939</v>
      </c>
      <c r="E13" s="51" t="s">
        <v>1940</v>
      </c>
      <c r="F13" s="54">
        <v>45742</v>
      </c>
      <c r="I13" s="51" t="s">
        <v>2017</v>
      </c>
      <c r="J13" s="51" t="s">
        <v>2018</v>
      </c>
      <c r="K13" s="302" t="str">
        <f t="shared" si="0"/>
        <v>Sales</v>
      </c>
      <c r="L13" s="302">
        <f t="shared" si="1"/>
        <v>45742</v>
      </c>
    </row>
    <row r="14" spans="1:12" x14ac:dyDescent="0.25">
      <c r="A14" s="51" t="s">
        <v>1941</v>
      </c>
      <c r="B14" s="51" t="s">
        <v>1942</v>
      </c>
      <c r="C14" s="51" t="s">
        <v>1943</v>
      </c>
      <c r="D14" s="51" t="s">
        <v>1944</v>
      </c>
      <c r="E14" s="51" t="s">
        <v>1945</v>
      </c>
      <c r="F14" s="54">
        <v>88354</v>
      </c>
      <c r="I14" s="51" t="s">
        <v>2019</v>
      </c>
      <c r="J14" s="51" t="s">
        <v>2020</v>
      </c>
      <c r="K14" s="302" t="str">
        <f t="shared" si="0"/>
        <v>HR</v>
      </c>
      <c r="L14" s="302">
        <f t="shared" si="1"/>
        <v>88354</v>
      </c>
    </row>
    <row r="15" spans="1:12" x14ac:dyDescent="0.25">
      <c r="A15" s="51" t="s">
        <v>1946</v>
      </c>
      <c r="B15" s="51" t="s">
        <v>1947</v>
      </c>
      <c r="C15" s="51" t="s">
        <v>1948</v>
      </c>
      <c r="D15" s="51" t="s">
        <v>1949</v>
      </c>
      <c r="E15" s="51" t="s">
        <v>1950</v>
      </c>
      <c r="F15" s="54">
        <v>76641</v>
      </c>
      <c r="I15" s="51" t="s">
        <v>2021</v>
      </c>
      <c r="J15" s="51" t="s">
        <v>2022</v>
      </c>
      <c r="K15" s="302" t="str">
        <f t="shared" si="0"/>
        <v>Finance</v>
      </c>
      <c r="L15" s="302">
        <f t="shared" si="1"/>
        <v>76641</v>
      </c>
    </row>
    <row r="16" spans="1:12" x14ac:dyDescent="0.25">
      <c r="A16" s="51" t="s">
        <v>1951</v>
      </c>
      <c r="B16" s="51" t="s">
        <v>1952</v>
      </c>
      <c r="C16" s="51" t="s">
        <v>1953</v>
      </c>
      <c r="D16" s="51" t="s">
        <v>1954</v>
      </c>
      <c r="E16" s="51" t="s">
        <v>1955</v>
      </c>
      <c r="F16" s="54">
        <v>61678</v>
      </c>
      <c r="I16" s="51" t="s">
        <v>2023</v>
      </c>
      <c r="J16" s="51" t="s">
        <v>2024</v>
      </c>
      <c r="K16" s="302" t="str">
        <f t="shared" si="0"/>
        <v>IT</v>
      </c>
      <c r="L16" s="302">
        <f t="shared" si="1"/>
        <v>61678</v>
      </c>
    </row>
    <row r="17" spans="1:12" x14ac:dyDescent="0.25">
      <c r="A17" s="51" t="s">
        <v>1956</v>
      </c>
      <c r="B17" s="51" t="s">
        <v>1957</v>
      </c>
      <c r="C17" s="51" t="s">
        <v>1958</v>
      </c>
      <c r="D17" s="51" t="s">
        <v>1959</v>
      </c>
      <c r="E17" s="51" t="s">
        <v>1960</v>
      </c>
      <c r="F17" s="54">
        <v>83735</v>
      </c>
      <c r="I17" s="51" t="s">
        <v>2025</v>
      </c>
      <c r="J17" s="51" t="s">
        <v>2026</v>
      </c>
      <c r="K17" s="302" t="str">
        <f t="shared" si="0"/>
        <v>Marketing</v>
      </c>
      <c r="L17" s="302">
        <f t="shared" si="1"/>
        <v>83735</v>
      </c>
    </row>
    <row r="18" spans="1:12" x14ac:dyDescent="0.25">
      <c r="A18" s="51" t="s">
        <v>1961</v>
      </c>
      <c r="B18" s="51" t="s">
        <v>1962</v>
      </c>
      <c r="C18" s="51" t="s">
        <v>1963</v>
      </c>
      <c r="D18" s="51" t="s">
        <v>1964</v>
      </c>
      <c r="E18" s="51" t="s">
        <v>1965</v>
      </c>
      <c r="F18" s="54">
        <v>74418</v>
      </c>
      <c r="I18" s="51" t="s">
        <v>2027</v>
      </c>
      <c r="J18" s="51" t="s">
        <v>2028</v>
      </c>
      <c r="K18" s="302" t="str">
        <f t="shared" si="0"/>
        <v>Marketing</v>
      </c>
      <c r="L18" s="302">
        <f t="shared" si="1"/>
        <v>74418</v>
      </c>
    </row>
    <row r="19" spans="1:12" x14ac:dyDescent="0.25">
      <c r="A19" s="51" t="s">
        <v>1966</v>
      </c>
      <c r="B19" s="51" t="s">
        <v>1967</v>
      </c>
      <c r="C19" s="51" t="s">
        <v>1968</v>
      </c>
      <c r="D19" s="51" t="s">
        <v>1969</v>
      </c>
      <c r="E19" s="51" t="s">
        <v>1970</v>
      </c>
      <c r="F19" s="54">
        <v>51366</v>
      </c>
      <c r="I19" s="51" t="s">
        <v>2029</v>
      </c>
      <c r="J19" s="51" t="s">
        <v>2030</v>
      </c>
      <c r="K19" s="302" t="str">
        <f t="shared" si="0"/>
        <v>Marketing</v>
      </c>
      <c r="L19" s="302">
        <f t="shared" si="1"/>
        <v>51366</v>
      </c>
    </row>
    <row r="20" spans="1:12" x14ac:dyDescent="0.25">
      <c r="A20" s="51" t="s">
        <v>1971</v>
      </c>
      <c r="B20" s="51" t="s">
        <v>1972</v>
      </c>
      <c r="C20" s="51" t="s">
        <v>1973</v>
      </c>
      <c r="D20" s="51" t="s">
        <v>1974</v>
      </c>
      <c r="E20" s="51" t="s">
        <v>1975</v>
      </c>
      <c r="F20" s="54">
        <v>54600</v>
      </c>
      <c r="I20" s="51" t="s">
        <v>2031</v>
      </c>
      <c r="J20" s="51" t="s">
        <v>2032</v>
      </c>
      <c r="K20" s="302" t="str">
        <f t="shared" si="0"/>
        <v>IT</v>
      </c>
      <c r="L20" s="302">
        <f t="shared" si="1"/>
        <v>54600</v>
      </c>
    </row>
    <row r="21" spans="1:12" x14ac:dyDescent="0.25">
      <c r="A21" s="51" t="s">
        <v>1976</v>
      </c>
      <c r="B21" s="51" t="s">
        <v>1977</v>
      </c>
      <c r="C21" s="51" t="s">
        <v>1978</v>
      </c>
      <c r="D21" s="51" t="s">
        <v>1979</v>
      </c>
      <c r="E21" s="51" t="s">
        <v>1980</v>
      </c>
      <c r="F21" s="54">
        <v>93509</v>
      </c>
      <c r="I21" s="51" t="s">
        <v>2033</v>
      </c>
      <c r="J21" s="51" t="s">
        <v>2034</v>
      </c>
      <c r="K21" s="302" t="str">
        <f t="shared" si="0"/>
        <v>Sales</v>
      </c>
      <c r="L21" s="302">
        <f t="shared" si="1"/>
        <v>93509</v>
      </c>
    </row>
    <row r="22" spans="1:12" x14ac:dyDescent="0.25">
      <c r="A22" s="51" t="s">
        <v>1981</v>
      </c>
      <c r="B22" s="51" t="s">
        <v>1982</v>
      </c>
      <c r="C22" s="51" t="s">
        <v>1983</v>
      </c>
      <c r="D22" s="51" t="s">
        <v>1984</v>
      </c>
      <c r="E22" s="51" t="s">
        <v>1985</v>
      </c>
      <c r="F22" s="54">
        <v>80105</v>
      </c>
      <c r="I22" s="51" t="s">
        <v>2035</v>
      </c>
      <c r="J22" s="51" t="s">
        <v>2036</v>
      </c>
      <c r="K22" s="302" t="str">
        <f t="shared" si="0"/>
        <v>Finance</v>
      </c>
      <c r="L22" s="302">
        <f t="shared" si="1"/>
        <v>80105</v>
      </c>
    </row>
    <row r="23" spans="1:12" x14ac:dyDescent="0.25">
      <c r="A23" s="51" t="s">
        <v>1986</v>
      </c>
      <c r="B23" s="51" t="s">
        <v>1987</v>
      </c>
      <c r="C23" s="51" t="s">
        <v>1988</v>
      </c>
      <c r="D23" s="51" t="s">
        <v>1989</v>
      </c>
      <c r="E23" s="51" t="s">
        <v>1990</v>
      </c>
      <c r="F23" s="54">
        <v>60802</v>
      </c>
      <c r="I23" s="51" t="s">
        <v>2037</v>
      </c>
      <c r="J23" s="51" t="s">
        <v>2038</v>
      </c>
      <c r="K23" s="302" t="str">
        <f t="shared" si="0"/>
        <v>Operations</v>
      </c>
      <c r="L23" s="302">
        <f t="shared" si="1"/>
        <v>60802</v>
      </c>
    </row>
    <row r="24" spans="1:12" x14ac:dyDescent="0.25">
      <c r="A24" s="51" t="s">
        <v>1991</v>
      </c>
      <c r="B24" s="51" t="s">
        <v>1992</v>
      </c>
      <c r="C24" s="51" t="s">
        <v>1993</v>
      </c>
      <c r="D24" s="51" t="s">
        <v>1994</v>
      </c>
      <c r="E24" s="51" t="s">
        <v>1995</v>
      </c>
      <c r="F24" s="54">
        <v>76260</v>
      </c>
      <c r="I24" s="51" t="s">
        <v>2039</v>
      </c>
      <c r="J24" s="51" t="s">
        <v>2040</v>
      </c>
      <c r="K24" s="302" t="str">
        <f t="shared" si="0"/>
        <v>Finance</v>
      </c>
      <c r="L24" s="302">
        <f t="shared" si="1"/>
        <v>76260</v>
      </c>
    </row>
    <row r="25" spans="1:12" x14ac:dyDescent="0.25">
      <c r="A25" t="s">
        <v>1996</v>
      </c>
      <c r="B25" s="282"/>
      <c r="C25" s="282"/>
      <c r="K25" s="191"/>
      <c r="L25" s="191"/>
    </row>
  </sheetData>
  <mergeCells count="2">
    <mergeCell ref="A1:G1"/>
    <mergeCell ref="A2:G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33"/>
  <sheetViews>
    <sheetView topLeftCell="A28" workbookViewId="0">
      <selection activeCell="F5" sqref="F5"/>
    </sheetView>
  </sheetViews>
  <sheetFormatPr defaultRowHeight="15" x14ac:dyDescent="0.25"/>
  <cols>
    <col min="1" max="1" width="38"/>
    <col min="2" max="2" width="15"/>
    <col min="3" max="3" width="16"/>
    <col min="4" max="4" width="10"/>
    <col min="5" max="5" width="14"/>
  </cols>
  <sheetData>
    <row r="1" spans="1:5" ht="3.95" customHeight="1" x14ac:dyDescent="0.25">
      <c r="A1" s="499" t="s">
        <v>2041</v>
      </c>
      <c r="B1" s="483"/>
      <c r="C1" s="483"/>
      <c r="D1" s="483"/>
      <c r="E1" s="483"/>
    </row>
    <row r="2" spans="1:5" ht="15.95" customHeight="1" x14ac:dyDescent="0.25">
      <c r="A2" s="500" t="s">
        <v>2042</v>
      </c>
      <c r="B2" s="483"/>
      <c r="C2" s="483"/>
      <c r="D2" s="483"/>
      <c r="E2" s="483"/>
    </row>
    <row r="3" spans="1:5" ht="14.1" customHeight="1" x14ac:dyDescent="0.25">
      <c r="A3" s="493" t="s">
        <v>2043</v>
      </c>
      <c r="B3" s="483"/>
      <c r="C3" s="483"/>
      <c r="D3" s="483"/>
      <c r="E3" s="483"/>
    </row>
    <row r="4" spans="1:5" ht="14.1" customHeight="1" x14ac:dyDescent="0.25">
      <c r="A4" s="90" t="s">
        <v>2044</v>
      </c>
      <c r="B4" s="90" t="s">
        <v>2045</v>
      </c>
      <c r="C4" s="90" t="s">
        <v>2046</v>
      </c>
    </row>
    <row r="5" spans="1:5" ht="18" customHeight="1" x14ac:dyDescent="0.25">
      <c r="A5" s="4" t="s">
        <v>2047</v>
      </c>
      <c r="B5" s="4" t="s">
        <v>2048</v>
      </c>
      <c r="C5" s="4">
        <v>4615</v>
      </c>
    </row>
    <row r="6" spans="1:5" ht="18" customHeight="1" x14ac:dyDescent="0.25">
      <c r="A6" s="4" t="s">
        <v>2049</v>
      </c>
      <c r="B6" s="4" t="s">
        <v>2050</v>
      </c>
      <c r="C6" s="4">
        <v>2345</v>
      </c>
    </row>
    <row r="7" spans="1:5" ht="18" customHeight="1" x14ac:dyDescent="0.25">
      <c r="A7" s="4" t="s">
        <v>2051</v>
      </c>
      <c r="B7" s="4" t="s">
        <v>2052</v>
      </c>
      <c r="C7" s="4">
        <v>11282</v>
      </c>
    </row>
    <row r="8" spans="1:5" ht="18" customHeight="1" x14ac:dyDescent="0.25">
      <c r="A8" s="4" t="s">
        <v>2053</v>
      </c>
      <c r="B8" s="4" t="s">
        <v>2054</v>
      </c>
      <c r="C8" s="4">
        <v>4159</v>
      </c>
    </row>
    <row r="9" spans="1:5" ht="18" customHeight="1" x14ac:dyDescent="0.25">
      <c r="A9" s="4" t="s">
        <v>2055</v>
      </c>
      <c r="B9" s="4" t="s">
        <v>2056</v>
      </c>
      <c r="C9" s="4">
        <v>7802</v>
      </c>
    </row>
    <row r="10" spans="1:5" ht="18" customHeight="1" x14ac:dyDescent="0.25">
      <c r="A10" s="4" t="s">
        <v>2057</v>
      </c>
      <c r="B10" s="4" t="s">
        <v>2058</v>
      </c>
      <c r="C10" s="4">
        <v>8486</v>
      </c>
    </row>
    <row r="11" spans="1:5" ht="18" customHeight="1" x14ac:dyDescent="0.25">
      <c r="A11" s="4" t="s">
        <v>2059</v>
      </c>
      <c r="B11" s="4" t="s">
        <v>2060</v>
      </c>
      <c r="C11" s="4">
        <v>3384</v>
      </c>
    </row>
    <row r="12" spans="1:5" ht="17.100000000000001" customHeight="1" x14ac:dyDescent="0.25">
      <c r="A12" s="4" t="s">
        <v>2061</v>
      </c>
      <c r="B12" s="4" t="s">
        <v>2062</v>
      </c>
      <c r="C12" s="4">
        <v>3422</v>
      </c>
    </row>
    <row r="13" spans="1:5" ht="14.1" customHeight="1" x14ac:dyDescent="0.25">
      <c r="A13" s="129" t="s">
        <v>2063</v>
      </c>
      <c r="B13" s="130" t="s">
        <v>2064</v>
      </c>
      <c r="C13" s="25" t="s">
        <v>2065</v>
      </c>
      <c r="D13" s="131" t="s">
        <v>2066</v>
      </c>
      <c r="E13" s="25" t="s">
        <v>2067</v>
      </c>
    </row>
    <row r="14" spans="1:5" ht="44.1" customHeight="1" x14ac:dyDescent="0.25">
      <c r="A14" s="132" t="s">
        <v>2068</v>
      </c>
      <c r="B14" s="133" t="s">
        <v>2069</v>
      </c>
      <c r="C14" s="303">
        <f>SUMIF(A5:A12,A10,C5:C12)</f>
        <v>24383</v>
      </c>
      <c r="D14" s="134" t="s">
        <v>2070</v>
      </c>
      <c r="E14" s="303">
        <f>SUMIF(A5:A12,A9,C5:C12)</f>
        <v>11224</v>
      </c>
    </row>
    <row r="15" spans="1:5" ht="14.1" customHeight="1" x14ac:dyDescent="0.25">
      <c r="A15" s="129" t="s">
        <v>2071</v>
      </c>
      <c r="B15" s="130" t="s">
        <v>2072</v>
      </c>
      <c r="C15" s="539">
        <f>SUMIF(A5:A12,A7,C5:C12)+SUMIF(A5:A12,A9,C5:C12)</f>
        <v>35607</v>
      </c>
      <c r="D15" s="282"/>
    </row>
    <row r="16" spans="1:5" ht="14.1" customHeight="1" x14ac:dyDescent="0.25">
      <c r="A16" s="135" t="s">
        <v>2073</v>
      </c>
      <c r="B16" s="136" t="s">
        <v>2074</v>
      </c>
      <c r="C16" s="540"/>
      <c r="D16" s="282"/>
      <c r="E16" s="282"/>
    </row>
    <row r="17" spans="1:5" ht="29.1" customHeight="1" x14ac:dyDescent="0.25">
      <c r="A17" s="139" t="s">
        <v>2075</v>
      </c>
      <c r="B17" s="140" t="s">
        <v>2076</v>
      </c>
      <c r="C17" s="540"/>
      <c r="D17" s="282"/>
      <c r="E17" s="282"/>
    </row>
    <row r="18" spans="1:5" ht="14.1" customHeight="1" x14ac:dyDescent="0.25">
      <c r="A18" s="142" t="s">
        <v>2077</v>
      </c>
      <c r="B18" s="143" t="s">
        <v>2078</v>
      </c>
      <c r="C18" s="541"/>
      <c r="D18" s="282"/>
      <c r="E18" s="282"/>
    </row>
    <row r="19" spans="1:5" ht="14.1" customHeight="1" x14ac:dyDescent="0.25">
      <c r="A19" s="484" t="s">
        <v>2079</v>
      </c>
      <c r="B19" s="484"/>
      <c r="C19" s="484"/>
      <c r="D19" s="484"/>
      <c r="E19" s="484"/>
    </row>
    <row r="20" spans="1:5" ht="14.1" customHeight="1" x14ac:dyDescent="0.25">
      <c r="A20" s="90" t="s">
        <v>2080</v>
      </c>
      <c r="B20" s="90" t="s">
        <v>2081</v>
      </c>
      <c r="C20" s="90" t="s">
        <v>2082</v>
      </c>
      <c r="D20" s="282"/>
      <c r="E20" s="282"/>
    </row>
    <row r="21" spans="1:5" ht="18" customHeight="1" x14ac:dyDescent="0.25">
      <c r="A21" s="4" t="s">
        <v>2083</v>
      </c>
      <c r="B21" s="4" t="s">
        <v>2084</v>
      </c>
      <c r="C21" s="4">
        <v>4615</v>
      </c>
    </row>
    <row r="22" spans="1:5" ht="18" customHeight="1" x14ac:dyDescent="0.25">
      <c r="A22" s="4" t="s">
        <v>2085</v>
      </c>
      <c r="B22" s="4" t="s">
        <v>2086</v>
      </c>
      <c r="C22" s="4">
        <v>2345</v>
      </c>
    </row>
    <row r="23" spans="1:5" ht="18" customHeight="1" x14ac:dyDescent="0.25">
      <c r="A23" s="4" t="s">
        <v>2087</v>
      </c>
      <c r="B23" s="4" t="s">
        <v>2088</v>
      </c>
      <c r="C23" s="4">
        <v>11282</v>
      </c>
    </row>
    <row r="24" spans="1:5" ht="18" customHeight="1" x14ac:dyDescent="0.25">
      <c r="A24" s="4" t="s">
        <v>2089</v>
      </c>
      <c r="B24" s="4" t="s">
        <v>2090</v>
      </c>
      <c r="C24" s="4">
        <v>4159</v>
      </c>
    </row>
    <row r="25" spans="1:5" ht="18" customHeight="1" x14ac:dyDescent="0.25">
      <c r="A25" s="4" t="s">
        <v>2091</v>
      </c>
      <c r="B25" s="4" t="s">
        <v>2092</v>
      </c>
      <c r="C25" s="4">
        <v>7802</v>
      </c>
    </row>
    <row r="26" spans="1:5" ht="18" customHeight="1" x14ac:dyDescent="0.25">
      <c r="A26" s="4" t="s">
        <v>2093</v>
      </c>
      <c r="B26" s="4" t="s">
        <v>2094</v>
      </c>
      <c r="C26" s="4">
        <v>8486</v>
      </c>
    </row>
    <row r="27" spans="1:5" ht="18" customHeight="1" x14ac:dyDescent="0.25">
      <c r="A27" s="4" t="s">
        <v>2095</v>
      </c>
      <c r="B27" s="4" t="s">
        <v>2096</v>
      </c>
      <c r="C27" s="4">
        <v>3384</v>
      </c>
    </row>
    <row r="28" spans="1:5" ht="18" customHeight="1" x14ac:dyDescent="0.25">
      <c r="A28" s="4" t="s">
        <v>2097</v>
      </c>
      <c r="B28" s="4" t="s">
        <v>2098</v>
      </c>
      <c r="C28" s="4">
        <v>3422</v>
      </c>
    </row>
    <row r="29" spans="1:5" ht="15" customHeight="1" x14ac:dyDescent="0.25">
      <c r="A29" s="304"/>
      <c r="B29" s="305"/>
      <c r="C29" s="306"/>
      <c r="D29" s="131" t="s">
        <v>2099</v>
      </c>
      <c r="E29" s="145" t="s">
        <v>2100</v>
      </c>
    </row>
    <row r="30" spans="1:5" ht="14.1" customHeight="1" x14ac:dyDescent="0.25">
      <c r="A30" s="307"/>
      <c r="B30" s="308"/>
      <c r="C30" s="309"/>
      <c r="D30" s="138" t="s">
        <v>2101</v>
      </c>
      <c r="E30" s="137" t="s">
        <v>2102</v>
      </c>
    </row>
    <row r="31" spans="1:5" ht="29.1" customHeight="1" x14ac:dyDescent="0.25">
      <c r="A31" s="307"/>
      <c r="B31" s="308"/>
      <c r="C31" s="309"/>
      <c r="D31" s="141" t="s">
        <v>2103</v>
      </c>
      <c r="E31" s="313">
        <f>SUMIF(A21:A28,A22,C21:C28)+SUMIF(A21:A28,A25,C21:C28)</f>
        <v>21112</v>
      </c>
    </row>
    <row r="32" spans="1:5" ht="14.1" customHeight="1" x14ac:dyDescent="0.25">
      <c r="A32" s="310"/>
      <c r="B32" s="311"/>
      <c r="C32" s="312"/>
      <c r="D32" s="144" t="s">
        <v>2104</v>
      </c>
      <c r="E32" s="137" t="s">
        <v>2105</v>
      </c>
    </row>
    <row r="33" spans="1:5" ht="14.1" customHeight="1" x14ac:dyDescent="0.25">
      <c r="A33" s="484" t="s">
        <v>2106</v>
      </c>
      <c r="B33" s="483"/>
      <c r="C33" s="483"/>
      <c r="D33" s="483"/>
      <c r="E33" s="483"/>
    </row>
  </sheetData>
  <mergeCells count="6">
    <mergeCell ref="A33:E33"/>
    <mergeCell ref="A1:E1"/>
    <mergeCell ref="A2:E2"/>
    <mergeCell ref="A3:E3"/>
    <mergeCell ref="A19:E19"/>
    <mergeCell ref="C15:C18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40"/>
  <sheetViews>
    <sheetView topLeftCell="A34" workbookViewId="0">
      <selection activeCell="C27" sqref="C27:C28"/>
    </sheetView>
  </sheetViews>
  <sheetFormatPr defaultRowHeight="15" x14ac:dyDescent="0.25"/>
  <cols>
    <col min="1" max="1" width="5"/>
    <col min="2" max="2" width="38"/>
    <col min="3" max="3" width="42"/>
    <col min="4" max="4" width="9"/>
    <col min="5" max="5" width="8"/>
    <col min="6" max="6" width="12"/>
    <col min="7" max="7" width="9"/>
    <col min="8" max="8" width="12"/>
    <col min="9" max="9" width="9.140625" style="294"/>
    <col min="10" max="10" width="12"/>
    <col min="11" max="11" width="11"/>
    <col min="12" max="12" width="7"/>
  </cols>
  <sheetData>
    <row r="1" spans="1:12" ht="3.95" customHeight="1" x14ac:dyDescent="0.25">
      <c r="A1" s="499" t="s">
        <v>2107</v>
      </c>
      <c r="B1" s="483"/>
      <c r="C1" s="483"/>
      <c r="D1" s="483"/>
      <c r="E1" s="483"/>
      <c r="F1" s="483"/>
      <c r="G1" s="483"/>
      <c r="H1" s="483"/>
      <c r="I1" s="483"/>
      <c r="J1" s="483"/>
      <c r="K1" s="483"/>
      <c r="L1" s="483"/>
    </row>
    <row r="2" spans="1:12" ht="21" customHeight="1" x14ac:dyDescent="0.3">
      <c r="A2" s="542" t="s">
        <v>2108</v>
      </c>
      <c r="B2" s="483"/>
      <c r="C2" s="483"/>
      <c r="D2" s="483"/>
      <c r="E2" s="483"/>
      <c r="F2" s="483"/>
      <c r="G2" s="483"/>
      <c r="H2" s="483"/>
      <c r="I2" s="483"/>
      <c r="J2" s="483"/>
      <c r="K2" s="483"/>
      <c r="L2" s="483"/>
    </row>
    <row r="3" spans="1:12" ht="15.95" customHeight="1" x14ac:dyDescent="0.25">
      <c r="A3" s="500" t="s">
        <v>2109</v>
      </c>
      <c r="B3" s="483"/>
      <c r="C3" s="483"/>
      <c r="D3" s="483"/>
      <c r="E3" s="483"/>
      <c r="F3" s="483"/>
      <c r="G3" s="483"/>
      <c r="H3" s="483"/>
      <c r="I3" s="483"/>
      <c r="J3" s="483"/>
      <c r="K3" s="483"/>
      <c r="L3" s="483"/>
    </row>
    <row r="4" spans="1:12" ht="24" customHeight="1" x14ac:dyDescent="0.35">
      <c r="A4" t="s">
        <v>2110</v>
      </c>
      <c r="B4" t="s">
        <v>2111</v>
      </c>
      <c r="C4" s="146" t="s">
        <v>2112</v>
      </c>
    </row>
    <row r="5" spans="1:12" ht="14.1" customHeight="1" x14ac:dyDescent="0.25">
      <c r="A5" s="17" t="s">
        <v>2113</v>
      </c>
      <c r="B5" s="1" t="s">
        <v>2114</v>
      </c>
      <c r="C5" s="1" t="s">
        <v>2115</v>
      </c>
      <c r="D5" s="1" t="s">
        <v>2116</v>
      </c>
      <c r="E5" s="17" t="s">
        <v>2117</v>
      </c>
      <c r="F5" s="17" t="s">
        <v>2118</v>
      </c>
      <c r="G5" s="17" t="s">
        <v>2119</v>
      </c>
      <c r="H5" s="17" t="s">
        <v>2120</v>
      </c>
      <c r="I5" s="17" t="s">
        <v>39</v>
      </c>
      <c r="J5" s="147" t="s">
        <v>2121</v>
      </c>
      <c r="K5" s="148" t="s">
        <v>2122</v>
      </c>
      <c r="L5" s="149" t="s">
        <v>2123</v>
      </c>
    </row>
    <row r="6" spans="1:12" ht="18" customHeight="1" x14ac:dyDescent="0.25">
      <c r="A6" s="2">
        <v>1</v>
      </c>
      <c r="B6" s="3" t="s">
        <v>2124</v>
      </c>
      <c r="C6" s="3" t="s">
        <v>2125</v>
      </c>
      <c r="D6" s="3" t="s">
        <v>2126</v>
      </c>
      <c r="E6" s="2">
        <v>15625</v>
      </c>
      <c r="F6" s="314">
        <f>VLOOKUP($C6,$J$5:$L$13,2,FALSE)</f>
        <v>100</v>
      </c>
      <c r="G6" s="314">
        <f>VLOOKUP($C6,$J$5:$L$13,3,FALSE)</f>
        <v>900</v>
      </c>
      <c r="H6" s="314">
        <f>VLOOKUP($D6,$J$18:$K$22,2,FALSE)</f>
        <v>100</v>
      </c>
      <c r="I6" s="314" t="str">
        <f>_xlfn.IFS(E6&gt;15000,"A",E6&gt;10000,"B",E6&lt;10000,"C")</f>
        <v>A</v>
      </c>
      <c r="J6" s="3" t="s">
        <v>2127</v>
      </c>
      <c r="K6" s="2">
        <v>100</v>
      </c>
      <c r="L6" s="2">
        <v>900</v>
      </c>
    </row>
    <row r="7" spans="1:12" ht="18" customHeight="1" x14ac:dyDescent="0.25">
      <c r="A7" s="2">
        <v>2</v>
      </c>
      <c r="B7" s="3" t="s">
        <v>2128</v>
      </c>
      <c r="C7" s="3" t="s">
        <v>2129</v>
      </c>
      <c r="D7" s="3" t="s">
        <v>2130</v>
      </c>
      <c r="E7" s="2">
        <v>12500</v>
      </c>
      <c r="F7" s="314">
        <f t="shared" ref="F7:F22" si="0">VLOOKUP($C7,$J$5:$L$13,2,FALSE)</f>
        <v>100</v>
      </c>
      <c r="G7" s="314">
        <f t="shared" ref="G7:G22" si="1">VLOOKUP($C7,$J$5:$L$13,3,FALSE)</f>
        <v>900</v>
      </c>
      <c r="H7" s="314">
        <f t="shared" ref="H7:H22" si="2">VLOOKUP($D7,$J$18:$K$22,2,FALSE)</f>
        <v>200</v>
      </c>
      <c r="I7" s="314" t="str">
        <f t="shared" ref="I7:I22" si="3">_xlfn.IFS(E7&gt;15000,"A",E7&gt;10000,"B",E7&lt;10000,"C")</f>
        <v>B</v>
      </c>
      <c r="J7" s="3" t="s">
        <v>2131</v>
      </c>
      <c r="K7" s="2">
        <v>200</v>
      </c>
      <c r="L7" s="2">
        <v>800</v>
      </c>
    </row>
    <row r="8" spans="1:12" ht="18" customHeight="1" x14ac:dyDescent="0.25">
      <c r="A8" s="2">
        <v>3</v>
      </c>
      <c r="B8" s="3" t="s">
        <v>2132</v>
      </c>
      <c r="C8" s="3" t="s">
        <v>2133</v>
      </c>
      <c r="D8" s="3" t="s">
        <v>2134</v>
      </c>
      <c r="E8" s="2">
        <v>8750</v>
      </c>
      <c r="F8" s="314">
        <f t="shared" si="0"/>
        <v>200</v>
      </c>
      <c r="G8" s="314">
        <f t="shared" si="1"/>
        <v>800</v>
      </c>
      <c r="H8" s="314">
        <f t="shared" si="2"/>
        <v>100</v>
      </c>
      <c r="I8" s="314" t="str">
        <f t="shared" si="3"/>
        <v>C</v>
      </c>
      <c r="J8" s="3" t="s">
        <v>2135</v>
      </c>
      <c r="K8" s="2">
        <v>300</v>
      </c>
      <c r="L8" s="2">
        <v>700</v>
      </c>
    </row>
    <row r="9" spans="1:12" ht="18" customHeight="1" x14ac:dyDescent="0.25">
      <c r="A9" s="2">
        <v>4</v>
      </c>
      <c r="B9" s="3" t="s">
        <v>2136</v>
      </c>
      <c r="C9" s="3" t="s">
        <v>2137</v>
      </c>
      <c r="D9" s="3" t="s">
        <v>2138</v>
      </c>
      <c r="E9" s="2">
        <v>15000</v>
      </c>
      <c r="F9" s="314">
        <f t="shared" si="0"/>
        <v>300</v>
      </c>
      <c r="G9" s="314">
        <f t="shared" si="1"/>
        <v>700</v>
      </c>
      <c r="H9" s="314">
        <f t="shared" si="2"/>
        <v>100</v>
      </c>
      <c r="I9" s="314" t="str">
        <f t="shared" si="3"/>
        <v>B</v>
      </c>
      <c r="J9" s="3" t="s">
        <v>2139</v>
      </c>
      <c r="K9" s="2">
        <v>400</v>
      </c>
      <c r="L9" s="2">
        <v>600</v>
      </c>
    </row>
    <row r="10" spans="1:12" ht="18" customHeight="1" x14ac:dyDescent="0.25">
      <c r="A10" s="2">
        <v>5</v>
      </c>
      <c r="B10" s="3" t="s">
        <v>2140</v>
      </c>
      <c r="C10" s="3" t="s">
        <v>2141</v>
      </c>
      <c r="D10" s="3" t="s">
        <v>2142</v>
      </c>
      <c r="E10" s="2">
        <v>8875</v>
      </c>
      <c r="F10" s="314">
        <f t="shared" si="0"/>
        <v>300</v>
      </c>
      <c r="G10" s="314">
        <f t="shared" si="1"/>
        <v>700</v>
      </c>
      <c r="H10" s="314">
        <f t="shared" si="2"/>
        <v>100</v>
      </c>
      <c r="I10" s="314" t="str">
        <f t="shared" si="3"/>
        <v>C</v>
      </c>
      <c r="J10" s="3" t="s">
        <v>2143</v>
      </c>
      <c r="K10" s="2">
        <v>500</v>
      </c>
      <c r="L10" s="2">
        <v>500</v>
      </c>
    </row>
    <row r="11" spans="1:12" ht="18" customHeight="1" x14ac:dyDescent="0.25">
      <c r="A11" s="2">
        <v>6</v>
      </c>
      <c r="B11" s="3" t="s">
        <v>2144</v>
      </c>
      <c r="C11" s="3" t="s">
        <v>2145</v>
      </c>
      <c r="D11" s="3" t="s">
        <v>2146</v>
      </c>
      <c r="E11" s="2">
        <v>8875</v>
      </c>
      <c r="F11" s="314">
        <f t="shared" si="0"/>
        <v>300</v>
      </c>
      <c r="G11" s="314">
        <f t="shared" si="1"/>
        <v>700</v>
      </c>
      <c r="H11" s="314">
        <f t="shared" si="2"/>
        <v>100</v>
      </c>
      <c r="I11" s="314" t="str">
        <f t="shared" si="3"/>
        <v>C</v>
      </c>
      <c r="J11" s="3" t="s">
        <v>2147</v>
      </c>
      <c r="K11" s="2">
        <v>600</v>
      </c>
      <c r="L11" s="2">
        <v>400</v>
      </c>
    </row>
    <row r="12" spans="1:12" ht="18" customHeight="1" x14ac:dyDescent="0.25">
      <c r="A12" s="2">
        <v>7</v>
      </c>
      <c r="B12" s="3" t="s">
        <v>2148</v>
      </c>
      <c r="C12" s="3" t="s">
        <v>2149</v>
      </c>
      <c r="D12" s="3" t="s">
        <v>2150</v>
      </c>
      <c r="E12" s="2">
        <v>10625</v>
      </c>
      <c r="F12" s="314">
        <f t="shared" si="0"/>
        <v>100</v>
      </c>
      <c r="G12" s="314">
        <f t="shared" si="1"/>
        <v>900</v>
      </c>
      <c r="H12" s="314">
        <f t="shared" si="2"/>
        <v>100</v>
      </c>
      <c r="I12" s="314" t="str">
        <f t="shared" si="3"/>
        <v>B</v>
      </c>
      <c r="J12" s="3" t="s">
        <v>2151</v>
      </c>
      <c r="K12" s="2">
        <v>700</v>
      </c>
      <c r="L12" s="2">
        <v>300</v>
      </c>
    </row>
    <row r="13" spans="1:12" ht="18" customHeight="1" x14ac:dyDescent="0.25">
      <c r="A13" s="2">
        <v>8</v>
      </c>
      <c r="B13" s="3" t="s">
        <v>2152</v>
      </c>
      <c r="C13" s="3" t="s">
        <v>2153</v>
      </c>
      <c r="D13" s="3" t="s">
        <v>2154</v>
      </c>
      <c r="E13" s="2">
        <v>11250</v>
      </c>
      <c r="F13" s="314">
        <f t="shared" si="0"/>
        <v>200</v>
      </c>
      <c r="G13" s="314">
        <f t="shared" si="1"/>
        <v>800</v>
      </c>
      <c r="H13" s="314">
        <f t="shared" si="2"/>
        <v>200</v>
      </c>
      <c r="I13" s="314" t="str">
        <f t="shared" si="3"/>
        <v>B</v>
      </c>
      <c r="J13" s="3" t="s">
        <v>2155</v>
      </c>
      <c r="K13" s="2">
        <v>800</v>
      </c>
      <c r="L13" s="2">
        <v>200</v>
      </c>
    </row>
    <row r="14" spans="1:12" ht="18" customHeight="1" x14ac:dyDescent="0.25">
      <c r="A14" s="2">
        <v>9</v>
      </c>
      <c r="B14" s="3" t="s">
        <v>2156</v>
      </c>
      <c r="C14" s="3" t="s">
        <v>2157</v>
      </c>
      <c r="D14" s="3" t="s">
        <v>2158</v>
      </c>
      <c r="E14" s="2">
        <v>10625</v>
      </c>
      <c r="F14" s="314">
        <f t="shared" si="0"/>
        <v>400</v>
      </c>
      <c r="G14" s="314">
        <f t="shared" si="1"/>
        <v>600</v>
      </c>
      <c r="H14" s="314">
        <f t="shared" si="2"/>
        <v>300</v>
      </c>
      <c r="I14" s="314" t="str">
        <f t="shared" si="3"/>
        <v>B</v>
      </c>
      <c r="J14" s="98" t="s">
        <v>2159</v>
      </c>
      <c r="K14" s="19" t="s">
        <v>2160</v>
      </c>
      <c r="L14" s="19" t="s">
        <v>2161</v>
      </c>
    </row>
    <row r="15" spans="1:12" ht="18" customHeight="1" x14ac:dyDescent="0.25">
      <c r="A15" s="2">
        <v>10</v>
      </c>
      <c r="B15" s="3" t="s">
        <v>2162</v>
      </c>
      <c r="C15" s="3" t="s">
        <v>2163</v>
      </c>
      <c r="D15" s="3" t="s">
        <v>2164</v>
      </c>
      <c r="E15" s="2">
        <v>15000</v>
      </c>
      <c r="F15" s="314">
        <f t="shared" si="0"/>
        <v>500</v>
      </c>
      <c r="G15" s="314">
        <f t="shared" si="1"/>
        <v>500</v>
      </c>
      <c r="H15" s="314">
        <f t="shared" si="2"/>
        <v>100</v>
      </c>
      <c r="I15" s="314" t="str">
        <f t="shared" si="3"/>
        <v>B</v>
      </c>
      <c r="J15" s="99" t="s">
        <v>2165</v>
      </c>
      <c r="K15" t="s">
        <v>2166</v>
      </c>
      <c r="L15" t="s">
        <v>2167</v>
      </c>
    </row>
    <row r="16" spans="1:12" ht="18" customHeight="1" x14ac:dyDescent="0.25">
      <c r="A16" s="2">
        <v>11</v>
      </c>
      <c r="B16" s="3" t="s">
        <v>2168</v>
      </c>
      <c r="C16" s="3" t="s">
        <v>2169</v>
      </c>
      <c r="D16" s="3" t="s">
        <v>2170</v>
      </c>
      <c r="E16" s="2">
        <v>13750</v>
      </c>
      <c r="F16" s="314">
        <f t="shared" si="0"/>
        <v>400</v>
      </c>
      <c r="G16" s="314">
        <f t="shared" si="1"/>
        <v>600</v>
      </c>
      <c r="H16" s="314">
        <f t="shared" si="2"/>
        <v>200</v>
      </c>
      <c r="I16" s="314" t="str">
        <f t="shared" si="3"/>
        <v>B</v>
      </c>
      <c r="J16" s="99" t="s">
        <v>2171</v>
      </c>
      <c r="K16" t="s">
        <v>2172</v>
      </c>
      <c r="L16" t="s">
        <v>2173</v>
      </c>
    </row>
    <row r="17" spans="1:12" ht="18" customHeight="1" x14ac:dyDescent="0.25">
      <c r="A17" s="2">
        <v>12</v>
      </c>
      <c r="B17" s="3" t="s">
        <v>2174</v>
      </c>
      <c r="C17" s="3" t="s">
        <v>2175</v>
      </c>
      <c r="D17" s="3" t="s">
        <v>2176</v>
      </c>
      <c r="E17" s="2">
        <v>35000</v>
      </c>
      <c r="F17" s="314">
        <f t="shared" si="0"/>
        <v>600</v>
      </c>
      <c r="G17" s="314">
        <f t="shared" si="1"/>
        <v>400</v>
      </c>
      <c r="H17" s="314">
        <f t="shared" si="2"/>
        <v>400</v>
      </c>
      <c r="I17" s="314" t="str">
        <f t="shared" si="3"/>
        <v>A</v>
      </c>
      <c r="J17" s="119" t="s">
        <v>2177</v>
      </c>
      <c r="K17" s="120" t="s">
        <v>2178</v>
      </c>
      <c r="L17" t="s">
        <v>2179</v>
      </c>
    </row>
    <row r="18" spans="1:12" ht="18" customHeight="1" x14ac:dyDescent="0.25">
      <c r="A18" s="2">
        <v>13</v>
      </c>
      <c r="B18" s="3" t="s">
        <v>2180</v>
      </c>
      <c r="C18" s="3" t="s">
        <v>2181</v>
      </c>
      <c r="D18" s="3" t="s">
        <v>2182</v>
      </c>
      <c r="E18" s="2">
        <v>10625</v>
      </c>
      <c r="F18" s="314">
        <f t="shared" si="0"/>
        <v>700</v>
      </c>
      <c r="G18" s="314">
        <f t="shared" si="1"/>
        <v>300</v>
      </c>
      <c r="H18" s="314">
        <f t="shared" si="2"/>
        <v>100</v>
      </c>
      <c r="I18" s="314" t="str">
        <f t="shared" si="3"/>
        <v>B</v>
      </c>
      <c r="J18" s="150" t="s">
        <v>2183</v>
      </c>
      <c r="K18" s="150" t="s">
        <v>2184</v>
      </c>
      <c r="L18" s="99" t="s">
        <v>2185</v>
      </c>
    </row>
    <row r="19" spans="1:12" ht="18" customHeight="1" x14ac:dyDescent="0.25">
      <c r="A19" s="2">
        <v>14</v>
      </c>
      <c r="B19" s="3" t="s">
        <v>2186</v>
      </c>
      <c r="C19" s="3" t="s">
        <v>2187</v>
      </c>
      <c r="D19" s="3" t="s">
        <v>2188</v>
      </c>
      <c r="E19" s="2">
        <v>10625</v>
      </c>
      <c r="F19" s="314">
        <f t="shared" si="0"/>
        <v>700</v>
      </c>
      <c r="G19" s="314">
        <f t="shared" si="1"/>
        <v>300</v>
      </c>
      <c r="H19" s="314">
        <f t="shared" si="2"/>
        <v>100</v>
      </c>
      <c r="I19" s="314" t="str">
        <f t="shared" si="3"/>
        <v>B</v>
      </c>
      <c r="J19" s="3" t="s">
        <v>2189</v>
      </c>
      <c r="K19" s="2">
        <v>100</v>
      </c>
      <c r="L19" s="99" t="s">
        <v>2190</v>
      </c>
    </row>
    <row r="20" spans="1:12" ht="18" customHeight="1" x14ac:dyDescent="0.25">
      <c r="A20" s="2">
        <v>15</v>
      </c>
      <c r="B20" s="3" t="s">
        <v>2191</v>
      </c>
      <c r="C20" s="3" t="s">
        <v>2192</v>
      </c>
      <c r="D20" s="3" t="s">
        <v>2193</v>
      </c>
      <c r="E20" s="2">
        <v>11250</v>
      </c>
      <c r="F20" s="314">
        <f t="shared" si="0"/>
        <v>500</v>
      </c>
      <c r="G20" s="314">
        <f t="shared" si="1"/>
        <v>500</v>
      </c>
      <c r="H20" s="314">
        <f t="shared" si="2"/>
        <v>200</v>
      </c>
      <c r="I20" s="314" t="str">
        <f t="shared" si="3"/>
        <v>B</v>
      </c>
      <c r="J20" s="3" t="s">
        <v>2194</v>
      </c>
      <c r="K20" s="2">
        <v>200</v>
      </c>
      <c r="L20" s="99" t="s">
        <v>2195</v>
      </c>
    </row>
    <row r="21" spans="1:12" ht="18" customHeight="1" x14ac:dyDescent="0.25">
      <c r="A21" s="2">
        <v>16</v>
      </c>
      <c r="B21" s="3" t="s">
        <v>2196</v>
      </c>
      <c r="C21" s="3" t="s">
        <v>2197</v>
      </c>
      <c r="D21" s="3" t="s">
        <v>2198</v>
      </c>
      <c r="E21" s="2">
        <v>11250</v>
      </c>
      <c r="F21" s="314">
        <f t="shared" si="0"/>
        <v>500</v>
      </c>
      <c r="G21" s="314">
        <f t="shared" si="1"/>
        <v>500</v>
      </c>
      <c r="H21" s="314">
        <f t="shared" si="2"/>
        <v>300</v>
      </c>
      <c r="I21" s="314" t="str">
        <f t="shared" si="3"/>
        <v>B</v>
      </c>
      <c r="J21" s="3" t="s">
        <v>2199</v>
      </c>
      <c r="K21" s="2">
        <v>300</v>
      </c>
      <c r="L21" s="99" t="s">
        <v>2200</v>
      </c>
    </row>
    <row r="22" spans="1:12" ht="18" customHeight="1" x14ac:dyDescent="0.25">
      <c r="A22" s="2">
        <v>17</v>
      </c>
      <c r="B22" s="3" t="s">
        <v>2201</v>
      </c>
      <c r="C22" s="3" t="s">
        <v>2202</v>
      </c>
      <c r="D22" s="3" t="s">
        <v>2203</v>
      </c>
      <c r="E22" s="2">
        <v>7500</v>
      </c>
      <c r="F22" s="314">
        <f t="shared" si="0"/>
        <v>200</v>
      </c>
      <c r="G22" s="314">
        <f t="shared" si="1"/>
        <v>800</v>
      </c>
      <c r="H22" s="314">
        <f t="shared" si="2"/>
        <v>100</v>
      </c>
      <c r="I22" s="314" t="str">
        <f t="shared" si="3"/>
        <v>C</v>
      </c>
      <c r="J22" s="3" t="s">
        <v>2204</v>
      </c>
      <c r="K22" s="2">
        <v>400</v>
      </c>
      <c r="L22" s="99" t="s">
        <v>2205</v>
      </c>
    </row>
    <row r="23" spans="1:12" s="294" customFormat="1" ht="18" customHeight="1" x14ac:dyDescent="0.25">
      <c r="A23" s="205"/>
      <c r="B23" s="188"/>
      <c r="C23" s="188"/>
      <c r="D23" s="188"/>
      <c r="E23" s="205"/>
      <c r="F23" s="205"/>
      <c r="G23" s="205"/>
      <c r="H23" s="205"/>
      <c r="I23" s="205"/>
      <c r="J23" s="188"/>
      <c r="K23" s="205"/>
      <c r="L23" s="198"/>
    </row>
    <row r="24" spans="1:12" s="294" customFormat="1" ht="18" customHeight="1" x14ac:dyDescent="0.25">
      <c r="A24" s="205"/>
      <c r="B24" s="188"/>
      <c r="C24" s="188"/>
      <c r="D24" s="188"/>
      <c r="E24" s="205"/>
      <c r="F24" s="205"/>
      <c r="G24" s="205"/>
      <c r="H24" s="205"/>
      <c r="I24" s="205"/>
      <c r="J24" s="188"/>
      <c r="K24" s="205"/>
      <c r="L24" s="198"/>
    </row>
    <row r="25" spans="1:12" ht="15.95" customHeight="1" x14ac:dyDescent="0.25">
      <c r="A25" s="482" t="s">
        <v>2206</v>
      </c>
      <c r="B25" s="483"/>
      <c r="C25" s="483"/>
      <c r="D25" s="483"/>
      <c r="E25" s="483"/>
      <c r="F25" s="483"/>
      <c r="G25" s="483"/>
      <c r="H25" s="483"/>
      <c r="I25" s="483"/>
      <c r="J25" s="483"/>
      <c r="K25" s="483"/>
      <c r="L25" s="483"/>
    </row>
    <row r="26" spans="1:12" s="294" customFormat="1" ht="15.95" customHeight="1" x14ac:dyDescent="0.25">
      <c r="A26" s="293"/>
    </row>
    <row r="27" spans="1:12" s="294" customFormat="1" ht="15.95" customHeight="1" x14ac:dyDescent="0.25">
      <c r="A27" s="293"/>
      <c r="B27" s="69" t="s">
        <v>740</v>
      </c>
      <c r="C27" s="216">
        <f>COUNTIF($C$6:$C$22,B27)</f>
        <v>3</v>
      </c>
    </row>
    <row r="28" spans="1:12" s="294" customFormat="1" ht="15.95" customHeight="1" x14ac:dyDescent="0.25">
      <c r="A28" s="293"/>
      <c r="B28" s="69" t="s">
        <v>2131</v>
      </c>
      <c r="C28" s="216">
        <f>COUNTIF($C$6:$C$22,B28)</f>
        <v>3</v>
      </c>
    </row>
    <row r="29" spans="1:12" s="294" customFormat="1" ht="15.95" customHeight="1" x14ac:dyDescent="0.25">
      <c r="A29" s="293"/>
      <c r="B29" s="188"/>
    </row>
    <row r="30" spans="1:12" ht="18" customHeight="1" x14ac:dyDescent="0.25">
      <c r="A30" s="482" t="s">
        <v>2207</v>
      </c>
      <c r="B30" s="483"/>
      <c r="C30" s="483"/>
      <c r="D30" s="483"/>
      <c r="E30" s="483"/>
      <c r="F30" s="483"/>
      <c r="G30" s="483"/>
      <c r="H30" s="483"/>
      <c r="I30" s="483"/>
      <c r="J30" s="483"/>
      <c r="K30" s="483"/>
      <c r="L30" s="483"/>
    </row>
    <row r="31" spans="1:12" s="294" customFormat="1" ht="18" customHeight="1" x14ac:dyDescent="0.25">
      <c r="A31" s="293"/>
      <c r="B31" s="191">
        <f>SUMIFS(E6:E22,C6:C22,C12)</f>
        <v>38750</v>
      </c>
    </row>
    <row r="32" spans="1:12" s="294" customFormat="1" ht="18" customHeight="1" x14ac:dyDescent="0.25">
      <c r="A32" s="293"/>
    </row>
    <row r="33" spans="1:12" ht="18" customHeight="1" x14ac:dyDescent="0.25">
      <c r="A33" s="482" t="s">
        <v>2208</v>
      </c>
      <c r="B33" s="483"/>
      <c r="C33" s="483"/>
      <c r="D33" s="483"/>
      <c r="E33" s="483"/>
      <c r="F33" s="483"/>
      <c r="G33" s="483"/>
      <c r="H33" s="483"/>
      <c r="I33" s="483"/>
      <c r="J33" s="483"/>
      <c r="K33" s="483"/>
      <c r="L33" s="483"/>
    </row>
    <row r="34" spans="1:12" s="294" customFormat="1" ht="18" customHeight="1" x14ac:dyDescent="0.25">
      <c r="A34" s="293"/>
      <c r="B34" s="191">
        <f>SUMIFS(E6:E22,C6:C22,C7,D6:D22,D15)</f>
        <v>26250</v>
      </c>
    </row>
    <row r="35" spans="1:12" s="294" customFormat="1" ht="18" customHeight="1" x14ac:dyDescent="0.25">
      <c r="A35" s="293"/>
    </row>
    <row r="36" spans="1:12" ht="18" customHeight="1" x14ac:dyDescent="0.25">
      <c r="A36" s="482" t="s">
        <v>2209</v>
      </c>
      <c r="B36" s="483"/>
      <c r="C36" s="483"/>
      <c r="D36" s="483"/>
      <c r="E36" s="483"/>
      <c r="F36" s="483"/>
      <c r="G36" s="483"/>
      <c r="H36" s="483"/>
      <c r="I36" s="483"/>
      <c r="J36" s="483"/>
      <c r="K36" s="483"/>
      <c r="L36" s="483"/>
    </row>
    <row r="37" spans="1:12" s="294" customFormat="1" ht="18" customHeight="1" x14ac:dyDescent="0.25">
      <c r="A37" s="293"/>
      <c r="B37" s="191">
        <f>COUNTIFS(C6:C22,C12,D6:D22,D18)</f>
        <v>2</v>
      </c>
    </row>
    <row r="38" spans="1:12" s="294" customFormat="1" ht="18" customHeight="1" x14ac:dyDescent="0.25">
      <c r="A38" s="293"/>
    </row>
    <row r="39" spans="1:12" s="294" customFormat="1" ht="18" customHeight="1" x14ac:dyDescent="0.25">
      <c r="A39" s="293"/>
    </row>
    <row r="40" spans="1:12" ht="17.100000000000001" customHeight="1" x14ac:dyDescent="0.25">
      <c r="A40" s="482" t="s">
        <v>2210</v>
      </c>
      <c r="B40" s="483"/>
      <c r="C40" s="483"/>
      <c r="D40" s="483"/>
      <c r="E40" s="483"/>
      <c r="F40" s="483"/>
      <c r="G40" s="483"/>
      <c r="H40" s="483"/>
      <c r="I40" s="483"/>
      <c r="J40" s="483"/>
      <c r="K40" s="483"/>
      <c r="L40" s="483"/>
    </row>
  </sheetData>
  <mergeCells count="8">
    <mergeCell ref="A33:L33"/>
    <mergeCell ref="A36:L36"/>
    <mergeCell ref="A40:L40"/>
    <mergeCell ref="A1:L1"/>
    <mergeCell ref="A2:L2"/>
    <mergeCell ref="A3:L3"/>
    <mergeCell ref="A25:L25"/>
    <mergeCell ref="A30:L30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9FFF5-FB18-4DC7-BF17-879D3F771E74}">
  <dimension ref="A1:J21"/>
  <sheetViews>
    <sheetView workbookViewId="0">
      <selection activeCell="L12" sqref="L12"/>
    </sheetView>
  </sheetViews>
  <sheetFormatPr defaultRowHeight="15" x14ac:dyDescent="0.25"/>
  <cols>
    <col min="2" max="2" width="13.140625" customWidth="1"/>
  </cols>
  <sheetData>
    <row r="1" spans="1:10" ht="18.75" x14ac:dyDescent="0.3">
      <c r="A1" s="543" t="s">
        <v>2211</v>
      </c>
      <c r="B1" s="544"/>
      <c r="C1" s="544"/>
      <c r="D1" s="544"/>
      <c r="E1" s="544"/>
      <c r="F1" s="544"/>
      <c r="G1" s="544"/>
      <c r="H1" s="544"/>
    </row>
    <row r="2" spans="1:10" x14ac:dyDescent="0.25">
      <c r="A2" s="545" t="s">
        <v>2212</v>
      </c>
      <c r="B2" s="544"/>
      <c r="C2" s="544"/>
      <c r="D2" s="544"/>
      <c r="E2" s="544"/>
      <c r="F2" s="544"/>
      <c r="G2" s="544"/>
      <c r="H2" s="544"/>
    </row>
    <row r="4" spans="1:10" x14ac:dyDescent="0.25">
      <c r="A4" s="323" t="s">
        <v>2213</v>
      </c>
      <c r="B4" s="323" t="s">
        <v>2214</v>
      </c>
      <c r="C4" s="323" t="s">
        <v>2215</v>
      </c>
      <c r="D4" s="323" t="s">
        <v>2216</v>
      </c>
      <c r="E4" s="321"/>
      <c r="F4" s="321"/>
      <c r="G4" s="321"/>
      <c r="H4" s="321"/>
    </row>
    <row r="5" spans="1:10" x14ac:dyDescent="0.25">
      <c r="A5" s="324">
        <v>21916</v>
      </c>
      <c r="B5" s="324">
        <v>25698</v>
      </c>
      <c r="C5" s="323" t="s">
        <v>2217</v>
      </c>
      <c r="D5" s="326">
        <f>DATEDIF(A5,B5,"d")</f>
        <v>3782</v>
      </c>
      <c r="E5" s="325"/>
      <c r="F5" s="321"/>
      <c r="G5" s="321"/>
      <c r="H5" s="322"/>
    </row>
    <row r="6" spans="1:10" x14ac:dyDescent="0.25">
      <c r="A6" s="324">
        <v>21916</v>
      </c>
      <c r="B6" s="324">
        <v>25698</v>
      </c>
      <c r="C6" s="323" t="s">
        <v>2218</v>
      </c>
      <c r="D6" s="326">
        <v>124</v>
      </c>
      <c r="E6" s="325"/>
      <c r="F6" s="321"/>
      <c r="G6" s="321"/>
      <c r="H6" s="321"/>
    </row>
    <row r="7" spans="1:10" x14ac:dyDescent="0.25">
      <c r="A7" s="324">
        <v>21916</v>
      </c>
      <c r="B7" s="324">
        <v>25698</v>
      </c>
      <c r="C7" s="323" t="s">
        <v>2219</v>
      </c>
      <c r="D7" s="326">
        <f>DATEDIF(A7,B7,"y")</f>
        <v>10</v>
      </c>
      <c r="E7" s="325"/>
      <c r="F7" s="321"/>
      <c r="G7" s="321"/>
      <c r="H7" s="321"/>
    </row>
    <row r="10" spans="1:10" x14ac:dyDescent="0.25">
      <c r="A10" s="327"/>
      <c r="B10" s="330" t="s">
        <v>2221</v>
      </c>
      <c r="C10" s="331">
        <v>21916</v>
      </c>
      <c r="D10" s="327"/>
      <c r="E10" s="294"/>
      <c r="F10" s="294"/>
      <c r="G10" s="294"/>
      <c r="H10" s="294"/>
      <c r="I10" s="294"/>
      <c r="J10" s="294"/>
    </row>
    <row r="11" spans="1:10" x14ac:dyDescent="0.25">
      <c r="A11" s="327"/>
      <c r="B11" s="327"/>
      <c r="C11" s="327"/>
      <c r="D11" s="327"/>
      <c r="E11" s="294"/>
      <c r="F11" s="294"/>
      <c r="G11" s="294"/>
      <c r="H11" s="294"/>
      <c r="I11" s="294"/>
      <c r="J11" s="294"/>
    </row>
    <row r="12" spans="1:10" x14ac:dyDescent="0.25">
      <c r="A12" s="327"/>
      <c r="B12" s="330" t="s">
        <v>2222</v>
      </c>
      <c r="C12" s="481">
        <f ca="1">DATEDIF(C10,TODAY(),"y")</f>
        <v>64</v>
      </c>
      <c r="D12" s="329"/>
      <c r="E12" s="294"/>
      <c r="F12" s="294"/>
      <c r="G12" s="294"/>
      <c r="H12" s="294"/>
      <c r="I12" s="294"/>
      <c r="J12" s="294"/>
    </row>
    <row r="13" spans="1:10" x14ac:dyDescent="0.25">
      <c r="A13" s="327"/>
      <c r="B13" s="330" t="s">
        <v>2223</v>
      </c>
      <c r="C13" s="481">
        <f ca="1">DATEDIF(C10,TODAY(),"ym")</f>
        <v>11</v>
      </c>
      <c r="D13" s="329"/>
      <c r="E13" s="294"/>
      <c r="F13" s="294"/>
      <c r="G13" s="294"/>
      <c r="H13" s="294"/>
      <c r="I13" s="294"/>
      <c r="J13" s="294"/>
    </row>
    <row r="14" spans="1:10" x14ac:dyDescent="0.25">
      <c r="A14" s="327"/>
      <c r="B14" s="330" t="s">
        <v>2224</v>
      </c>
      <c r="C14" s="481">
        <f ca="1">DATEDIF(C10,TODAY(),"md")</f>
        <v>26</v>
      </c>
      <c r="D14" s="329"/>
      <c r="E14" s="294"/>
      <c r="F14" s="294"/>
      <c r="G14" s="294"/>
      <c r="H14" s="294"/>
      <c r="I14" s="294"/>
      <c r="J14" s="294"/>
    </row>
    <row r="15" spans="1:10" x14ac:dyDescent="0.25">
      <c r="A15" s="327"/>
      <c r="B15" s="327"/>
      <c r="C15" s="327"/>
      <c r="D15" s="327"/>
      <c r="E15" s="294"/>
      <c r="F15" s="294"/>
      <c r="G15" s="294"/>
      <c r="H15" s="294"/>
      <c r="I15" s="294"/>
      <c r="J15" s="294"/>
    </row>
    <row r="16" spans="1:10" x14ac:dyDescent="0.25">
      <c r="A16" s="327"/>
      <c r="B16" s="328"/>
      <c r="C16" s="327"/>
      <c r="D16" s="327"/>
      <c r="E16" s="294"/>
      <c r="F16" s="294"/>
      <c r="G16" s="294"/>
      <c r="H16" s="294"/>
      <c r="I16" s="294"/>
      <c r="J16" s="294"/>
    </row>
    <row r="17" spans="1:10" x14ac:dyDescent="0.25">
      <c r="A17" s="327"/>
      <c r="B17" s="329"/>
      <c r="C17" s="332"/>
      <c r="D17" s="327"/>
      <c r="E17" s="294"/>
      <c r="F17" s="294"/>
      <c r="G17" s="294"/>
      <c r="H17" s="294"/>
      <c r="I17" s="294"/>
      <c r="J17" s="294"/>
    </row>
    <row r="18" spans="1:10" x14ac:dyDescent="0.25">
      <c r="A18" s="333"/>
      <c r="B18" s="327"/>
      <c r="C18" s="327"/>
      <c r="D18" s="327"/>
      <c r="E18" s="294"/>
      <c r="F18" s="294"/>
      <c r="G18" s="294"/>
      <c r="H18" s="294"/>
      <c r="I18" s="294"/>
      <c r="J18" s="294"/>
    </row>
    <row r="19" spans="1:10" x14ac:dyDescent="0.25">
      <c r="A19" s="327"/>
      <c r="B19" s="327"/>
      <c r="C19" s="327"/>
      <c r="D19" s="327"/>
      <c r="E19" s="294"/>
      <c r="F19" s="294"/>
      <c r="G19" s="294"/>
      <c r="H19" s="294"/>
      <c r="I19" s="294"/>
      <c r="J19" s="294"/>
    </row>
    <row r="20" spans="1:10" x14ac:dyDescent="0.25">
      <c r="A20" s="327"/>
      <c r="B20" s="327"/>
      <c r="C20" s="327"/>
      <c r="D20" s="327"/>
      <c r="E20" s="294"/>
      <c r="F20" s="294"/>
      <c r="G20" s="294"/>
      <c r="H20" s="294"/>
      <c r="I20" s="294"/>
      <c r="J20" s="294"/>
    </row>
    <row r="21" spans="1:10" x14ac:dyDescent="0.25">
      <c r="A21" s="327"/>
      <c r="B21" s="327"/>
      <c r="C21" s="327"/>
      <c r="D21" s="327"/>
      <c r="E21" s="294"/>
      <c r="F21" s="294"/>
      <c r="G21" s="294"/>
      <c r="H21" s="294"/>
      <c r="I21" s="294"/>
      <c r="J21" s="294"/>
    </row>
  </sheetData>
  <mergeCells count="2">
    <mergeCell ref="A1:H1"/>
    <mergeCell ref="A2:H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0732-50A8-43D2-826E-6FF2DFB1AE6A}">
  <dimension ref="A1:J56"/>
  <sheetViews>
    <sheetView topLeftCell="A40" workbookViewId="0">
      <selection activeCell="K9" sqref="K9"/>
    </sheetView>
  </sheetViews>
  <sheetFormatPr defaultRowHeight="15" x14ac:dyDescent="0.25"/>
  <sheetData>
    <row r="1" spans="1:10" ht="18.75" x14ac:dyDescent="0.3">
      <c r="A1" s="543" t="s">
        <v>2426</v>
      </c>
      <c r="B1" s="544"/>
      <c r="C1" s="544"/>
      <c r="D1" s="544"/>
      <c r="E1" s="544"/>
      <c r="F1" s="544"/>
      <c r="G1" s="544"/>
      <c r="H1" s="544"/>
      <c r="I1" s="544"/>
      <c r="J1" s="544"/>
    </row>
    <row r="2" spans="1:10" ht="15.75" thickBot="1" x14ac:dyDescent="0.3">
      <c r="A2" s="545" t="s">
        <v>2427</v>
      </c>
      <c r="B2" s="544"/>
      <c r="C2" s="544"/>
      <c r="D2" s="544"/>
      <c r="E2" s="544"/>
      <c r="F2" s="544"/>
      <c r="G2" s="544"/>
      <c r="H2" s="544"/>
      <c r="I2" s="544"/>
      <c r="J2" s="544"/>
    </row>
    <row r="3" spans="1:10" ht="27" thickTop="1" x14ac:dyDescent="0.25">
      <c r="A3" s="339" t="s">
        <v>870</v>
      </c>
      <c r="B3" s="340" t="s">
        <v>2428</v>
      </c>
      <c r="C3" s="340" t="s">
        <v>2429</v>
      </c>
      <c r="D3" s="340" t="s">
        <v>1045</v>
      </c>
      <c r="E3" s="340" t="s">
        <v>2430</v>
      </c>
      <c r="F3" s="340" t="s">
        <v>2431</v>
      </c>
      <c r="G3" s="340" t="s">
        <v>2432</v>
      </c>
      <c r="H3" s="341" t="s">
        <v>2433</v>
      </c>
      <c r="I3" s="334"/>
      <c r="J3" s="334"/>
    </row>
    <row r="4" spans="1:10" x14ac:dyDescent="0.25">
      <c r="A4" s="342" t="s">
        <v>2434</v>
      </c>
      <c r="B4" s="337">
        <v>200</v>
      </c>
      <c r="C4" s="337">
        <v>3000</v>
      </c>
      <c r="D4" s="337" t="s">
        <v>2435</v>
      </c>
      <c r="E4" s="343">
        <v>4.5</v>
      </c>
      <c r="F4" s="337">
        <v>4</v>
      </c>
      <c r="G4" s="337">
        <v>3</v>
      </c>
      <c r="H4" s="344">
        <v>54</v>
      </c>
      <c r="I4" s="334"/>
      <c r="J4" s="334"/>
    </row>
    <row r="5" spans="1:10" x14ac:dyDescent="0.25">
      <c r="A5" s="342" t="s">
        <v>2436</v>
      </c>
      <c r="B5" s="337">
        <v>100</v>
      </c>
      <c r="C5" s="337">
        <v>2000</v>
      </c>
      <c r="D5" s="337" t="s">
        <v>2435</v>
      </c>
      <c r="E5" s="343">
        <v>2</v>
      </c>
      <c r="F5" s="337">
        <v>15</v>
      </c>
      <c r="G5" s="337">
        <v>2</v>
      </c>
      <c r="H5" s="344">
        <v>60</v>
      </c>
      <c r="I5" s="334"/>
      <c r="J5" s="334"/>
    </row>
    <row r="6" spans="1:10" x14ac:dyDescent="0.25">
      <c r="A6" s="342" t="s">
        <v>2437</v>
      </c>
      <c r="B6" s="337">
        <v>60</v>
      </c>
      <c r="C6" s="337"/>
      <c r="D6" s="337"/>
      <c r="E6" s="343"/>
      <c r="F6" s="337"/>
      <c r="G6" s="337"/>
      <c r="H6" s="344">
        <v>0</v>
      </c>
      <c r="I6" s="334"/>
      <c r="J6" s="334"/>
    </row>
    <row r="7" spans="1:10" x14ac:dyDescent="0.25">
      <c r="A7" s="342" t="s">
        <v>2438</v>
      </c>
      <c r="B7" s="337">
        <v>10</v>
      </c>
      <c r="C7" s="337">
        <v>8000</v>
      </c>
      <c r="D7" s="337" t="s">
        <v>2439</v>
      </c>
      <c r="E7" s="343">
        <v>0.8</v>
      </c>
      <c r="F7" s="337">
        <v>25</v>
      </c>
      <c r="G7" s="337">
        <v>6</v>
      </c>
      <c r="H7" s="344">
        <v>120</v>
      </c>
      <c r="I7" s="334"/>
      <c r="J7" s="334"/>
    </row>
    <row r="8" spans="1:10" x14ac:dyDescent="0.25">
      <c r="A8" s="342" t="s">
        <v>2434</v>
      </c>
      <c r="B8" s="337">
        <v>80</v>
      </c>
      <c r="C8" s="337">
        <v>1000</v>
      </c>
      <c r="D8" s="337" t="s">
        <v>2435</v>
      </c>
      <c r="E8" s="343">
        <v>0.2</v>
      </c>
      <c r="F8" s="337">
        <v>40</v>
      </c>
      <c r="G8" s="337">
        <v>3</v>
      </c>
      <c r="H8" s="344">
        <v>24</v>
      </c>
      <c r="I8" s="334"/>
      <c r="J8" s="334"/>
    </row>
    <row r="9" spans="1:10" x14ac:dyDescent="0.25">
      <c r="A9" s="342" t="s">
        <v>2437</v>
      </c>
      <c r="B9" s="337">
        <v>100</v>
      </c>
      <c r="C9" s="337" t="s">
        <v>2440</v>
      </c>
      <c r="D9" s="337" t="s">
        <v>2435</v>
      </c>
      <c r="E9" s="343">
        <v>1.25</v>
      </c>
      <c r="F9" s="337">
        <v>10</v>
      </c>
      <c r="G9" s="337">
        <v>4</v>
      </c>
      <c r="H9" s="344">
        <v>50</v>
      </c>
      <c r="I9" s="334"/>
      <c r="J9" s="334"/>
    </row>
    <row r="10" spans="1:10" x14ac:dyDescent="0.25">
      <c r="A10" s="342" t="s">
        <v>2437</v>
      </c>
      <c r="B10" s="337">
        <v>200</v>
      </c>
      <c r="C10" s="337">
        <v>3000</v>
      </c>
      <c r="D10" s="337" t="s">
        <v>2435</v>
      </c>
      <c r="E10" s="343">
        <v>2.5</v>
      </c>
      <c r="F10" s="337">
        <v>15</v>
      </c>
      <c r="G10" s="337">
        <v>0</v>
      </c>
      <c r="H10" s="344">
        <v>0</v>
      </c>
      <c r="I10" s="334"/>
      <c r="J10" s="334"/>
    </row>
    <row r="11" spans="1:10" x14ac:dyDescent="0.25">
      <c r="A11" s="342" t="s">
        <v>2438</v>
      </c>
      <c r="B11" s="337">
        <v>25</v>
      </c>
      <c r="C11" s="337" t="s">
        <v>2440</v>
      </c>
      <c r="D11" s="337" t="s">
        <v>2439</v>
      </c>
      <c r="E11" s="343">
        <v>0.5</v>
      </c>
      <c r="F11" s="337">
        <v>10</v>
      </c>
      <c r="G11" s="337">
        <v>3</v>
      </c>
      <c r="H11" s="344">
        <v>15</v>
      </c>
      <c r="I11" s="334"/>
      <c r="J11" s="334"/>
    </row>
    <row r="12" spans="1:10" x14ac:dyDescent="0.25">
      <c r="A12" s="342" t="s">
        <v>2434</v>
      </c>
      <c r="B12" s="337">
        <v>200</v>
      </c>
      <c r="C12" s="337">
        <v>3000</v>
      </c>
      <c r="D12" s="337" t="s">
        <v>2439</v>
      </c>
      <c r="E12" s="343">
        <v>5</v>
      </c>
      <c r="F12" s="337">
        <v>3</v>
      </c>
      <c r="G12" s="337">
        <v>2</v>
      </c>
      <c r="H12" s="344">
        <v>30</v>
      </c>
      <c r="I12" s="334"/>
      <c r="J12" s="334"/>
    </row>
    <row r="13" spans="1:10" x14ac:dyDescent="0.25">
      <c r="A13" s="342" t="s">
        <v>2436</v>
      </c>
      <c r="B13" s="337">
        <v>100</v>
      </c>
      <c r="C13" s="337">
        <v>2000</v>
      </c>
      <c r="D13" s="337" t="s">
        <v>2439</v>
      </c>
      <c r="E13" s="343">
        <v>1.8</v>
      </c>
      <c r="F13" s="337">
        <v>20</v>
      </c>
      <c r="G13" s="337">
        <v>5</v>
      </c>
      <c r="H13" s="344">
        <v>180</v>
      </c>
      <c r="I13" s="334"/>
      <c r="J13" s="334"/>
    </row>
    <row r="14" spans="1:10" x14ac:dyDescent="0.25">
      <c r="A14" s="342" t="s">
        <v>2434</v>
      </c>
      <c r="B14" s="337">
        <v>100</v>
      </c>
      <c r="C14" s="337" t="s">
        <v>2440</v>
      </c>
      <c r="D14" s="337" t="s">
        <v>2439</v>
      </c>
      <c r="E14" s="343">
        <v>0.25</v>
      </c>
      <c r="F14" s="337">
        <v>10</v>
      </c>
      <c r="G14" s="337">
        <v>5</v>
      </c>
      <c r="H14" s="344">
        <v>12.5</v>
      </c>
      <c r="I14" s="334"/>
      <c r="J14" s="334"/>
    </row>
    <row r="15" spans="1:10" x14ac:dyDescent="0.25">
      <c r="A15" s="342" t="s">
        <v>2434</v>
      </c>
      <c r="B15" s="337">
        <v>10</v>
      </c>
      <c r="C15" s="337">
        <v>800</v>
      </c>
      <c r="D15" s="337" t="s">
        <v>2435</v>
      </c>
      <c r="E15" s="343">
        <v>0.2</v>
      </c>
      <c r="F15" s="337">
        <v>25</v>
      </c>
      <c r="G15" s="337">
        <v>2</v>
      </c>
      <c r="H15" s="344">
        <v>10</v>
      </c>
      <c r="I15" s="334"/>
      <c r="J15" s="334"/>
    </row>
    <row r="16" spans="1:10" x14ac:dyDescent="0.25">
      <c r="A16" s="342" t="s">
        <v>2434</v>
      </c>
      <c r="B16" s="337">
        <v>60</v>
      </c>
      <c r="C16" s="337">
        <v>1000</v>
      </c>
      <c r="D16" s="337" t="s">
        <v>2439</v>
      </c>
      <c r="E16" s="343">
        <v>0.15</v>
      </c>
      <c r="F16" s="337">
        <v>25</v>
      </c>
      <c r="G16" s="337">
        <v>0</v>
      </c>
      <c r="H16" s="344">
        <v>0</v>
      </c>
      <c r="I16" s="334"/>
      <c r="J16" s="334"/>
    </row>
    <row r="17" spans="1:9" x14ac:dyDescent="0.25">
      <c r="A17" s="342" t="s">
        <v>2434</v>
      </c>
      <c r="B17" s="337">
        <v>80</v>
      </c>
      <c r="C17" s="337">
        <v>1000</v>
      </c>
      <c r="D17" s="337" t="s">
        <v>2439</v>
      </c>
      <c r="E17" s="343">
        <v>0.2</v>
      </c>
      <c r="F17" s="337">
        <v>30</v>
      </c>
      <c r="G17" s="337">
        <v>2</v>
      </c>
      <c r="H17" s="344">
        <v>12</v>
      </c>
      <c r="I17" s="334"/>
    </row>
    <row r="18" spans="1:9" x14ac:dyDescent="0.25">
      <c r="A18" s="342" t="s">
        <v>2434</v>
      </c>
      <c r="B18" s="337">
        <v>100</v>
      </c>
      <c r="C18" s="337">
        <v>2000</v>
      </c>
      <c r="D18" s="337" t="s">
        <v>2435</v>
      </c>
      <c r="E18" s="343">
        <v>0.8</v>
      </c>
      <c r="F18" s="337">
        <v>10</v>
      </c>
      <c r="G18" s="337">
        <v>5</v>
      </c>
      <c r="H18" s="344">
        <v>40</v>
      </c>
      <c r="I18" s="334"/>
    </row>
    <row r="19" spans="1:9" ht="15.75" thickBot="1" x14ac:dyDescent="0.3">
      <c r="A19" s="345" t="s">
        <v>2434</v>
      </c>
      <c r="B19" s="346">
        <v>40</v>
      </c>
      <c r="C19" s="346">
        <v>1000</v>
      </c>
      <c r="D19" s="346" t="s">
        <v>2435</v>
      </c>
      <c r="E19" s="347">
        <v>0.1</v>
      </c>
      <c r="F19" s="346">
        <v>20</v>
      </c>
      <c r="G19" s="346">
        <v>5</v>
      </c>
      <c r="H19" s="344">
        <v>10</v>
      </c>
      <c r="I19" s="334"/>
    </row>
    <row r="20" spans="1:9" ht="15.75" thickTop="1" x14ac:dyDescent="0.25">
      <c r="A20" s="334"/>
      <c r="B20" s="334"/>
      <c r="C20" s="334"/>
      <c r="D20" s="334"/>
      <c r="E20" s="334"/>
      <c r="F20" s="334"/>
      <c r="G20" s="334"/>
      <c r="H20" s="334"/>
      <c r="I20" s="334"/>
    </row>
    <row r="21" spans="1:9" x14ac:dyDescent="0.25">
      <c r="A21" s="551" t="s">
        <v>2441</v>
      </c>
      <c r="B21" s="552"/>
      <c r="C21" s="552"/>
      <c r="D21" s="552"/>
      <c r="E21" s="552"/>
      <c r="F21" s="552"/>
      <c r="G21" s="334"/>
      <c r="H21" s="334"/>
      <c r="I21" s="334"/>
    </row>
    <row r="22" spans="1:9" ht="15.75" thickBot="1" x14ac:dyDescent="0.3">
      <c r="A22" s="334"/>
      <c r="B22" s="334"/>
      <c r="C22" s="334"/>
      <c r="D22" s="334"/>
      <c r="E22" s="334"/>
      <c r="F22" s="334"/>
      <c r="G22" s="334"/>
      <c r="H22" s="334"/>
      <c r="I22" s="334"/>
    </row>
    <row r="23" spans="1:9" ht="15.75" thickTop="1" x14ac:dyDescent="0.25">
      <c r="A23" s="334"/>
      <c r="B23" s="334"/>
      <c r="C23" s="334"/>
      <c r="D23" s="348" t="s">
        <v>1045</v>
      </c>
      <c r="E23" s="349"/>
      <c r="F23" s="334"/>
      <c r="G23" s="334"/>
      <c r="H23" s="334"/>
      <c r="I23" s="334"/>
    </row>
    <row r="24" spans="1:9" ht="15.75" thickBot="1" x14ac:dyDescent="0.3">
      <c r="A24" s="334"/>
      <c r="B24" s="334"/>
      <c r="C24" s="350" t="s">
        <v>2443</v>
      </c>
      <c r="D24" s="351" t="s">
        <v>2435</v>
      </c>
      <c r="E24" s="334"/>
      <c r="F24" s="334"/>
      <c r="G24" s="334"/>
      <c r="H24" s="334"/>
      <c r="I24" s="334"/>
    </row>
    <row r="25" spans="1:9" ht="15.75" thickTop="1" x14ac:dyDescent="0.25">
      <c r="A25" s="334"/>
      <c r="B25" s="334"/>
      <c r="C25" s="334"/>
      <c r="D25" s="334"/>
      <c r="E25" s="334"/>
      <c r="F25" s="334"/>
      <c r="G25" s="334"/>
      <c r="H25" s="334"/>
      <c r="I25" s="334"/>
    </row>
    <row r="26" spans="1:9" x14ac:dyDescent="0.25">
      <c r="A26" s="336"/>
      <c r="B26" s="336"/>
      <c r="C26" s="350" t="s">
        <v>2444</v>
      </c>
      <c r="D26" s="550">
        <f>DMAX(A3:H19,H3,D23:D24)</f>
        <v>60</v>
      </c>
      <c r="E26" s="338"/>
      <c r="F26" s="334"/>
      <c r="G26" s="334"/>
      <c r="H26" s="334"/>
      <c r="I26" s="334"/>
    </row>
    <row r="27" spans="1:9" x14ac:dyDescent="0.25">
      <c r="A27" s="334"/>
      <c r="B27" s="334"/>
      <c r="C27" s="334"/>
      <c r="D27" s="334"/>
      <c r="E27" s="334"/>
      <c r="F27" s="334"/>
      <c r="G27" s="334"/>
      <c r="H27" s="334"/>
      <c r="I27" s="334"/>
    </row>
    <row r="28" spans="1:9" x14ac:dyDescent="0.25">
      <c r="A28" s="352" t="s">
        <v>2446</v>
      </c>
      <c r="B28" s="334"/>
      <c r="C28" s="334"/>
      <c r="D28" s="334"/>
      <c r="E28" s="334"/>
      <c r="F28" s="334"/>
      <c r="G28" s="334"/>
      <c r="H28" s="334"/>
      <c r="I28" s="334"/>
    </row>
    <row r="29" spans="1:9" ht="15.75" thickBot="1" x14ac:dyDescent="0.3">
      <c r="A29" s="334"/>
      <c r="B29" s="334"/>
      <c r="C29" s="334"/>
      <c r="D29" s="334"/>
      <c r="E29" s="334"/>
      <c r="F29" s="334"/>
      <c r="G29" s="334"/>
      <c r="H29" s="334"/>
      <c r="I29" s="334"/>
    </row>
    <row r="30" spans="1:9" ht="15.75" thickTop="1" x14ac:dyDescent="0.25">
      <c r="A30" s="334"/>
      <c r="B30" s="334"/>
      <c r="C30" s="334"/>
      <c r="D30" s="353" t="s">
        <v>870</v>
      </c>
      <c r="E30" s="354" t="s">
        <v>1045</v>
      </c>
      <c r="F30" s="334"/>
      <c r="G30" s="334"/>
      <c r="H30" s="334"/>
      <c r="I30" s="334"/>
    </row>
    <row r="31" spans="1:9" ht="15.75" thickBot="1" x14ac:dyDescent="0.3">
      <c r="A31" s="334"/>
      <c r="B31" s="334"/>
      <c r="C31" s="334"/>
      <c r="D31" s="355" t="s">
        <v>2434</v>
      </c>
      <c r="E31" s="356" t="s">
        <v>2447</v>
      </c>
      <c r="F31" s="334"/>
      <c r="G31" s="334"/>
      <c r="H31" s="334"/>
      <c r="I31" s="334"/>
    </row>
    <row r="32" spans="1:9" ht="15.75" thickTop="1" x14ac:dyDescent="0.25">
      <c r="A32" s="334"/>
      <c r="B32" s="334"/>
      <c r="C32" s="334"/>
      <c r="D32" s="334"/>
      <c r="E32" s="334"/>
      <c r="F32" s="334"/>
      <c r="G32" s="334"/>
      <c r="H32" s="334"/>
      <c r="I32" s="334"/>
    </row>
    <row r="33" spans="1:9" x14ac:dyDescent="0.25">
      <c r="A33" s="334"/>
      <c r="B33" s="334"/>
      <c r="C33" s="350" t="s">
        <v>2448</v>
      </c>
      <c r="D33" s="550">
        <f>DMAX(A3:H19,H3,D30:E31)</f>
        <v>30</v>
      </c>
      <c r="E33" s="338"/>
      <c r="F33" s="334"/>
      <c r="G33" s="334"/>
      <c r="H33" s="334"/>
      <c r="I33" s="334"/>
    </row>
    <row r="34" spans="1:9" x14ac:dyDescent="0.25">
      <c r="A34" s="334"/>
      <c r="B34" s="334"/>
      <c r="C34" s="334"/>
      <c r="D34" s="335"/>
      <c r="E34" s="334"/>
      <c r="F34" s="334"/>
      <c r="G34" s="334"/>
      <c r="H34" s="334"/>
      <c r="I34" s="334"/>
    </row>
    <row r="35" spans="1:9" x14ac:dyDescent="0.25">
      <c r="A35" s="335"/>
      <c r="B35" s="334"/>
      <c r="C35" s="334"/>
      <c r="D35" s="334"/>
      <c r="E35" s="334"/>
      <c r="F35" s="334"/>
      <c r="G35" s="334"/>
      <c r="H35" s="334"/>
      <c r="I35" s="334"/>
    </row>
    <row r="36" spans="1:9" x14ac:dyDescent="0.25">
      <c r="A36" s="334"/>
      <c r="B36" s="334"/>
      <c r="C36" s="480"/>
      <c r="D36" s="480"/>
      <c r="E36" s="334"/>
      <c r="F36" s="334"/>
      <c r="G36" s="334"/>
      <c r="H36" s="334"/>
      <c r="I36" s="334"/>
    </row>
    <row r="37" spans="1:9" x14ac:dyDescent="0.25">
      <c r="A37" s="334"/>
      <c r="B37" s="334"/>
      <c r="C37" s="474"/>
      <c r="D37" s="474"/>
      <c r="E37" s="338"/>
      <c r="F37" s="334"/>
      <c r="G37" s="334"/>
      <c r="H37" s="334"/>
      <c r="I37" s="334"/>
    </row>
    <row r="38" spans="1:9" x14ac:dyDescent="0.25">
      <c r="A38" s="334"/>
      <c r="B38" s="334"/>
      <c r="C38" s="334"/>
      <c r="D38" s="334"/>
      <c r="E38" s="334"/>
      <c r="F38" s="334"/>
      <c r="G38" s="334"/>
      <c r="H38" s="334"/>
      <c r="I38" s="334"/>
    </row>
    <row r="39" spans="1:9" x14ac:dyDescent="0.25">
      <c r="A39" s="357" t="s">
        <v>2449</v>
      </c>
      <c r="B39" s="358"/>
      <c r="C39" s="358"/>
      <c r="D39" s="358"/>
      <c r="E39" s="358"/>
      <c r="F39" s="358"/>
      <c r="G39" s="358"/>
      <c r="H39" s="358"/>
      <c r="I39" s="358"/>
    </row>
    <row r="40" spans="1:9" ht="15.75" thickBot="1" x14ac:dyDescent="0.3">
      <c r="A40" s="334"/>
      <c r="B40" s="334"/>
      <c r="C40" s="334"/>
      <c r="D40" s="334"/>
      <c r="E40" s="334"/>
      <c r="F40" s="334"/>
      <c r="G40" s="334"/>
      <c r="H40" s="334"/>
      <c r="I40" s="334"/>
    </row>
    <row r="41" spans="1:9" ht="15.75" thickTop="1" x14ac:dyDescent="0.25">
      <c r="A41" s="334"/>
      <c r="B41" s="334"/>
      <c r="C41" s="334"/>
      <c r="D41" s="353" t="s">
        <v>870</v>
      </c>
      <c r="E41" s="354" t="s">
        <v>2428</v>
      </c>
      <c r="F41" s="334"/>
      <c r="G41" s="334"/>
      <c r="H41" s="334"/>
      <c r="I41" s="334"/>
    </row>
    <row r="42" spans="1:9" ht="15.75" thickBot="1" x14ac:dyDescent="0.3">
      <c r="A42" s="334"/>
      <c r="B42" s="334"/>
      <c r="C42" s="334"/>
      <c r="D42" s="355" t="s">
        <v>2434</v>
      </c>
      <c r="E42" s="356">
        <v>100</v>
      </c>
      <c r="F42" s="334"/>
      <c r="G42" s="334"/>
      <c r="H42" s="334"/>
      <c r="I42" s="334"/>
    </row>
    <row r="43" spans="1:9" ht="15.75" thickTop="1" x14ac:dyDescent="0.25">
      <c r="A43" s="334"/>
      <c r="B43" s="334"/>
      <c r="C43" s="334"/>
      <c r="D43" s="334"/>
      <c r="E43" s="334"/>
      <c r="F43" s="334"/>
      <c r="G43" s="334"/>
      <c r="H43" s="334"/>
      <c r="I43" s="334"/>
    </row>
    <row r="44" spans="1:9" x14ac:dyDescent="0.25">
      <c r="A44" s="334"/>
      <c r="B44" s="334"/>
      <c r="C44" s="350" t="s">
        <v>2450</v>
      </c>
      <c r="D44" s="550">
        <f>DMAX(A3:H19,H3,D41:E42)</f>
        <v>40</v>
      </c>
      <c r="E44" s="338"/>
      <c r="F44" s="334"/>
      <c r="G44" s="334"/>
      <c r="H44" s="334"/>
      <c r="I44" s="334"/>
    </row>
    <row r="45" spans="1:9" x14ac:dyDescent="0.25">
      <c r="A45" s="334"/>
      <c r="B45" s="334"/>
      <c r="C45" s="334"/>
      <c r="D45" s="334"/>
      <c r="E45" s="334"/>
      <c r="F45" s="334"/>
      <c r="G45" s="334"/>
      <c r="H45" s="334"/>
      <c r="I45" s="334"/>
    </row>
    <row r="46" spans="1:9" x14ac:dyDescent="0.25">
      <c r="A46" s="357" t="s">
        <v>2451</v>
      </c>
      <c r="B46" s="358"/>
      <c r="C46" s="358"/>
      <c r="D46" s="358"/>
      <c r="E46" s="358"/>
      <c r="F46" s="358"/>
      <c r="G46" s="358"/>
      <c r="H46" s="358"/>
      <c r="I46" s="358"/>
    </row>
    <row r="47" spans="1:9" ht="15.75" thickBot="1" x14ac:dyDescent="0.3">
      <c r="A47" s="334"/>
      <c r="B47" s="334"/>
      <c r="C47" s="334"/>
      <c r="D47" s="334"/>
      <c r="E47" s="334"/>
      <c r="F47" s="334"/>
      <c r="G47" s="334"/>
      <c r="H47" s="334"/>
      <c r="I47" s="334"/>
    </row>
    <row r="48" spans="1:9" ht="15.75" thickTop="1" x14ac:dyDescent="0.25">
      <c r="A48" s="334"/>
      <c r="B48" s="334"/>
      <c r="C48" s="334"/>
      <c r="D48" s="353" t="s">
        <v>870</v>
      </c>
      <c r="E48" s="354" t="s">
        <v>2428</v>
      </c>
      <c r="F48" s="334"/>
      <c r="G48" s="334"/>
      <c r="H48" s="334"/>
      <c r="I48" s="334"/>
    </row>
    <row r="49" spans="1:9" ht="15.75" thickBot="1" x14ac:dyDescent="0.3">
      <c r="A49" s="334"/>
      <c r="B49" s="334"/>
      <c r="C49" s="334"/>
      <c r="D49" s="355" t="s">
        <v>2434</v>
      </c>
      <c r="E49" s="356" t="s">
        <v>2452</v>
      </c>
      <c r="F49" s="334"/>
      <c r="G49" s="334"/>
      <c r="H49" s="334"/>
      <c r="I49" s="334"/>
    </row>
    <row r="50" spans="1:9" ht="15.75" thickTop="1" x14ac:dyDescent="0.25">
      <c r="A50" s="334"/>
      <c r="B50" s="334"/>
      <c r="C50" s="334"/>
      <c r="D50" s="334"/>
      <c r="E50" s="334"/>
      <c r="F50" s="334"/>
      <c r="G50" s="334"/>
      <c r="H50" s="334"/>
      <c r="I50" s="334"/>
    </row>
    <row r="51" spans="1:9" x14ac:dyDescent="0.25">
      <c r="A51" s="334"/>
      <c r="B51" s="334"/>
      <c r="C51" s="350" t="s">
        <v>2450</v>
      </c>
      <c r="D51" s="550">
        <f>DMAX(A3:H19,H3,D48:E49)</f>
        <v>24</v>
      </c>
      <c r="E51" s="338"/>
      <c r="F51" s="334"/>
      <c r="G51" s="334"/>
      <c r="H51" s="334"/>
      <c r="I51" s="334"/>
    </row>
    <row r="52" spans="1:9" x14ac:dyDescent="0.25">
      <c r="A52" s="334"/>
      <c r="B52" s="334"/>
      <c r="C52" s="334"/>
      <c r="D52" s="334"/>
      <c r="E52" s="334"/>
      <c r="F52" s="334"/>
      <c r="G52" s="334"/>
      <c r="H52" s="334"/>
      <c r="I52" s="334"/>
    </row>
    <row r="53" spans="1:9" x14ac:dyDescent="0.25">
      <c r="A53" s="334"/>
      <c r="B53" s="334"/>
      <c r="C53" s="334"/>
      <c r="D53" s="334"/>
      <c r="E53" s="334"/>
      <c r="F53" s="334"/>
      <c r="G53" s="334"/>
      <c r="H53" s="334"/>
      <c r="I53" s="334"/>
    </row>
    <row r="54" spans="1:9" x14ac:dyDescent="0.25">
      <c r="A54" s="334"/>
      <c r="B54" s="334"/>
      <c r="C54" s="334"/>
      <c r="D54" s="334"/>
      <c r="E54" s="334"/>
      <c r="F54" s="334"/>
      <c r="G54" s="334"/>
      <c r="H54" s="334"/>
      <c r="I54" s="334"/>
    </row>
    <row r="55" spans="1:9" x14ac:dyDescent="0.25">
      <c r="A55" s="334"/>
      <c r="B55" s="334"/>
      <c r="C55" s="334"/>
      <c r="D55" s="334"/>
      <c r="E55" s="334"/>
      <c r="F55" s="334"/>
      <c r="G55" s="334"/>
      <c r="H55" s="334"/>
      <c r="I55" s="334"/>
    </row>
    <row r="56" spans="1:9" x14ac:dyDescent="0.25">
      <c r="A56" s="334"/>
      <c r="B56" s="334"/>
      <c r="C56" s="334"/>
      <c r="D56" s="334"/>
      <c r="E56" s="334"/>
      <c r="F56" s="334"/>
      <c r="G56" s="334"/>
      <c r="H56" s="334"/>
      <c r="I56" s="334"/>
    </row>
  </sheetData>
  <mergeCells count="2">
    <mergeCell ref="A1:J1"/>
    <mergeCell ref="A2:J2"/>
  </mergeCells>
  <pageMargins left="0.7" right="0.7" top="0.75" bottom="0.75" header="0.3" footer="0.3"/>
  <pageSetup paperSize="9"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0184-6D27-4B36-96F6-4930CB3834B6}">
  <dimension ref="A1:J57"/>
  <sheetViews>
    <sheetView topLeftCell="A37" workbookViewId="0">
      <selection activeCell="M8" sqref="M8"/>
    </sheetView>
  </sheetViews>
  <sheetFormatPr defaultRowHeight="15" x14ac:dyDescent="0.25"/>
  <sheetData>
    <row r="1" spans="1:10" ht="18.75" x14ac:dyDescent="0.3">
      <c r="A1" s="543" t="s">
        <v>2453</v>
      </c>
      <c r="B1" s="544"/>
      <c r="C1" s="544"/>
      <c r="D1" s="544"/>
      <c r="E1" s="544"/>
      <c r="F1" s="544"/>
      <c r="G1" s="544"/>
      <c r="H1" s="544"/>
      <c r="I1" s="544"/>
      <c r="J1" s="544"/>
    </row>
    <row r="2" spans="1:10" x14ac:dyDescent="0.25">
      <c r="A2" s="545" t="s">
        <v>2454</v>
      </c>
      <c r="B2" s="544"/>
      <c r="C2" s="544"/>
      <c r="D2" s="544"/>
      <c r="E2" s="544"/>
      <c r="F2" s="544"/>
      <c r="G2" s="544"/>
      <c r="H2" s="544"/>
      <c r="I2" s="544"/>
      <c r="J2" s="544"/>
    </row>
    <row r="4" spans="1:10" ht="15.75" thickBot="1" x14ac:dyDescent="0.3">
      <c r="A4" s="359"/>
      <c r="B4" s="359"/>
      <c r="C4" s="359"/>
      <c r="D4" s="359"/>
      <c r="E4" s="359"/>
      <c r="F4" s="359"/>
      <c r="G4" s="359"/>
      <c r="H4" s="382"/>
      <c r="I4" s="359"/>
      <c r="J4" s="359"/>
    </row>
    <row r="5" spans="1:10" ht="27" thickTop="1" x14ac:dyDescent="0.25">
      <c r="A5" s="383" t="s">
        <v>870</v>
      </c>
      <c r="B5" s="384" t="s">
        <v>2428</v>
      </c>
      <c r="C5" s="384" t="s">
        <v>2429</v>
      </c>
      <c r="D5" s="384" t="s">
        <v>1045</v>
      </c>
      <c r="E5" s="384" t="s">
        <v>2430</v>
      </c>
      <c r="F5" s="384" t="s">
        <v>2431</v>
      </c>
      <c r="G5" s="384" t="s">
        <v>2432</v>
      </c>
      <c r="H5" s="385" t="s">
        <v>2433</v>
      </c>
      <c r="I5" s="359"/>
      <c r="J5" s="359"/>
    </row>
    <row r="6" spans="1:10" x14ac:dyDescent="0.25">
      <c r="A6" s="365" t="s">
        <v>2434</v>
      </c>
      <c r="B6" s="362">
        <v>200</v>
      </c>
      <c r="C6" s="362">
        <v>3000</v>
      </c>
      <c r="D6" s="362" t="s">
        <v>2435</v>
      </c>
      <c r="E6" s="366">
        <v>4.5</v>
      </c>
      <c r="F6" s="362">
        <v>4</v>
      </c>
      <c r="G6" s="362">
        <v>3</v>
      </c>
      <c r="H6" s="367">
        <v>54</v>
      </c>
      <c r="I6" s="359"/>
      <c r="J6" s="359"/>
    </row>
    <row r="7" spans="1:10" x14ac:dyDescent="0.25">
      <c r="A7" s="365" t="s">
        <v>2436</v>
      </c>
      <c r="B7" s="362">
        <v>100</v>
      </c>
      <c r="C7" s="362">
        <v>2000</v>
      </c>
      <c r="D7" s="362" t="s">
        <v>2435</v>
      </c>
      <c r="E7" s="366">
        <v>2</v>
      </c>
      <c r="F7" s="362">
        <v>15</v>
      </c>
      <c r="G7" s="362">
        <v>2</v>
      </c>
      <c r="H7" s="367">
        <v>60</v>
      </c>
      <c r="I7" s="359"/>
      <c r="J7" s="359"/>
    </row>
    <row r="8" spans="1:10" x14ac:dyDescent="0.25">
      <c r="A8" s="365" t="s">
        <v>2437</v>
      </c>
      <c r="B8" s="362">
        <v>60</v>
      </c>
      <c r="C8" s="362"/>
      <c r="D8" s="362"/>
      <c r="E8" s="366"/>
      <c r="F8" s="362"/>
      <c r="G8" s="362"/>
      <c r="H8" s="367">
        <v>0</v>
      </c>
      <c r="I8" s="359"/>
      <c r="J8" s="359"/>
    </row>
    <row r="9" spans="1:10" x14ac:dyDescent="0.25">
      <c r="A9" s="365" t="s">
        <v>2438</v>
      </c>
      <c r="B9" s="362">
        <v>10</v>
      </c>
      <c r="C9" s="362">
        <v>8000</v>
      </c>
      <c r="D9" s="362" t="s">
        <v>2439</v>
      </c>
      <c r="E9" s="366">
        <v>0.8</v>
      </c>
      <c r="F9" s="362">
        <v>25</v>
      </c>
      <c r="G9" s="362">
        <v>6</v>
      </c>
      <c r="H9" s="367">
        <v>120</v>
      </c>
      <c r="I9" s="359"/>
      <c r="J9" s="359"/>
    </row>
    <row r="10" spans="1:10" x14ac:dyDescent="0.25">
      <c r="A10" s="365" t="s">
        <v>2434</v>
      </c>
      <c r="B10" s="362">
        <v>80</v>
      </c>
      <c r="C10" s="362">
        <v>1000</v>
      </c>
      <c r="D10" s="362" t="s">
        <v>2435</v>
      </c>
      <c r="E10" s="366">
        <v>0.2</v>
      </c>
      <c r="F10" s="362">
        <v>40</v>
      </c>
      <c r="G10" s="362">
        <v>3</v>
      </c>
      <c r="H10" s="367">
        <v>24</v>
      </c>
      <c r="I10" s="359"/>
      <c r="J10" s="359"/>
    </row>
    <row r="11" spans="1:10" x14ac:dyDescent="0.25">
      <c r="A11" s="365" t="s">
        <v>2437</v>
      </c>
      <c r="B11" s="362">
        <v>100</v>
      </c>
      <c r="C11" s="362" t="s">
        <v>2440</v>
      </c>
      <c r="D11" s="362" t="s">
        <v>2435</v>
      </c>
      <c r="E11" s="366">
        <v>1.25</v>
      </c>
      <c r="F11" s="362">
        <v>10</v>
      </c>
      <c r="G11" s="362">
        <v>4</v>
      </c>
      <c r="H11" s="367">
        <v>50</v>
      </c>
      <c r="I11" s="359"/>
      <c r="J11" s="359"/>
    </row>
    <row r="12" spans="1:10" x14ac:dyDescent="0.25">
      <c r="A12" s="365" t="s">
        <v>2437</v>
      </c>
      <c r="B12" s="362">
        <v>200</v>
      </c>
      <c r="C12" s="362">
        <v>3000</v>
      </c>
      <c r="D12" s="362" t="s">
        <v>2435</v>
      </c>
      <c r="E12" s="366">
        <v>2.5</v>
      </c>
      <c r="F12" s="362">
        <v>15</v>
      </c>
      <c r="G12" s="362">
        <v>0</v>
      </c>
      <c r="H12" s="367">
        <v>0</v>
      </c>
      <c r="I12" s="359"/>
      <c r="J12" s="359"/>
    </row>
    <row r="13" spans="1:10" x14ac:dyDescent="0.25">
      <c r="A13" s="365" t="s">
        <v>2438</v>
      </c>
      <c r="B13" s="362">
        <v>25</v>
      </c>
      <c r="C13" s="362" t="s">
        <v>2440</v>
      </c>
      <c r="D13" s="362" t="s">
        <v>2439</v>
      </c>
      <c r="E13" s="366">
        <v>0.5</v>
      </c>
      <c r="F13" s="362">
        <v>10</v>
      </c>
      <c r="G13" s="362">
        <v>3</v>
      </c>
      <c r="H13" s="367">
        <v>15</v>
      </c>
      <c r="I13" s="359"/>
      <c r="J13" s="359"/>
    </row>
    <row r="14" spans="1:10" x14ac:dyDescent="0.25">
      <c r="A14" s="365" t="s">
        <v>2434</v>
      </c>
      <c r="B14" s="362">
        <v>200</v>
      </c>
      <c r="C14" s="362">
        <v>3000</v>
      </c>
      <c r="D14" s="362" t="s">
        <v>2439</v>
      </c>
      <c r="E14" s="366">
        <v>5</v>
      </c>
      <c r="F14" s="362">
        <v>3</v>
      </c>
      <c r="G14" s="362">
        <v>2</v>
      </c>
      <c r="H14" s="367">
        <v>30</v>
      </c>
      <c r="I14" s="359"/>
      <c r="J14" s="359"/>
    </row>
    <row r="15" spans="1:10" x14ac:dyDescent="0.25">
      <c r="A15" s="365" t="s">
        <v>2436</v>
      </c>
      <c r="B15" s="362">
        <v>100</v>
      </c>
      <c r="C15" s="362">
        <v>2000</v>
      </c>
      <c r="D15" s="362" t="s">
        <v>2439</v>
      </c>
      <c r="E15" s="366">
        <v>1.8</v>
      </c>
      <c r="F15" s="362">
        <v>20</v>
      </c>
      <c r="G15" s="362">
        <v>5</v>
      </c>
      <c r="H15" s="367">
        <v>180</v>
      </c>
      <c r="I15" s="359"/>
      <c r="J15" s="359"/>
    </row>
    <row r="16" spans="1:10" x14ac:dyDescent="0.25">
      <c r="A16" s="365" t="s">
        <v>2434</v>
      </c>
      <c r="B16" s="362">
        <v>100</v>
      </c>
      <c r="C16" s="362" t="s">
        <v>2440</v>
      </c>
      <c r="D16" s="362" t="s">
        <v>2439</v>
      </c>
      <c r="E16" s="366">
        <v>0.25</v>
      </c>
      <c r="F16" s="362">
        <v>10</v>
      </c>
      <c r="G16" s="362">
        <v>5</v>
      </c>
      <c r="H16" s="367">
        <v>12.5</v>
      </c>
      <c r="I16" s="359"/>
      <c r="J16" s="359"/>
    </row>
    <row r="17" spans="1:9" x14ac:dyDescent="0.25">
      <c r="A17" s="365" t="s">
        <v>2434</v>
      </c>
      <c r="B17" s="362">
        <v>10</v>
      </c>
      <c r="C17" s="362">
        <v>800</v>
      </c>
      <c r="D17" s="362" t="s">
        <v>2435</v>
      </c>
      <c r="E17" s="366">
        <v>0.2</v>
      </c>
      <c r="F17" s="362">
        <v>25</v>
      </c>
      <c r="G17" s="362">
        <v>2</v>
      </c>
      <c r="H17" s="367">
        <v>10</v>
      </c>
      <c r="I17" s="359"/>
    </row>
    <row r="18" spans="1:9" x14ac:dyDescent="0.25">
      <c r="A18" s="365" t="s">
        <v>2434</v>
      </c>
      <c r="B18" s="362">
        <v>60</v>
      </c>
      <c r="C18" s="362">
        <v>1000</v>
      </c>
      <c r="D18" s="362" t="s">
        <v>2439</v>
      </c>
      <c r="E18" s="366">
        <v>0.15</v>
      </c>
      <c r="F18" s="362">
        <v>25</v>
      </c>
      <c r="G18" s="362">
        <v>0</v>
      </c>
      <c r="H18" s="367">
        <v>0</v>
      </c>
      <c r="I18" s="359"/>
    </row>
    <row r="19" spans="1:9" x14ac:dyDescent="0.25">
      <c r="A19" s="365" t="s">
        <v>2434</v>
      </c>
      <c r="B19" s="362">
        <v>80</v>
      </c>
      <c r="C19" s="362">
        <v>1000</v>
      </c>
      <c r="D19" s="362" t="s">
        <v>2439</v>
      </c>
      <c r="E19" s="366">
        <v>0.2</v>
      </c>
      <c r="F19" s="362">
        <v>30</v>
      </c>
      <c r="G19" s="362">
        <v>2</v>
      </c>
      <c r="H19" s="367">
        <v>12</v>
      </c>
      <c r="I19" s="359"/>
    </row>
    <row r="20" spans="1:9" x14ac:dyDescent="0.25">
      <c r="A20" s="365" t="s">
        <v>2434</v>
      </c>
      <c r="B20" s="362">
        <v>100</v>
      </c>
      <c r="C20" s="362">
        <v>2000</v>
      </c>
      <c r="D20" s="362" t="s">
        <v>2435</v>
      </c>
      <c r="E20" s="366">
        <v>0.8</v>
      </c>
      <c r="F20" s="362">
        <v>10</v>
      </c>
      <c r="G20" s="362">
        <v>5</v>
      </c>
      <c r="H20" s="367">
        <v>40</v>
      </c>
      <c r="I20" s="359"/>
    </row>
    <row r="21" spans="1:9" ht="15.75" thickBot="1" x14ac:dyDescent="0.3">
      <c r="A21" s="368" t="s">
        <v>2434</v>
      </c>
      <c r="B21" s="369">
        <v>40</v>
      </c>
      <c r="C21" s="369">
        <v>1000</v>
      </c>
      <c r="D21" s="369" t="s">
        <v>2435</v>
      </c>
      <c r="E21" s="370">
        <v>0.1</v>
      </c>
      <c r="F21" s="369">
        <v>20</v>
      </c>
      <c r="G21" s="369">
        <v>5</v>
      </c>
      <c r="H21" s="367">
        <v>10</v>
      </c>
      <c r="I21" s="359"/>
    </row>
    <row r="22" spans="1:9" ht="15.75" thickTop="1" x14ac:dyDescent="0.25">
      <c r="A22" s="359"/>
      <c r="B22" s="359"/>
      <c r="C22" s="359"/>
      <c r="D22" s="359"/>
      <c r="E22" s="359"/>
      <c r="F22" s="359"/>
      <c r="G22" s="359"/>
      <c r="H22" s="359"/>
      <c r="I22" s="359"/>
    </row>
    <row r="23" spans="1:9" x14ac:dyDescent="0.25">
      <c r="A23" s="360" t="s">
        <v>2455</v>
      </c>
      <c r="B23" s="359"/>
      <c r="C23" s="359"/>
      <c r="D23" s="359"/>
      <c r="E23" s="359"/>
      <c r="F23" s="359"/>
      <c r="G23" s="359"/>
      <c r="H23" s="359"/>
      <c r="I23" s="359"/>
    </row>
    <row r="24" spans="1:9" ht="15.75" thickBot="1" x14ac:dyDescent="0.3">
      <c r="A24" s="359"/>
      <c r="B24" s="359"/>
      <c r="C24" s="359"/>
      <c r="D24" s="359"/>
      <c r="E24" s="359"/>
      <c r="F24" s="359"/>
      <c r="G24" s="359"/>
      <c r="H24" s="359"/>
      <c r="I24" s="359"/>
    </row>
    <row r="25" spans="1:9" ht="15.75" thickTop="1" x14ac:dyDescent="0.25">
      <c r="A25" s="359"/>
      <c r="B25" s="359"/>
      <c r="C25" s="359"/>
      <c r="D25" s="371" t="s">
        <v>1045</v>
      </c>
      <c r="E25" s="372" t="s">
        <v>2442</v>
      </c>
      <c r="F25" s="359"/>
      <c r="G25" s="359"/>
      <c r="H25" s="359"/>
      <c r="I25" s="359"/>
    </row>
    <row r="26" spans="1:9" ht="15.75" thickBot="1" x14ac:dyDescent="0.3">
      <c r="A26" s="359"/>
      <c r="B26" s="359"/>
      <c r="C26" s="373" t="s">
        <v>2443</v>
      </c>
      <c r="D26" s="374" t="s">
        <v>2447</v>
      </c>
      <c r="E26" s="359"/>
      <c r="F26" s="359"/>
      <c r="G26" s="359"/>
      <c r="H26" s="359"/>
      <c r="I26" s="359"/>
    </row>
    <row r="27" spans="1:9" ht="15.75" thickTop="1" x14ac:dyDescent="0.25">
      <c r="A27" s="359"/>
      <c r="B27" s="359"/>
      <c r="C27" s="359"/>
      <c r="D27" s="359"/>
      <c r="E27" s="359"/>
      <c r="F27" s="359"/>
      <c r="G27" s="359"/>
      <c r="H27" s="359"/>
      <c r="I27" s="359"/>
    </row>
    <row r="28" spans="1:9" x14ac:dyDescent="0.25">
      <c r="A28" s="361"/>
      <c r="B28" s="361"/>
      <c r="C28" s="373" t="s">
        <v>2456</v>
      </c>
      <c r="D28" s="550">
        <f>DAVERAGE(A5:H21,E5,D25:D26)</f>
        <v>1.2428571428571427</v>
      </c>
      <c r="E28" s="363"/>
      <c r="F28" s="359"/>
      <c r="G28" s="359"/>
      <c r="H28" s="359"/>
      <c r="I28" s="359"/>
    </row>
    <row r="29" spans="1:9" x14ac:dyDescent="0.25">
      <c r="A29" s="359"/>
      <c r="B29" s="359"/>
      <c r="C29" s="359"/>
      <c r="D29" s="359"/>
      <c r="E29" s="359"/>
      <c r="F29" s="359"/>
      <c r="G29" s="359"/>
      <c r="H29" s="359"/>
      <c r="I29" s="359"/>
    </row>
    <row r="30" spans="1:9" ht="15.75" thickBot="1" x14ac:dyDescent="0.3">
      <c r="A30" s="364" t="s">
        <v>2445</v>
      </c>
      <c r="B30" s="364"/>
      <c r="C30" s="364"/>
      <c r="D30" s="364"/>
      <c r="E30" s="364"/>
      <c r="F30" s="364"/>
      <c r="G30" s="364"/>
      <c r="H30" s="364"/>
      <c r="I30" s="364"/>
    </row>
    <row r="31" spans="1:9" x14ac:dyDescent="0.25">
      <c r="A31" s="359"/>
      <c r="B31" s="359"/>
      <c r="C31" s="359"/>
      <c r="D31" s="359"/>
      <c r="E31" s="359"/>
      <c r="F31" s="359"/>
      <c r="G31" s="359"/>
      <c r="H31" s="359"/>
      <c r="I31" s="359"/>
    </row>
    <row r="32" spans="1:9" x14ac:dyDescent="0.25">
      <c r="A32" s="375" t="s">
        <v>2457</v>
      </c>
      <c r="B32" s="359"/>
      <c r="C32" s="359"/>
      <c r="D32" s="359"/>
      <c r="E32" s="359"/>
      <c r="F32" s="359"/>
      <c r="G32" s="359"/>
      <c r="H32" s="359"/>
      <c r="I32" s="359"/>
    </row>
    <row r="33" spans="1:9" ht="15.75" thickBot="1" x14ac:dyDescent="0.3">
      <c r="A33" s="359"/>
      <c r="B33" s="359"/>
      <c r="C33" s="359"/>
      <c r="D33" s="359"/>
      <c r="E33" s="359"/>
      <c r="F33" s="359"/>
      <c r="G33" s="359"/>
      <c r="H33" s="359"/>
      <c r="I33" s="359"/>
    </row>
    <row r="34" spans="1:9" ht="15.75" thickTop="1" x14ac:dyDescent="0.25">
      <c r="A34" s="359"/>
      <c r="B34" s="359"/>
      <c r="C34" s="359"/>
      <c r="D34" s="376" t="s">
        <v>870</v>
      </c>
      <c r="E34" s="377" t="s">
        <v>1045</v>
      </c>
      <c r="F34" s="359"/>
      <c r="G34" s="359"/>
      <c r="H34" s="359"/>
      <c r="I34" s="359"/>
    </row>
    <row r="35" spans="1:9" ht="15.75" thickBot="1" x14ac:dyDescent="0.3">
      <c r="A35" s="359"/>
      <c r="B35" s="359"/>
      <c r="C35" s="359"/>
      <c r="D35" s="378" t="s">
        <v>2434</v>
      </c>
      <c r="E35" s="379" t="s">
        <v>2435</v>
      </c>
      <c r="F35" s="359"/>
      <c r="G35" s="359"/>
      <c r="H35" s="359"/>
      <c r="I35" s="359"/>
    </row>
    <row r="36" spans="1:9" ht="15.75" thickTop="1" x14ac:dyDescent="0.25">
      <c r="A36" s="359"/>
      <c r="B36" s="359"/>
      <c r="C36" s="359"/>
      <c r="D36" s="359"/>
      <c r="E36" s="359"/>
      <c r="F36" s="359"/>
      <c r="G36" s="359"/>
      <c r="H36" s="359"/>
      <c r="I36" s="359"/>
    </row>
    <row r="37" spans="1:9" x14ac:dyDescent="0.25">
      <c r="A37" s="359"/>
      <c r="B37" s="359"/>
      <c r="C37" s="373" t="s">
        <v>2458</v>
      </c>
      <c r="D37" s="550">
        <f>DAVERAGE(A5:H21,E5,D34:E35)</f>
        <v>1.1599999999999999</v>
      </c>
      <c r="E37" s="363"/>
      <c r="F37" s="359"/>
      <c r="G37" s="359"/>
      <c r="H37" s="359"/>
      <c r="I37" s="359"/>
    </row>
    <row r="38" spans="1:9" ht="17.25" customHeight="1" x14ac:dyDescent="0.25">
      <c r="A38" s="359"/>
      <c r="B38" s="359"/>
      <c r="C38" s="359"/>
      <c r="D38" s="359"/>
      <c r="E38" s="359"/>
      <c r="F38" s="359"/>
      <c r="G38" s="359"/>
      <c r="H38" s="359"/>
      <c r="I38" s="359"/>
    </row>
    <row r="39" spans="1:9" x14ac:dyDescent="0.25">
      <c r="A39" s="359"/>
      <c r="B39" s="359"/>
      <c r="C39" s="359"/>
      <c r="D39" s="359"/>
      <c r="E39" s="359"/>
      <c r="F39" s="359"/>
      <c r="G39" s="359"/>
      <c r="H39" s="359"/>
      <c r="I39" s="359"/>
    </row>
    <row r="40" spans="1:9" x14ac:dyDescent="0.25">
      <c r="A40" s="380" t="s">
        <v>2459</v>
      </c>
      <c r="B40" s="381"/>
      <c r="C40" s="381"/>
      <c r="D40" s="381"/>
      <c r="E40" s="381"/>
      <c r="F40" s="381"/>
      <c r="G40" s="381"/>
      <c r="H40" s="381"/>
      <c r="I40" s="381"/>
    </row>
    <row r="41" spans="1:9" ht="15.75" thickBot="1" x14ac:dyDescent="0.3">
      <c r="A41" s="359"/>
      <c r="B41" s="359"/>
      <c r="C41" s="359"/>
      <c r="D41" s="359"/>
      <c r="E41" s="359"/>
      <c r="F41" s="359"/>
      <c r="G41" s="359"/>
      <c r="H41" s="359"/>
      <c r="I41" s="359"/>
    </row>
    <row r="42" spans="1:9" ht="15.75" thickTop="1" x14ac:dyDescent="0.25">
      <c r="A42" s="359"/>
      <c r="B42" s="359"/>
      <c r="C42" s="359"/>
      <c r="D42" s="376" t="s">
        <v>870</v>
      </c>
      <c r="E42" s="377" t="s">
        <v>2428</v>
      </c>
      <c r="F42" s="359"/>
      <c r="G42" s="359"/>
      <c r="H42" s="359"/>
      <c r="I42" s="359"/>
    </row>
    <row r="43" spans="1:9" ht="15.75" thickBot="1" x14ac:dyDescent="0.3">
      <c r="A43" s="359"/>
      <c r="B43" s="359"/>
      <c r="C43" s="359"/>
      <c r="D43" s="378" t="s">
        <v>2434</v>
      </c>
      <c r="E43" s="379">
        <v>100</v>
      </c>
      <c r="F43" s="359"/>
      <c r="G43" s="359"/>
      <c r="H43" s="359"/>
      <c r="I43" s="359"/>
    </row>
    <row r="44" spans="1:9" ht="15.75" thickTop="1" x14ac:dyDescent="0.25">
      <c r="A44" s="359"/>
      <c r="B44" s="359"/>
      <c r="C44" s="359"/>
      <c r="D44" s="359"/>
      <c r="E44" s="359"/>
      <c r="F44" s="359"/>
      <c r="G44" s="359"/>
      <c r="H44" s="359"/>
      <c r="I44" s="359"/>
    </row>
    <row r="45" spans="1:9" x14ac:dyDescent="0.25">
      <c r="A45" s="359"/>
      <c r="B45" s="359"/>
      <c r="C45" s="373" t="s">
        <v>2460</v>
      </c>
      <c r="D45" s="550">
        <f>DAVERAGE(A5:H21,E5,D42:E43)</f>
        <v>0.52500000000000002</v>
      </c>
      <c r="E45" s="360"/>
      <c r="F45" s="359"/>
      <c r="G45" s="359"/>
      <c r="H45" s="359"/>
      <c r="I45" s="359"/>
    </row>
    <row r="46" spans="1:9" x14ac:dyDescent="0.25">
      <c r="A46" s="359"/>
      <c r="B46" s="359"/>
      <c r="C46" s="359"/>
      <c r="D46" s="359"/>
      <c r="E46" s="359"/>
      <c r="F46" s="359"/>
      <c r="G46" s="359"/>
      <c r="H46" s="359"/>
      <c r="I46" s="359"/>
    </row>
    <row r="47" spans="1:9" x14ac:dyDescent="0.25">
      <c r="A47" s="380" t="s">
        <v>2461</v>
      </c>
      <c r="B47" s="381"/>
      <c r="C47" s="381"/>
      <c r="D47" s="381"/>
      <c r="E47" s="381"/>
      <c r="F47" s="381"/>
      <c r="G47" s="381"/>
      <c r="H47" s="381"/>
      <c r="I47" s="381"/>
    </row>
    <row r="48" spans="1:9" ht="15.75" thickBot="1" x14ac:dyDescent="0.3">
      <c r="A48" s="359"/>
      <c r="B48" s="359"/>
      <c r="C48" s="359"/>
      <c r="D48" s="359"/>
      <c r="E48" s="359"/>
      <c r="F48" s="359"/>
      <c r="G48" s="359"/>
      <c r="H48" s="359"/>
      <c r="I48" s="359"/>
    </row>
    <row r="49" spans="1:9" ht="15.75" thickTop="1" x14ac:dyDescent="0.25">
      <c r="A49" s="359"/>
      <c r="B49" s="359"/>
      <c r="C49" s="359"/>
      <c r="D49" s="376" t="s">
        <v>870</v>
      </c>
      <c r="E49" s="377" t="s">
        <v>2428</v>
      </c>
      <c r="F49" s="359"/>
      <c r="G49" s="359"/>
      <c r="H49" s="359"/>
      <c r="I49" s="359"/>
    </row>
    <row r="50" spans="1:9" ht="15.75" thickBot="1" x14ac:dyDescent="0.3">
      <c r="A50" s="359"/>
      <c r="B50" s="359"/>
      <c r="C50" s="359"/>
      <c r="D50" s="386" t="s">
        <v>2434</v>
      </c>
      <c r="E50" s="387" t="s">
        <v>2452</v>
      </c>
      <c r="F50" s="359"/>
      <c r="G50" s="359"/>
      <c r="H50" s="359"/>
      <c r="I50" s="359"/>
    </row>
    <row r="51" spans="1:9" ht="15.75" thickTop="1" x14ac:dyDescent="0.25">
      <c r="A51" s="359"/>
      <c r="B51" s="359"/>
      <c r="C51" s="359"/>
      <c r="D51" s="359"/>
      <c r="E51" s="359"/>
      <c r="F51" s="359"/>
      <c r="G51" s="359"/>
      <c r="H51" s="359"/>
      <c r="I51" s="359"/>
    </row>
    <row r="52" spans="1:9" x14ac:dyDescent="0.25">
      <c r="A52" s="359"/>
      <c r="B52" s="359"/>
      <c r="C52" s="373" t="s">
        <v>2462</v>
      </c>
      <c r="D52" s="553">
        <f>DAVERAGE(A5:H21,E5,D49:E50)</f>
        <v>0.16999999999999998</v>
      </c>
      <c r="E52" s="363" t="s">
        <v>2463</v>
      </c>
      <c r="F52" s="359"/>
      <c r="G52" s="359"/>
      <c r="H52" s="359"/>
      <c r="I52" s="359"/>
    </row>
    <row r="53" spans="1:9" x14ac:dyDescent="0.25">
      <c r="A53" s="359"/>
      <c r="B53" s="359"/>
      <c r="C53" s="359"/>
      <c r="D53" s="359"/>
      <c r="E53" s="359"/>
      <c r="F53" s="359"/>
      <c r="G53" s="359"/>
      <c r="H53" s="359"/>
      <c r="I53" s="359"/>
    </row>
    <row r="54" spans="1:9" x14ac:dyDescent="0.25">
      <c r="A54" s="359"/>
      <c r="B54" s="359"/>
      <c r="C54" s="359"/>
      <c r="D54" s="359"/>
      <c r="E54" s="359"/>
      <c r="F54" s="359"/>
      <c r="G54" s="359"/>
      <c r="H54" s="359"/>
      <c r="I54" s="359"/>
    </row>
    <row r="55" spans="1:9" x14ac:dyDescent="0.25">
      <c r="A55" s="359"/>
      <c r="B55" s="359"/>
      <c r="C55" s="359"/>
      <c r="D55" s="359"/>
      <c r="E55" s="359"/>
      <c r="F55" s="359"/>
      <c r="G55" s="359"/>
      <c r="H55" s="359"/>
      <c r="I55" s="359"/>
    </row>
    <row r="56" spans="1:9" x14ac:dyDescent="0.25">
      <c r="A56" s="359"/>
      <c r="B56" s="359"/>
      <c r="C56" s="359"/>
      <c r="D56" s="359"/>
      <c r="E56" s="359"/>
      <c r="F56" s="359"/>
      <c r="G56" s="359"/>
      <c r="H56" s="359"/>
      <c r="I56" s="359"/>
    </row>
    <row r="57" spans="1:9" x14ac:dyDescent="0.25">
      <c r="A57" s="359"/>
      <c r="B57" s="359"/>
      <c r="C57" s="359"/>
      <c r="D57" s="359"/>
      <c r="E57" s="359"/>
      <c r="F57" s="359"/>
      <c r="G57" s="359"/>
      <c r="H57" s="359"/>
      <c r="I57" s="359"/>
    </row>
  </sheetData>
  <mergeCells count="2">
    <mergeCell ref="A1:J1"/>
    <mergeCell ref="A2:J2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4AFD-6BFE-4339-A7E1-74822FE9BE89}">
  <dimension ref="A1:J54"/>
  <sheetViews>
    <sheetView topLeftCell="A31" workbookViewId="0">
      <selection activeCell="J51" sqref="J51"/>
    </sheetView>
  </sheetViews>
  <sheetFormatPr defaultRowHeight="15" x14ac:dyDescent="0.25"/>
  <sheetData>
    <row r="1" spans="1:10" ht="18.75" x14ac:dyDescent="0.3">
      <c r="A1" s="543" t="s">
        <v>2464</v>
      </c>
      <c r="B1" s="544"/>
      <c r="C1" s="544"/>
      <c r="D1" s="544"/>
      <c r="E1" s="544"/>
      <c r="F1" s="544"/>
      <c r="G1" s="544"/>
      <c r="H1" s="544"/>
      <c r="I1" s="544"/>
      <c r="J1" s="544"/>
    </row>
    <row r="2" spans="1:10" x14ac:dyDescent="0.25">
      <c r="A2" s="545" t="s">
        <v>2465</v>
      </c>
      <c r="B2" s="544"/>
      <c r="C2" s="544"/>
      <c r="D2" s="544"/>
      <c r="E2" s="544"/>
      <c r="F2" s="544"/>
      <c r="G2" s="544"/>
      <c r="H2" s="544"/>
      <c r="I2" s="544"/>
      <c r="J2" s="544"/>
    </row>
    <row r="3" spans="1:10" ht="15.75" thickBot="1" x14ac:dyDescent="0.3">
      <c r="A3" s="388"/>
      <c r="B3" s="388"/>
      <c r="C3" s="388"/>
      <c r="D3" s="388"/>
      <c r="E3" s="388"/>
      <c r="F3" s="388"/>
      <c r="G3" s="388"/>
      <c r="H3" s="388"/>
      <c r="I3" s="388"/>
      <c r="J3" s="388"/>
    </row>
    <row r="4" spans="1:10" ht="27" thickTop="1" x14ac:dyDescent="0.25">
      <c r="A4" s="410" t="s">
        <v>870</v>
      </c>
      <c r="B4" s="411" t="s">
        <v>2428</v>
      </c>
      <c r="C4" s="411" t="s">
        <v>2429</v>
      </c>
      <c r="D4" s="411" t="s">
        <v>1045</v>
      </c>
      <c r="E4" s="411" t="s">
        <v>2430</v>
      </c>
      <c r="F4" s="411" t="s">
        <v>2431</v>
      </c>
      <c r="G4" s="411" t="s">
        <v>2432</v>
      </c>
      <c r="H4" s="412" t="s">
        <v>2433</v>
      </c>
      <c r="I4" s="388"/>
      <c r="J4" s="388"/>
    </row>
    <row r="5" spans="1:10" x14ac:dyDescent="0.25">
      <c r="A5" s="393" t="s">
        <v>2434</v>
      </c>
      <c r="B5" s="391">
        <v>200</v>
      </c>
      <c r="C5" s="391">
        <v>3000</v>
      </c>
      <c r="D5" s="391" t="s">
        <v>2435</v>
      </c>
      <c r="E5" s="394">
        <v>4.5</v>
      </c>
      <c r="F5" s="391">
        <v>4</v>
      </c>
      <c r="G5" s="391">
        <v>3</v>
      </c>
      <c r="H5" s="395">
        <v>54</v>
      </c>
      <c r="I5" s="388"/>
      <c r="J5" s="388"/>
    </row>
    <row r="6" spans="1:10" x14ac:dyDescent="0.25">
      <c r="A6" s="393" t="s">
        <v>2436</v>
      </c>
      <c r="B6" s="391">
        <v>100</v>
      </c>
      <c r="C6" s="391">
        <v>2000</v>
      </c>
      <c r="D6" s="391" t="s">
        <v>2435</v>
      </c>
      <c r="E6" s="394">
        <v>2</v>
      </c>
      <c r="F6" s="391">
        <v>15</v>
      </c>
      <c r="G6" s="391">
        <v>2</v>
      </c>
      <c r="H6" s="395">
        <v>60</v>
      </c>
      <c r="I6" s="388"/>
      <c r="J6" s="388"/>
    </row>
    <row r="7" spans="1:10" x14ac:dyDescent="0.25">
      <c r="A7" s="393" t="s">
        <v>2437</v>
      </c>
      <c r="B7" s="391">
        <v>60</v>
      </c>
      <c r="C7" s="391"/>
      <c r="D7" s="391"/>
      <c r="E7" s="394"/>
      <c r="F7" s="391"/>
      <c r="G7" s="391"/>
      <c r="H7" s="395">
        <v>0</v>
      </c>
      <c r="I7" s="388"/>
      <c r="J7" s="388"/>
    </row>
    <row r="8" spans="1:10" x14ac:dyDescent="0.25">
      <c r="A8" s="393" t="s">
        <v>2438</v>
      </c>
      <c r="B8" s="391">
        <v>10</v>
      </c>
      <c r="C8" s="391">
        <v>8000</v>
      </c>
      <c r="D8" s="391" t="s">
        <v>2439</v>
      </c>
      <c r="E8" s="394">
        <v>0.8</v>
      </c>
      <c r="F8" s="391">
        <v>25</v>
      </c>
      <c r="G8" s="391">
        <v>6</v>
      </c>
      <c r="H8" s="395">
        <v>120</v>
      </c>
      <c r="I8" s="388"/>
      <c r="J8" s="388"/>
    </row>
    <row r="9" spans="1:10" x14ac:dyDescent="0.25">
      <c r="A9" s="393" t="s">
        <v>2434</v>
      </c>
      <c r="B9" s="391">
        <v>80</v>
      </c>
      <c r="C9" s="391">
        <v>1000</v>
      </c>
      <c r="D9" s="391" t="s">
        <v>2435</v>
      </c>
      <c r="E9" s="394">
        <v>0.2</v>
      </c>
      <c r="F9" s="391">
        <v>40</v>
      </c>
      <c r="G9" s="391">
        <v>3</v>
      </c>
      <c r="H9" s="395">
        <v>24</v>
      </c>
      <c r="I9" s="388"/>
      <c r="J9" s="388"/>
    </row>
    <row r="10" spans="1:10" x14ac:dyDescent="0.25">
      <c r="A10" s="393" t="s">
        <v>2437</v>
      </c>
      <c r="B10" s="391">
        <v>100</v>
      </c>
      <c r="C10" s="391" t="s">
        <v>2440</v>
      </c>
      <c r="D10" s="391" t="s">
        <v>2435</v>
      </c>
      <c r="E10" s="394">
        <v>1.25</v>
      </c>
      <c r="F10" s="391">
        <v>10</v>
      </c>
      <c r="G10" s="391">
        <v>4</v>
      </c>
      <c r="H10" s="395">
        <v>50</v>
      </c>
      <c r="I10" s="388"/>
      <c r="J10" s="388"/>
    </row>
    <row r="11" spans="1:10" x14ac:dyDescent="0.25">
      <c r="A11" s="393" t="s">
        <v>2437</v>
      </c>
      <c r="B11" s="391">
        <v>200</v>
      </c>
      <c r="C11" s="391">
        <v>3000</v>
      </c>
      <c r="D11" s="391" t="s">
        <v>2435</v>
      </c>
      <c r="E11" s="394">
        <v>2.5</v>
      </c>
      <c r="F11" s="391">
        <v>15</v>
      </c>
      <c r="G11" s="391">
        <v>1</v>
      </c>
      <c r="H11" s="395">
        <v>37.5</v>
      </c>
      <c r="I11" s="388"/>
      <c r="J11" s="388"/>
    </row>
    <row r="12" spans="1:10" x14ac:dyDescent="0.25">
      <c r="A12" s="393" t="s">
        <v>2438</v>
      </c>
      <c r="B12" s="391">
        <v>25</v>
      </c>
      <c r="C12" s="391" t="s">
        <v>2440</v>
      </c>
      <c r="D12" s="391" t="s">
        <v>2439</v>
      </c>
      <c r="E12" s="394">
        <v>0.5</v>
      </c>
      <c r="F12" s="391">
        <v>10</v>
      </c>
      <c r="G12" s="391">
        <v>3</v>
      </c>
      <c r="H12" s="395">
        <v>15</v>
      </c>
      <c r="I12" s="388"/>
      <c r="J12" s="388"/>
    </row>
    <row r="13" spans="1:10" x14ac:dyDescent="0.25">
      <c r="A13" s="393" t="s">
        <v>2434</v>
      </c>
      <c r="B13" s="391">
        <v>200</v>
      </c>
      <c r="C13" s="391">
        <v>3000</v>
      </c>
      <c r="D13" s="391" t="s">
        <v>2439</v>
      </c>
      <c r="E13" s="394">
        <v>5</v>
      </c>
      <c r="F13" s="391">
        <v>3</v>
      </c>
      <c r="G13" s="391">
        <v>2</v>
      </c>
      <c r="H13" s="395">
        <v>30</v>
      </c>
      <c r="I13" s="388"/>
      <c r="J13" s="388"/>
    </row>
    <row r="14" spans="1:10" x14ac:dyDescent="0.25">
      <c r="A14" s="393" t="s">
        <v>2436</v>
      </c>
      <c r="B14" s="391">
        <v>100</v>
      </c>
      <c r="C14" s="391">
        <v>2000</v>
      </c>
      <c r="D14" s="391" t="s">
        <v>2439</v>
      </c>
      <c r="E14" s="394">
        <v>1.8</v>
      </c>
      <c r="F14" s="391">
        <v>20</v>
      </c>
      <c r="G14" s="391">
        <v>5</v>
      </c>
      <c r="H14" s="395">
        <v>180</v>
      </c>
      <c r="I14" s="388"/>
      <c r="J14" s="388"/>
    </row>
    <row r="15" spans="1:10" x14ac:dyDescent="0.25">
      <c r="A15" s="393" t="s">
        <v>2434</v>
      </c>
      <c r="B15" s="391">
        <v>100</v>
      </c>
      <c r="C15" s="391" t="s">
        <v>2440</v>
      </c>
      <c r="D15" s="391" t="s">
        <v>2439</v>
      </c>
      <c r="E15" s="394">
        <v>0.25</v>
      </c>
      <c r="F15" s="391">
        <v>10</v>
      </c>
      <c r="G15" s="391">
        <v>5</v>
      </c>
      <c r="H15" s="395">
        <v>12.5</v>
      </c>
      <c r="I15" s="388"/>
      <c r="J15" s="388"/>
    </row>
    <row r="16" spans="1:10" x14ac:dyDescent="0.25">
      <c r="A16" s="393" t="s">
        <v>2434</v>
      </c>
      <c r="B16" s="391">
        <v>10</v>
      </c>
      <c r="C16" s="391">
        <v>800</v>
      </c>
      <c r="D16" s="391" t="s">
        <v>2435</v>
      </c>
      <c r="E16" s="394">
        <v>0.2</v>
      </c>
      <c r="F16" s="391">
        <v>25</v>
      </c>
      <c r="G16" s="391">
        <v>2</v>
      </c>
      <c r="H16" s="395">
        <v>10</v>
      </c>
      <c r="I16" s="388"/>
      <c r="J16" s="388"/>
    </row>
    <row r="17" spans="1:9" x14ac:dyDescent="0.25">
      <c r="A17" s="393" t="s">
        <v>2434</v>
      </c>
      <c r="B17" s="391">
        <v>60</v>
      </c>
      <c r="C17" s="391">
        <v>1000</v>
      </c>
      <c r="D17" s="391" t="s">
        <v>2439</v>
      </c>
      <c r="E17" s="394">
        <v>0.15</v>
      </c>
      <c r="F17" s="391">
        <v>25</v>
      </c>
      <c r="G17" s="391">
        <v>1</v>
      </c>
      <c r="H17" s="395">
        <v>3.75</v>
      </c>
      <c r="I17" s="388"/>
    </row>
    <row r="18" spans="1:9" x14ac:dyDescent="0.25">
      <c r="A18" s="393" t="s">
        <v>2434</v>
      </c>
      <c r="B18" s="391">
        <v>80</v>
      </c>
      <c r="C18" s="391">
        <v>1000</v>
      </c>
      <c r="D18" s="391" t="s">
        <v>2439</v>
      </c>
      <c r="E18" s="394">
        <v>0.2</v>
      </c>
      <c r="F18" s="391">
        <v>30</v>
      </c>
      <c r="G18" s="391">
        <v>2</v>
      </c>
      <c r="H18" s="395">
        <v>12</v>
      </c>
      <c r="I18" s="388"/>
    </row>
    <row r="19" spans="1:9" x14ac:dyDescent="0.25">
      <c r="A19" s="393" t="s">
        <v>2434</v>
      </c>
      <c r="B19" s="391">
        <v>100</v>
      </c>
      <c r="C19" s="391">
        <v>2000</v>
      </c>
      <c r="D19" s="391" t="s">
        <v>2435</v>
      </c>
      <c r="E19" s="394">
        <v>0.8</v>
      </c>
      <c r="F19" s="391">
        <v>10</v>
      </c>
      <c r="G19" s="391">
        <v>5</v>
      </c>
      <c r="H19" s="395">
        <v>40</v>
      </c>
      <c r="I19" s="388"/>
    </row>
    <row r="20" spans="1:9" ht="15.75" thickBot="1" x14ac:dyDescent="0.3">
      <c r="A20" s="396" t="s">
        <v>2434</v>
      </c>
      <c r="B20" s="397">
        <v>40</v>
      </c>
      <c r="C20" s="397">
        <v>1000</v>
      </c>
      <c r="D20" s="397" t="s">
        <v>2435</v>
      </c>
      <c r="E20" s="398">
        <v>0.1</v>
      </c>
      <c r="F20" s="397">
        <v>20</v>
      </c>
      <c r="G20" s="397">
        <v>5</v>
      </c>
      <c r="H20" s="395">
        <v>10</v>
      </c>
      <c r="I20" s="388"/>
    </row>
    <row r="21" spans="1:9" ht="15.75" thickTop="1" x14ac:dyDescent="0.25">
      <c r="A21" s="388"/>
      <c r="B21" s="388"/>
      <c r="C21" s="388"/>
      <c r="D21" s="388"/>
      <c r="E21" s="388"/>
      <c r="F21" s="388"/>
      <c r="G21" s="388"/>
      <c r="H21" s="388"/>
      <c r="I21" s="388"/>
    </row>
    <row r="22" spans="1:9" x14ac:dyDescent="0.25">
      <c r="A22" s="389" t="s">
        <v>2466</v>
      </c>
      <c r="B22" s="388"/>
      <c r="C22" s="388"/>
      <c r="D22" s="388"/>
      <c r="E22" s="388"/>
      <c r="F22" s="388"/>
      <c r="G22" s="388"/>
      <c r="H22" s="388"/>
      <c r="I22" s="388"/>
    </row>
    <row r="23" spans="1:9" ht="15.75" thickBot="1" x14ac:dyDescent="0.3">
      <c r="A23" s="388"/>
      <c r="B23" s="388"/>
      <c r="C23" s="388"/>
      <c r="D23" s="388"/>
      <c r="E23" s="388"/>
      <c r="F23" s="388"/>
      <c r="G23" s="388"/>
      <c r="H23" s="388"/>
      <c r="I23" s="388"/>
    </row>
    <row r="24" spans="1:9" ht="15.75" thickTop="1" x14ac:dyDescent="0.25">
      <c r="A24" s="388"/>
      <c r="B24" s="388"/>
      <c r="C24" s="388"/>
      <c r="D24" s="399" t="s">
        <v>1045</v>
      </c>
      <c r="E24" s="400" t="s">
        <v>2442</v>
      </c>
      <c r="F24" s="388"/>
      <c r="G24" s="388"/>
      <c r="H24" s="388"/>
      <c r="I24" s="388"/>
    </row>
    <row r="25" spans="1:9" ht="15.75" thickBot="1" x14ac:dyDescent="0.3">
      <c r="A25" s="388"/>
      <c r="B25" s="388"/>
      <c r="C25" s="401" t="s">
        <v>2443</v>
      </c>
      <c r="D25" s="402" t="s">
        <v>2435</v>
      </c>
      <c r="E25" s="388"/>
      <c r="F25" s="388"/>
      <c r="G25" s="388"/>
      <c r="H25" s="388"/>
      <c r="I25" s="388"/>
    </row>
    <row r="26" spans="1:9" ht="15.75" thickTop="1" x14ac:dyDescent="0.25">
      <c r="A26" s="388"/>
      <c r="B26" s="388"/>
      <c r="C26" s="388"/>
      <c r="D26" s="388"/>
      <c r="E26" s="388"/>
      <c r="F26" s="388"/>
      <c r="G26" s="388"/>
      <c r="H26" s="388"/>
      <c r="I26" s="388"/>
    </row>
    <row r="27" spans="1:9" x14ac:dyDescent="0.25">
      <c r="A27" s="390"/>
      <c r="B27" s="390"/>
      <c r="C27" s="401" t="s">
        <v>2467</v>
      </c>
      <c r="D27" s="326">
        <f>DCOUNT(A4:H20,C4,D24:D25)</f>
        <v>7</v>
      </c>
      <c r="E27" s="392"/>
      <c r="F27" s="388"/>
      <c r="G27" s="388"/>
      <c r="H27" s="388"/>
      <c r="I27" s="388"/>
    </row>
    <row r="28" spans="1:9" x14ac:dyDescent="0.25">
      <c r="A28" s="388"/>
      <c r="B28" s="388"/>
      <c r="C28" s="388"/>
      <c r="D28" s="388"/>
      <c r="E28" s="388"/>
      <c r="F28" s="388"/>
      <c r="G28" s="388"/>
      <c r="H28" s="388"/>
      <c r="I28" s="388"/>
    </row>
    <row r="29" spans="1:9" x14ac:dyDescent="0.25">
      <c r="A29" s="388"/>
      <c r="B29" s="388"/>
      <c r="C29" s="388"/>
      <c r="D29" s="388"/>
      <c r="E29" s="388"/>
      <c r="F29" s="388"/>
      <c r="G29" s="388"/>
      <c r="H29" s="388"/>
      <c r="I29" s="388"/>
    </row>
    <row r="30" spans="1:9" x14ac:dyDescent="0.25">
      <c r="A30" s="403" t="s">
        <v>2468</v>
      </c>
      <c r="B30" s="388"/>
      <c r="C30" s="388"/>
      <c r="D30" s="388"/>
      <c r="E30" s="388"/>
      <c r="F30" s="388"/>
      <c r="G30" s="388"/>
      <c r="H30" s="388"/>
      <c r="I30" s="388"/>
    </row>
    <row r="31" spans="1:9" ht="15.75" thickBot="1" x14ac:dyDescent="0.3">
      <c r="A31" s="388"/>
      <c r="B31" s="388"/>
      <c r="C31" s="388"/>
      <c r="D31" s="388"/>
      <c r="E31" s="388"/>
      <c r="F31" s="388"/>
      <c r="G31" s="388"/>
      <c r="H31" s="388"/>
      <c r="I31" s="388"/>
    </row>
    <row r="32" spans="1:9" ht="27" thickTop="1" x14ac:dyDescent="0.25">
      <c r="A32" s="388"/>
      <c r="B32" s="388"/>
      <c r="C32" s="388"/>
      <c r="D32" s="404" t="s">
        <v>870</v>
      </c>
      <c r="E32" s="413" t="s">
        <v>2432</v>
      </c>
      <c r="F32" s="388"/>
      <c r="G32" s="388"/>
      <c r="H32" s="388"/>
      <c r="I32" s="388"/>
    </row>
    <row r="33" spans="1:9" ht="15.75" thickBot="1" x14ac:dyDescent="0.3">
      <c r="A33" s="388"/>
      <c r="B33" s="388"/>
      <c r="C33" s="388"/>
      <c r="D33" s="406" t="s">
        <v>2434</v>
      </c>
      <c r="E33" s="407">
        <v>5</v>
      </c>
      <c r="F33" s="388"/>
      <c r="G33" s="388"/>
      <c r="H33" s="388"/>
      <c r="I33" s="388"/>
    </row>
    <row r="34" spans="1:9" ht="15.75" thickTop="1" x14ac:dyDescent="0.25">
      <c r="A34" s="388"/>
      <c r="B34" s="388"/>
      <c r="C34" s="388"/>
      <c r="D34" s="388"/>
      <c r="E34" s="388"/>
      <c r="F34" s="388"/>
      <c r="G34" s="388"/>
      <c r="H34" s="388"/>
      <c r="I34" s="388"/>
    </row>
    <row r="35" spans="1:9" x14ac:dyDescent="0.25">
      <c r="A35" s="388"/>
      <c r="B35" s="388"/>
      <c r="C35" s="401" t="s">
        <v>2469</v>
      </c>
      <c r="D35" s="326">
        <f>DCOUNT(A4:H20,G4,D32:E33)</f>
        <v>3</v>
      </c>
      <c r="E35" s="392"/>
      <c r="F35" s="388"/>
      <c r="G35" s="388"/>
      <c r="H35" s="388"/>
      <c r="I35" s="388"/>
    </row>
    <row r="36" spans="1:9" x14ac:dyDescent="0.25">
      <c r="A36" s="388"/>
      <c r="B36" s="388"/>
      <c r="C36" s="388"/>
      <c r="D36" s="388"/>
      <c r="E36" s="388"/>
      <c r="F36" s="388"/>
      <c r="G36" s="388"/>
      <c r="H36" s="388"/>
      <c r="I36" s="388"/>
    </row>
    <row r="37" spans="1:9" x14ac:dyDescent="0.25">
      <c r="A37" s="388"/>
      <c r="B37" s="388"/>
      <c r="C37" s="388"/>
      <c r="D37" s="388"/>
      <c r="E37" s="388"/>
      <c r="F37" s="388"/>
      <c r="G37" s="388"/>
      <c r="H37" s="388"/>
      <c r="I37" s="388"/>
    </row>
    <row r="38" spans="1:9" x14ac:dyDescent="0.25">
      <c r="A38" s="408" t="s">
        <v>2470</v>
      </c>
      <c r="B38" s="409"/>
      <c r="C38" s="409"/>
      <c r="D38" s="409"/>
      <c r="E38" s="409"/>
      <c r="F38" s="409"/>
      <c r="G38" s="409"/>
      <c r="H38" s="409"/>
      <c r="I38" s="409"/>
    </row>
    <row r="39" spans="1:9" ht="15.75" thickBot="1" x14ac:dyDescent="0.3">
      <c r="A39" s="388"/>
      <c r="B39" s="388"/>
      <c r="C39" s="388"/>
      <c r="D39" s="388"/>
      <c r="E39" s="388"/>
      <c r="F39" s="388"/>
      <c r="G39" s="388"/>
      <c r="H39" s="388"/>
      <c r="I39" s="388"/>
    </row>
    <row r="40" spans="1:9" ht="15.75" thickTop="1" x14ac:dyDescent="0.25">
      <c r="A40" s="388"/>
      <c r="B40" s="388"/>
      <c r="C40" s="388"/>
      <c r="D40" s="404" t="s">
        <v>870</v>
      </c>
      <c r="E40" s="405" t="s">
        <v>2428</v>
      </c>
      <c r="F40" s="388"/>
      <c r="G40" s="388"/>
      <c r="H40" s="388"/>
      <c r="I40" s="388"/>
    </row>
    <row r="41" spans="1:9" ht="15.75" thickBot="1" x14ac:dyDescent="0.3">
      <c r="A41" s="388"/>
      <c r="B41" s="388"/>
      <c r="C41" s="388"/>
      <c r="D41" s="406" t="s">
        <v>2434</v>
      </c>
      <c r="E41" s="407">
        <v>100</v>
      </c>
      <c r="F41" s="388"/>
      <c r="G41" s="388"/>
      <c r="H41" s="388"/>
      <c r="I41" s="388"/>
    </row>
    <row r="42" spans="1:9" ht="15.75" thickTop="1" x14ac:dyDescent="0.25">
      <c r="A42" s="388"/>
      <c r="B42" s="388"/>
      <c r="C42" s="388"/>
      <c r="D42" s="388"/>
      <c r="E42" s="388"/>
      <c r="F42" s="388"/>
      <c r="G42" s="388"/>
      <c r="H42" s="388"/>
      <c r="I42" s="388"/>
    </row>
    <row r="43" spans="1:9" x14ac:dyDescent="0.25">
      <c r="A43" s="388"/>
      <c r="B43" s="388"/>
      <c r="C43" s="401" t="s">
        <v>2471</v>
      </c>
      <c r="D43" s="326">
        <f>DCOUNT(A4:H20,G4,D40:E41)</f>
        <v>2</v>
      </c>
      <c r="E43" s="392"/>
      <c r="F43" s="388"/>
      <c r="G43" s="388"/>
      <c r="H43" s="388"/>
      <c r="I43" s="388"/>
    </row>
    <row r="44" spans="1:9" x14ac:dyDescent="0.25">
      <c r="A44" s="388"/>
      <c r="B44" s="388"/>
      <c r="C44" s="388"/>
      <c r="D44" s="388"/>
      <c r="E44" s="388"/>
      <c r="F44" s="388"/>
      <c r="G44" s="388"/>
      <c r="H44" s="388"/>
      <c r="I44" s="388"/>
    </row>
    <row r="45" spans="1:9" x14ac:dyDescent="0.25">
      <c r="A45" s="408" t="s">
        <v>2472</v>
      </c>
      <c r="B45" s="409"/>
      <c r="C45" s="409"/>
      <c r="D45" s="409"/>
      <c r="E45" s="409"/>
      <c r="F45" s="409"/>
      <c r="G45" s="409"/>
      <c r="H45" s="409"/>
      <c r="I45" s="409"/>
    </row>
    <row r="46" spans="1:9" ht="15.75" thickBot="1" x14ac:dyDescent="0.3">
      <c r="A46" s="388"/>
      <c r="B46" s="388"/>
      <c r="C46" s="388"/>
      <c r="D46" s="388"/>
      <c r="E46" s="388"/>
      <c r="F46" s="388"/>
      <c r="G46" s="388"/>
      <c r="H46" s="388"/>
      <c r="I46" s="388"/>
    </row>
    <row r="47" spans="1:9" ht="15.75" thickTop="1" x14ac:dyDescent="0.25">
      <c r="A47" s="388"/>
      <c r="B47" s="388"/>
      <c r="C47" s="388"/>
      <c r="D47" s="404" t="s">
        <v>870</v>
      </c>
      <c r="E47" s="414" t="s">
        <v>2428</v>
      </c>
      <c r="F47" s="405" t="s">
        <v>2428</v>
      </c>
      <c r="G47" s="388"/>
      <c r="H47" s="388"/>
      <c r="I47" s="388"/>
    </row>
    <row r="48" spans="1:9" ht="15.75" thickBot="1" x14ac:dyDescent="0.3">
      <c r="A48" s="388"/>
      <c r="B48" s="388"/>
      <c r="C48" s="388"/>
      <c r="D48" s="406" t="s">
        <v>2434</v>
      </c>
      <c r="E48" s="415" t="s">
        <v>2473</v>
      </c>
      <c r="F48" s="407" t="s">
        <v>2474</v>
      </c>
      <c r="G48" s="388"/>
      <c r="H48" s="388"/>
      <c r="I48" s="388"/>
    </row>
    <row r="49" spans="1:9" ht="15.75" thickTop="1" x14ac:dyDescent="0.25">
      <c r="A49" s="388"/>
      <c r="B49" s="388"/>
      <c r="C49" s="388"/>
      <c r="D49" s="388"/>
      <c r="E49" s="388"/>
      <c r="F49" s="388"/>
      <c r="G49" s="388"/>
      <c r="H49" s="388"/>
      <c r="I49" s="388"/>
    </row>
    <row r="50" spans="1:9" x14ac:dyDescent="0.25">
      <c r="A50" s="388"/>
      <c r="B50" s="388"/>
      <c r="C50" s="401" t="s">
        <v>2471</v>
      </c>
      <c r="D50" s="326">
        <f>DCOUNT(A4:H20,G4,D47:F48)</f>
        <v>4</v>
      </c>
      <c r="E50" s="392"/>
      <c r="F50" s="388"/>
      <c r="G50" s="388"/>
      <c r="H50" s="388"/>
      <c r="I50" s="388"/>
    </row>
    <row r="51" spans="1:9" x14ac:dyDescent="0.25">
      <c r="A51" s="388"/>
      <c r="B51" s="388"/>
      <c r="C51" s="388"/>
      <c r="D51" s="388"/>
      <c r="E51" s="388"/>
      <c r="F51" s="388"/>
      <c r="G51" s="388"/>
      <c r="H51" s="388"/>
      <c r="I51" s="388"/>
    </row>
    <row r="52" spans="1:9" x14ac:dyDescent="0.25">
      <c r="A52" s="388"/>
      <c r="B52" s="388"/>
      <c r="C52" s="388"/>
      <c r="D52" s="388"/>
      <c r="E52" s="388"/>
      <c r="F52" s="388"/>
      <c r="G52" s="388"/>
      <c r="H52" s="388"/>
      <c r="I52" s="388"/>
    </row>
    <row r="53" spans="1:9" x14ac:dyDescent="0.25">
      <c r="A53" s="388"/>
      <c r="B53" s="388"/>
      <c r="C53" s="388"/>
      <c r="D53" s="388"/>
      <c r="E53" s="388"/>
      <c r="F53" s="388"/>
      <c r="G53" s="388"/>
      <c r="H53" s="388"/>
      <c r="I53" s="388"/>
    </row>
    <row r="54" spans="1:9" x14ac:dyDescent="0.25">
      <c r="A54" s="388"/>
      <c r="B54" s="388"/>
      <c r="C54" s="388"/>
      <c r="D54" s="388"/>
      <c r="E54" s="388"/>
      <c r="F54" s="388"/>
      <c r="G54" s="388"/>
      <c r="H54" s="388"/>
      <c r="I54" s="388"/>
    </row>
  </sheetData>
  <mergeCells count="2">
    <mergeCell ref="A1:J1"/>
    <mergeCell ref="A2:J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7B966-B754-4A73-BD30-0AAE4E1DEA78}">
  <dimension ref="A1:J53"/>
  <sheetViews>
    <sheetView workbookViewId="0">
      <selection activeCell="I49" sqref="I49"/>
    </sheetView>
  </sheetViews>
  <sheetFormatPr defaultRowHeight="15" x14ac:dyDescent="0.25"/>
  <sheetData>
    <row r="1" spans="1:10" ht="18.75" x14ac:dyDescent="0.3">
      <c r="A1" s="543" t="s">
        <v>2475</v>
      </c>
      <c r="B1" s="544"/>
      <c r="C1" s="544"/>
      <c r="D1" s="544"/>
      <c r="E1" s="544"/>
      <c r="F1" s="544"/>
      <c r="G1" s="544"/>
      <c r="H1" s="544"/>
      <c r="I1" s="544"/>
      <c r="J1" s="544"/>
    </row>
    <row r="2" spans="1:10" x14ac:dyDescent="0.25">
      <c r="A2" s="545" t="s">
        <v>2476</v>
      </c>
      <c r="B2" s="544"/>
      <c r="C2" s="544"/>
      <c r="D2" s="544"/>
      <c r="E2" s="544"/>
      <c r="F2" s="544"/>
      <c r="G2" s="544"/>
      <c r="H2" s="544"/>
      <c r="I2" s="544"/>
      <c r="J2" s="544"/>
    </row>
    <row r="3" spans="1:10" ht="15.75" thickBot="1" x14ac:dyDescent="0.3">
      <c r="A3" s="416"/>
      <c r="B3" s="416"/>
      <c r="C3" s="416"/>
      <c r="D3" s="416"/>
      <c r="E3" s="416"/>
      <c r="F3" s="416"/>
      <c r="G3" s="416"/>
      <c r="H3" s="416"/>
      <c r="I3" s="416"/>
      <c r="J3" s="416"/>
    </row>
    <row r="4" spans="1:10" ht="27" thickTop="1" x14ac:dyDescent="0.25">
      <c r="A4" s="420" t="s">
        <v>870</v>
      </c>
      <c r="B4" s="421" t="s">
        <v>2428</v>
      </c>
      <c r="C4" s="421" t="s">
        <v>2429</v>
      </c>
      <c r="D4" s="421" t="s">
        <v>1045</v>
      </c>
      <c r="E4" s="421" t="s">
        <v>2430</v>
      </c>
      <c r="F4" s="421" t="s">
        <v>2431</v>
      </c>
      <c r="G4" s="421" t="s">
        <v>2432</v>
      </c>
      <c r="H4" s="422" t="s">
        <v>2433</v>
      </c>
      <c r="I4" s="416"/>
      <c r="J4" s="416"/>
    </row>
    <row r="5" spans="1:10" x14ac:dyDescent="0.25">
      <c r="A5" s="423" t="s">
        <v>2434</v>
      </c>
      <c r="B5" s="418">
        <v>200</v>
      </c>
      <c r="C5" s="418">
        <v>3000</v>
      </c>
      <c r="D5" s="418" t="s">
        <v>2435</v>
      </c>
      <c r="E5" s="424">
        <v>4.5</v>
      </c>
      <c r="F5" s="418">
        <v>4</v>
      </c>
      <c r="G5" s="418">
        <v>3</v>
      </c>
      <c r="H5" s="425">
        <v>54</v>
      </c>
      <c r="I5" s="416"/>
      <c r="J5" s="416"/>
    </row>
    <row r="6" spans="1:10" x14ac:dyDescent="0.25">
      <c r="A6" s="423" t="s">
        <v>2436</v>
      </c>
      <c r="B6" s="418">
        <v>100</v>
      </c>
      <c r="C6" s="418">
        <v>2000</v>
      </c>
      <c r="D6" s="418" t="s">
        <v>2435</v>
      </c>
      <c r="E6" s="424">
        <v>2</v>
      </c>
      <c r="F6" s="418">
        <v>15</v>
      </c>
      <c r="G6" s="418">
        <v>2</v>
      </c>
      <c r="H6" s="425">
        <v>60</v>
      </c>
      <c r="I6" s="416"/>
      <c r="J6" s="416"/>
    </row>
    <row r="7" spans="1:10" x14ac:dyDescent="0.25">
      <c r="A7" s="423" t="s">
        <v>2437</v>
      </c>
      <c r="B7" s="418">
        <v>60</v>
      </c>
      <c r="C7" s="418"/>
      <c r="D7" s="418"/>
      <c r="E7" s="424"/>
      <c r="F7" s="418"/>
      <c r="G7" s="418"/>
      <c r="H7" s="425">
        <v>0</v>
      </c>
      <c r="I7" s="416"/>
      <c r="J7" s="416"/>
    </row>
    <row r="8" spans="1:10" x14ac:dyDescent="0.25">
      <c r="A8" s="423" t="s">
        <v>2438</v>
      </c>
      <c r="B8" s="418">
        <v>10</v>
      </c>
      <c r="C8" s="418">
        <v>8000</v>
      </c>
      <c r="D8" s="418" t="s">
        <v>2439</v>
      </c>
      <c r="E8" s="424">
        <v>0.8</v>
      </c>
      <c r="F8" s="418">
        <v>25</v>
      </c>
      <c r="G8" s="418">
        <v>6</v>
      </c>
      <c r="H8" s="425">
        <v>120</v>
      </c>
      <c r="I8" s="416"/>
      <c r="J8" s="416"/>
    </row>
    <row r="9" spans="1:10" x14ac:dyDescent="0.25">
      <c r="A9" s="423" t="s">
        <v>2434</v>
      </c>
      <c r="B9" s="418">
        <v>80</v>
      </c>
      <c r="C9" s="418">
        <v>1000</v>
      </c>
      <c r="D9" s="418" t="s">
        <v>2435</v>
      </c>
      <c r="E9" s="424">
        <v>0.2</v>
      </c>
      <c r="F9" s="418">
        <v>40</v>
      </c>
      <c r="G9" s="418">
        <v>3</v>
      </c>
      <c r="H9" s="425">
        <v>24</v>
      </c>
      <c r="I9" s="416"/>
      <c r="J9" s="416"/>
    </row>
    <row r="10" spans="1:10" x14ac:dyDescent="0.25">
      <c r="A10" s="423" t="s">
        <v>2437</v>
      </c>
      <c r="B10" s="418">
        <v>100</v>
      </c>
      <c r="C10" s="418" t="s">
        <v>2440</v>
      </c>
      <c r="D10" s="418" t="s">
        <v>2435</v>
      </c>
      <c r="E10" s="424">
        <v>1.25</v>
      </c>
      <c r="F10" s="418">
        <v>10</v>
      </c>
      <c r="G10" s="418">
        <v>4</v>
      </c>
      <c r="H10" s="425">
        <v>50</v>
      </c>
      <c r="I10" s="416"/>
      <c r="J10" s="416"/>
    </row>
    <row r="11" spans="1:10" x14ac:dyDescent="0.25">
      <c r="A11" s="423" t="s">
        <v>2437</v>
      </c>
      <c r="B11" s="418">
        <v>200</v>
      </c>
      <c r="C11" s="418">
        <v>3000</v>
      </c>
      <c r="D11" s="418" t="s">
        <v>2435</v>
      </c>
      <c r="E11" s="424">
        <v>2.5</v>
      </c>
      <c r="F11" s="418">
        <v>15</v>
      </c>
      <c r="G11" s="418">
        <v>1</v>
      </c>
      <c r="H11" s="425">
        <v>37.5</v>
      </c>
      <c r="I11" s="416"/>
      <c r="J11" s="416"/>
    </row>
    <row r="12" spans="1:10" x14ac:dyDescent="0.25">
      <c r="A12" s="423" t="s">
        <v>2438</v>
      </c>
      <c r="B12" s="418">
        <v>25</v>
      </c>
      <c r="C12" s="418" t="s">
        <v>2440</v>
      </c>
      <c r="D12" s="418" t="s">
        <v>2439</v>
      </c>
      <c r="E12" s="424">
        <v>0.5</v>
      </c>
      <c r="F12" s="418">
        <v>10</v>
      </c>
      <c r="G12" s="418">
        <v>3</v>
      </c>
      <c r="H12" s="425">
        <v>15</v>
      </c>
      <c r="I12" s="416"/>
      <c r="J12" s="416"/>
    </row>
    <row r="13" spans="1:10" x14ac:dyDescent="0.25">
      <c r="A13" s="423" t="s">
        <v>2434</v>
      </c>
      <c r="B13" s="418">
        <v>200</v>
      </c>
      <c r="C13" s="418">
        <v>3000</v>
      </c>
      <c r="D13" s="418" t="s">
        <v>2439</v>
      </c>
      <c r="E13" s="424">
        <v>5</v>
      </c>
      <c r="F13" s="418">
        <v>3</v>
      </c>
      <c r="G13" s="418">
        <v>2</v>
      </c>
      <c r="H13" s="425">
        <v>30</v>
      </c>
      <c r="I13" s="416"/>
      <c r="J13" s="416"/>
    </row>
    <row r="14" spans="1:10" x14ac:dyDescent="0.25">
      <c r="A14" s="423" t="s">
        <v>2436</v>
      </c>
      <c r="B14" s="418">
        <v>100</v>
      </c>
      <c r="C14" s="418">
        <v>2000</v>
      </c>
      <c r="D14" s="418" t="s">
        <v>2439</v>
      </c>
      <c r="E14" s="424">
        <v>1.8</v>
      </c>
      <c r="F14" s="418">
        <v>20</v>
      </c>
      <c r="G14" s="418">
        <v>5</v>
      </c>
      <c r="H14" s="425">
        <v>180</v>
      </c>
      <c r="I14" s="416"/>
      <c r="J14" s="416"/>
    </row>
    <row r="15" spans="1:10" x14ac:dyDescent="0.25">
      <c r="A15" s="423" t="s">
        <v>2434</v>
      </c>
      <c r="B15" s="418">
        <v>100</v>
      </c>
      <c r="C15" s="418" t="s">
        <v>2440</v>
      </c>
      <c r="D15" s="418" t="s">
        <v>2439</v>
      </c>
      <c r="E15" s="424">
        <v>0.25</v>
      </c>
      <c r="F15" s="418">
        <v>10</v>
      </c>
      <c r="G15" s="418">
        <v>5</v>
      </c>
      <c r="H15" s="425">
        <v>12.5</v>
      </c>
      <c r="I15" s="416"/>
      <c r="J15" s="416"/>
    </row>
    <row r="16" spans="1:10" x14ac:dyDescent="0.25">
      <c r="A16" s="423" t="s">
        <v>2434</v>
      </c>
      <c r="B16" s="418">
        <v>10</v>
      </c>
      <c r="C16" s="418">
        <v>800</v>
      </c>
      <c r="D16" s="418" t="s">
        <v>2435</v>
      </c>
      <c r="E16" s="424">
        <v>0.2</v>
      </c>
      <c r="F16" s="418">
        <v>25</v>
      </c>
      <c r="G16" s="418">
        <v>2</v>
      </c>
      <c r="H16" s="425">
        <v>10</v>
      </c>
      <c r="I16" s="416"/>
      <c r="J16" s="416"/>
    </row>
    <row r="17" spans="1:9" x14ac:dyDescent="0.25">
      <c r="A17" s="423" t="s">
        <v>2434</v>
      </c>
      <c r="B17" s="418">
        <v>60</v>
      </c>
      <c r="C17" s="418">
        <v>1000</v>
      </c>
      <c r="D17" s="418" t="s">
        <v>2439</v>
      </c>
      <c r="E17" s="424">
        <v>0.15</v>
      </c>
      <c r="F17" s="418">
        <v>25</v>
      </c>
      <c r="G17" s="418">
        <v>1</v>
      </c>
      <c r="H17" s="425">
        <v>3.75</v>
      </c>
      <c r="I17" s="416"/>
    </row>
    <row r="18" spans="1:9" x14ac:dyDescent="0.25">
      <c r="A18" s="423" t="s">
        <v>2434</v>
      </c>
      <c r="B18" s="418">
        <v>80</v>
      </c>
      <c r="C18" s="418">
        <v>1000</v>
      </c>
      <c r="D18" s="418" t="s">
        <v>2439</v>
      </c>
      <c r="E18" s="424">
        <v>0.2</v>
      </c>
      <c r="F18" s="418">
        <v>30</v>
      </c>
      <c r="G18" s="418">
        <v>2</v>
      </c>
      <c r="H18" s="425">
        <v>12</v>
      </c>
      <c r="I18" s="416"/>
    </row>
    <row r="19" spans="1:9" x14ac:dyDescent="0.25">
      <c r="A19" s="423" t="s">
        <v>2434</v>
      </c>
      <c r="B19" s="418">
        <v>100</v>
      </c>
      <c r="C19" s="418">
        <v>2000</v>
      </c>
      <c r="D19" s="418" t="s">
        <v>2435</v>
      </c>
      <c r="E19" s="424">
        <v>0.8</v>
      </c>
      <c r="F19" s="418">
        <v>10</v>
      </c>
      <c r="G19" s="418">
        <v>5</v>
      </c>
      <c r="H19" s="425">
        <v>40</v>
      </c>
      <c r="I19" s="416"/>
    </row>
    <row r="20" spans="1:9" ht="15.75" thickBot="1" x14ac:dyDescent="0.3">
      <c r="A20" s="426" t="s">
        <v>2434</v>
      </c>
      <c r="B20" s="427">
        <v>40</v>
      </c>
      <c r="C20" s="427">
        <v>1000</v>
      </c>
      <c r="D20" s="427" t="s">
        <v>2435</v>
      </c>
      <c r="E20" s="428">
        <v>0.1</v>
      </c>
      <c r="F20" s="427">
        <v>20</v>
      </c>
      <c r="G20" s="427">
        <v>5</v>
      </c>
      <c r="H20" s="425">
        <v>10</v>
      </c>
      <c r="I20" s="416"/>
    </row>
    <row r="21" spans="1:9" ht="15.75" thickTop="1" x14ac:dyDescent="0.25">
      <c r="A21" s="416"/>
      <c r="B21" s="416"/>
      <c r="C21" s="416"/>
      <c r="D21" s="416"/>
      <c r="E21" s="416"/>
      <c r="F21" s="416"/>
      <c r="G21" s="416"/>
      <c r="H21" s="416"/>
      <c r="I21" s="416"/>
    </row>
    <row r="22" spans="1:9" x14ac:dyDescent="0.25">
      <c r="A22" s="551" t="s">
        <v>2477</v>
      </c>
      <c r="B22" s="416"/>
      <c r="C22" s="416"/>
      <c r="D22" s="416"/>
      <c r="E22" s="416"/>
      <c r="F22" s="416"/>
      <c r="G22" s="416"/>
      <c r="H22" s="416"/>
      <c r="I22" s="416"/>
    </row>
    <row r="23" spans="1:9" ht="15.75" thickBot="1" x14ac:dyDescent="0.3">
      <c r="A23" s="416"/>
      <c r="B23" s="416"/>
      <c r="C23" s="416"/>
      <c r="D23" s="416"/>
      <c r="E23" s="416"/>
      <c r="F23" s="416"/>
      <c r="G23" s="416"/>
      <c r="H23" s="416"/>
      <c r="I23" s="416"/>
    </row>
    <row r="24" spans="1:9" ht="15.75" thickTop="1" x14ac:dyDescent="0.25">
      <c r="A24" s="416"/>
      <c r="B24" s="416"/>
      <c r="C24" s="416"/>
      <c r="D24" s="429" t="s">
        <v>1045</v>
      </c>
      <c r="E24" s="430" t="s">
        <v>2442</v>
      </c>
      <c r="F24" s="416"/>
      <c r="G24" s="416"/>
      <c r="H24" s="416"/>
      <c r="I24" s="416"/>
    </row>
    <row r="25" spans="1:9" ht="15.75" thickBot="1" x14ac:dyDescent="0.3">
      <c r="A25" s="416"/>
      <c r="B25" s="416"/>
      <c r="C25" s="431" t="s">
        <v>2443</v>
      </c>
      <c r="D25" s="432" t="s">
        <v>2435</v>
      </c>
      <c r="E25" s="416"/>
      <c r="F25" s="416"/>
      <c r="G25" s="416"/>
      <c r="H25" s="416"/>
      <c r="I25" s="416"/>
    </row>
    <row r="26" spans="1:9" ht="15.75" thickTop="1" x14ac:dyDescent="0.25">
      <c r="A26" s="416"/>
      <c r="B26" s="416"/>
      <c r="C26" s="416"/>
      <c r="D26" s="416"/>
      <c r="E26" s="416"/>
      <c r="F26" s="416"/>
      <c r="G26" s="416"/>
      <c r="H26" s="416"/>
      <c r="I26" s="416"/>
    </row>
    <row r="27" spans="1:9" x14ac:dyDescent="0.25">
      <c r="A27" s="417"/>
      <c r="B27" s="417"/>
      <c r="C27" s="431" t="s">
        <v>2467</v>
      </c>
      <c r="D27" s="326">
        <f>DCOUNTA(A4:H20,D4,D24:D25)</f>
        <v>8</v>
      </c>
      <c r="E27" s="419"/>
      <c r="F27" s="416"/>
      <c r="G27" s="416"/>
      <c r="H27" s="416"/>
      <c r="I27" s="416"/>
    </row>
    <row r="28" spans="1:9" x14ac:dyDescent="0.25">
      <c r="A28" s="416"/>
      <c r="B28" s="416"/>
      <c r="C28" s="416"/>
      <c r="D28" s="416"/>
      <c r="E28" s="416"/>
      <c r="F28" s="416"/>
      <c r="G28" s="416"/>
      <c r="H28" s="416"/>
      <c r="I28" s="416"/>
    </row>
    <row r="29" spans="1:9" x14ac:dyDescent="0.25">
      <c r="A29" s="416"/>
      <c r="B29" s="416"/>
      <c r="C29" s="416"/>
      <c r="D29" s="416"/>
      <c r="E29" s="416"/>
      <c r="F29" s="416"/>
      <c r="G29" s="416"/>
      <c r="H29" s="416"/>
      <c r="I29" s="416"/>
    </row>
    <row r="30" spans="1:9" x14ac:dyDescent="0.25">
      <c r="A30" s="433" t="s">
        <v>2478</v>
      </c>
      <c r="B30" s="416"/>
      <c r="C30" s="416"/>
      <c r="D30" s="416"/>
      <c r="E30" s="416"/>
      <c r="F30" s="416"/>
      <c r="G30" s="416"/>
      <c r="H30" s="416"/>
      <c r="I30" s="416"/>
    </row>
    <row r="31" spans="1:9" ht="15.75" thickBot="1" x14ac:dyDescent="0.3">
      <c r="A31" s="416"/>
      <c r="B31" s="416"/>
      <c r="C31" s="416"/>
      <c r="D31" s="416"/>
      <c r="E31" s="416"/>
      <c r="F31" s="416"/>
      <c r="G31" s="416"/>
      <c r="H31" s="416"/>
      <c r="I31" s="416"/>
    </row>
    <row r="32" spans="1:9" ht="27" thickTop="1" x14ac:dyDescent="0.25">
      <c r="A32" s="416"/>
      <c r="B32" s="416"/>
      <c r="C32" s="416"/>
      <c r="D32" s="434" t="s">
        <v>870</v>
      </c>
      <c r="E32" s="440" t="s">
        <v>2429</v>
      </c>
      <c r="F32" s="416"/>
      <c r="G32" s="416"/>
      <c r="H32" s="416"/>
      <c r="I32" s="416"/>
    </row>
    <row r="33" spans="1:9" ht="15.75" thickBot="1" x14ac:dyDescent="0.3">
      <c r="A33" s="416"/>
      <c r="B33" s="416"/>
      <c r="C33" s="416"/>
      <c r="D33" s="436" t="s">
        <v>2434</v>
      </c>
      <c r="E33" s="437" t="s">
        <v>2440</v>
      </c>
      <c r="F33" s="416"/>
      <c r="G33" s="416"/>
      <c r="H33" s="416"/>
      <c r="I33" s="416"/>
    </row>
    <row r="34" spans="1:9" ht="15.75" thickTop="1" x14ac:dyDescent="0.25">
      <c r="A34" s="416"/>
      <c r="B34" s="416"/>
      <c r="C34" s="416"/>
      <c r="D34" s="416"/>
      <c r="E34" s="416"/>
      <c r="F34" s="416"/>
      <c r="G34" s="416"/>
      <c r="H34" s="416"/>
      <c r="I34" s="416"/>
    </row>
    <row r="35" spans="1:9" x14ac:dyDescent="0.25">
      <c r="A35" s="416"/>
      <c r="B35" s="416"/>
      <c r="C35" s="431" t="s">
        <v>2469</v>
      </c>
      <c r="D35" s="326">
        <f>DCOUNTA(A4:H20,C4,D32:E33)</f>
        <v>1</v>
      </c>
      <c r="E35" s="419"/>
      <c r="F35" s="416"/>
      <c r="G35" s="416"/>
      <c r="H35" s="416"/>
      <c r="I35" s="416"/>
    </row>
    <row r="36" spans="1:9" x14ac:dyDescent="0.25">
      <c r="A36" s="416"/>
      <c r="B36" s="416"/>
      <c r="C36" s="416"/>
      <c r="D36" s="416"/>
      <c r="E36" s="416"/>
      <c r="F36" s="416"/>
      <c r="G36" s="416"/>
      <c r="H36" s="416"/>
      <c r="I36" s="416"/>
    </row>
    <row r="37" spans="1:9" x14ac:dyDescent="0.25">
      <c r="A37" s="416"/>
      <c r="B37" s="416"/>
      <c r="C37" s="416"/>
      <c r="D37" s="416"/>
      <c r="E37" s="416"/>
      <c r="F37" s="416"/>
      <c r="G37" s="416"/>
      <c r="H37" s="416"/>
      <c r="I37" s="416"/>
    </row>
    <row r="38" spans="1:9" x14ac:dyDescent="0.25">
      <c r="A38" s="438" t="s">
        <v>2479</v>
      </c>
      <c r="B38" s="439"/>
      <c r="C38" s="439"/>
      <c r="D38" s="439"/>
      <c r="E38" s="439"/>
      <c r="F38" s="439"/>
      <c r="G38" s="439"/>
      <c r="H38" s="439"/>
      <c r="I38" s="439"/>
    </row>
    <row r="39" spans="1:9" ht="15.75" thickBot="1" x14ac:dyDescent="0.3">
      <c r="A39" s="416"/>
      <c r="B39" s="416"/>
      <c r="C39" s="416"/>
      <c r="D39" s="416"/>
      <c r="E39" s="416"/>
      <c r="F39" s="416"/>
      <c r="G39" s="416"/>
      <c r="H39" s="416"/>
      <c r="I39" s="416"/>
    </row>
    <row r="40" spans="1:9" ht="15.75" thickTop="1" x14ac:dyDescent="0.25">
      <c r="A40" s="416"/>
      <c r="B40" s="416"/>
      <c r="C40" s="416"/>
      <c r="D40" s="434" t="s">
        <v>870</v>
      </c>
      <c r="E40" s="435" t="s">
        <v>1045</v>
      </c>
      <c r="F40" s="416"/>
      <c r="G40" s="416"/>
      <c r="H40" s="416"/>
      <c r="I40" s="416"/>
    </row>
    <row r="41" spans="1:9" ht="15.75" thickBot="1" x14ac:dyDescent="0.3">
      <c r="A41" s="416"/>
      <c r="B41" s="416"/>
      <c r="C41" s="416"/>
      <c r="D41" s="436" t="s">
        <v>2434</v>
      </c>
      <c r="E41" s="437" t="s">
        <v>2435</v>
      </c>
      <c r="F41" s="416"/>
      <c r="G41" s="416"/>
      <c r="H41" s="416"/>
      <c r="I41" s="416"/>
    </row>
    <row r="42" spans="1:9" ht="15.75" thickTop="1" x14ac:dyDescent="0.25">
      <c r="A42" s="416"/>
      <c r="B42" s="416"/>
      <c r="C42" s="416"/>
      <c r="D42" s="416"/>
      <c r="E42" s="416"/>
      <c r="F42" s="416"/>
      <c r="G42" s="416"/>
      <c r="H42" s="416"/>
      <c r="I42" s="416"/>
    </row>
    <row r="43" spans="1:9" x14ac:dyDescent="0.25">
      <c r="A43" s="416"/>
      <c r="B43" s="416"/>
      <c r="C43" s="431" t="s">
        <v>2471</v>
      </c>
      <c r="D43" s="326">
        <f>DCOUNTA(A4:H20,A4,D40:E41)</f>
        <v>5</v>
      </c>
      <c r="E43" s="419"/>
      <c r="F43" s="416"/>
      <c r="G43" s="416"/>
      <c r="H43" s="416"/>
      <c r="I43" s="416"/>
    </row>
    <row r="44" spans="1:9" x14ac:dyDescent="0.25">
      <c r="A44" s="416"/>
      <c r="B44" s="416"/>
      <c r="C44" s="416"/>
      <c r="D44" s="416"/>
      <c r="E44" s="416"/>
      <c r="F44" s="416"/>
      <c r="G44" s="416"/>
      <c r="H44" s="416"/>
      <c r="I44" s="416"/>
    </row>
    <row r="45" spans="1:9" x14ac:dyDescent="0.25">
      <c r="A45" s="438" t="s">
        <v>2480</v>
      </c>
      <c r="B45" s="439"/>
      <c r="C45" s="439"/>
      <c r="D45" s="439"/>
      <c r="E45" s="439"/>
      <c r="F45" s="439"/>
      <c r="G45" s="439"/>
      <c r="H45" s="439"/>
      <c r="I45" s="439"/>
    </row>
    <row r="46" spans="1:9" ht="15.75" thickBot="1" x14ac:dyDescent="0.3">
      <c r="A46" s="416"/>
      <c r="B46" s="416"/>
      <c r="C46" s="416"/>
      <c r="D46" s="416"/>
      <c r="E46" s="416"/>
      <c r="F46" s="416"/>
      <c r="G46" s="416"/>
      <c r="H46" s="416"/>
      <c r="I46" s="416"/>
    </row>
    <row r="47" spans="1:9" ht="15.75" thickTop="1" x14ac:dyDescent="0.25">
      <c r="A47" s="416"/>
      <c r="B47" s="416"/>
      <c r="C47" s="416"/>
      <c r="D47" s="434" t="s">
        <v>870</v>
      </c>
      <c r="E47" s="435" t="s">
        <v>1045</v>
      </c>
      <c r="F47" s="416"/>
      <c r="G47" s="416"/>
      <c r="H47" s="416"/>
      <c r="I47" s="416"/>
    </row>
    <row r="48" spans="1:9" x14ac:dyDescent="0.25">
      <c r="A48" s="416"/>
      <c r="B48" s="416"/>
      <c r="C48" s="416"/>
      <c r="D48" s="441" t="s">
        <v>2437</v>
      </c>
      <c r="E48" s="442" t="s">
        <v>2435</v>
      </c>
      <c r="F48" s="416"/>
      <c r="G48" s="416"/>
      <c r="H48" s="416"/>
      <c r="I48" s="416"/>
    </row>
    <row r="49" spans="1:9" ht="15.75" thickBot="1" x14ac:dyDescent="0.3">
      <c r="A49" s="416"/>
      <c r="B49" s="416"/>
      <c r="C49" s="416"/>
      <c r="D49" s="436" t="s">
        <v>2436</v>
      </c>
      <c r="E49" s="437" t="s">
        <v>2439</v>
      </c>
      <c r="F49" s="416"/>
      <c r="G49" s="416"/>
      <c r="H49" s="416"/>
      <c r="I49" s="416"/>
    </row>
    <row r="50" spans="1:9" ht="15.75" thickTop="1" x14ac:dyDescent="0.25">
      <c r="A50" s="416"/>
      <c r="B50" s="416"/>
      <c r="C50" s="416"/>
      <c r="D50" s="416"/>
      <c r="E50" s="416"/>
      <c r="F50" s="416"/>
      <c r="G50" s="416"/>
      <c r="H50" s="416"/>
      <c r="I50" s="416"/>
    </row>
    <row r="51" spans="1:9" x14ac:dyDescent="0.25">
      <c r="A51" s="416"/>
      <c r="B51" s="416"/>
      <c r="C51" s="431" t="s">
        <v>2471</v>
      </c>
      <c r="D51" s="326">
        <f>DCOUNTA(A4:H20,A4,D47:E49)</f>
        <v>3</v>
      </c>
      <c r="E51" s="419"/>
      <c r="F51" s="416"/>
      <c r="G51" s="416"/>
      <c r="H51" s="416"/>
      <c r="I51" s="416"/>
    </row>
    <row r="52" spans="1:9" x14ac:dyDescent="0.25">
      <c r="A52" s="416"/>
      <c r="B52" s="416"/>
      <c r="C52" s="416"/>
      <c r="D52" s="416"/>
      <c r="E52" s="416"/>
      <c r="F52" s="416"/>
      <c r="G52" s="416"/>
      <c r="H52" s="416"/>
      <c r="I52" s="416"/>
    </row>
    <row r="53" spans="1:9" x14ac:dyDescent="0.25">
      <c r="A53" s="416"/>
      <c r="B53" s="416"/>
      <c r="C53" s="416"/>
      <c r="D53" s="416"/>
      <c r="E53" s="416"/>
      <c r="F53" s="416"/>
      <c r="G53" s="416"/>
      <c r="H53" s="416"/>
      <c r="I53" s="416"/>
    </row>
  </sheetData>
  <mergeCells count="2">
    <mergeCell ref="A1:J1"/>
    <mergeCell ref="A2:J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5CE1D-2C72-42B7-AAB8-9D4C3CC521D7}">
  <dimension ref="A1:J51"/>
  <sheetViews>
    <sheetView topLeftCell="A34" workbookViewId="0">
      <selection activeCell="K54" sqref="K54"/>
    </sheetView>
  </sheetViews>
  <sheetFormatPr defaultRowHeight="15" x14ac:dyDescent="0.25"/>
  <cols>
    <col min="10" max="10" width="9.28515625" customWidth="1"/>
  </cols>
  <sheetData>
    <row r="1" spans="1:10" ht="18.75" x14ac:dyDescent="0.3">
      <c r="A1" s="543" t="s">
        <v>2481</v>
      </c>
      <c r="B1" s="544"/>
      <c r="C1" s="544"/>
      <c r="D1" s="544"/>
      <c r="E1" s="544"/>
      <c r="F1" s="544"/>
      <c r="G1" s="544"/>
      <c r="H1" s="544"/>
      <c r="I1" s="544"/>
      <c r="J1" s="544"/>
    </row>
    <row r="2" spans="1:10" x14ac:dyDescent="0.25">
      <c r="A2" s="545" t="s">
        <v>2482</v>
      </c>
      <c r="B2" s="544"/>
      <c r="C2" s="544"/>
      <c r="D2" s="544"/>
      <c r="E2" s="544"/>
      <c r="F2" s="544"/>
      <c r="G2" s="544"/>
      <c r="H2" s="544"/>
      <c r="I2" s="544"/>
      <c r="J2" s="544"/>
    </row>
    <row r="3" spans="1:10" ht="15.75" thickBot="1" x14ac:dyDescent="0.3">
      <c r="A3" s="444"/>
      <c r="B3" s="444"/>
      <c r="C3" s="444"/>
      <c r="D3" s="444"/>
      <c r="E3" s="444"/>
      <c r="F3" s="444"/>
      <c r="G3" s="444"/>
      <c r="H3" s="444"/>
      <c r="I3" s="444"/>
      <c r="J3" s="444"/>
    </row>
    <row r="4" spans="1:10" ht="27" thickTop="1" x14ac:dyDescent="0.25">
      <c r="A4" s="448" t="s">
        <v>870</v>
      </c>
      <c r="B4" s="449" t="s">
        <v>2428</v>
      </c>
      <c r="C4" s="449" t="s">
        <v>2429</v>
      </c>
      <c r="D4" s="449" t="s">
        <v>1045</v>
      </c>
      <c r="E4" s="449" t="s">
        <v>2430</v>
      </c>
      <c r="F4" s="449" t="s">
        <v>2431</v>
      </c>
      <c r="G4" s="449" t="s">
        <v>2432</v>
      </c>
      <c r="H4" s="450" t="s">
        <v>2433</v>
      </c>
      <c r="I4" s="443"/>
      <c r="J4" s="443"/>
    </row>
    <row r="5" spans="1:10" x14ac:dyDescent="0.25">
      <c r="A5" s="451" t="s">
        <v>2434</v>
      </c>
      <c r="B5" s="446">
        <v>200</v>
      </c>
      <c r="C5" s="446">
        <v>3000</v>
      </c>
      <c r="D5" s="446" t="s">
        <v>2435</v>
      </c>
      <c r="E5" s="452">
        <v>4.5</v>
      </c>
      <c r="F5" s="446">
        <v>4</v>
      </c>
      <c r="G5" s="446">
        <v>3</v>
      </c>
      <c r="H5" s="453">
        <v>54</v>
      </c>
      <c r="I5" s="443"/>
      <c r="J5" s="443"/>
    </row>
    <row r="6" spans="1:10" x14ac:dyDescent="0.25">
      <c r="A6" s="451" t="s">
        <v>2436</v>
      </c>
      <c r="B6" s="446">
        <v>100</v>
      </c>
      <c r="C6" s="446">
        <v>2000</v>
      </c>
      <c r="D6" s="446" t="s">
        <v>2435</v>
      </c>
      <c r="E6" s="452">
        <v>2</v>
      </c>
      <c r="F6" s="446">
        <v>15</v>
      </c>
      <c r="G6" s="446">
        <v>2</v>
      </c>
      <c r="H6" s="453">
        <v>60</v>
      </c>
      <c r="I6" s="443"/>
      <c r="J6" s="443"/>
    </row>
    <row r="7" spans="1:10" x14ac:dyDescent="0.25">
      <c r="A7" s="451" t="s">
        <v>2437</v>
      </c>
      <c r="B7" s="446">
        <v>60</v>
      </c>
      <c r="C7" s="446"/>
      <c r="D7" s="446"/>
      <c r="E7" s="452"/>
      <c r="F7" s="446"/>
      <c r="G7" s="446"/>
      <c r="H7" s="453">
        <v>0</v>
      </c>
      <c r="I7" s="443"/>
      <c r="J7" s="443"/>
    </row>
    <row r="8" spans="1:10" x14ac:dyDescent="0.25">
      <c r="A8" s="451" t="s">
        <v>2438</v>
      </c>
      <c r="B8" s="446">
        <v>10</v>
      </c>
      <c r="C8" s="446">
        <v>8000</v>
      </c>
      <c r="D8" s="446" t="s">
        <v>2439</v>
      </c>
      <c r="E8" s="452">
        <v>0.8</v>
      </c>
      <c r="F8" s="446">
        <v>25</v>
      </c>
      <c r="G8" s="446">
        <v>6</v>
      </c>
      <c r="H8" s="453">
        <v>120</v>
      </c>
      <c r="I8" s="443"/>
      <c r="J8" s="443"/>
    </row>
    <row r="9" spans="1:10" x14ac:dyDescent="0.25">
      <c r="A9" s="451" t="s">
        <v>2434</v>
      </c>
      <c r="B9" s="446">
        <v>80</v>
      </c>
      <c r="C9" s="446">
        <v>1000</v>
      </c>
      <c r="D9" s="446" t="s">
        <v>2435</v>
      </c>
      <c r="E9" s="452">
        <v>0.2</v>
      </c>
      <c r="F9" s="446">
        <v>40</v>
      </c>
      <c r="G9" s="446">
        <v>3</v>
      </c>
      <c r="H9" s="453">
        <v>24</v>
      </c>
      <c r="I9" s="443"/>
      <c r="J9" s="443"/>
    </row>
    <row r="10" spans="1:10" x14ac:dyDescent="0.25">
      <c r="A10" s="451" t="s">
        <v>2437</v>
      </c>
      <c r="B10" s="446">
        <v>100</v>
      </c>
      <c r="C10" s="446" t="s">
        <v>2440</v>
      </c>
      <c r="D10" s="446" t="s">
        <v>2435</v>
      </c>
      <c r="E10" s="452">
        <v>1.25</v>
      </c>
      <c r="F10" s="446">
        <v>10</v>
      </c>
      <c r="G10" s="446">
        <v>4</v>
      </c>
      <c r="H10" s="453">
        <v>50</v>
      </c>
      <c r="I10" s="443"/>
      <c r="J10" s="443"/>
    </row>
    <row r="11" spans="1:10" x14ac:dyDescent="0.25">
      <c r="A11" s="451" t="s">
        <v>2437</v>
      </c>
      <c r="B11" s="446">
        <v>200</v>
      </c>
      <c r="C11" s="446">
        <v>3000</v>
      </c>
      <c r="D11" s="446" t="s">
        <v>2435</v>
      </c>
      <c r="E11" s="452">
        <v>2.5</v>
      </c>
      <c r="F11" s="446">
        <v>15</v>
      </c>
      <c r="G11" s="446">
        <v>0</v>
      </c>
      <c r="H11" s="453">
        <v>0</v>
      </c>
      <c r="I11" s="443"/>
      <c r="J11" s="443"/>
    </row>
    <row r="12" spans="1:10" x14ac:dyDescent="0.25">
      <c r="A12" s="451" t="s">
        <v>2438</v>
      </c>
      <c r="B12" s="446">
        <v>25</v>
      </c>
      <c r="C12" s="446" t="s">
        <v>2440</v>
      </c>
      <c r="D12" s="446" t="s">
        <v>2439</v>
      </c>
      <c r="E12" s="452">
        <v>0.5</v>
      </c>
      <c r="F12" s="446">
        <v>10</v>
      </c>
      <c r="G12" s="446">
        <v>3</v>
      </c>
      <c r="H12" s="453">
        <v>15</v>
      </c>
      <c r="I12" s="443"/>
      <c r="J12" s="443"/>
    </row>
    <row r="13" spans="1:10" x14ac:dyDescent="0.25">
      <c r="A13" s="451" t="s">
        <v>2434</v>
      </c>
      <c r="B13" s="446">
        <v>200</v>
      </c>
      <c r="C13" s="446">
        <v>3000</v>
      </c>
      <c r="D13" s="446" t="s">
        <v>2439</v>
      </c>
      <c r="E13" s="452">
        <v>5</v>
      </c>
      <c r="F13" s="446">
        <v>3</v>
      </c>
      <c r="G13" s="446">
        <v>2</v>
      </c>
      <c r="H13" s="453">
        <v>30</v>
      </c>
      <c r="I13" s="443"/>
      <c r="J13" s="443"/>
    </row>
    <row r="14" spans="1:10" x14ac:dyDescent="0.25">
      <c r="A14" s="451" t="s">
        <v>2436</v>
      </c>
      <c r="B14" s="446">
        <v>100</v>
      </c>
      <c r="C14" s="446">
        <v>2000</v>
      </c>
      <c r="D14" s="446" t="s">
        <v>2439</v>
      </c>
      <c r="E14" s="452">
        <v>1.8</v>
      </c>
      <c r="F14" s="446">
        <v>20</v>
      </c>
      <c r="G14" s="446">
        <v>5</v>
      </c>
      <c r="H14" s="453">
        <v>180</v>
      </c>
      <c r="I14" s="443"/>
      <c r="J14" s="443"/>
    </row>
    <row r="15" spans="1:10" x14ac:dyDescent="0.25">
      <c r="A15" s="451" t="s">
        <v>2434</v>
      </c>
      <c r="B15" s="446">
        <v>100</v>
      </c>
      <c r="C15" s="446" t="s">
        <v>2440</v>
      </c>
      <c r="D15" s="446" t="s">
        <v>2439</v>
      </c>
      <c r="E15" s="452">
        <v>0.25</v>
      </c>
      <c r="F15" s="446">
        <v>10</v>
      </c>
      <c r="G15" s="446">
        <v>5</v>
      </c>
      <c r="H15" s="453">
        <v>12.5</v>
      </c>
      <c r="I15" s="443"/>
      <c r="J15" s="443"/>
    </row>
    <row r="16" spans="1:10" x14ac:dyDescent="0.25">
      <c r="A16" s="451" t="s">
        <v>2434</v>
      </c>
      <c r="B16" s="446">
        <v>10</v>
      </c>
      <c r="C16" s="446">
        <v>800</v>
      </c>
      <c r="D16" s="446" t="s">
        <v>2435</v>
      </c>
      <c r="E16" s="452">
        <v>0.2</v>
      </c>
      <c r="F16" s="446">
        <v>25</v>
      </c>
      <c r="G16" s="446">
        <v>2</v>
      </c>
      <c r="H16" s="453">
        <v>10</v>
      </c>
      <c r="I16" s="443"/>
      <c r="J16" s="443"/>
    </row>
    <row r="17" spans="1:9" x14ac:dyDescent="0.25">
      <c r="A17" s="451" t="s">
        <v>2434</v>
      </c>
      <c r="B17" s="446">
        <v>60</v>
      </c>
      <c r="C17" s="446">
        <v>1000</v>
      </c>
      <c r="D17" s="446" t="s">
        <v>2439</v>
      </c>
      <c r="E17" s="452">
        <v>0.15</v>
      </c>
      <c r="F17" s="446">
        <v>25</v>
      </c>
      <c r="G17" s="446">
        <v>0</v>
      </c>
      <c r="H17" s="453">
        <v>0</v>
      </c>
      <c r="I17" s="443"/>
    </row>
    <row r="18" spans="1:9" x14ac:dyDescent="0.25">
      <c r="A18" s="451" t="s">
        <v>2434</v>
      </c>
      <c r="B18" s="446">
        <v>80</v>
      </c>
      <c r="C18" s="446">
        <v>1000</v>
      </c>
      <c r="D18" s="446" t="s">
        <v>2439</v>
      </c>
      <c r="E18" s="452">
        <v>0.2</v>
      </c>
      <c r="F18" s="446">
        <v>30</v>
      </c>
      <c r="G18" s="446">
        <v>2</v>
      </c>
      <c r="H18" s="453">
        <v>12</v>
      </c>
      <c r="I18" s="443"/>
    </row>
    <row r="19" spans="1:9" x14ac:dyDescent="0.25">
      <c r="A19" s="451" t="s">
        <v>2434</v>
      </c>
      <c r="B19" s="446">
        <v>100</v>
      </c>
      <c r="C19" s="446">
        <v>2000</v>
      </c>
      <c r="D19" s="446" t="s">
        <v>2435</v>
      </c>
      <c r="E19" s="452">
        <v>0.8</v>
      </c>
      <c r="F19" s="446">
        <v>10</v>
      </c>
      <c r="G19" s="446">
        <v>5</v>
      </c>
      <c r="H19" s="453">
        <v>40</v>
      </c>
      <c r="I19" s="443"/>
    </row>
    <row r="20" spans="1:9" ht="15.75" thickBot="1" x14ac:dyDescent="0.3">
      <c r="A20" s="454" t="s">
        <v>2434</v>
      </c>
      <c r="B20" s="455">
        <v>40</v>
      </c>
      <c r="C20" s="455">
        <v>1000</v>
      </c>
      <c r="D20" s="455" t="s">
        <v>2435</v>
      </c>
      <c r="E20" s="456">
        <v>0.1</v>
      </c>
      <c r="F20" s="455">
        <v>20</v>
      </c>
      <c r="G20" s="455">
        <v>5</v>
      </c>
      <c r="H20" s="453">
        <v>10</v>
      </c>
      <c r="I20" s="443"/>
    </row>
    <row r="21" spans="1:9" ht="15.75" thickTop="1" x14ac:dyDescent="0.25">
      <c r="A21" s="443"/>
      <c r="B21" s="443"/>
      <c r="C21" s="443"/>
      <c r="D21" s="443"/>
      <c r="E21" s="443"/>
      <c r="F21" s="443"/>
      <c r="G21" s="443"/>
      <c r="H21" s="443"/>
      <c r="I21" s="443"/>
    </row>
    <row r="22" spans="1:9" x14ac:dyDescent="0.25">
      <c r="A22" s="551" t="s">
        <v>2483</v>
      </c>
      <c r="B22" s="443"/>
      <c r="C22" s="443"/>
      <c r="D22" s="443"/>
      <c r="E22" s="443"/>
      <c r="F22" s="443"/>
      <c r="G22" s="443"/>
      <c r="H22" s="443"/>
      <c r="I22" s="443"/>
    </row>
    <row r="23" spans="1:9" ht="15.75" thickBot="1" x14ac:dyDescent="0.3">
      <c r="A23" s="443"/>
      <c r="B23" s="443"/>
      <c r="C23" s="443"/>
      <c r="D23" s="443"/>
      <c r="E23" s="443"/>
      <c r="F23" s="443"/>
      <c r="G23" s="443"/>
      <c r="H23" s="443"/>
      <c r="I23" s="443"/>
    </row>
    <row r="24" spans="1:9" ht="15.75" thickTop="1" x14ac:dyDescent="0.25">
      <c r="A24" s="443"/>
      <c r="B24" s="443"/>
      <c r="C24" s="443"/>
      <c r="D24" s="457" t="s">
        <v>1045</v>
      </c>
      <c r="E24" s="458"/>
      <c r="F24" s="443"/>
      <c r="G24" s="443"/>
      <c r="H24" s="443"/>
      <c r="I24" s="443"/>
    </row>
    <row r="25" spans="1:9" ht="15.75" thickBot="1" x14ac:dyDescent="0.3">
      <c r="A25" s="443"/>
      <c r="B25" s="443"/>
      <c r="C25" s="459" t="s">
        <v>2443</v>
      </c>
      <c r="D25" s="460" t="s">
        <v>2435</v>
      </c>
      <c r="E25" s="443"/>
      <c r="F25" s="443"/>
      <c r="G25" s="443"/>
      <c r="H25" s="443"/>
      <c r="I25" s="443"/>
    </row>
    <row r="26" spans="1:9" ht="15.75" thickTop="1" x14ac:dyDescent="0.25">
      <c r="A26" s="443"/>
      <c r="B26" s="443"/>
      <c r="C26" s="443"/>
      <c r="D26" s="443"/>
      <c r="E26" s="443"/>
      <c r="F26" s="443"/>
      <c r="G26" s="443"/>
      <c r="H26" s="443"/>
      <c r="I26" s="443"/>
    </row>
    <row r="27" spans="1:9" x14ac:dyDescent="0.25">
      <c r="A27" s="445"/>
      <c r="B27" s="445"/>
      <c r="C27" s="459" t="s">
        <v>2484</v>
      </c>
      <c r="D27" s="550">
        <f>DSUM(A4:H20,H4,D24:D25)</f>
        <v>248</v>
      </c>
      <c r="E27" s="447"/>
      <c r="F27" s="443"/>
      <c r="G27" s="443"/>
      <c r="H27" s="443"/>
      <c r="I27" s="443"/>
    </row>
    <row r="28" spans="1:9" x14ac:dyDescent="0.25">
      <c r="A28" s="443"/>
      <c r="B28" s="443"/>
      <c r="C28" s="443"/>
      <c r="D28" s="443"/>
      <c r="E28" s="443"/>
      <c r="F28" s="443"/>
      <c r="G28" s="443"/>
      <c r="H28" s="443"/>
      <c r="I28" s="443"/>
    </row>
    <row r="29" spans="1:9" x14ac:dyDescent="0.25">
      <c r="A29" s="443"/>
      <c r="B29" s="443"/>
      <c r="C29" s="443"/>
      <c r="D29" s="443"/>
      <c r="E29" s="443"/>
      <c r="F29" s="443"/>
      <c r="G29" s="443"/>
      <c r="H29" s="443"/>
      <c r="I29" s="443"/>
    </row>
    <row r="30" spans="1:9" x14ac:dyDescent="0.25">
      <c r="A30" s="461" t="s">
        <v>2485</v>
      </c>
      <c r="B30" s="443"/>
      <c r="C30" s="443"/>
      <c r="D30" s="443"/>
      <c r="E30" s="443"/>
      <c r="F30" s="443"/>
      <c r="G30" s="443"/>
      <c r="H30" s="443"/>
      <c r="I30" s="443"/>
    </row>
    <row r="31" spans="1:9" ht="15.75" thickBot="1" x14ac:dyDescent="0.3">
      <c r="A31" s="443"/>
      <c r="B31" s="443"/>
      <c r="C31" s="443"/>
      <c r="D31" s="443"/>
      <c r="E31" s="443"/>
      <c r="F31" s="443"/>
      <c r="G31" s="443"/>
      <c r="H31" s="443"/>
      <c r="I31" s="443"/>
    </row>
    <row r="32" spans="1:9" ht="15.75" thickTop="1" x14ac:dyDescent="0.25">
      <c r="A32" s="443"/>
      <c r="B32" s="443"/>
      <c r="C32" s="443"/>
      <c r="D32" s="462" t="s">
        <v>870</v>
      </c>
      <c r="E32" s="463" t="s">
        <v>1045</v>
      </c>
      <c r="F32" s="443"/>
      <c r="G32" s="443"/>
      <c r="H32" s="443"/>
      <c r="I32" s="443"/>
    </row>
    <row r="33" spans="1:9" ht="15.75" thickBot="1" x14ac:dyDescent="0.3">
      <c r="A33" s="443"/>
      <c r="B33" s="443"/>
      <c r="C33" s="443"/>
      <c r="D33" s="464" t="s">
        <v>2434</v>
      </c>
      <c r="E33" s="465" t="s">
        <v>2447</v>
      </c>
      <c r="F33" s="443"/>
      <c r="G33" s="443"/>
      <c r="H33" s="443"/>
      <c r="I33" s="443"/>
    </row>
    <row r="34" spans="1:9" ht="15.75" thickTop="1" x14ac:dyDescent="0.25">
      <c r="A34" s="443"/>
      <c r="B34" s="443"/>
      <c r="C34" s="443"/>
      <c r="D34" s="443"/>
      <c r="E34" s="443"/>
      <c r="F34" s="443"/>
      <c r="G34" s="443"/>
      <c r="H34" s="443"/>
      <c r="I34" s="443"/>
    </row>
    <row r="35" spans="1:9" x14ac:dyDescent="0.25">
      <c r="A35" s="443"/>
      <c r="B35" s="443"/>
      <c r="C35" s="459" t="s">
        <v>2486</v>
      </c>
      <c r="D35" s="550">
        <f>DSUM(A4:H20,H4,D32:E33)</f>
        <v>54.5</v>
      </c>
      <c r="E35" s="447"/>
      <c r="F35" s="443"/>
      <c r="G35" s="443"/>
      <c r="H35" s="443"/>
      <c r="I35" s="443"/>
    </row>
    <row r="36" spans="1:9" x14ac:dyDescent="0.25">
      <c r="A36" s="443"/>
      <c r="B36" s="443"/>
      <c r="C36" s="443"/>
      <c r="D36" s="443"/>
      <c r="E36" s="443"/>
      <c r="F36" s="443"/>
      <c r="G36" s="443"/>
      <c r="H36" s="443"/>
      <c r="I36" s="443"/>
    </row>
    <row r="37" spans="1:9" x14ac:dyDescent="0.25">
      <c r="A37" s="443"/>
      <c r="B37" s="443"/>
      <c r="C37" s="443"/>
      <c r="D37" s="443"/>
      <c r="E37" s="443"/>
      <c r="F37" s="443"/>
      <c r="G37" s="443"/>
      <c r="H37" s="443"/>
      <c r="I37" s="443"/>
    </row>
    <row r="38" spans="1:9" x14ac:dyDescent="0.25">
      <c r="A38" s="466" t="s">
        <v>2487</v>
      </c>
      <c r="B38" s="467"/>
      <c r="C38" s="467"/>
      <c r="D38" s="467"/>
      <c r="E38" s="467"/>
      <c r="F38" s="467"/>
      <c r="G38" s="467"/>
      <c r="H38" s="467"/>
      <c r="I38" s="467"/>
    </row>
    <row r="39" spans="1:9" ht="15.75" thickBot="1" x14ac:dyDescent="0.3">
      <c r="A39" s="443"/>
      <c r="B39" s="443"/>
      <c r="C39" s="443"/>
      <c r="D39" s="443"/>
      <c r="E39" s="443"/>
      <c r="F39" s="443"/>
      <c r="G39" s="443"/>
      <c r="H39" s="443"/>
      <c r="I39" s="443"/>
    </row>
    <row r="40" spans="1:9" ht="15.75" thickTop="1" x14ac:dyDescent="0.25">
      <c r="A40" s="443"/>
      <c r="B40" s="443"/>
      <c r="C40" s="443"/>
      <c r="D40" s="462" t="s">
        <v>870</v>
      </c>
      <c r="E40" s="463" t="s">
        <v>2428</v>
      </c>
      <c r="F40" s="443"/>
      <c r="G40" s="443"/>
      <c r="H40" s="443"/>
      <c r="I40" s="443"/>
    </row>
    <row r="41" spans="1:9" ht="15.75" thickBot="1" x14ac:dyDescent="0.3">
      <c r="A41" s="443"/>
      <c r="B41" s="443"/>
      <c r="C41" s="443"/>
      <c r="D41" s="464" t="s">
        <v>2434</v>
      </c>
      <c r="E41" s="465">
        <v>100</v>
      </c>
      <c r="F41" s="443"/>
      <c r="G41" s="443"/>
      <c r="H41" s="443"/>
      <c r="I41" s="443"/>
    </row>
    <row r="42" spans="1:9" ht="15.75" thickTop="1" x14ac:dyDescent="0.25">
      <c r="A42" s="443"/>
      <c r="B42" s="443"/>
      <c r="C42" s="443"/>
      <c r="D42" s="443"/>
      <c r="E42" s="443"/>
      <c r="F42" s="443"/>
      <c r="G42" s="443"/>
      <c r="H42" s="443"/>
      <c r="I42" s="443"/>
    </row>
    <row r="43" spans="1:9" x14ac:dyDescent="0.25">
      <c r="A43" s="443"/>
      <c r="B43" s="443"/>
      <c r="C43" s="459" t="s">
        <v>2488</v>
      </c>
      <c r="D43" s="550">
        <f>DSUM(A4:H20,H4,D40:E41)</f>
        <v>52.5</v>
      </c>
      <c r="E43" s="447"/>
      <c r="F43" s="443"/>
      <c r="G43" s="443"/>
      <c r="H43" s="443"/>
      <c r="I43" s="443"/>
    </row>
    <row r="44" spans="1:9" x14ac:dyDescent="0.25">
      <c r="A44" s="443"/>
      <c r="B44" s="443"/>
      <c r="C44" s="443"/>
      <c r="D44" s="443"/>
      <c r="E44" s="443"/>
      <c r="F44" s="443"/>
      <c r="G44" s="443"/>
      <c r="H44" s="443"/>
      <c r="I44" s="443"/>
    </row>
    <row r="45" spans="1:9" x14ac:dyDescent="0.25">
      <c r="A45" s="466" t="s">
        <v>2489</v>
      </c>
      <c r="B45" s="467"/>
      <c r="C45" s="467"/>
      <c r="D45" s="467"/>
      <c r="E45" s="467"/>
      <c r="F45" s="467"/>
      <c r="G45" s="467"/>
      <c r="H45" s="467"/>
      <c r="I45" s="467"/>
    </row>
    <row r="46" spans="1:9" ht="15.75" thickBot="1" x14ac:dyDescent="0.3">
      <c r="A46" s="443"/>
      <c r="B46" s="443"/>
      <c r="C46" s="443"/>
      <c r="D46" s="443"/>
      <c r="E46" s="443"/>
      <c r="F46" s="443"/>
      <c r="G46" s="443"/>
      <c r="H46" s="443"/>
      <c r="I46" s="443"/>
    </row>
    <row r="47" spans="1:9" ht="15.75" thickTop="1" x14ac:dyDescent="0.25">
      <c r="A47" s="443"/>
      <c r="B47" s="443"/>
      <c r="C47" s="443"/>
      <c r="D47" s="462" t="s">
        <v>870</v>
      </c>
      <c r="E47" s="463" t="s">
        <v>2428</v>
      </c>
      <c r="F47" s="443"/>
      <c r="G47" s="443"/>
      <c r="H47" s="443"/>
      <c r="I47" s="443"/>
    </row>
    <row r="48" spans="1:9" ht="15.75" thickBot="1" x14ac:dyDescent="0.3">
      <c r="A48" s="443"/>
      <c r="B48" s="443"/>
      <c r="C48" s="443"/>
      <c r="D48" s="464" t="s">
        <v>2434</v>
      </c>
      <c r="E48" s="465" t="s">
        <v>2452</v>
      </c>
      <c r="F48" s="443"/>
      <c r="G48" s="443"/>
      <c r="H48" s="443"/>
      <c r="I48" s="443"/>
    </row>
    <row r="49" spans="1:9" ht="15.75" thickTop="1" x14ac:dyDescent="0.25">
      <c r="A49" s="443"/>
      <c r="B49" s="443"/>
      <c r="C49" s="443"/>
      <c r="D49" s="443"/>
      <c r="E49" s="443"/>
      <c r="F49" s="443"/>
      <c r="G49" s="443"/>
      <c r="H49" s="443"/>
      <c r="I49" s="443"/>
    </row>
    <row r="50" spans="1:9" x14ac:dyDescent="0.25">
      <c r="A50" s="443"/>
      <c r="B50" s="443"/>
      <c r="C50" s="459" t="s">
        <v>2488</v>
      </c>
      <c r="D50" s="550">
        <f>DSUM(A4:H20,H4,D47:E48)</f>
        <v>56</v>
      </c>
      <c r="E50" s="447"/>
      <c r="F50" s="443"/>
      <c r="G50" s="443"/>
      <c r="H50" s="443"/>
      <c r="I50" s="443"/>
    </row>
    <row r="51" spans="1:9" x14ac:dyDescent="0.25">
      <c r="A51" s="443"/>
      <c r="B51" s="443"/>
      <c r="C51" s="443"/>
      <c r="D51" s="443"/>
      <c r="E51" s="443"/>
      <c r="F51" s="443"/>
      <c r="G51" s="443"/>
      <c r="H51" s="443"/>
      <c r="I51" s="443"/>
    </row>
  </sheetData>
  <mergeCells count="2">
    <mergeCell ref="A1:J1"/>
    <mergeCell ref="A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3"/>
  <sheetViews>
    <sheetView topLeftCell="A16" workbookViewId="0">
      <selection activeCell="K22" sqref="K22"/>
    </sheetView>
  </sheetViews>
  <sheetFormatPr defaultRowHeight="15" x14ac:dyDescent="0.25"/>
  <cols>
    <col min="1" max="1" width="15.42578125" customWidth="1"/>
    <col min="2" max="3" width="17"/>
    <col min="4" max="4" width="6"/>
    <col min="5" max="5" width="10"/>
    <col min="6" max="6" width="17"/>
    <col min="7" max="7" width="9"/>
    <col min="8" max="8" width="8"/>
    <col min="9" max="9" width="9"/>
  </cols>
  <sheetData>
    <row r="1" spans="1:17" ht="15.95" customHeight="1" x14ac:dyDescent="0.25">
      <c r="A1" s="485" t="s">
        <v>78</v>
      </c>
      <c r="B1" s="483"/>
      <c r="C1" s="483"/>
      <c r="D1" s="483"/>
      <c r="E1" s="483"/>
      <c r="F1" s="483"/>
      <c r="G1" s="483"/>
      <c r="H1" s="483"/>
      <c r="I1" s="483"/>
    </row>
    <row r="2" spans="1:17" ht="14.1" customHeight="1" x14ac:dyDescent="0.25">
      <c r="A2" s="493" t="s">
        <v>79</v>
      </c>
      <c r="B2" s="483"/>
      <c r="C2" s="483"/>
      <c r="D2" s="483"/>
      <c r="E2" s="483"/>
      <c r="F2" s="483"/>
      <c r="G2" s="483"/>
      <c r="H2" s="483"/>
      <c r="I2" s="483"/>
    </row>
    <row r="3" spans="1:17" ht="14.1" customHeight="1" x14ac:dyDescent="0.25">
      <c r="A3" s="1" t="s">
        <v>80</v>
      </c>
      <c r="B3" s="1" t="s">
        <v>81</v>
      </c>
      <c r="C3" s="1" t="s">
        <v>82</v>
      </c>
      <c r="D3" s="17" t="s">
        <v>83</v>
      </c>
      <c r="E3" s="1" t="s">
        <v>84</v>
      </c>
      <c r="F3" s="1" t="s">
        <v>85</v>
      </c>
      <c r="G3" s="1" t="s">
        <v>86</v>
      </c>
      <c r="H3" s="17" t="s">
        <v>87</v>
      </c>
      <c r="I3" s="1" t="s">
        <v>88</v>
      </c>
    </row>
    <row r="4" spans="1:17" ht="18" customHeight="1" x14ac:dyDescent="0.25">
      <c r="A4" s="3" t="s">
        <v>89</v>
      </c>
      <c r="B4" s="3" t="s">
        <v>90</v>
      </c>
      <c r="C4" s="3" t="s">
        <v>91</v>
      </c>
      <c r="D4" s="2">
        <v>5000</v>
      </c>
      <c r="E4" s="4">
        <f>D4*0.025</f>
        <v>125</v>
      </c>
      <c r="F4" s="4">
        <f>D4*0.035</f>
        <v>175.00000000000003</v>
      </c>
      <c r="G4" s="4">
        <f>D4*0.015</f>
        <v>75</v>
      </c>
      <c r="H4" s="4">
        <f>SUM(D4:G4)</f>
        <v>5375</v>
      </c>
      <c r="I4" s="3" t="str">
        <f>_xlfn.IFS(H4&gt;20000,"A",H4&gt;10000,"B",H4&lt;10000,"C")</f>
        <v>C</v>
      </c>
    </row>
    <row r="5" spans="1:17" ht="18" customHeight="1" x14ac:dyDescent="0.25">
      <c r="A5" s="3" t="s">
        <v>92</v>
      </c>
      <c r="B5" s="3" t="s">
        <v>93</v>
      </c>
      <c r="C5" s="3" t="s">
        <v>94</v>
      </c>
      <c r="D5" s="2">
        <v>8000</v>
      </c>
      <c r="E5" s="4">
        <f t="shared" ref="E5:E11" si="0">D5*0.025</f>
        <v>200</v>
      </c>
      <c r="F5" s="4">
        <f t="shared" ref="F5:F11" si="1">D5*0.035</f>
        <v>280</v>
      </c>
      <c r="G5" s="4">
        <f t="shared" ref="G5:G11" si="2">D5*0.015</f>
        <v>120</v>
      </c>
      <c r="H5" s="4">
        <f t="shared" ref="H5:H11" si="3">SUM(D5:G5)</f>
        <v>8600</v>
      </c>
      <c r="I5" s="69" t="str">
        <f t="shared" ref="I5:I11" si="4">_xlfn.IFS(H5&gt;20000,"A",H5&gt;10000,"B",H5&lt;10000,"C")</f>
        <v>C</v>
      </c>
    </row>
    <row r="6" spans="1:17" ht="18" customHeight="1" x14ac:dyDescent="0.25">
      <c r="A6" s="3" t="s">
        <v>95</v>
      </c>
      <c r="B6" s="3" t="s">
        <v>96</v>
      </c>
      <c r="C6" s="3" t="s">
        <v>97</v>
      </c>
      <c r="D6" s="2">
        <v>3000</v>
      </c>
      <c r="E6" s="4">
        <f t="shared" si="0"/>
        <v>75</v>
      </c>
      <c r="F6" s="4">
        <f t="shared" si="1"/>
        <v>105.00000000000001</v>
      </c>
      <c r="G6" s="4">
        <f t="shared" si="2"/>
        <v>45</v>
      </c>
      <c r="H6" s="4">
        <f t="shared" si="3"/>
        <v>3225</v>
      </c>
      <c r="I6" s="69" t="str">
        <f t="shared" si="4"/>
        <v>C</v>
      </c>
    </row>
    <row r="7" spans="1:17" ht="18" customHeight="1" x14ac:dyDescent="0.25">
      <c r="A7" s="3" t="s">
        <v>98</v>
      </c>
      <c r="B7" s="3" t="s">
        <v>99</v>
      </c>
      <c r="C7" s="3" t="s">
        <v>100</v>
      </c>
      <c r="D7" s="2">
        <v>6000</v>
      </c>
      <c r="E7" s="4">
        <f t="shared" si="0"/>
        <v>150</v>
      </c>
      <c r="F7" s="4">
        <f t="shared" si="1"/>
        <v>210.00000000000003</v>
      </c>
      <c r="G7" s="4">
        <f t="shared" si="2"/>
        <v>90</v>
      </c>
      <c r="H7" s="4">
        <f t="shared" si="3"/>
        <v>6450</v>
      </c>
      <c r="I7" s="69" t="str">
        <f t="shared" si="4"/>
        <v>C</v>
      </c>
    </row>
    <row r="8" spans="1:17" ht="18" customHeight="1" x14ac:dyDescent="0.25">
      <c r="A8" s="3" t="s">
        <v>101</v>
      </c>
      <c r="B8" s="3" t="s">
        <v>102</v>
      </c>
      <c r="C8" s="3" t="s">
        <v>103</v>
      </c>
      <c r="D8" s="2">
        <v>8000</v>
      </c>
      <c r="E8" s="4">
        <f t="shared" si="0"/>
        <v>200</v>
      </c>
      <c r="F8" s="4">
        <f t="shared" si="1"/>
        <v>280</v>
      </c>
      <c r="G8" s="4">
        <f t="shared" si="2"/>
        <v>120</v>
      </c>
      <c r="H8" s="4">
        <f t="shared" si="3"/>
        <v>8600</v>
      </c>
      <c r="I8" s="69" t="str">
        <f t="shared" si="4"/>
        <v>C</v>
      </c>
    </row>
    <row r="9" spans="1:17" ht="18" customHeight="1" x14ac:dyDescent="0.25">
      <c r="A9" s="3" t="s">
        <v>104</v>
      </c>
      <c r="B9" s="3" t="s">
        <v>105</v>
      </c>
      <c r="C9" s="3" t="s">
        <v>106</v>
      </c>
      <c r="D9" s="2">
        <v>9000</v>
      </c>
      <c r="E9" s="4">
        <f t="shared" si="0"/>
        <v>225</v>
      </c>
      <c r="F9" s="4">
        <f t="shared" si="1"/>
        <v>315.00000000000006</v>
      </c>
      <c r="G9" s="4">
        <f t="shared" si="2"/>
        <v>135</v>
      </c>
      <c r="H9" s="4">
        <f t="shared" si="3"/>
        <v>9675</v>
      </c>
      <c r="I9" s="69" t="str">
        <f t="shared" si="4"/>
        <v>C</v>
      </c>
    </row>
    <row r="10" spans="1:17" ht="18" customHeight="1" x14ac:dyDescent="0.25">
      <c r="A10" s="3" t="s">
        <v>107</v>
      </c>
      <c r="B10" s="3" t="s">
        <v>108</v>
      </c>
      <c r="C10" s="3" t="s">
        <v>109</v>
      </c>
      <c r="D10" s="4">
        <v>10000</v>
      </c>
      <c r="E10" s="4">
        <f t="shared" si="0"/>
        <v>250</v>
      </c>
      <c r="F10" s="4">
        <f t="shared" si="1"/>
        <v>350.00000000000006</v>
      </c>
      <c r="G10" s="4">
        <f t="shared" si="2"/>
        <v>150</v>
      </c>
      <c r="H10" s="4">
        <f t="shared" si="3"/>
        <v>10750</v>
      </c>
      <c r="I10" s="69" t="str">
        <f t="shared" si="4"/>
        <v>B</v>
      </c>
    </row>
    <row r="11" spans="1:17" ht="18" customHeight="1" x14ac:dyDescent="0.25">
      <c r="A11" s="3" t="s">
        <v>110</v>
      </c>
      <c r="B11" s="3" t="s">
        <v>111</v>
      </c>
      <c r="C11" s="3" t="s">
        <v>112</v>
      </c>
      <c r="D11" s="2">
        <v>5000</v>
      </c>
      <c r="E11" s="4">
        <f t="shared" si="0"/>
        <v>125</v>
      </c>
      <c r="F11" s="4">
        <f t="shared" si="1"/>
        <v>175.00000000000003</v>
      </c>
      <c r="G11" s="4">
        <f t="shared" si="2"/>
        <v>75</v>
      </c>
      <c r="H11" s="4">
        <f t="shared" si="3"/>
        <v>5375</v>
      </c>
      <c r="I11" s="69" t="str">
        <f t="shared" si="4"/>
        <v>C</v>
      </c>
    </row>
    <row r="12" spans="1:17" s="166" customFormat="1" ht="18" customHeight="1" x14ac:dyDescent="0.25">
      <c r="A12" s="188"/>
      <c r="B12" s="188"/>
      <c r="C12" s="188"/>
      <c r="D12" s="205"/>
      <c r="E12" s="215"/>
      <c r="F12" s="215"/>
      <c r="G12" s="215"/>
      <c r="H12" s="215"/>
      <c r="I12" s="215"/>
    </row>
    <row r="13" spans="1:17" s="166" customFormat="1" ht="18" customHeight="1" x14ac:dyDescent="0.25">
      <c r="A13" s="188"/>
      <c r="B13" s="188"/>
      <c r="C13" s="188"/>
      <c r="D13" s="205"/>
      <c r="E13" s="215"/>
      <c r="F13" s="215"/>
      <c r="G13" s="215"/>
      <c r="H13" s="215"/>
      <c r="I13" s="215"/>
    </row>
    <row r="14" spans="1:17" ht="14.1" customHeight="1" x14ac:dyDescent="0.25">
      <c r="A14" s="5" t="s">
        <v>113</v>
      </c>
      <c r="F14" s="203" t="s">
        <v>114</v>
      </c>
      <c r="K14" s="201" t="s">
        <v>115</v>
      </c>
      <c r="L14" s="201" t="s">
        <v>116</v>
      </c>
      <c r="M14" s="201" t="s">
        <v>117</v>
      </c>
      <c r="N14" s="201" t="s">
        <v>118</v>
      </c>
      <c r="O14" s="201" t="s">
        <v>119</v>
      </c>
      <c r="P14" s="201" t="s">
        <v>120</v>
      </c>
      <c r="Q14" s="201" t="s">
        <v>121</v>
      </c>
    </row>
    <row r="15" spans="1:17" s="166" customFormat="1" ht="14.1" customHeight="1" x14ac:dyDescent="0.25">
      <c r="A15" s="167"/>
      <c r="J15" s="170"/>
    </row>
    <row r="16" spans="1:17" s="166" customFormat="1" ht="14.1" customHeight="1" x14ac:dyDescent="0.25">
      <c r="A16" s="69" t="s">
        <v>46</v>
      </c>
      <c r="B16" s="216">
        <f>COUNTIF($B$4:$B$11,A16)</f>
        <v>3</v>
      </c>
      <c r="J16" s="170"/>
    </row>
    <row r="17" spans="1:19" s="166" customFormat="1" ht="14.1" customHeight="1" x14ac:dyDescent="0.25">
      <c r="A17" s="69" t="s">
        <v>99</v>
      </c>
      <c r="B17" s="216">
        <f t="shared" ref="B17:B18" si="5">COUNTIF($B$4:$B$11,A17)</f>
        <v>3</v>
      </c>
      <c r="J17" s="170"/>
    </row>
    <row r="18" spans="1:19" s="166" customFormat="1" ht="14.1" customHeight="1" x14ac:dyDescent="0.25">
      <c r="A18" s="69" t="s">
        <v>108</v>
      </c>
      <c r="B18" s="216">
        <f t="shared" si="5"/>
        <v>2</v>
      </c>
      <c r="J18" s="170"/>
    </row>
    <row r="19" spans="1:19" s="166" customFormat="1" ht="14.1" customHeight="1" x14ac:dyDescent="0.25">
      <c r="A19" s="167"/>
      <c r="J19" s="170"/>
    </row>
    <row r="20" spans="1:19" ht="18" customHeight="1" x14ac:dyDescent="0.25">
      <c r="A20" s="6" t="s">
        <v>122</v>
      </c>
      <c r="F20" s="200" t="s">
        <v>123</v>
      </c>
      <c r="K20" s="201" t="s">
        <v>124</v>
      </c>
      <c r="L20" s="201" t="s">
        <v>125</v>
      </c>
      <c r="M20" s="201" t="s">
        <v>126</v>
      </c>
      <c r="N20" s="201" t="s">
        <v>127</v>
      </c>
      <c r="O20" s="201" t="s">
        <v>128</v>
      </c>
      <c r="P20" s="201" t="s">
        <v>129</v>
      </c>
      <c r="Q20" s="201" t="s">
        <v>130</v>
      </c>
    </row>
    <row r="21" spans="1:19" s="166" customFormat="1" ht="18" customHeight="1" x14ac:dyDescent="0.25">
      <c r="A21" s="69" t="s">
        <v>46</v>
      </c>
      <c r="B21" s="191">
        <f>SUMIF(B4:B11,A21,D4:D11)</f>
        <v>16000</v>
      </c>
      <c r="J21" s="168"/>
    </row>
    <row r="22" spans="1:19" s="166" customFormat="1" ht="18" customHeight="1" x14ac:dyDescent="0.25">
      <c r="A22" s="168"/>
      <c r="J22" s="168"/>
    </row>
    <row r="23" spans="1:19" ht="14.1" customHeight="1" x14ac:dyDescent="0.25">
      <c r="A23" s="5" t="s">
        <v>131</v>
      </c>
      <c r="F23" s="203" t="s">
        <v>132</v>
      </c>
      <c r="K23" s="201" t="s">
        <v>133</v>
      </c>
      <c r="L23" s="201" t="s">
        <v>134</v>
      </c>
      <c r="M23" s="201" t="s">
        <v>135</v>
      </c>
      <c r="N23" s="201" t="s">
        <v>136</v>
      </c>
      <c r="O23" s="201" t="s">
        <v>137</v>
      </c>
      <c r="P23" s="201" t="s">
        <v>138</v>
      </c>
      <c r="Q23" s="201" t="s">
        <v>139</v>
      </c>
    </row>
    <row r="24" spans="1:19" s="166" customFormat="1" ht="14.1" customHeight="1" x14ac:dyDescent="0.25">
      <c r="A24" s="167"/>
      <c r="B24" s="68" t="s">
        <v>82</v>
      </c>
      <c r="C24" s="68" t="s">
        <v>39</v>
      </c>
      <c r="J24" s="170"/>
    </row>
    <row r="25" spans="1:19" s="166" customFormat="1" ht="14.1" customHeight="1" x14ac:dyDescent="0.25">
      <c r="A25" s="69" t="s">
        <v>15</v>
      </c>
      <c r="B25" s="191" t="str">
        <f>VLOOKUP(A25,$A$4:$I$11,3,FALSE)</f>
        <v>PION</v>
      </c>
      <c r="C25" s="191" t="str">
        <f>VLOOKUP(A25,$A$4:$I$11,9,FALSE)</f>
        <v>C</v>
      </c>
      <c r="J25" s="170"/>
    </row>
    <row r="26" spans="1:19" s="166" customFormat="1" ht="14.1" customHeight="1" x14ac:dyDescent="0.25">
      <c r="A26" s="69" t="s">
        <v>107</v>
      </c>
      <c r="B26" s="191" t="str">
        <f>VLOOKUP(A26,$A$4:$I$11,3,FALSE)</f>
        <v>MANAGER</v>
      </c>
      <c r="C26" s="191" t="str">
        <f>VLOOKUP(A26,$A$4:$I$11,9,FALSE)</f>
        <v>B</v>
      </c>
      <c r="J26" s="170"/>
    </row>
    <row r="27" spans="1:19" s="166" customFormat="1" ht="14.1" customHeight="1" x14ac:dyDescent="0.25">
      <c r="A27" s="188"/>
      <c r="J27" s="170"/>
    </row>
    <row r="28" spans="1:19" ht="29.1" customHeight="1" x14ac:dyDescent="0.25">
      <c r="A28" s="494" t="s">
        <v>140</v>
      </c>
      <c r="B28" s="483" t="s">
        <v>141</v>
      </c>
      <c r="C28" s="483"/>
      <c r="D28" s="483"/>
      <c r="E28" s="483"/>
      <c r="F28" s="483"/>
      <c r="G28" s="483"/>
      <c r="H28" s="483"/>
      <c r="I28" s="483"/>
    </row>
    <row r="29" spans="1:19" ht="15.75" thickBot="1" x14ac:dyDescent="0.3"/>
    <row r="30" spans="1:19" x14ac:dyDescent="0.25">
      <c r="A30" s="21" t="s">
        <v>142</v>
      </c>
      <c r="F30" s="203" t="s">
        <v>26</v>
      </c>
      <c r="L30" s="221" t="s">
        <v>0</v>
      </c>
      <c r="M30" s="221" t="s">
        <v>0</v>
      </c>
      <c r="N30" s="221" t="s">
        <v>0</v>
      </c>
      <c r="O30" s="221" t="s">
        <v>0</v>
      </c>
      <c r="P30" s="221" t="s">
        <v>0</v>
      </c>
      <c r="Q30" s="221" t="s">
        <v>0</v>
      </c>
      <c r="R30" s="221" t="s">
        <v>0</v>
      </c>
      <c r="S30" s="201" t="s">
        <v>0</v>
      </c>
    </row>
    <row r="32" spans="1:19" x14ac:dyDescent="0.25">
      <c r="A32" s="69" t="s">
        <v>91</v>
      </c>
      <c r="B32" s="191">
        <f>COUNTIF($C$4:$C$11,A32)</f>
        <v>2</v>
      </c>
    </row>
    <row r="33" spans="1:2" x14ac:dyDescent="0.25">
      <c r="A33" s="69" t="s">
        <v>100</v>
      </c>
      <c r="B33" s="191">
        <f>COUNTIF($C$4:$C$11,A33)</f>
        <v>2</v>
      </c>
    </row>
  </sheetData>
  <mergeCells count="3">
    <mergeCell ref="A1:I1"/>
    <mergeCell ref="A2:I2"/>
    <mergeCell ref="A28:I28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30"/>
  <sheetViews>
    <sheetView topLeftCell="A19" workbookViewId="0">
      <selection activeCell="I10" sqref="I10"/>
    </sheetView>
  </sheetViews>
  <sheetFormatPr defaultRowHeight="15" x14ac:dyDescent="0.25"/>
  <cols>
    <col min="1" max="1" width="38"/>
    <col min="2" max="2" width="16"/>
    <col min="3" max="3" width="19"/>
    <col min="4" max="4" width="8"/>
    <col min="5" max="5" width="22"/>
  </cols>
  <sheetData>
    <row r="1" spans="1:5" ht="3.95" customHeight="1" x14ac:dyDescent="0.25">
      <c r="A1" s="499" t="s">
        <v>2220</v>
      </c>
      <c r="B1" s="483"/>
      <c r="C1" s="483"/>
      <c r="D1" s="483"/>
      <c r="E1" s="483"/>
    </row>
    <row r="2" spans="1:5" ht="15.95" customHeight="1" x14ac:dyDescent="0.25">
      <c r="A2" s="500" t="s">
        <v>2225</v>
      </c>
      <c r="B2" s="483"/>
      <c r="C2" s="483"/>
      <c r="D2" s="483"/>
      <c r="E2" s="483"/>
    </row>
    <row r="3" spans="1:5" ht="14.1" customHeight="1" x14ac:dyDescent="0.25">
      <c r="A3" s="493" t="s">
        <v>2226</v>
      </c>
      <c r="B3" s="483"/>
      <c r="C3" s="483"/>
      <c r="D3" s="483"/>
      <c r="E3" s="483"/>
    </row>
    <row r="4" spans="1:5" ht="12.95" customHeight="1" x14ac:dyDescent="0.25">
      <c r="A4" s="67" t="s">
        <v>2227</v>
      </c>
      <c r="B4" s="67" t="s">
        <v>2228</v>
      </c>
      <c r="C4" s="67" t="s">
        <v>2229</v>
      </c>
      <c r="D4" s="99" t="s">
        <v>2230</v>
      </c>
    </row>
    <row r="5" spans="1:5" ht="18" customHeight="1" x14ac:dyDescent="0.25">
      <c r="A5" s="38" t="s">
        <v>2231</v>
      </c>
      <c r="B5" s="38" t="s">
        <v>2232</v>
      </c>
      <c r="C5" s="319">
        <f>FIND(B5,A5)</f>
        <v>2</v>
      </c>
      <c r="D5" s="152"/>
    </row>
    <row r="6" spans="1:5" ht="18" customHeight="1" x14ac:dyDescent="0.25">
      <c r="A6" s="38" t="s">
        <v>2233</v>
      </c>
      <c r="B6" s="38" t="s">
        <v>2234</v>
      </c>
      <c r="C6" s="319">
        <f>FIND(B6,A6)</f>
        <v>1</v>
      </c>
      <c r="D6" s="152"/>
    </row>
    <row r="7" spans="1:5" ht="18" customHeight="1" x14ac:dyDescent="0.25">
      <c r="A7" s="38" t="s">
        <v>2235</v>
      </c>
      <c r="B7" s="38" t="s">
        <v>2236</v>
      </c>
      <c r="C7" s="319">
        <f t="shared" ref="C7:C8" si="0">FIND(B7,A7)</f>
        <v>5</v>
      </c>
      <c r="D7" s="152"/>
    </row>
    <row r="8" spans="1:5" ht="18" customHeight="1" thickBot="1" x14ac:dyDescent="0.3">
      <c r="A8" s="38" t="s">
        <v>2237</v>
      </c>
      <c r="B8" s="38" t="s">
        <v>2238</v>
      </c>
      <c r="C8" s="319">
        <f t="shared" si="0"/>
        <v>3</v>
      </c>
      <c r="D8" s="153"/>
    </row>
    <row r="9" spans="1:5" s="294" customFormat="1" ht="12.95" customHeight="1" x14ac:dyDescent="0.25">
      <c r="A9" s="154" t="s">
        <v>2237</v>
      </c>
      <c r="B9" s="154" t="s">
        <v>2238</v>
      </c>
      <c r="C9" s="320">
        <f>FIND(B9,A9,6)</f>
        <v>11</v>
      </c>
      <c r="D9" s="155"/>
    </row>
    <row r="10" spans="1:5" s="294" customFormat="1" ht="17.100000000000001" customHeight="1" x14ac:dyDescent="0.25">
      <c r="A10" s="38" t="s">
        <v>2237</v>
      </c>
      <c r="B10" s="38" t="s">
        <v>2239</v>
      </c>
      <c r="C10" s="319" t="e">
        <f>FIND(B10,A10)</f>
        <v>#VALUE!</v>
      </c>
      <c r="D10" s="156"/>
    </row>
    <row r="11" spans="1:5" s="294" customFormat="1" ht="12.95" customHeight="1" x14ac:dyDescent="0.25">
      <c r="A11" s="67" t="s">
        <v>2240</v>
      </c>
      <c r="B11" s="151" t="s">
        <v>2241</v>
      </c>
      <c r="C11" s="319">
        <f>LARGE($A$12:$A$16,1)</f>
        <v>800</v>
      </c>
      <c r="D11" s="296"/>
    </row>
    <row r="12" spans="1:5" s="294" customFormat="1" ht="18" customHeight="1" x14ac:dyDescent="0.25">
      <c r="A12" s="38">
        <v>120</v>
      </c>
      <c r="B12" s="151" t="s">
        <v>2242</v>
      </c>
      <c r="C12" s="319">
        <f>LARGE($A$12:$A$16,2)</f>
        <v>250</v>
      </c>
      <c r="D12" s="296"/>
    </row>
    <row r="13" spans="1:5" s="294" customFormat="1" ht="18" customHeight="1" x14ac:dyDescent="0.25">
      <c r="A13" s="38">
        <v>800</v>
      </c>
      <c r="B13" s="151" t="s">
        <v>2243</v>
      </c>
      <c r="C13" s="319">
        <f>LARGE($A$12:$A$16,3)</f>
        <v>120</v>
      </c>
      <c r="D13" s="296"/>
    </row>
    <row r="14" spans="1:5" s="294" customFormat="1" ht="18" customHeight="1" x14ac:dyDescent="0.25">
      <c r="A14" s="38">
        <v>100</v>
      </c>
      <c r="B14" s="151" t="s">
        <v>2244</v>
      </c>
      <c r="C14" s="319">
        <f>LARGE($A$12:$A$16,4)</f>
        <v>120</v>
      </c>
      <c r="D14" s="296"/>
    </row>
    <row r="15" spans="1:5" s="294" customFormat="1" ht="18" customHeight="1" x14ac:dyDescent="0.25">
      <c r="A15" s="38">
        <v>120</v>
      </c>
      <c r="B15" s="151" t="s">
        <v>2245</v>
      </c>
      <c r="C15" s="319">
        <f>LARGE($A$12:$A$16,5)</f>
        <v>100</v>
      </c>
      <c r="D15" s="296"/>
    </row>
    <row r="16" spans="1:5" s="294" customFormat="1" ht="18" customHeight="1" x14ac:dyDescent="0.25">
      <c r="A16" s="38">
        <v>250</v>
      </c>
      <c r="B16" s="98" t="s">
        <v>0</v>
      </c>
      <c r="C16" s="295" t="s">
        <v>0</v>
      </c>
      <c r="D16" s="294" t="s">
        <v>0</v>
      </c>
    </row>
    <row r="18" spans="1:5" x14ac:dyDescent="0.25">
      <c r="A18" s="484" t="s">
        <v>2246</v>
      </c>
      <c r="B18" s="483"/>
      <c r="C18" s="483"/>
      <c r="D18" s="483"/>
      <c r="E18" s="483"/>
    </row>
    <row r="19" spans="1:5" x14ac:dyDescent="0.25">
      <c r="A19" s="67" t="s">
        <v>2247</v>
      </c>
      <c r="B19" s="67" t="s">
        <v>2248</v>
      </c>
      <c r="C19" s="67" t="s">
        <v>2249</v>
      </c>
      <c r="D19" s="67" t="s">
        <v>2250</v>
      </c>
    </row>
    <row r="20" spans="1:5" x14ac:dyDescent="0.25">
      <c r="A20" s="67" t="s">
        <v>2251</v>
      </c>
      <c r="B20" s="317">
        <v>5000</v>
      </c>
      <c r="C20" s="317">
        <v>6000</v>
      </c>
      <c r="D20" s="317">
        <v>4500</v>
      </c>
    </row>
    <row r="21" spans="1:5" x14ac:dyDescent="0.25">
      <c r="A21" s="67" t="s">
        <v>2252</v>
      </c>
      <c r="B21" s="317">
        <v>5800</v>
      </c>
      <c r="C21" s="317">
        <v>7000</v>
      </c>
      <c r="D21" s="317">
        <v>3000</v>
      </c>
    </row>
    <row r="22" spans="1:5" x14ac:dyDescent="0.25">
      <c r="A22" s="67" t="s">
        <v>2253</v>
      </c>
      <c r="B22" s="317">
        <v>3500</v>
      </c>
      <c r="C22" s="317">
        <v>2000</v>
      </c>
      <c r="D22" s="317">
        <v>10000</v>
      </c>
    </row>
    <row r="23" spans="1:5" x14ac:dyDescent="0.25">
      <c r="A23" s="67" t="s">
        <v>2254</v>
      </c>
      <c r="B23" s="317">
        <v>12000</v>
      </c>
      <c r="C23" s="317">
        <v>4000</v>
      </c>
      <c r="D23" s="317">
        <v>6000</v>
      </c>
    </row>
    <row r="24" spans="1:5" x14ac:dyDescent="0.25">
      <c r="A24" s="151" t="s">
        <v>2255</v>
      </c>
      <c r="B24" s="318">
        <f>LARGE(B20:D23,1)</f>
        <v>12000</v>
      </c>
      <c r="C24" s="152"/>
    </row>
    <row r="25" spans="1:5" x14ac:dyDescent="0.25">
      <c r="A25" s="151" t="s">
        <v>2256</v>
      </c>
      <c r="B25" s="318">
        <f>LARGE(B20:D23,2)</f>
        <v>10000</v>
      </c>
      <c r="C25" s="152"/>
    </row>
    <row r="26" spans="1:5" x14ac:dyDescent="0.25">
      <c r="A26" s="151" t="s">
        <v>2257</v>
      </c>
      <c r="B26" s="318">
        <f>LARGE(B20:D23,3)</f>
        <v>7000</v>
      </c>
      <c r="C26" s="152"/>
    </row>
    <row r="27" spans="1:5" x14ac:dyDescent="0.25">
      <c r="A27" s="547" t="s">
        <v>2258</v>
      </c>
      <c r="B27" s="483"/>
      <c r="C27" s="483"/>
      <c r="D27" s="483"/>
      <c r="E27" s="483"/>
    </row>
    <row r="28" spans="1:5" x14ac:dyDescent="0.25">
      <c r="A28" s="546" t="s">
        <v>2259</v>
      </c>
      <c r="B28" s="483"/>
      <c r="C28" s="483"/>
      <c r="D28" s="483"/>
      <c r="E28" s="483"/>
    </row>
    <row r="29" spans="1:5" x14ac:dyDescent="0.25">
      <c r="A29" t="s">
        <v>2260</v>
      </c>
      <c r="B29" s="74" t="s">
        <v>2261</v>
      </c>
      <c r="C29" s="67" t="s">
        <v>2262</v>
      </c>
      <c r="D29" s="318">
        <f>MAX(B20:D23)</f>
        <v>12000</v>
      </c>
      <c r="E29" s="152"/>
    </row>
    <row r="30" spans="1:5" x14ac:dyDescent="0.25">
      <c r="A30" s="34" t="s">
        <v>2263</v>
      </c>
      <c r="B30" s="100" t="s">
        <v>2264</v>
      </c>
      <c r="C30" s="67" t="s">
        <v>2265</v>
      </c>
      <c r="D30" s="318">
        <f>MIN(B20:D23)</f>
        <v>2000</v>
      </c>
      <c r="E30" s="157"/>
    </row>
  </sheetData>
  <mergeCells count="6">
    <mergeCell ref="A1:E1"/>
    <mergeCell ref="A28:E28"/>
    <mergeCell ref="A2:E2"/>
    <mergeCell ref="A3:E3"/>
    <mergeCell ref="A18:E18"/>
    <mergeCell ref="A27:E27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30"/>
  <sheetViews>
    <sheetView topLeftCell="A19" workbookViewId="0">
      <selection activeCell="C14" sqref="C14:E14"/>
    </sheetView>
  </sheetViews>
  <sheetFormatPr defaultRowHeight="15" x14ac:dyDescent="0.25"/>
  <cols>
    <col min="1" max="1" width="38"/>
    <col min="2" max="2" width="26"/>
    <col min="3" max="3" width="20"/>
    <col min="4" max="4" width="21"/>
    <col min="5" max="5" width="27"/>
  </cols>
  <sheetData>
    <row r="1" spans="1:5" ht="3.95" customHeight="1" x14ac:dyDescent="0.25">
      <c r="A1" s="499" t="s">
        <v>2266</v>
      </c>
      <c r="B1" s="483"/>
      <c r="C1" s="483"/>
      <c r="D1" s="483"/>
      <c r="E1" s="483"/>
    </row>
    <row r="2" spans="1:5" ht="21" customHeight="1" x14ac:dyDescent="0.3">
      <c r="A2" s="542" t="s">
        <v>2267</v>
      </c>
      <c r="B2" s="483"/>
      <c r="C2" s="483"/>
      <c r="D2" s="483"/>
      <c r="E2" s="483"/>
    </row>
    <row r="3" spans="1:5" ht="15.95" customHeight="1" x14ac:dyDescent="0.25">
      <c r="A3" s="500" t="s">
        <v>2268</v>
      </c>
      <c r="B3" s="483"/>
      <c r="C3" s="483"/>
      <c r="D3" s="483"/>
      <c r="E3" s="483"/>
    </row>
    <row r="4" spans="1:5" ht="15.95" customHeight="1" x14ac:dyDescent="0.25">
      <c r="A4" s="549" t="s">
        <v>2500</v>
      </c>
      <c r="B4" s="483"/>
      <c r="C4" s="483"/>
      <c r="D4" s="483"/>
      <c r="E4" s="483"/>
    </row>
    <row r="5" spans="1:5" ht="14.1" customHeight="1" x14ac:dyDescent="0.25">
      <c r="A5" t="s">
        <v>2269</v>
      </c>
      <c r="B5" t="s">
        <v>2270</v>
      </c>
      <c r="C5" s="158" t="s">
        <v>2271</v>
      </c>
    </row>
    <row r="6" spans="1:5" ht="27" customHeight="1" x14ac:dyDescent="0.25">
      <c r="A6" s="67" t="s">
        <v>2272</v>
      </c>
      <c r="B6" s="159" t="s">
        <v>2273</v>
      </c>
      <c r="C6" s="67" t="s">
        <v>2274</v>
      </c>
      <c r="D6" s="99" t="s">
        <v>2275</v>
      </c>
      <c r="E6" t="s">
        <v>2276</v>
      </c>
    </row>
    <row r="7" spans="1:5" ht="18" customHeight="1" x14ac:dyDescent="0.25">
      <c r="A7" s="38" t="s">
        <v>2277</v>
      </c>
      <c r="B7" s="38">
        <v>1</v>
      </c>
      <c r="C7" s="319" t="str">
        <f>LEFT(A7,B7)</f>
        <v>A</v>
      </c>
      <c r="D7" s="548"/>
      <c r="E7" s="483"/>
    </row>
    <row r="8" spans="1:5" ht="18" customHeight="1" x14ac:dyDescent="0.25">
      <c r="A8" s="38" t="s">
        <v>2278</v>
      </c>
      <c r="B8" s="38">
        <v>2</v>
      </c>
      <c r="C8" s="319" t="str">
        <f t="shared" ref="C8:C11" si="0">LEFT(A8,B8)</f>
        <v>Al</v>
      </c>
      <c r="D8" s="99" t="s">
        <v>2279</v>
      </c>
      <c r="E8" t="s">
        <v>2280</v>
      </c>
    </row>
    <row r="9" spans="1:5" ht="18" customHeight="1" x14ac:dyDescent="0.25">
      <c r="A9" s="38" t="s">
        <v>2281</v>
      </c>
      <c r="B9" s="38">
        <v>3</v>
      </c>
      <c r="C9" s="319" t="str">
        <f t="shared" si="0"/>
        <v>Ala</v>
      </c>
      <c r="D9" s="99" t="s">
        <v>2282</v>
      </c>
      <c r="E9" t="s">
        <v>2283</v>
      </c>
    </row>
    <row r="10" spans="1:5" ht="18" customHeight="1" x14ac:dyDescent="0.25">
      <c r="A10" s="38" t="s">
        <v>2284</v>
      </c>
      <c r="B10" s="38">
        <v>6</v>
      </c>
      <c r="C10" s="319" t="str">
        <f t="shared" si="0"/>
        <v>Cardif</v>
      </c>
      <c r="D10" s="99" t="s">
        <v>2285</v>
      </c>
      <c r="E10" t="s">
        <v>2286</v>
      </c>
    </row>
    <row r="11" spans="1:5" ht="18" customHeight="1" x14ac:dyDescent="0.25">
      <c r="A11" s="38" t="s">
        <v>2287</v>
      </c>
      <c r="B11" s="38">
        <v>4</v>
      </c>
      <c r="C11" s="319" t="str">
        <f t="shared" si="0"/>
        <v>ABC1</v>
      </c>
      <c r="D11" s="99" t="s">
        <v>2288</v>
      </c>
      <c r="E11" t="s">
        <v>2289</v>
      </c>
    </row>
    <row r="12" spans="1:5" ht="14.1" customHeight="1" x14ac:dyDescent="0.25">
      <c r="A12" t="s">
        <v>2290</v>
      </c>
      <c r="B12" t="s">
        <v>2291</v>
      </c>
      <c r="C12" s="158" t="s">
        <v>2292</v>
      </c>
    </row>
    <row r="13" spans="1:5" ht="12.95" customHeight="1" x14ac:dyDescent="0.25">
      <c r="A13" s="67" t="s">
        <v>2293</v>
      </c>
      <c r="B13" s="67" t="s">
        <v>2294</v>
      </c>
      <c r="C13" s="99" t="s">
        <v>2295</v>
      </c>
      <c r="D13" t="s">
        <v>2296</v>
      </c>
    </row>
    <row r="14" spans="1:5" ht="18" customHeight="1" x14ac:dyDescent="0.25">
      <c r="A14" s="38" t="s">
        <v>2297</v>
      </c>
      <c r="B14" s="319" t="str">
        <f>LEFT(A14,FIND(" ",A14)-1)</f>
        <v>Alan</v>
      </c>
      <c r="C14" s="548" t="s">
        <v>2501</v>
      </c>
      <c r="D14" s="483" t="s">
        <v>2298</v>
      </c>
      <c r="E14" s="483"/>
    </row>
    <row r="15" spans="1:5" ht="18" customHeight="1" x14ac:dyDescent="0.25">
      <c r="A15" s="38" t="s">
        <v>2299</v>
      </c>
      <c r="B15" s="319" t="str">
        <f t="shared" ref="B15:B16" si="1">LEFT(A15,FIND(" ",A15)-1)</f>
        <v>Bob</v>
      </c>
      <c r="C15" s="99" t="s">
        <v>2300</v>
      </c>
      <c r="D15" t="s">
        <v>2301</v>
      </c>
    </row>
    <row r="16" spans="1:5" ht="18" customHeight="1" x14ac:dyDescent="0.25">
      <c r="A16" s="38" t="s">
        <v>2302</v>
      </c>
      <c r="B16" s="319" t="str">
        <f t="shared" si="1"/>
        <v>Carol</v>
      </c>
      <c r="C16" s="99" t="s">
        <v>2303</v>
      </c>
      <c r="D16" t="s">
        <v>2304</v>
      </c>
    </row>
    <row r="17" spans="1:5" ht="14.1" customHeight="1" x14ac:dyDescent="0.25">
      <c r="A17" t="s">
        <v>2305</v>
      </c>
      <c r="B17" t="s">
        <v>2306</v>
      </c>
      <c r="C17" s="158" t="s">
        <v>2307</v>
      </c>
    </row>
    <row r="18" spans="1:5" ht="12.95" customHeight="1" x14ac:dyDescent="0.25">
      <c r="A18" s="67" t="s">
        <v>2308</v>
      </c>
      <c r="B18" s="67" t="s">
        <v>2309</v>
      </c>
      <c r="C18" s="99" t="s">
        <v>2310</v>
      </c>
      <c r="D18" t="s">
        <v>2311</v>
      </c>
    </row>
    <row r="19" spans="1:5" ht="18" customHeight="1" x14ac:dyDescent="0.25">
      <c r="A19" s="38" t="s">
        <v>2312</v>
      </c>
      <c r="B19" s="319">
        <f>LEN(A19)</f>
        <v>10</v>
      </c>
      <c r="C19" s="548"/>
      <c r="D19" s="483"/>
      <c r="E19" s="483"/>
    </row>
    <row r="20" spans="1:5" ht="18" customHeight="1" x14ac:dyDescent="0.25">
      <c r="A20" s="38" t="s">
        <v>2313</v>
      </c>
      <c r="B20" s="319">
        <f t="shared" ref="B20:B23" si="2">LEN(A20)</f>
        <v>9</v>
      </c>
      <c r="C20" s="99" t="s">
        <v>2314</v>
      </c>
      <c r="D20" t="s">
        <v>2315</v>
      </c>
    </row>
    <row r="21" spans="1:5" ht="18" customHeight="1" x14ac:dyDescent="0.25">
      <c r="A21" s="38" t="s">
        <v>2316</v>
      </c>
      <c r="B21" s="319">
        <f t="shared" si="2"/>
        <v>14</v>
      </c>
      <c r="C21" s="99" t="s">
        <v>2317</v>
      </c>
      <c r="D21" t="s">
        <v>2318</v>
      </c>
    </row>
    <row r="22" spans="1:5" ht="18" customHeight="1" x14ac:dyDescent="0.25">
      <c r="A22" s="38" t="s">
        <v>2319</v>
      </c>
      <c r="B22" s="319">
        <f t="shared" si="2"/>
        <v>7</v>
      </c>
      <c r="C22" s="99" t="s">
        <v>2320</v>
      </c>
      <c r="D22" t="s">
        <v>2321</v>
      </c>
    </row>
    <row r="23" spans="1:5" ht="18" customHeight="1" x14ac:dyDescent="0.25">
      <c r="A23" s="38" t="s">
        <v>2322</v>
      </c>
      <c r="B23" s="319">
        <f t="shared" si="2"/>
        <v>6</v>
      </c>
      <c r="C23" s="99" t="s">
        <v>2323</v>
      </c>
      <c r="D23" t="s">
        <v>2324</v>
      </c>
    </row>
    <row r="24" spans="1:5" ht="12.95" customHeight="1" x14ac:dyDescent="0.25">
      <c r="A24" t="s">
        <v>2325</v>
      </c>
      <c r="B24" t="s">
        <v>2326</v>
      </c>
      <c r="C24" s="160" t="s">
        <v>2327</v>
      </c>
    </row>
    <row r="25" spans="1:5" ht="12.95" customHeight="1" x14ac:dyDescent="0.25">
      <c r="A25" s="67" t="s">
        <v>2328</v>
      </c>
      <c r="B25" s="67" t="s">
        <v>2329</v>
      </c>
      <c r="C25" s="99" t="s">
        <v>2330</v>
      </c>
      <c r="D25" t="s">
        <v>2331</v>
      </c>
    </row>
    <row r="26" spans="1:5" ht="18" customHeight="1" x14ac:dyDescent="0.25">
      <c r="A26" s="38" t="s">
        <v>2332</v>
      </c>
      <c r="B26" s="319" t="str">
        <f>LOWER(A26)</f>
        <v>alan jones</v>
      </c>
      <c r="C26" s="548"/>
      <c r="D26" s="483"/>
      <c r="E26" s="483"/>
    </row>
    <row r="27" spans="1:5" ht="18" customHeight="1" x14ac:dyDescent="0.25">
      <c r="A27" s="38" t="s">
        <v>2333</v>
      </c>
      <c r="B27" s="319" t="str">
        <f t="shared" ref="B27:B30" si="3">LOWER(A27)</f>
        <v>bob smith</v>
      </c>
      <c r="C27" s="99" t="s">
        <v>2334</v>
      </c>
      <c r="D27" t="s">
        <v>2335</v>
      </c>
    </row>
    <row r="28" spans="1:5" ht="18" customHeight="1" x14ac:dyDescent="0.25">
      <c r="A28" s="38" t="s">
        <v>2336</v>
      </c>
      <c r="B28" s="319" t="str">
        <f t="shared" si="3"/>
        <v>carol williams</v>
      </c>
      <c r="C28" s="99" t="s">
        <v>2337</v>
      </c>
      <c r="D28" t="s">
        <v>2338</v>
      </c>
    </row>
    <row r="29" spans="1:5" ht="18" customHeight="1" x14ac:dyDescent="0.25">
      <c r="A29" s="38" t="s">
        <v>2339</v>
      </c>
      <c r="B29" s="319" t="str">
        <f t="shared" si="3"/>
        <v>cardiff</v>
      </c>
      <c r="C29" s="99" t="s">
        <v>2340</v>
      </c>
      <c r="D29" t="s">
        <v>2341</v>
      </c>
    </row>
    <row r="30" spans="1:5" ht="17.100000000000001" customHeight="1" x14ac:dyDescent="0.25">
      <c r="A30" s="38" t="s">
        <v>2342</v>
      </c>
      <c r="B30" s="319" t="str">
        <f t="shared" si="3"/>
        <v>abc123</v>
      </c>
      <c r="C30" s="99" t="s">
        <v>2343</v>
      </c>
      <c r="D30" t="s">
        <v>2344</v>
      </c>
    </row>
  </sheetData>
  <mergeCells count="8">
    <mergeCell ref="A1:E1"/>
    <mergeCell ref="A2:E2"/>
    <mergeCell ref="A3:E3"/>
    <mergeCell ref="A4:E4"/>
    <mergeCell ref="D7:E7"/>
    <mergeCell ref="C14:E14"/>
    <mergeCell ref="C19:E19"/>
    <mergeCell ref="C26:E26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34"/>
  <sheetViews>
    <sheetView topLeftCell="A22" workbookViewId="0">
      <selection activeCell="K15" sqref="K15"/>
    </sheetView>
  </sheetViews>
  <sheetFormatPr defaultRowHeight="15" x14ac:dyDescent="0.25"/>
  <cols>
    <col min="1" max="1" width="38"/>
    <col min="2" max="2" width="11"/>
    <col min="3" max="3" width="9"/>
    <col min="4" max="4" width="7"/>
    <col min="5" max="7" width="6"/>
    <col min="8" max="8" width="7"/>
    <col min="9" max="9" width="9"/>
    <col min="10" max="10" width="15"/>
    <col min="11" max="11" width="11"/>
  </cols>
  <sheetData>
    <row r="1" spans="1:11" ht="3.95" customHeight="1" x14ac:dyDescent="0.25">
      <c r="A1" s="499" t="s">
        <v>2345</v>
      </c>
      <c r="B1" s="483"/>
      <c r="C1" s="483"/>
      <c r="D1" s="483"/>
      <c r="E1" s="483"/>
      <c r="F1" s="483"/>
      <c r="G1" s="483"/>
      <c r="H1" s="483"/>
      <c r="I1" s="483"/>
      <c r="J1" s="483"/>
      <c r="K1" s="483"/>
    </row>
    <row r="2" spans="1:11" ht="15.95" customHeight="1" x14ac:dyDescent="0.25">
      <c r="A2" s="500" t="s">
        <v>2346</v>
      </c>
      <c r="B2" s="483"/>
      <c r="C2" s="483"/>
      <c r="D2" s="483"/>
      <c r="E2" s="483"/>
      <c r="F2" s="483"/>
      <c r="G2" s="483"/>
      <c r="H2" s="483"/>
      <c r="I2" s="483"/>
      <c r="J2" s="483"/>
      <c r="K2" s="483"/>
    </row>
    <row r="3" spans="1:11" ht="14.1" customHeight="1" x14ac:dyDescent="0.25">
      <c r="A3" s="493" t="s">
        <v>2347</v>
      </c>
      <c r="B3" s="483"/>
      <c r="C3" s="483"/>
      <c r="D3" s="483"/>
      <c r="E3" s="483"/>
      <c r="F3" s="483"/>
      <c r="G3" s="483"/>
      <c r="H3" s="483"/>
      <c r="I3" s="483"/>
      <c r="J3" s="483"/>
      <c r="K3" s="483"/>
    </row>
    <row r="4" spans="1:11" ht="14.1" customHeight="1" x14ac:dyDescent="0.25">
      <c r="A4" s="315" t="s">
        <v>2348</v>
      </c>
      <c r="B4" s="315" t="s">
        <v>2349</v>
      </c>
      <c r="C4" s="315" t="s">
        <v>2350</v>
      </c>
      <c r="D4" s="315"/>
      <c r="E4" s="315"/>
      <c r="F4" s="315"/>
      <c r="G4" s="315"/>
      <c r="H4" s="315"/>
    </row>
    <row r="5" spans="1:11" ht="12.95" customHeight="1" x14ac:dyDescent="0.25">
      <c r="A5" s="67" t="s">
        <v>2351</v>
      </c>
      <c r="B5" s="67" t="s">
        <v>2352</v>
      </c>
      <c r="C5" s="67" t="s">
        <v>2353</v>
      </c>
      <c r="D5" s="99" t="s">
        <v>2354</v>
      </c>
      <c r="E5" s="315"/>
      <c r="F5" s="315"/>
      <c r="G5" s="315"/>
      <c r="H5" s="315"/>
      <c r="I5" s="315"/>
      <c r="J5" s="315"/>
    </row>
    <row r="6" spans="1:11" ht="18" customHeight="1" x14ac:dyDescent="0.25">
      <c r="A6" s="38">
        <v>3</v>
      </c>
      <c r="B6" s="38">
        <v>2</v>
      </c>
      <c r="C6" s="319">
        <f>POWER(A6,B6)</f>
        <v>9</v>
      </c>
      <c r="D6" s="555"/>
      <c r="E6" s="315"/>
      <c r="F6" s="315"/>
      <c r="G6" s="315"/>
      <c r="H6" s="315"/>
      <c r="I6" s="315"/>
      <c r="J6" s="315"/>
    </row>
    <row r="7" spans="1:11" ht="18" customHeight="1" x14ac:dyDescent="0.25">
      <c r="A7" s="38">
        <v>3</v>
      </c>
      <c r="B7" s="38">
        <v>4</v>
      </c>
      <c r="C7" s="319">
        <f t="shared" ref="C7:C9" si="0">POWER(A7,B7)</f>
        <v>81</v>
      </c>
      <c r="D7" s="99" t="s">
        <v>2355</v>
      </c>
      <c r="E7" s="315"/>
      <c r="F7" s="315"/>
      <c r="G7" s="315"/>
      <c r="H7" s="315"/>
      <c r="I7" s="315"/>
      <c r="J7" s="315"/>
    </row>
    <row r="8" spans="1:11" ht="18" customHeight="1" x14ac:dyDescent="0.25">
      <c r="A8" s="38">
        <v>5</v>
      </c>
      <c r="B8" s="38">
        <v>2</v>
      </c>
      <c r="C8" s="319">
        <f t="shared" si="0"/>
        <v>25</v>
      </c>
      <c r="D8" s="99" t="s">
        <v>2356</v>
      </c>
      <c r="E8" s="315"/>
      <c r="F8" s="315"/>
      <c r="G8" s="315"/>
      <c r="H8" s="315"/>
      <c r="I8" s="315"/>
      <c r="J8" s="315"/>
    </row>
    <row r="9" spans="1:11" ht="18" customHeight="1" x14ac:dyDescent="0.25">
      <c r="A9" s="38">
        <v>5</v>
      </c>
      <c r="B9" s="38">
        <v>4</v>
      </c>
      <c r="C9" s="319">
        <f t="shared" si="0"/>
        <v>625</v>
      </c>
      <c r="D9" s="99" t="s">
        <v>2357</v>
      </c>
      <c r="E9" s="315"/>
      <c r="F9" s="315"/>
      <c r="G9" s="315"/>
      <c r="H9" s="315"/>
      <c r="I9" s="315"/>
      <c r="J9" s="315"/>
    </row>
    <row r="10" spans="1:11" ht="14.1" customHeight="1" x14ac:dyDescent="0.25">
      <c r="A10" t="s">
        <v>2358</v>
      </c>
      <c r="B10" t="s">
        <v>2359</v>
      </c>
      <c r="C10" s="315" t="s">
        <v>2360</v>
      </c>
      <c r="E10" s="315"/>
      <c r="F10" s="315"/>
      <c r="G10" s="315"/>
      <c r="H10" s="315"/>
      <c r="I10" s="315"/>
      <c r="J10" s="315"/>
    </row>
    <row r="11" spans="1:11" ht="12.95" customHeight="1" x14ac:dyDescent="0.25">
      <c r="A11" s="12" t="s">
        <v>2361</v>
      </c>
      <c r="B11" s="161" t="s">
        <v>2362</v>
      </c>
      <c r="C11" s="67" t="s">
        <v>2363</v>
      </c>
      <c r="E11" s="315"/>
      <c r="F11" s="315"/>
      <c r="G11" s="315"/>
      <c r="H11" s="315"/>
      <c r="I11" s="315"/>
      <c r="J11" s="315"/>
      <c r="K11" t="s">
        <v>2364</v>
      </c>
    </row>
    <row r="12" spans="1:11" ht="12.95" customHeight="1" x14ac:dyDescent="0.25">
      <c r="A12" s="38">
        <v>2</v>
      </c>
      <c r="B12" s="162">
        <v>3</v>
      </c>
      <c r="C12" s="319">
        <f>PRODUCT(A12,B12)</f>
        <v>6</v>
      </c>
      <c r="E12" s="315"/>
      <c r="F12" s="315"/>
      <c r="G12" s="315"/>
      <c r="H12" s="315"/>
      <c r="I12" s="315"/>
      <c r="J12" s="315"/>
      <c r="K12" s="201"/>
    </row>
    <row r="13" spans="1:11" ht="18" customHeight="1" x14ac:dyDescent="0.25">
      <c r="A13" s="38">
        <v>5</v>
      </c>
      <c r="B13" s="162">
        <v>10</v>
      </c>
      <c r="C13" s="319">
        <f>PRODUCT(A13,B13)</f>
        <v>50</v>
      </c>
      <c r="E13" s="315"/>
      <c r="F13" s="315"/>
      <c r="G13" s="315"/>
      <c r="H13" s="315"/>
      <c r="I13" s="315"/>
      <c r="J13" s="315"/>
      <c r="K13" t="s">
        <v>2365</v>
      </c>
    </row>
    <row r="14" spans="1:11" ht="18" customHeight="1" x14ac:dyDescent="0.25">
      <c r="A14" s="38">
        <v>3</v>
      </c>
      <c r="B14" s="162">
        <v>7</v>
      </c>
      <c r="C14" s="319">
        <f>PRODUCT(A14,B14)</f>
        <v>21</v>
      </c>
      <c r="E14" s="315"/>
      <c r="F14" s="315"/>
      <c r="G14" s="315"/>
      <c r="H14" s="315"/>
      <c r="I14" s="315"/>
      <c r="J14" s="315"/>
      <c r="K14" t="s">
        <v>2366</v>
      </c>
    </row>
    <row r="15" spans="1:11" ht="18" customHeight="1" x14ac:dyDescent="0.25">
      <c r="A15" s="19" t="s">
        <v>2367</v>
      </c>
      <c r="B15" s="19" t="s">
        <v>2368</v>
      </c>
      <c r="C15" s="319">
        <f>PRODUCT(C12,C13,C14)</f>
        <v>6300</v>
      </c>
      <c r="E15" s="315"/>
      <c r="F15" s="315"/>
      <c r="G15" s="315"/>
      <c r="H15" s="315"/>
      <c r="I15" s="315"/>
      <c r="J15" s="315"/>
      <c r="K15" t="s">
        <v>2369</v>
      </c>
    </row>
    <row r="16" spans="1:11" ht="14.1" customHeight="1" x14ac:dyDescent="0.25">
      <c r="A16" t="s">
        <v>2370</v>
      </c>
      <c r="B16" t="s">
        <v>2371</v>
      </c>
      <c r="C16" s="315" t="s">
        <v>2372</v>
      </c>
      <c r="E16" s="315"/>
      <c r="F16" s="315"/>
      <c r="G16" s="315"/>
      <c r="H16" s="315"/>
      <c r="I16" s="315"/>
      <c r="J16" s="315"/>
    </row>
    <row r="17" spans="1:11" ht="12.95" customHeight="1" x14ac:dyDescent="0.25">
      <c r="A17" s="67" t="s">
        <v>2373</v>
      </c>
      <c r="B17" s="67" t="s">
        <v>2374</v>
      </c>
      <c r="C17" s="99" t="s">
        <v>2375</v>
      </c>
      <c r="D17" s="315"/>
      <c r="E17" s="315"/>
      <c r="F17" s="315"/>
      <c r="G17" s="315"/>
      <c r="H17" s="315"/>
      <c r="I17" s="315"/>
      <c r="J17" s="315"/>
    </row>
    <row r="18" spans="1:11" ht="18" customHeight="1" x14ac:dyDescent="0.25">
      <c r="A18" s="38" t="s">
        <v>2376</v>
      </c>
      <c r="B18" s="319" t="str">
        <f>PROPER(A18)</f>
        <v>Alan Jones</v>
      </c>
      <c r="C18" s="316" t="s">
        <v>0</v>
      </c>
      <c r="D18" s="315"/>
      <c r="E18" s="315"/>
      <c r="F18" s="315"/>
      <c r="G18" s="315"/>
      <c r="H18" s="315"/>
      <c r="I18" s="315"/>
      <c r="J18" s="315"/>
      <c r="K18" s="315"/>
    </row>
    <row r="19" spans="1:11" ht="18" customHeight="1" x14ac:dyDescent="0.25">
      <c r="A19" s="38" t="s">
        <v>2377</v>
      </c>
      <c r="B19" s="319" t="str">
        <f t="shared" ref="B19:B22" si="1">PROPER(A19)</f>
        <v>Bob Smith</v>
      </c>
      <c r="C19" s="316" t="s">
        <v>0</v>
      </c>
      <c r="D19" s="315"/>
      <c r="E19" s="315"/>
      <c r="F19" s="315"/>
      <c r="G19" s="315"/>
      <c r="H19" s="315"/>
      <c r="I19" s="315"/>
      <c r="J19" s="315"/>
      <c r="K19" s="315"/>
    </row>
    <row r="20" spans="1:11" ht="18" customHeight="1" x14ac:dyDescent="0.25">
      <c r="A20" s="38" t="s">
        <v>2378</v>
      </c>
      <c r="B20" s="319" t="str">
        <f t="shared" si="1"/>
        <v>Carol Williams</v>
      </c>
      <c r="C20" s="316" t="s">
        <v>0</v>
      </c>
      <c r="D20" s="315"/>
      <c r="E20" s="315"/>
      <c r="F20" s="315"/>
      <c r="G20" s="315"/>
      <c r="H20" s="315"/>
      <c r="I20" s="315"/>
      <c r="J20" s="315"/>
      <c r="K20" s="315"/>
    </row>
    <row r="21" spans="1:11" ht="18" customHeight="1" x14ac:dyDescent="0.25">
      <c r="A21" s="38" t="s">
        <v>2379</v>
      </c>
      <c r="B21" s="319" t="str">
        <f t="shared" si="1"/>
        <v>Cardiff</v>
      </c>
      <c r="C21" s="316" t="s">
        <v>0</v>
      </c>
      <c r="D21" s="315"/>
      <c r="E21" s="315"/>
      <c r="F21" s="315"/>
      <c r="G21" s="315"/>
      <c r="H21" s="315"/>
      <c r="I21" s="315"/>
      <c r="J21" s="315"/>
      <c r="K21" s="315"/>
    </row>
    <row r="22" spans="1:11" ht="17.100000000000001" customHeight="1" x14ac:dyDescent="0.25">
      <c r="A22" s="38" t="s">
        <v>2380</v>
      </c>
      <c r="B22" s="319" t="str">
        <f t="shared" si="1"/>
        <v>Abc123</v>
      </c>
      <c r="C22" s="316" t="s">
        <v>0</v>
      </c>
      <c r="D22" s="315"/>
      <c r="E22" s="315"/>
      <c r="F22" s="315"/>
      <c r="G22" s="315"/>
      <c r="H22" s="315"/>
      <c r="I22" s="315"/>
      <c r="J22" s="315"/>
      <c r="K22" s="315"/>
    </row>
    <row r="23" spans="1:11" ht="14.1" customHeight="1" x14ac:dyDescent="0.25">
      <c r="A23" t="s">
        <v>2381</v>
      </c>
      <c r="B23" t="s">
        <v>2382</v>
      </c>
      <c r="C23" s="316" t="s">
        <v>2502</v>
      </c>
      <c r="D23" s="315"/>
      <c r="E23" s="315"/>
      <c r="F23" s="315"/>
      <c r="G23" s="315"/>
      <c r="H23" s="315"/>
      <c r="I23" s="315"/>
      <c r="J23" s="315"/>
      <c r="K23" s="315"/>
    </row>
    <row r="24" spans="1:11" ht="12.95" customHeight="1" x14ac:dyDescent="0.25">
      <c r="A24" s="163" t="s">
        <v>2383</v>
      </c>
      <c r="B24" s="163" t="s">
        <v>2384</v>
      </c>
      <c r="C24" s="163" t="s">
        <v>2385</v>
      </c>
      <c r="D24" s="315"/>
      <c r="E24" s="315"/>
      <c r="F24" s="315"/>
      <c r="G24" s="315"/>
      <c r="H24" s="315"/>
      <c r="I24" s="315"/>
      <c r="J24" s="315"/>
    </row>
    <row r="25" spans="1:11" ht="12.95" customHeight="1" x14ac:dyDescent="0.25">
      <c r="A25" s="164" t="s">
        <v>2386</v>
      </c>
      <c r="B25" s="164" t="s">
        <v>2387</v>
      </c>
      <c r="C25" s="164" t="s">
        <v>2388</v>
      </c>
      <c r="D25" s="315"/>
      <c r="E25" s="315"/>
      <c r="F25" s="315"/>
      <c r="G25" s="315"/>
      <c r="H25" s="315"/>
      <c r="I25" s="315"/>
      <c r="J25" s="315"/>
    </row>
    <row r="26" spans="1:11" ht="18" customHeight="1" x14ac:dyDescent="0.25">
      <c r="A26" s="38" t="s">
        <v>2389</v>
      </c>
      <c r="B26" s="38">
        <v>3</v>
      </c>
      <c r="C26" s="319" t="str">
        <f>REPT(A26,B26)</f>
        <v>AAA</v>
      </c>
      <c r="D26" s="315"/>
      <c r="E26" s="315"/>
      <c r="F26" s="315"/>
      <c r="G26" s="315"/>
      <c r="H26" s="315"/>
      <c r="I26" s="315"/>
      <c r="J26" s="315"/>
    </row>
    <row r="27" spans="1:11" ht="18" customHeight="1" x14ac:dyDescent="0.25">
      <c r="A27" s="38" t="s">
        <v>2390</v>
      </c>
      <c r="B27" s="38">
        <v>3</v>
      </c>
      <c r="C27" s="319" t="str">
        <f t="shared" ref="C27:C29" si="2">REPT(A27,B27)</f>
        <v>ABABAB</v>
      </c>
      <c r="D27" s="315"/>
      <c r="E27" s="315"/>
      <c r="F27" s="315"/>
      <c r="G27" s="315"/>
      <c r="H27" s="315"/>
      <c r="I27" s="315"/>
      <c r="J27" s="315"/>
    </row>
    <row r="28" spans="1:11" ht="18" customHeight="1" x14ac:dyDescent="0.25">
      <c r="A28" s="38" t="s">
        <v>2391</v>
      </c>
      <c r="B28" s="38">
        <v>10</v>
      </c>
      <c r="C28" s="319" t="str">
        <f t="shared" si="2"/>
        <v>----------</v>
      </c>
      <c r="D28" s="315"/>
      <c r="E28" s="315"/>
      <c r="F28" s="315"/>
      <c r="G28" s="315"/>
      <c r="H28" s="315"/>
      <c r="I28" s="315"/>
      <c r="J28" s="315"/>
    </row>
    <row r="29" spans="1:11" ht="17.100000000000001" customHeight="1" x14ac:dyDescent="0.25">
      <c r="A29" s="38" t="s">
        <v>2392</v>
      </c>
      <c r="B29" s="38">
        <v>10</v>
      </c>
      <c r="C29" s="319" t="str">
        <f t="shared" si="2"/>
        <v>||||||||||</v>
      </c>
      <c r="D29" s="315"/>
      <c r="E29" s="315"/>
      <c r="F29" s="315"/>
      <c r="G29" s="315"/>
      <c r="H29" s="315"/>
      <c r="I29" s="315"/>
      <c r="J29" s="315"/>
    </row>
    <row r="30" spans="1:11" x14ac:dyDescent="0.25">
      <c r="D30" s="315"/>
      <c r="E30" s="315"/>
      <c r="F30" s="315"/>
      <c r="G30" s="315"/>
      <c r="H30" s="315"/>
      <c r="I30" s="315"/>
      <c r="J30" s="315"/>
    </row>
    <row r="31" spans="1:11" x14ac:dyDescent="0.25">
      <c r="D31" s="315"/>
      <c r="E31" s="315"/>
    </row>
    <row r="32" spans="1:11" x14ac:dyDescent="0.25">
      <c r="D32" s="315"/>
      <c r="E32" s="315"/>
    </row>
    <row r="33" spans="4:5" x14ac:dyDescent="0.25">
      <c r="D33" s="315"/>
      <c r="E33" s="315"/>
    </row>
    <row r="34" spans="4:5" x14ac:dyDescent="0.25">
      <c r="D34" s="315"/>
      <c r="E34" s="315"/>
    </row>
  </sheetData>
  <mergeCells count="3">
    <mergeCell ref="A1:K1"/>
    <mergeCell ref="A2:K2"/>
    <mergeCell ref="A3:K3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BBF75-D0D3-4C49-B3B9-C177C2756B21}">
  <dimension ref="A1:G48"/>
  <sheetViews>
    <sheetView topLeftCell="A19" workbookViewId="0">
      <selection activeCell="I11" sqref="I11"/>
    </sheetView>
  </sheetViews>
  <sheetFormatPr defaultRowHeight="15" x14ac:dyDescent="0.25"/>
  <cols>
    <col min="2" max="2" width="16.42578125" customWidth="1"/>
  </cols>
  <sheetData>
    <row r="1" spans="1:7" ht="18.75" x14ac:dyDescent="0.3">
      <c r="A1" s="543" t="s">
        <v>2490</v>
      </c>
      <c r="B1" s="544"/>
      <c r="C1" s="544"/>
      <c r="D1" s="544"/>
      <c r="E1" s="544"/>
      <c r="F1" s="544"/>
      <c r="G1" s="470"/>
    </row>
    <row r="2" spans="1:7" x14ac:dyDescent="0.25">
      <c r="A2" s="545" t="s">
        <v>2491</v>
      </c>
      <c r="B2" s="544"/>
      <c r="C2" s="544"/>
      <c r="D2" s="544"/>
      <c r="E2" s="544"/>
      <c r="F2" s="544"/>
      <c r="G2" s="544"/>
    </row>
    <row r="4" spans="1:7" ht="64.5" x14ac:dyDescent="0.25">
      <c r="A4" s="475" t="s">
        <v>2492</v>
      </c>
      <c r="B4" s="475" t="s">
        <v>2273</v>
      </c>
      <c r="C4" s="475" t="s">
        <v>2493</v>
      </c>
      <c r="D4" s="468"/>
      <c r="E4" s="468"/>
      <c r="F4" s="468"/>
      <c r="G4" s="468"/>
    </row>
    <row r="5" spans="1:7" x14ac:dyDescent="0.25">
      <c r="A5" s="471" t="s">
        <v>2277</v>
      </c>
      <c r="B5" s="471">
        <v>1</v>
      </c>
      <c r="C5" s="326" t="str">
        <f>RIGHT(A5,B5)</f>
        <v>s</v>
      </c>
      <c r="D5" s="474"/>
      <c r="E5" s="468"/>
      <c r="F5" s="468"/>
      <c r="G5" s="468"/>
    </row>
    <row r="6" spans="1:7" x14ac:dyDescent="0.25">
      <c r="A6" s="471" t="s">
        <v>2277</v>
      </c>
      <c r="B6" s="471">
        <v>2</v>
      </c>
      <c r="C6" s="326" t="str">
        <f t="shared" ref="C6:C9" si="0">RIGHT(A6,B6)</f>
        <v>es</v>
      </c>
      <c r="D6" s="474"/>
      <c r="E6" s="468"/>
      <c r="F6" s="468"/>
      <c r="G6" s="468"/>
    </row>
    <row r="7" spans="1:7" x14ac:dyDescent="0.25">
      <c r="A7" s="471" t="s">
        <v>2277</v>
      </c>
      <c r="B7" s="471">
        <v>3</v>
      </c>
      <c r="C7" s="326" t="str">
        <f t="shared" si="0"/>
        <v>nes</v>
      </c>
      <c r="D7" s="474"/>
      <c r="E7" s="468"/>
      <c r="F7" s="468"/>
      <c r="G7" s="468"/>
    </row>
    <row r="8" spans="1:7" x14ac:dyDescent="0.25">
      <c r="A8" s="471" t="s">
        <v>2284</v>
      </c>
      <c r="B8" s="471">
        <v>6</v>
      </c>
      <c r="C8" s="326" t="str">
        <f t="shared" si="0"/>
        <v>ardiff</v>
      </c>
      <c r="D8" s="474"/>
      <c r="E8" s="468"/>
      <c r="F8" s="468"/>
      <c r="G8" s="468"/>
    </row>
    <row r="9" spans="1:7" x14ac:dyDescent="0.25">
      <c r="A9" s="471" t="s">
        <v>2287</v>
      </c>
      <c r="B9" s="471">
        <v>4</v>
      </c>
      <c r="C9" s="326" t="str">
        <f t="shared" si="0"/>
        <v>C123</v>
      </c>
      <c r="D9" s="474"/>
      <c r="E9" s="468"/>
      <c r="F9" s="468"/>
      <c r="G9" s="468"/>
    </row>
    <row r="11" spans="1:7" x14ac:dyDescent="0.25">
      <c r="A11" s="468"/>
      <c r="B11" s="468"/>
      <c r="C11" s="468"/>
      <c r="D11" s="472" t="s">
        <v>2494</v>
      </c>
      <c r="E11" s="468"/>
      <c r="F11" s="468"/>
      <c r="G11" s="468"/>
    </row>
    <row r="12" spans="1:7" x14ac:dyDescent="0.25">
      <c r="A12" s="473" t="s">
        <v>2351</v>
      </c>
      <c r="B12" s="473" t="s">
        <v>2495</v>
      </c>
      <c r="C12" s="468"/>
      <c r="D12" s="468"/>
      <c r="E12" s="468"/>
      <c r="F12" s="468"/>
      <c r="G12" s="468"/>
    </row>
    <row r="13" spans="1:7" x14ac:dyDescent="0.25">
      <c r="A13" s="479">
        <v>1</v>
      </c>
      <c r="B13" s="326" t="str">
        <f>ROMAN(A13)</f>
        <v>I</v>
      </c>
      <c r="C13" s="474"/>
      <c r="D13" s="468"/>
      <c r="E13" s="468"/>
      <c r="F13" s="468"/>
      <c r="G13" s="468"/>
    </row>
    <row r="14" spans="1:7" x14ac:dyDescent="0.25">
      <c r="A14" s="479">
        <v>2</v>
      </c>
      <c r="B14" s="326" t="str">
        <f t="shared" ref="B14:B25" si="1">ROMAN(A14)</f>
        <v>II</v>
      </c>
      <c r="C14" s="474"/>
      <c r="D14" s="468"/>
      <c r="E14" s="468"/>
      <c r="F14" s="468"/>
      <c r="G14" s="468"/>
    </row>
    <row r="15" spans="1:7" x14ac:dyDescent="0.25">
      <c r="A15" s="479">
        <v>3</v>
      </c>
      <c r="B15" s="326" t="str">
        <f t="shared" si="1"/>
        <v>III</v>
      </c>
      <c r="C15" s="474"/>
      <c r="D15" s="468"/>
      <c r="E15" s="468"/>
      <c r="F15" s="468"/>
      <c r="G15" s="468"/>
    </row>
    <row r="16" spans="1:7" x14ac:dyDescent="0.25">
      <c r="A16" s="479">
        <v>5</v>
      </c>
      <c r="B16" s="326" t="str">
        <f t="shared" si="1"/>
        <v>V</v>
      </c>
      <c r="C16" s="474"/>
      <c r="D16" s="468"/>
      <c r="E16" s="468"/>
      <c r="F16" s="468"/>
      <c r="G16" s="468"/>
    </row>
    <row r="17" spans="1:4" x14ac:dyDescent="0.25">
      <c r="A17" s="479">
        <v>10</v>
      </c>
      <c r="B17" s="326" t="str">
        <f t="shared" si="1"/>
        <v>X</v>
      </c>
      <c r="C17" s="474"/>
      <c r="D17" s="468"/>
    </row>
    <row r="18" spans="1:4" x14ac:dyDescent="0.25">
      <c r="A18" s="479">
        <v>1998</v>
      </c>
      <c r="B18" s="326" t="str">
        <f t="shared" si="1"/>
        <v>MCMXCVIII</v>
      </c>
      <c r="C18" s="474"/>
      <c r="D18" s="468"/>
    </row>
    <row r="19" spans="1:4" x14ac:dyDescent="0.25">
      <c r="A19" s="479">
        <v>1998</v>
      </c>
      <c r="B19" s="326" t="str">
        <f t="shared" si="1"/>
        <v>MCMXCVIII</v>
      </c>
      <c r="C19" s="474"/>
      <c r="D19" s="468"/>
    </row>
    <row r="20" spans="1:4" x14ac:dyDescent="0.25">
      <c r="A20" s="479">
        <v>1998</v>
      </c>
      <c r="B20" s="326" t="str">
        <f t="shared" si="1"/>
        <v>MCMXCVIII</v>
      </c>
      <c r="C20" s="474"/>
      <c r="D20" s="468"/>
    </row>
    <row r="21" spans="1:4" x14ac:dyDescent="0.25">
      <c r="A21" s="479">
        <v>1998</v>
      </c>
      <c r="B21" s="326" t="str">
        <f t="shared" si="1"/>
        <v>MCMXCVIII</v>
      </c>
      <c r="C21" s="474"/>
      <c r="D21" s="468"/>
    </row>
    <row r="22" spans="1:4" x14ac:dyDescent="0.25">
      <c r="A22" s="479">
        <v>1998</v>
      </c>
      <c r="B22" s="326" t="str">
        <f t="shared" si="1"/>
        <v>MCMXCVIII</v>
      </c>
      <c r="C22" s="474"/>
      <c r="D22" s="468"/>
    </row>
    <row r="23" spans="1:4" x14ac:dyDescent="0.25">
      <c r="A23" s="479">
        <v>1998</v>
      </c>
      <c r="B23" s="326" t="str">
        <f t="shared" si="1"/>
        <v>MCMXCVIII</v>
      </c>
      <c r="C23" s="474"/>
      <c r="D23" s="468"/>
    </row>
    <row r="24" spans="1:4" x14ac:dyDescent="0.25">
      <c r="A24" s="479">
        <v>1998</v>
      </c>
      <c r="B24" s="326" t="str">
        <f t="shared" si="1"/>
        <v>MCMXCVIII</v>
      </c>
      <c r="C24" s="474"/>
      <c r="D24" s="468"/>
    </row>
    <row r="25" spans="1:4" x14ac:dyDescent="0.25">
      <c r="A25" s="479">
        <v>1998</v>
      </c>
      <c r="B25" s="326" t="str">
        <f t="shared" si="1"/>
        <v>MCMXCVIII</v>
      </c>
      <c r="C25" s="474"/>
      <c r="D25" s="468"/>
    </row>
    <row r="26" spans="1:4" x14ac:dyDescent="0.25">
      <c r="A26" s="468"/>
      <c r="B26" s="468"/>
      <c r="C26" s="468"/>
      <c r="D26" s="468"/>
    </row>
    <row r="27" spans="1:4" x14ac:dyDescent="0.25">
      <c r="A27" s="468"/>
      <c r="B27" s="468"/>
      <c r="C27" s="468"/>
      <c r="D27" s="472" t="s">
        <v>2496</v>
      </c>
    </row>
    <row r="28" spans="1:4" x14ac:dyDescent="0.25">
      <c r="A28" s="473" t="s">
        <v>740</v>
      </c>
      <c r="B28" s="473" t="s">
        <v>651</v>
      </c>
      <c r="C28" s="473" t="s">
        <v>652</v>
      </c>
      <c r="D28" s="473" t="s">
        <v>653</v>
      </c>
    </row>
    <row r="29" spans="1:4" x14ac:dyDescent="0.25">
      <c r="A29" s="473" t="s">
        <v>1087</v>
      </c>
      <c r="B29" s="476">
        <v>5000</v>
      </c>
      <c r="C29" s="476">
        <v>6000</v>
      </c>
      <c r="D29" s="476">
        <v>4500</v>
      </c>
    </row>
    <row r="30" spans="1:4" x14ac:dyDescent="0.25">
      <c r="A30" s="473" t="s">
        <v>1088</v>
      </c>
      <c r="B30" s="476">
        <v>5800</v>
      </c>
      <c r="C30" s="476">
        <v>7000</v>
      </c>
      <c r="D30" s="476">
        <v>3000</v>
      </c>
    </row>
    <row r="31" spans="1:4" x14ac:dyDescent="0.25">
      <c r="A31" s="473" t="s">
        <v>1089</v>
      </c>
      <c r="B31" s="476">
        <v>3500</v>
      </c>
      <c r="C31" s="476">
        <v>2000</v>
      </c>
      <c r="D31" s="476">
        <v>10000</v>
      </c>
    </row>
    <row r="32" spans="1:4" x14ac:dyDescent="0.25">
      <c r="A32" s="473" t="s">
        <v>1090</v>
      </c>
      <c r="B32" s="476">
        <v>12000</v>
      </c>
      <c r="C32" s="476">
        <v>4000</v>
      </c>
      <c r="D32" s="476">
        <v>6000</v>
      </c>
    </row>
    <row r="33" spans="1:7" x14ac:dyDescent="0.25">
      <c r="A33" s="468"/>
      <c r="B33" s="468"/>
      <c r="C33" s="468"/>
      <c r="D33" s="468"/>
      <c r="E33" s="468"/>
      <c r="F33" s="468"/>
      <c r="G33" s="468"/>
    </row>
    <row r="34" spans="1:7" x14ac:dyDescent="0.25">
      <c r="A34" s="477"/>
      <c r="B34" s="478" t="s">
        <v>2497</v>
      </c>
      <c r="C34" s="554">
        <f>SMALL(B29:D32,1)</f>
        <v>2000</v>
      </c>
      <c r="D34" s="474"/>
      <c r="E34" s="468"/>
      <c r="F34" s="468"/>
      <c r="G34" s="469"/>
    </row>
    <row r="35" spans="1:7" x14ac:dyDescent="0.25">
      <c r="A35" s="477"/>
      <c r="B35" s="478" t="s">
        <v>2498</v>
      </c>
      <c r="C35" s="554">
        <f>SMALL(B29:D32,2)</f>
        <v>3000</v>
      </c>
      <c r="D35" s="474"/>
      <c r="E35" s="468"/>
      <c r="F35" s="468"/>
      <c r="G35" s="468"/>
    </row>
    <row r="36" spans="1:7" x14ac:dyDescent="0.25">
      <c r="A36" s="477"/>
      <c r="B36" s="478" t="s">
        <v>2499</v>
      </c>
      <c r="C36" s="554">
        <f>SMALL(B29:D32,3)</f>
        <v>3500</v>
      </c>
      <c r="D36" s="474"/>
      <c r="E36" s="468"/>
      <c r="F36" s="468"/>
      <c r="G36" s="468"/>
    </row>
    <row r="37" spans="1:7" x14ac:dyDescent="0.25">
      <c r="A37" s="468"/>
      <c r="B37" s="468"/>
      <c r="C37" s="468"/>
      <c r="D37" s="468"/>
      <c r="E37" s="468"/>
      <c r="F37" s="468"/>
      <c r="G37" s="468"/>
    </row>
    <row r="38" spans="1:7" x14ac:dyDescent="0.25">
      <c r="A38" s="468"/>
      <c r="B38" s="468"/>
      <c r="C38" s="468"/>
      <c r="D38" s="468"/>
      <c r="E38" s="468"/>
      <c r="F38" s="468"/>
      <c r="G38" s="468"/>
    </row>
    <row r="39" spans="1:7" x14ac:dyDescent="0.25">
      <c r="A39" s="468"/>
      <c r="B39" s="468"/>
      <c r="C39" s="468"/>
      <c r="D39" s="468"/>
      <c r="E39" s="468"/>
      <c r="F39" s="468"/>
      <c r="G39" s="468"/>
    </row>
    <row r="40" spans="1:7" x14ac:dyDescent="0.25">
      <c r="A40" s="468"/>
      <c r="B40" s="468"/>
      <c r="C40" s="468"/>
      <c r="D40" s="468"/>
      <c r="E40" s="468"/>
      <c r="F40" s="468"/>
      <c r="G40" s="468"/>
    </row>
    <row r="41" spans="1:7" x14ac:dyDescent="0.25">
      <c r="A41" s="468"/>
      <c r="B41" s="468"/>
      <c r="C41" s="468"/>
      <c r="D41" s="468"/>
      <c r="E41" s="468"/>
      <c r="F41" s="468"/>
      <c r="G41" s="468"/>
    </row>
    <row r="42" spans="1:7" x14ac:dyDescent="0.25">
      <c r="A42" s="468"/>
      <c r="B42" s="468"/>
      <c r="C42" s="468"/>
      <c r="D42" s="468"/>
      <c r="E42" s="468"/>
      <c r="F42" s="468"/>
      <c r="G42" s="468"/>
    </row>
    <row r="43" spans="1:7" x14ac:dyDescent="0.25">
      <c r="A43" s="468"/>
      <c r="B43" s="468"/>
      <c r="C43" s="468"/>
      <c r="D43" s="468"/>
      <c r="E43" s="468"/>
      <c r="F43" s="468"/>
      <c r="G43" s="468"/>
    </row>
    <row r="44" spans="1:7" x14ac:dyDescent="0.25">
      <c r="A44" s="468"/>
      <c r="B44" s="468"/>
      <c r="C44" s="468"/>
      <c r="D44" s="468"/>
      <c r="E44" s="468"/>
      <c r="F44" s="468"/>
      <c r="G44" s="468"/>
    </row>
    <row r="45" spans="1:7" x14ac:dyDescent="0.25">
      <c r="A45" s="468"/>
      <c r="B45" s="468"/>
      <c r="C45" s="468"/>
      <c r="D45" s="468"/>
      <c r="E45" s="468"/>
      <c r="F45" s="468"/>
      <c r="G45" s="468"/>
    </row>
    <row r="46" spans="1:7" x14ac:dyDescent="0.25">
      <c r="A46" s="468"/>
      <c r="B46" s="468"/>
      <c r="C46" s="468"/>
      <c r="D46" s="468"/>
      <c r="E46" s="468"/>
      <c r="F46" s="468"/>
      <c r="G46" s="468"/>
    </row>
    <row r="47" spans="1:7" x14ac:dyDescent="0.25">
      <c r="A47" s="468"/>
      <c r="B47" s="468"/>
      <c r="C47" s="468"/>
      <c r="D47" s="468"/>
      <c r="E47" s="468"/>
      <c r="F47" s="468"/>
      <c r="G47" s="468"/>
    </row>
    <row r="48" spans="1:7" x14ac:dyDescent="0.25">
      <c r="A48" s="468"/>
      <c r="B48" s="468"/>
      <c r="C48" s="468"/>
      <c r="D48" s="468"/>
      <c r="E48" s="468"/>
      <c r="F48" s="468"/>
      <c r="G48" s="468"/>
    </row>
  </sheetData>
  <mergeCells count="2">
    <mergeCell ref="A1:F1"/>
    <mergeCell ref="A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8"/>
  <sheetViews>
    <sheetView topLeftCell="A22" workbookViewId="0">
      <selection activeCell="M14" sqref="M14"/>
    </sheetView>
  </sheetViews>
  <sheetFormatPr defaultRowHeight="15" x14ac:dyDescent="0.25"/>
  <cols>
    <col min="1" max="1" width="20.42578125" customWidth="1"/>
    <col min="2" max="2" width="11"/>
    <col min="3" max="3" width="6"/>
    <col min="4" max="8" width="7"/>
    <col min="9" max="9" width="12.28515625" customWidth="1"/>
    <col min="10" max="10" width="12"/>
  </cols>
  <sheetData>
    <row r="1" spans="1:14" ht="15.95" customHeight="1" x14ac:dyDescent="0.25">
      <c r="A1" t="s">
        <v>143</v>
      </c>
      <c r="B1" s="22" t="s">
        <v>144</v>
      </c>
    </row>
    <row r="2" spans="1:14" ht="14.1" customHeight="1" x14ac:dyDescent="0.25">
      <c r="A2" s="487" t="s">
        <v>145</v>
      </c>
      <c r="B2" s="483"/>
      <c r="C2" s="483"/>
      <c r="D2" s="483"/>
      <c r="E2" s="483"/>
      <c r="F2" s="483"/>
      <c r="G2" s="483"/>
      <c r="H2" s="483"/>
      <c r="I2" s="483"/>
      <c r="J2" s="483"/>
    </row>
    <row r="3" spans="1:14" ht="14.1" customHeight="1" x14ac:dyDescent="0.25">
      <c r="A3" s="23" t="s">
        <v>146</v>
      </c>
      <c r="B3" s="23" t="s">
        <v>147</v>
      </c>
      <c r="C3" s="24" t="s">
        <v>148</v>
      </c>
      <c r="D3" s="23" t="s">
        <v>149</v>
      </c>
      <c r="E3" s="23" t="s">
        <v>150</v>
      </c>
      <c r="F3" s="23" t="s">
        <v>151</v>
      </c>
      <c r="G3" s="23" t="s">
        <v>152</v>
      </c>
      <c r="H3" s="23" t="s">
        <v>153</v>
      </c>
      <c r="I3" s="23" t="s">
        <v>154</v>
      </c>
      <c r="J3" s="23" t="s">
        <v>155</v>
      </c>
    </row>
    <row r="4" spans="1:14" ht="14.1" customHeight="1" x14ac:dyDescent="0.25">
      <c r="A4" s="26" t="s">
        <v>156</v>
      </c>
      <c r="B4" s="27">
        <v>2000</v>
      </c>
      <c r="C4" s="27">
        <v>1500</v>
      </c>
      <c r="D4" s="27">
        <v>300</v>
      </c>
      <c r="E4" s="27">
        <v>1400</v>
      </c>
      <c r="F4" s="27">
        <v>1000</v>
      </c>
      <c r="G4" s="27">
        <v>1400</v>
      </c>
      <c r="H4" s="28">
        <f>SUM(B4:G4)</f>
        <v>7600</v>
      </c>
      <c r="I4" s="27">
        <v>10000</v>
      </c>
      <c r="J4" s="28" t="str">
        <f>IF(H4&gt;I4,"ACHIEVED","NOT ACHIEVED")</f>
        <v>NOT ACHIEVED</v>
      </c>
    </row>
    <row r="5" spans="1:14" ht="18" customHeight="1" x14ac:dyDescent="0.25">
      <c r="A5" s="3" t="s">
        <v>157</v>
      </c>
      <c r="B5" s="2">
        <v>5000</v>
      </c>
      <c r="C5" s="2">
        <v>1200</v>
      </c>
      <c r="D5" s="2">
        <v>500</v>
      </c>
      <c r="E5" s="2">
        <v>1200</v>
      </c>
      <c r="F5" s="2">
        <v>1200</v>
      </c>
      <c r="G5" s="2">
        <v>2800</v>
      </c>
      <c r="H5" s="28">
        <f t="shared" ref="H5:H14" si="0">SUM(B5:G5)</f>
        <v>11900</v>
      </c>
      <c r="I5" s="2">
        <v>12000</v>
      </c>
      <c r="J5" s="28" t="str">
        <f t="shared" ref="J5:J14" si="1">IF(H5&gt;I5,"ACHIEVED","NOT ACHIEVED")</f>
        <v>NOT ACHIEVED</v>
      </c>
    </row>
    <row r="6" spans="1:14" ht="18" customHeight="1" x14ac:dyDescent="0.25">
      <c r="A6" s="3" t="s">
        <v>158</v>
      </c>
      <c r="B6" s="2">
        <v>3000</v>
      </c>
      <c r="C6" s="2">
        <v>800</v>
      </c>
      <c r="D6" s="2">
        <v>1200</v>
      </c>
      <c r="E6" s="2">
        <v>3000</v>
      </c>
      <c r="F6" s="2">
        <v>1500</v>
      </c>
      <c r="G6" s="2">
        <v>3500</v>
      </c>
      <c r="H6" s="28">
        <f t="shared" si="0"/>
        <v>13000</v>
      </c>
      <c r="I6" s="2">
        <v>18000</v>
      </c>
      <c r="J6" s="28" t="str">
        <f t="shared" si="1"/>
        <v>NOT ACHIEVED</v>
      </c>
    </row>
    <row r="7" spans="1:14" ht="18" customHeight="1" x14ac:dyDescent="0.25">
      <c r="A7" s="3" t="s">
        <v>159</v>
      </c>
      <c r="B7" s="2">
        <v>1000</v>
      </c>
      <c r="C7" s="2">
        <v>900</v>
      </c>
      <c r="D7" s="2">
        <v>1800</v>
      </c>
      <c r="E7" s="2">
        <v>5000</v>
      </c>
      <c r="F7" s="2">
        <v>1400</v>
      </c>
      <c r="G7" s="2">
        <v>1200</v>
      </c>
      <c r="H7" s="28">
        <f t="shared" si="0"/>
        <v>11300</v>
      </c>
      <c r="I7" s="2">
        <v>10000</v>
      </c>
      <c r="J7" s="28" t="str">
        <f t="shared" si="1"/>
        <v>ACHIEVED</v>
      </c>
    </row>
    <row r="8" spans="1:14" ht="18" customHeight="1" x14ac:dyDescent="0.25">
      <c r="A8" s="3" t="s">
        <v>160</v>
      </c>
      <c r="B8" s="2">
        <v>500</v>
      </c>
      <c r="C8" s="2">
        <v>1000</v>
      </c>
      <c r="D8" s="2">
        <v>2300</v>
      </c>
      <c r="E8" s="2">
        <v>8000</v>
      </c>
      <c r="F8" s="2">
        <v>1700</v>
      </c>
      <c r="G8" s="2">
        <v>1400</v>
      </c>
      <c r="H8" s="28">
        <f t="shared" si="0"/>
        <v>14900</v>
      </c>
      <c r="I8" s="2">
        <v>12000</v>
      </c>
      <c r="J8" s="28" t="str">
        <f t="shared" si="1"/>
        <v>ACHIEVED</v>
      </c>
    </row>
    <row r="9" spans="1:14" ht="18" customHeight="1" x14ac:dyDescent="0.25">
      <c r="A9" s="3" t="s">
        <v>161</v>
      </c>
      <c r="B9" s="2">
        <v>800</v>
      </c>
      <c r="C9" s="2">
        <v>500</v>
      </c>
      <c r="D9" s="2">
        <v>2400</v>
      </c>
      <c r="E9" s="2">
        <v>1900</v>
      </c>
      <c r="F9" s="2">
        <v>1800</v>
      </c>
      <c r="G9" s="2">
        <v>1800</v>
      </c>
      <c r="H9" s="28">
        <f t="shared" si="0"/>
        <v>9200</v>
      </c>
      <c r="I9" s="2">
        <v>10000</v>
      </c>
      <c r="J9" s="28" t="str">
        <f t="shared" si="1"/>
        <v>NOT ACHIEVED</v>
      </c>
    </row>
    <row r="10" spans="1:14" ht="18" customHeight="1" x14ac:dyDescent="0.25">
      <c r="A10" s="3" t="s">
        <v>162</v>
      </c>
      <c r="B10" s="2">
        <v>1200</v>
      </c>
      <c r="C10" s="2">
        <v>1400</v>
      </c>
      <c r="D10" s="2">
        <v>1500</v>
      </c>
      <c r="E10" s="2">
        <v>700</v>
      </c>
      <c r="F10" s="2">
        <v>2500</v>
      </c>
      <c r="G10" s="2">
        <v>7000</v>
      </c>
      <c r="H10" s="28">
        <f t="shared" si="0"/>
        <v>14300</v>
      </c>
      <c r="I10" s="2">
        <v>12000</v>
      </c>
      <c r="J10" s="28" t="str">
        <f t="shared" si="1"/>
        <v>ACHIEVED</v>
      </c>
    </row>
    <row r="11" spans="1:14" ht="18" customHeight="1" x14ac:dyDescent="0.25">
      <c r="A11" s="3" t="s">
        <v>163</v>
      </c>
      <c r="B11" s="2">
        <v>1500</v>
      </c>
      <c r="C11" s="2">
        <v>1800</v>
      </c>
      <c r="D11" s="2">
        <v>1800</v>
      </c>
      <c r="E11" s="2">
        <v>1800</v>
      </c>
      <c r="F11" s="2">
        <v>300</v>
      </c>
      <c r="G11" s="2">
        <v>1500</v>
      </c>
      <c r="H11" s="28">
        <f t="shared" si="0"/>
        <v>8700</v>
      </c>
      <c r="I11" s="2">
        <v>10000</v>
      </c>
      <c r="J11" s="28" t="str">
        <f t="shared" si="1"/>
        <v>NOT ACHIEVED</v>
      </c>
    </row>
    <row r="12" spans="1:14" ht="18" customHeight="1" x14ac:dyDescent="0.25">
      <c r="A12" s="3" t="s">
        <v>164</v>
      </c>
      <c r="B12" s="2">
        <v>1800</v>
      </c>
      <c r="C12" s="2">
        <v>2500</v>
      </c>
      <c r="D12" s="2">
        <v>1700</v>
      </c>
      <c r="E12" s="2">
        <v>1500</v>
      </c>
      <c r="F12" s="2">
        <v>2800</v>
      </c>
      <c r="G12" s="2">
        <v>1800</v>
      </c>
      <c r="H12" s="28">
        <f t="shared" si="0"/>
        <v>12100</v>
      </c>
      <c r="I12" s="2">
        <v>12000</v>
      </c>
      <c r="J12" s="28" t="str">
        <f t="shared" si="1"/>
        <v>ACHIEVED</v>
      </c>
    </row>
    <row r="13" spans="1:14" ht="18" customHeight="1" x14ac:dyDescent="0.25">
      <c r="A13" s="3" t="s">
        <v>165</v>
      </c>
      <c r="B13" s="2">
        <v>200</v>
      </c>
      <c r="C13" s="2">
        <v>3000</v>
      </c>
      <c r="D13" s="2">
        <v>1900</v>
      </c>
      <c r="E13" s="2">
        <v>1200</v>
      </c>
      <c r="F13" s="2">
        <v>1500</v>
      </c>
      <c r="G13" s="2">
        <v>3000</v>
      </c>
      <c r="H13" s="28">
        <f t="shared" si="0"/>
        <v>10800</v>
      </c>
      <c r="I13" s="2">
        <v>10000</v>
      </c>
      <c r="J13" s="28" t="str">
        <f t="shared" si="1"/>
        <v>ACHIEVED</v>
      </c>
    </row>
    <row r="14" spans="1:14" ht="18" customHeight="1" x14ac:dyDescent="0.25">
      <c r="A14" s="3" t="s">
        <v>166</v>
      </c>
      <c r="B14" s="2">
        <v>1600</v>
      </c>
      <c r="C14" s="2">
        <v>1200</v>
      </c>
      <c r="D14" s="2">
        <v>2000</v>
      </c>
      <c r="E14" s="2">
        <v>800</v>
      </c>
      <c r="F14" s="2">
        <v>1700</v>
      </c>
      <c r="G14" s="2">
        <v>800</v>
      </c>
      <c r="H14" s="28">
        <f t="shared" si="0"/>
        <v>8100</v>
      </c>
      <c r="I14" s="2">
        <v>10000</v>
      </c>
      <c r="J14" s="28" t="str">
        <f t="shared" si="1"/>
        <v>NOT ACHIEVED</v>
      </c>
    </row>
    <row r="15" spans="1:14" s="166" customFormat="1" ht="18" customHeight="1" x14ac:dyDescent="0.25">
      <c r="A15" s="188"/>
      <c r="B15" s="205"/>
      <c r="C15" s="205"/>
      <c r="D15" s="205"/>
      <c r="E15" s="205"/>
      <c r="F15" s="205"/>
      <c r="G15" s="205"/>
      <c r="H15" s="215"/>
      <c r="I15" s="205"/>
      <c r="J15" s="215"/>
    </row>
    <row r="16" spans="1:14" s="166" customFormat="1" ht="18" customHeight="1" x14ac:dyDescent="0.25">
      <c r="A16" s="5" t="s">
        <v>167</v>
      </c>
      <c r="B16" s="205"/>
      <c r="C16" s="205"/>
      <c r="D16" s="205"/>
      <c r="E16" s="205"/>
      <c r="F16" s="484" t="s">
        <v>168</v>
      </c>
      <c r="G16" s="483" t="s">
        <v>169</v>
      </c>
      <c r="H16" s="483" t="s">
        <v>170</v>
      </c>
      <c r="I16" s="483" t="s">
        <v>171</v>
      </c>
      <c r="J16" s="483" t="s">
        <v>172</v>
      </c>
      <c r="K16" s="483" t="s">
        <v>173</v>
      </c>
      <c r="L16" s="483" t="s">
        <v>174</v>
      </c>
      <c r="M16" s="483" t="s">
        <v>175</v>
      </c>
      <c r="N16" s="483" t="s">
        <v>176</v>
      </c>
    </row>
    <row r="17" spans="1:16" s="166" customFormat="1" ht="18" customHeight="1" x14ac:dyDescent="0.25">
      <c r="A17" s="188"/>
      <c r="B17" s="205"/>
      <c r="C17" s="205"/>
      <c r="D17" s="205"/>
      <c r="E17" s="205"/>
      <c r="F17" s="205"/>
      <c r="G17" s="205"/>
      <c r="H17" s="215"/>
      <c r="I17" s="205"/>
      <c r="J17" s="215"/>
    </row>
    <row r="18" spans="1:16" ht="14.1" customHeight="1" x14ac:dyDescent="0.25">
      <c r="A18" t="s">
        <v>2399</v>
      </c>
      <c r="B18" s="191">
        <f>COUNTA(A4:A14)</f>
        <v>11</v>
      </c>
    </row>
    <row r="19" spans="1:16" s="166" customFormat="1" ht="14.1" customHeight="1" x14ac:dyDescent="0.25">
      <c r="A19" s="167"/>
      <c r="B19" s="170"/>
    </row>
    <row r="20" spans="1:16" s="166" customFormat="1" ht="14.1" customHeight="1" x14ac:dyDescent="0.25">
      <c r="A20" s="167"/>
      <c r="B20" s="170"/>
    </row>
    <row r="21" spans="1:16" s="166" customFormat="1" ht="14.1" customHeight="1" x14ac:dyDescent="0.25">
      <c r="A21" s="167" t="s">
        <v>2400</v>
      </c>
      <c r="B21" s="170"/>
      <c r="H21" s="492" t="s">
        <v>186</v>
      </c>
      <c r="I21" s="483" t="s">
        <v>187</v>
      </c>
      <c r="J21" s="483" t="s">
        <v>188</v>
      </c>
      <c r="K21" s="483" t="s">
        <v>189</v>
      </c>
      <c r="L21" s="483" t="s">
        <v>190</v>
      </c>
      <c r="M21" s="483" t="s">
        <v>191</v>
      </c>
      <c r="N21" s="483" t="s">
        <v>192</v>
      </c>
      <c r="O21" s="483" t="s">
        <v>193</v>
      </c>
      <c r="P21" s="483" t="s">
        <v>194</v>
      </c>
    </row>
    <row r="22" spans="1:16" ht="14.1" customHeight="1" x14ac:dyDescent="0.25">
      <c r="B22" s="166" t="s">
        <v>177</v>
      </c>
      <c r="C22" s="166" t="s">
        <v>178</v>
      </c>
      <c r="D22" s="166" t="s">
        <v>179</v>
      </c>
      <c r="E22" s="166" t="s">
        <v>180</v>
      </c>
      <c r="F22" s="166" t="s">
        <v>181</v>
      </c>
      <c r="G22" s="166" t="s">
        <v>182</v>
      </c>
      <c r="H22" t="s">
        <v>183</v>
      </c>
      <c r="I22" t="s">
        <v>184</v>
      </c>
      <c r="J22" t="s">
        <v>185</v>
      </c>
    </row>
    <row r="23" spans="1:16" ht="14.1" customHeight="1" x14ac:dyDescent="0.25">
      <c r="A23" s="20"/>
    </row>
    <row r="24" spans="1:16" ht="23.1" customHeight="1" x14ac:dyDescent="0.25">
      <c r="A24" s="6" t="s">
        <v>195</v>
      </c>
      <c r="C24" s="201" t="s">
        <v>197</v>
      </c>
      <c r="D24" s="201" t="s">
        <v>198</v>
      </c>
      <c r="E24" s="201" t="s">
        <v>199</v>
      </c>
      <c r="F24" s="201" t="s">
        <v>200</v>
      </c>
      <c r="G24" s="201" t="s">
        <v>201</v>
      </c>
      <c r="H24" s="222" t="s">
        <v>196</v>
      </c>
      <c r="I24" s="201" t="s">
        <v>202</v>
      </c>
      <c r="J24" s="201" t="s">
        <v>203</v>
      </c>
    </row>
    <row r="25" spans="1:16" s="166" customFormat="1" ht="23.1" customHeight="1" x14ac:dyDescent="0.25">
      <c r="A25" s="168"/>
      <c r="B25" s="169"/>
    </row>
    <row r="26" spans="1:16" s="166" customFormat="1" ht="23.1" customHeight="1" x14ac:dyDescent="0.25">
      <c r="A26"/>
      <c r="B26" s="23" t="s">
        <v>154</v>
      </c>
      <c r="C26" s="496" t="s">
        <v>155</v>
      </c>
      <c r="D26" s="497"/>
    </row>
    <row r="27" spans="1:16" s="166" customFormat="1" ht="23.1" customHeight="1" x14ac:dyDescent="0.25">
      <c r="A27" s="69" t="s">
        <v>162</v>
      </c>
      <c r="B27" s="191">
        <f>VLOOKUP(A27,A4:I14,9,FALSE)</f>
        <v>12000</v>
      </c>
      <c r="C27" s="495" t="str">
        <f>VLOOKUP(A27,A4:J14,10,FALSE)</f>
        <v>ACHIEVED</v>
      </c>
      <c r="D27" s="495"/>
    </row>
    <row r="28" spans="1:16" s="166" customFormat="1" ht="23.1" customHeight="1" x14ac:dyDescent="0.25">
      <c r="A28" s="69" t="s">
        <v>18</v>
      </c>
      <c r="B28" s="191">
        <f t="shared" ref="B28:B29" si="2">VLOOKUP(A28,A5:I15,9,FALSE)</f>
        <v>10000</v>
      </c>
      <c r="C28" s="495" t="str">
        <f t="shared" ref="C28:C29" si="3">VLOOKUP(A28,A5:J15,10,FALSE)</f>
        <v>ACHIEVED</v>
      </c>
      <c r="D28" s="495"/>
    </row>
    <row r="29" spans="1:16" s="166" customFormat="1" ht="23.1" customHeight="1" x14ac:dyDescent="0.25">
      <c r="A29" s="69" t="s">
        <v>14</v>
      </c>
      <c r="B29" s="191">
        <f t="shared" si="2"/>
        <v>10000</v>
      </c>
      <c r="C29" s="495" t="str">
        <f t="shared" si="3"/>
        <v>NOT ACHIEVED</v>
      </c>
      <c r="D29" s="495"/>
    </row>
    <row r="30" spans="1:16" s="166" customFormat="1" ht="23.1" customHeight="1" x14ac:dyDescent="0.25">
      <c r="A30" s="168"/>
      <c r="B30" s="169"/>
    </row>
    <row r="31" spans="1:16" ht="23.1" customHeight="1" x14ac:dyDescent="0.25">
      <c r="A31" s="6" t="s">
        <v>204</v>
      </c>
      <c r="C31" s="201" t="s">
        <v>206</v>
      </c>
      <c r="D31" s="201" t="s">
        <v>207</v>
      </c>
      <c r="E31" s="201" t="s">
        <v>208</v>
      </c>
      <c r="F31" s="201" t="s">
        <v>209</v>
      </c>
      <c r="G31" s="201" t="s">
        <v>210</v>
      </c>
      <c r="H31" s="201" t="s">
        <v>211</v>
      </c>
      <c r="I31" s="222" t="s">
        <v>205</v>
      </c>
      <c r="J31" s="201" t="s">
        <v>212</v>
      </c>
    </row>
    <row r="32" spans="1:16" s="166" customFormat="1" ht="23.1" customHeight="1" x14ac:dyDescent="0.25">
      <c r="A32" s="192">
        <f>COUNTIF(J4:J14,"ACHIEVED")</f>
        <v>5</v>
      </c>
      <c r="C32" s="201"/>
      <c r="D32" s="201"/>
      <c r="E32" s="201"/>
      <c r="F32" s="201"/>
      <c r="G32" s="201"/>
      <c r="H32" s="201"/>
      <c r="I32" s="222"/>
      <c r="J32" s="201"/>
    </row>
    <row r="33" spans="1:10" s="166" customFormat="1" ht="23.1" customHeight="1" x14ac:dyDescent="0.25">
      <c r="A33" s="168"/>
      <c r="C33" s="201"/>
      <c r="D33" s="201"/>
      <c r="E33" s="201"/>
      <c r="F33" s="201"/>
      <c r="G33" s="201"/>
      <c r="H33" s="201"/>
      <c r="I33" s="222"/>
      <c r="J33" s="201"/>
    </row>
    <row r="34" spans="1:10" s="166" customFormat="1" ht="23.1" customHeight="1" x14ac:dyDescent="0.25">
      <c r="A34" s="168"/>
      <c r="C34" s="201"/>
      <c r="D34" s="201"/>
      <c r="E34" s="201"/>
      <c r="F34" s="201"/>
      <c r="G34" s="201"/>
      <c r="H34" s="201"/>
      <c r="I34" s="222"/>
      <c r="J34" s="201"/>
    </row>
    <row r="35" spans="1:10" ht="21.95" customHeight="1" x14ac:dyDescent="0.25">
      <c r="A35" s="187"/>
      <c r="B35" s="166"/>
      <c r="C35" s="201"/>
      <c r="D35" s="201"/>
      <c r="E35" s="201"/>
      <c r="F35" s="201"/>
      <c r="G35" s="201"/>
      <c r="H35" s="201"/>
      <c r="I35" s="222"/>
      <c r="J35" s="201"/>
    </row>
    <row r="37" spans="1:10" x14ac:dyDescent="0.25">
      <c r="A37" s="223"/>
    </row>
    <row r="38" spans="1:10" x14ac:dyDescent="0.25">
      <c r="A38" s="223"/>
    </row>
  </sheetData>
  <mergeCells count="7">
    <mergeCell ref="C28:D28"/>
    <mergeCell ref="C29:D29"/>
    <mergeCell ref="A2:J2"/>
    <mergeCell ref="F16:N16"/>
    <mergeCell ref="C27:D27"/>
    <mergeCell ref="C26:D26"/>
    <mergeCell ref="H21:P2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5FA87-34B9-4E98-B133-0DC48FCFC163}">
  <dimension ref="A1:K45"/>
  <sheetViews>
    <sheetView topLeftCell="A34" workbookViewId="0">
      <selection activeCell="O9" sqref="O9"/>
    </sheetView>
  </sheetViews>
  <sheetFormatPr defaultRowHeight="15" x14ac:dyDescent="0.25"/>
  <cols>
    <col min="1" max="1" width="9.140625" style="166"/>
  </cols>
  <sheetData>
    <row r="1" spans="1:11" x14ac:dyDescent="0.25">
      <c r="B1" s="166" t="s">
        <v>0</v>
      </c>
      <c r="C1" s="174" t="s">
        <v>213</v>
      </c>
      <c r="D1" s="166"/>
      <c r="E1" s="166"/>
      <c r="F1" s="166"/>
      <c r="G1" s="166"/>
      <c r="H1" s="166"/>
      <c r="I1" s="166"/>
      <c r="J1" s="166"/>
      <c r="K1" s="166"/>
    </row>
    <row r="2" spans="1:11" x14ac:dyDescent="0.25">
      <c r="B2" s="490" t="s">
        <v>214</v>
      </c>
      <c r="C2" s="483"/>
      <c r="D2" s="483"/>
      <c r="E2" s="483"/>
      <c r="F2" s="483"/>
      <c r="G2" s="483"/>
      <c r="H2" s="483"/>
      <c r="I2" s="483"/>
      <c r="J2" s="483"/>
      <c r="K2" s="483"/>
    </row>
    <row r="3" spans="1:11" x14ac:dyDescent="0.25">
      <c r="B3" s="490" t="s">
        <v>215</v>
      </c>
      <c r="C3" s="483"/>
      <c r="D3" s="483"/>
      <c r="E3" s="483"/>
      <c r="F3" s="483"/>
      <c r="G3" s="483"/>
      <c r="H3" s="483"/>
      <c r="I3" s="483"/>
      <c r="J3" s="483"/>
      <c r="K3" s="483"/>
    </row>
    <row r="4" spans="1:11" x14ac:dyDescent="0.25">
      <c r="A4" s="29" t="s">
        <v>2403</v>
      </c>
      <c r="B4" s="29" t="s">
        <v>216</v>
      </c>
      <c r="C4" s="29" t="s">
        <v>217</v>
      </c>
      <c r="D4" s="220" t="s">
        <v>218</v>
      </c>
      <c r="E4" s="166"/>
      <c r="F4" s="166"/>
      <c r="G4" s="166"/>
      <c r="H4" s="166"/>
      <c r="I4" s="166"/>
      <c r="J4" s="166"/>
      <c r="K4" s="166"/>
    </row>
    <row r="5" spans="1:11" x14ac:dyDescent="0.25">
      <c r="A5" s="166">
        <v>1</v>
      </c>
      <c r="B5" s="30" t="s">
        <v>219</v>
      </c>
      <c r="C5" s="30" t="s">
        <v>220</v>
      </c>
      <c r="D5" s="219">
        <v>800</v>
      </c>
      <c r="E5" s="166"/>
      <c r="F5" s="166"/>
      <c r="G5" s="166"/>
      <c r="H5" s="166"/>
      <c r="I5" s="166"/>
      <c r="J5" s="166"/>
      <c r="K5" s="166"/>
    </row>
    <row r="6" spans="1:11" x14ac:dyDescent="0.25">
      <c r="A6" s="166">
        <v>2</v>
      </c>
      <c r="B6" s="4" t="s">
        <v>221</v>
      </c>
      <c r="C6" s="4" t="s">
        <v>222</v>
      </c>
      <c r="D6" s="217">
        <v>2000</v>
      </c>
      <c r="E6" s="166"/>
      <c r="F6" s="166"/>
      <c r="G6" s="166"/>
      <c r="H6" s="166"/>
      <c r="I6" s="166"/>
      <c r="J6" s="166"/>
      <c r="K6" s="166"/>
    </row>
    <row r="7" spans="1:11" x14ac:dyDescent="0.25">
      <c r="A7" s="166">
        <v>3</v>
      </c>
      <c r="B7" s="30" t="s">
        <v>219</v>
      </c>
      <c r="C7" s="30" t="s">
        <v>223</v>
      </c>
      <c r="D7" s="219">
        <v>500</v>
      </c>
      <c r="E7" s="166"/>
      <c r="F7" s="166"/>
      <c r="G7" s="166"/>
      <c r="H7" s="166"/>
      <c r="I7" s="166"/>
      <c r="J7" s="166"/>
      <c r="K7" s="166"/>
    </row>
    <row r="8" spans="1:11" x14ac:dyDescent="0.25">
      <c r="A8" s="166">
        <v>4</v>
      </c>
      <c r="B8" s="4" t="s">
        <v>224</v>
      </c>
      <c r="C8" s="4" t="s">
        <v>225</v>
      </c>
      <c r="D8" s="217">
        <v>800</v>
      </c>
      <c r="E8" s="166"/>
      <c r="F8" s="166"/>
      <c r="G8" s="166"/>
      <c r="H8" s="166"/>
      <c r="I8" s="166"/>
      <c r="J8" s="166"/>
      <c r="K8" s="166"/>
    </row>
    <row r="9" spans="1:11" x14ac:dyDescent="0.25">
      <c r="A9" s="166">
        <v>5</v>
      </c>
      <c r="B9" s="30" t="s">
        <v>224</v>
      </c>
      <c r="C9" s="30" t="s">
        <v>226</v>
      </c>
      <c r="D9" s="219">
        <v>1000</v>
      </c>
      <c r="E9" s="166"/>
      <c r="F9" s="166"/>
      <c r="G9" s="166"/>
      <c r="H9" s="166"/>
      <c r="I9" s="166"/>
      <c r="J9" s="166"/>
      <c r="K9" s="166"/>
    </row>
    <row r="10" spans="1:11" x14ac:dyDescent="0.25">
      <c r="A10" s="166">
        <v>6</v>
      </c>
      <c r="B10" s="4" t="s">
        <v>227</v>
      </c>
      <c r="C10" s="4" t="s">
        <v>228</v>
      </c>
      <c r="D10" s="217">
        <v>1000</v>
      </c>
      <c r="E10" s="166"/>
      <c r="F10" s="166"/>
      <c r="G10" s="166"/>
      <c r="H10" s="166"/>
      <c r="I10" s="166"/>
      <c r="J10" s="166"/>
      <c r="K10" s="166"/>
    </row>
    <row r="11" spans="1:11" x14ac:dyDescent="0.25">
      <c r="A11" s="166">
        <v>7</v>
      </c>
      <c r="B11" s="30" t="s">
        <v>221</v>
      </c>
      <c r="C11" s="30" t="s">
        <v>229</v>
      </c>
      <c r="D11" s="219">
        <v>1200</v>
      </c>
      <c r="E11" s="166"/>
      <c r="F11" s="166"/>
      <c r="G11" s="166"/>
      <c r="H11" s="166"/>
      <c r="I11" s="166"/>
      <c r="J11" s="166"/>
      <c r="K11" s="166"/>
    </row>
    <row r="12" spans="1:11" x14ac:dyDescent="0.25">
      <c r="A12" s="166">
        <v>8</v>
      </c>
      <c r="B12" s="4" t="s">
        <v>221</v>
      </c>
      <c r="C12" s="4" t="s">
        <v>230</v>
      </c>
      <c r="D12" s="217">
        <v>1500</v>
      </c>
      <c r="E12" s="166"/>
      <c r="F12" s="166"/>
      <c r="G12" s="166"/>
      <c r="H12" s="166"/>
      <c r="I12" s="166"/>
      <c r="J12" s="166"/>
      <c r="K12" s="166"/>
    </row>
    <row r="13" spans="1:11" x14ac:dyDescent="0.25">
      <c r="A13" s="166">
        <v>9</v>
      </c>
      <c r="B13" s="30" t="s">
        <v>231</v>
      </c>
      <c r="C13" s="30" t="s">
        <v>232</v>
      </c>
      <c r="D13" s="219">
        <v>1800</v>
      </c>
      <c r="E13" s="166"/>
      <c r="F13" s="166"/>
      <c r="G13" s="166"/>
      <c r="H13" s="166"/>
      <c r="I13" s="166"/>
      <c r="J13" s="166"/>
      <c r="K13" s="166"/>
    </row>
    <row r="14" spans="1:11" x14ac:dyDescent="0.25">
      <c r="A14" s="166">
        <v>10</v>
      </c>
      <c r="B14" s="4" t="s">
        <v>221</v>
      </c>
      <c r="C14" s="4" t="s">
        <v>233</v>
      </c>
      <c r="D14" s="217">
        <v>2000</v>
      </c>
      <c r="E14" s="166"/>
      <c r="F14" s="166"/>
      <c r="G14" s="166"/>
      <c r="H14" s="166"/>
      <c r="I14" s="166"/>
      <c r="J14" s="166"/>
      <c r="K14" s="166"/>
    </row>
    <row r="15" spans="1:11" x14ac:dyDescent="0.25">
      <c r="A15" s="166">
        <v>11</v>
      </c>
      <c r="B15" s="30" t="s">
        <v>231</v>
      </c>
      <c r="C15" s="30" t="s">
        <v>234</v>
      </c>
      <c r="D15" s="219">
        <v>1500</v>
      </c>
      <c r="E15" s="166"/>
      <c r="F15" s="166"/>
      <c r="G15" s="166"/>
      <c r="H15" s="166"/>
      <c r="I15" s="166"/>
      <c r="J15" s="166"/>
      <c r="K15" s="166"/>
    </row>
    <row r="16" spans="1:11" x14ac:dyDescent="0.25">
      <c r="A16" s="166">
        <v>12</v>
      </c>
      <c r="B16" s="4" t="s">
        <v>231</v>
      </c>
      <c r="C16" s="4" t="s">
        <v>236</v>
      </c>
      <c r="D16" s="217">
        <v>1000</v>
      </c>
      <c r="E16" s="166"/>
      <c r="F16" s="166"/>
      <c r="G16" s="166"/>
      <c r="H16" s="166"/>
      <c r="I16" s="166"/>
    </row>
    <row r="17" spans="1:11" x14ac:dyDescent="0.25">
      <c r="A17" s="166">
        <v>13</v>
      </c>
      <c r="B17" s="30" t="s">
        <v>227</v>
      </c>
      <c r="C17" s="30" t="s">
        <v>220</v>
      </c>
      <c r="D17" s="219">
        <v>1200</v>
      </c>
      <c r="E17" s="166"/>
      <c r="F17" s="166"/>
      <c r="G17" s="166"/>
      <c r="H17" s="166"/>
      <c r="I17" s="166"/>
    </row>
    <row r="18" spans="1:11" x14ac:dyDescent="0.25">
      <c r="A18" s="166">
        <v>14</v>
      </c>
      <c r="B18" s="4" t="s">
        <v>227</v>
      </c>
      <c r="C18" s="4" t="s">
        <v>229</v>
      </c>
      <c r="D18" s="217">
        <v>1500</v>
      </c>
      <c r="E18" s="166"/>
      <c r="F18" s="166"/>
      <c r="G18" s="166"/>
      <c r="H18" s="166"/>
      <c r="I18" s="166"/>
    </row>
    <row r="19" spans="1:11" x14ac:dyDescent="0.25">
      <c r="A19" s="166">
        <v>15</v>
      </c>
      <c r="B19" s="30" t="s">
        <v>227</v>
      </c>
      <c r="C19" s="30" t="s">
        <v>229</v>
      </c>
      <c r="D19" s="219">
        <v>1800</v>
      </c>
      <c r="E19" s="166"/>
      <c r="F19" s="166"/>
      <c r="G19" s="166"/>
      <c r="H19" s="166"/>
      <c r="I19" s="166"/>
    </row>
    <row r="20" spans="1:11" x14ac:dyDescent="0.25">
      <c r="A20" s="166">
        <v>16</v>
      </c>
      <c r="B20" s="4" t="s">
        <v>219</v>
      </c>
      <c r="C20" s="4" t="s">
        <v>229</v>
      </c>
      <c r="D20" s="217">
        <v>1000</v>
      </c>
      <c r="E20" s="166"/>
      <c r="F20" s="166"/>
      <c r="G20" s="166"/>
      <c r="H20" s="166"/>
      <c r="I20" s="166"/>
    </row>
    <row r="21" spans="1:11" x14ac:dyDescent="0.25">
      <c r="A21" s="166">
        <v>17</v>
      </c>
      <c r="B21" s="30" t="s">
        <v>219</v>
      </c>
      <c r="C21" s="30" t="s">
        <v>237</v>
      </c>
      <c r="D21" s="219">
        <v>1200</v>
      </c>
      <c r="E21" s="166"/>
      <c r="F21" s="166"/>
      <c r="G21" s="166"/>
      <c r="H21" s="166"/>
      <c r="I21" s="166"/>
    </row>
    <row r="22" spans="1:11" x14ac:dyDescent="0.25">
      <c r="A22" s="166">
        <v>18</v>
      </c>
      <c r="B22" s="4" t="s">
        <v>221</v>
      </c>
      <c r="C22" s="4" t="s">
        <v>238</v>
      </c>
      <c r="D22" s="217">
        <v>1500</v>
      </c>
      <c r="E22" s="166"/>
      <c r="F22" s="166"/>
      <c r="G22" s="166"/>
      <c r="H22" s="166"/>
      <c r="I22" s="166"/>
    </row>
    <row r="23" spans="1:11" x14ac:dyDescent="0.25">
      <c r="A23" s="166">
        <v>19</v>
      </c>
      <c r="B23" s="30" t="s">
        <v>227</v>
      </c>
      <c r="C23" s="30" t="s">
        <v>239</v>
      </c>
      <c r="D23" s="219">
        <v>1800</v>
      </c>
      <c r="E23" s="166"/>
      <c r="F23" s="166"/>
      <c r="G23" s="166"/>
      <c r="H23" s="166"/>
      <c r="I23" s="166"/>
    </row>
    <row r="24" spans="1:11" x14ac:dyDescent="0.25">
      <c r="E24" s="166"/>
      <c r="F24" s="166"/>
      <c r="G24" s="166"/>
      <c r="H24" s="166"/>
      <c r="I24" s="166"/>
    </row>
    <row r="27" spans="1:11" x14ac:dyDescent="0.25">
      <c r="B27" s="31" t="s">
        <v>240</v>
      </c>
      <c r="C27" s="31" t="s">
        <v>241</v>
      </c>
      <c r="I27" s="482" t="s">
        <v>242</v>
      </c>
      <c r="J27" s="498" t="s">
        <v>243</v>
      </c>
      <c r="K27" s="498" t="s">
        <v>244</v>
      </c>
    </row>
    <row r="28" spans="1:11" s="166" customFormat="1" x14ac:dyDescent="0.25">
      <c r="B28" s="224"/>
      <c r="C28" s="225">
        <f>COUNTA(B5:B23)</f>
        <v>19</v>
      </c>
      <c r="I28" s="169"/>
      <c r="J28" s="198"/>
      <c r="K28" s="198"/>
    </row>
    <row r="29" spans="1:11" s="166" customFormat="1" x14ac:dyDescent="0.25">
      <c r="B29" s="224"/>
      <c r="C29" s="224"/>
      <c r="I29" s="169"/>
      <c r="J29" s="198"/>
      <c r="K29" s="198"/>
    </row>
    <row r="30" spans="1:11" x14ac:dyDescent="0.25">
      <c r="B30" s="6" t="s">
        <v>245</v>
      </c>
      <c r="C30" s="6" t="s">
        <v>246</v>
      </c>
      <c r="I30" s="482" t="s">
        <v>247</v>
      </c>
      <c r="J30" s="483" t="s">
        <v>248</v>
      </c>
      <c r="K30" s="483" t="s">
        <v>249</v>
      </c>
    </row>
    <row r="31" spans="1:11" s="166" customFormat="1" x14ac:dyDescent="0.25">
      <c r="B31" s="168"/>
      <c r="C31" s="30" t="s">
        <v>227</v>
      </c>
      <c r="D31" s="216">
        <f>COUNTIF($B$5:$B$23,C31)</f>
        <v>5</v>
      </c>
      <c r="I31" s="169"/>
    </row>
    <row r="32" spans="1:11" s="166" customFormat="1" x14ac:dyDescent="0.25">
      <c r="B32" s="168"/>
      <c r="C32" s="30" t="s">
        <v>219</v>
      </c>
      <c r="D32" s="216">
        <f t="shared" ref="D32:D33" si="0">COUNTIF($B$5:$B$23,C32)</f>
        <v>4</v>
      </c>
      <c r="I32" s="169"/>
    </row>
    <row r="33" spans="2:11" s="166" customFormat="1" x14ac:dyDescent="0.25">
      <c r="B33" s="168"/>
      <c r="C33" s="4" t="s">
        <v>221</v>
      </c>
      <c r="D33" s="216">
        <f t="shared" si="0"/>
        <v>5</v>
      </c>
      <c r="I33" s="169"/>
    </row>
    <row r="34" spans="2:11" s="166" customFormat="1" x14ac:dyDescent="0.25">
      <c r="B34" s="168"/>
      <c r="C34" s="168"/>
      <c r="I34" s="169"/>
    </row>
    <row r="35" spans="2:11" x14ac:dyDescent="0.25">
      <c r="B35" s="5" t="s">
        <v>250</v>
      </c>
      <c r="C35" s="5" t="s">
        <v>251</v>
      </c>
      <c r="I35" s="484" t="s">
        <v>252</v>
      </c>
      <c r="J35" s="483" t="s">
        <v>253</v>
      </c>
      <c r="K35" s="483" t="s">
        <v>254</v>
      </c>
    </row>
    <row r="36" spans="2:11" s="166" customFormat="1" x14ac:dyDescent="0.25">
      <c r="B36" s="167"/>
      <c r="C36" s="167" t="s">
        <v>2401</v>
      </c>
      <c r="D36" s="216">
        <f>COUNTIF($D$5:$D$23,"&gt;1000")</f>
        <v>12</v>
      </c>
      <c r="I36" s="170"/>
    </row>
    <row r="37" spans="2:11" s="166" customFormat="1" x14ac:dyDescent="0.25">
      <c r="B37" s="167"/>
      <c r="C37" s="167" t="s">
        <v>2402</v>
      </c>
      <c r="D37" s="216">
        <f>COUNTIF($D$5:$D$23,"&lt;1000")</f>
        <v>3</v>
      </c>
      <c r="I37" s="170"/>
    </row>
    <row r="38" spans="2:11" s="166" customFormat="1" x14ac:dyDescent="0.25">
      <c r="B38" s="167"/>
      <c r="C38" s="167"/>
      <c r="I38" s="170"/>
    </row>
    <row r="39" spans="2:11" x14ac:dyDescent="0.25">
      <c r="B39" t="s">
        <v>255</v>
      </c>
      <c r="C39" t="s">
        <v>256</v>
      </c>
    </row>
    <row r="40" spans="2:11" x14ac:dyDescent="0.25">
      <c r="B40" s="167" t="s">
        <v>2405</v>
      </c>
      <c r="C40" s="226" t="s">
        <v>2408</v>
      </c>
      <c r="D40" s="166"/>
      <c r="E40" s="166"/>
      <c r="I40" s="484" t="s">
        <v>257</v>
      </c>
      <c r="J40" s="483" t="s">
        <v>258</v>
      </c>
      <c r="K40" s="483" t="s">
        <v>259</v>
      </c>
    </row>
    <row r="41" spans="2:11" s="166" customFormat="1" x14ac:dyDescent="0.25">
      <c r="B41" s="168"/>
      <c r="I41" s="169"/>
    </row>
    <row r="42" spans="2:11" x14ac:dyDescent="0.25">
      <c r="B42" s="167" t="s">
        <v>2406</v>
      </c>
      <c r="C42" s="200" t="s">
        <v>2407</v>
      </c>
      <c r="I42" s="482" t="s">
        <v>260</v>
      </c>
      <c r="J42" s="483" t="s">
        <v>261</v>
      </c>
      <c r="K42" s="483" t="s">
        <v>262</v>
      </c>
    </row>
    <row r="43" spans="2:11" x14ac:dyDescent="0.25">
      <c r="D43" t="s">
        <v>2404</v>
      </c>
    </row>
    <row r="44" spans="2:11" x14ac:dyDescent="0.25">
      <c r="C44" s="4" t="s">
        <v>227</v>
      </c>
      <c r="D44" s="191">
        <f>SUMIF($B$5:$B$23,C44,D5:D23)</f>
        <v>7300</v>
      </c>
    </row>
    <row r="45" spans="2:11" x14ac:dyDescent="0.25">
      <c r="C45" s="4" t="s">
        <v>219</v>
      </c>
      <c r="D45" s="191">
        <f>SUMIF($B$5:$B$23,C45,D6:D24)</f>
        <v>5500</v>
      </c>
    </row>
  </sheetData>
  <mergeCells count="7">
    <mergeCell ref="B2:K2"/>
    <mergeCell ref="B3:K3"/>
    <mergeCell ref="I42:K42"/>
    <mergeCell ref="I35:K35"/>
    <mergeCell ref="I40:K40"/>
    <mergeCell ref="I27:K27"/>
    <mergeCell ref="I30:K30"/>
  </mergeCells>
  <conditionalFormatting sqref="B5:D23">
    <cfRule type="containsText" dxfId="2" priority="5" operator="containsText" text="TYRES">
      <formula>NOT(ISERROR(SEARCH("TYRES",B5)))</formula>
    </cfRule>
    <cfRule type="containsText" priority="6" operator="containsText" text="TYRES">
      <formula>NOT(ISERROR(SEARCH("TYRES",B5)))</formula>
    </cfRule>
  </conditionalFormatting>
  <conditionalFormatting sqref="C44">
    <cfRule type="containsText" dxfId="1" priority="3" operator="containsText" text="TYRES">
      <formula>NOT(ISERROR(SEARCH("TYRES",C44)))</formula>
    </cfRule>
    <cfRule type="containsText" priority="4" operator="containsText" text="TYRES">
      <formula>NOT(ISERROR(SEARCH("TYRES",C44)))</formula>
    </cfRule>
  </conditionalFormatting>
  <conditionalFormatting sqref="C45">
    <cfRule type="containsText" dxfId="0" priority="1" operator="containsText" text="TYRES">
      <formula>NOT(ISERROR(SEARCH("TYRES",C45)))</formula>
    </cfRule>
    <cfRule type="containsText" priority="2" operator="containsText" text="TYRES">
      <formula>NOT(ISERROR(SEARCH("TYRES",C45)))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2"/>
  <sheetViews>
    <sheetView topLeftCell="A10" workbookViewId="0">
      <selection activeCell="F24" sqref="F24"/>
    </sheetView>
  </sheetViews>
  <sheetFormatPr defaultRowHeight="15" x14ac:dyDescent="0.25"/>
  <cols>
    <col min="1" max="1" width="70"/>
    <col min="2" max="2" width="59"/>
    <col min="3" max="3" width="7.140625" bestFit="1" customWidth="1"/>
    <col min="4" max="4" width="11"/>
    <col min="5" max="5" width="8"/>
  </cols>
  <sheetData>
    <row r="1" spans="1:6" ht="3.95" customHeight="1" x14ac:dyDescent="0.25">
      <c r="A1" s="499" t="s">
        <v>235</v>
      </c>
      <c r="B1" s="483"/>
      <c r="C1" s="483"/>
      <c r="D1" s="483"/>
      <c r="E1" s="483"/>
    </row>
    <row r="2" spans="1:6" ht="15.95" customHeight="1" x14ac:dyDescent="0.25">
      <c r="A2" s="500" t="s">
        <v>263</v>
      </c>
      <c r="B2" s="483"/>
      <c r="C2" s="483"/>
      <c r="D2" s="483"/>
      <c r="E2" s="483"/>
    </row>
    <row r="3" spans="1:6" ht="14.1" customHeight="1" x14ac:dyDescent="0.25">
      <c r="A3" s="487" t="s">
        <v>264</v>
      </c>
      <c r="B3" s="483"/>
      <c r="C3" s="483"/>
      <c r="D3" s="483"/>
      <c r="E3" s="483"/>
    </row>
    <row r="4" spans="1:6" ht="14.1" customHeight="1" x14ac:dyDescent="0.25">
      <c r="A4" s="17" t="s">
        <v>265</v>
      </c>
      <c r="B4" s="17" t="s">
        <v>266</v>
      </c>
      <c r="C4" s="228" t="s">
        <v>267</v>
      </c>
      <c r="D4" s="228" t="s">
        <v>268</v>
      </c>
      <c r="E4" s="228" t="s">
        <v>269</v>
      </c>
    </row>
    <row r="5" spans="1:6" ht="18" customHeight="1" x14ac:dyDescent="0.25">
      <c r="A5" s="3" t="s">
        <v>270</v>
      </c>
      <c r="B5" s="2" t="s">
        <v>271</v>
      </c>
      <c r="C5" s="189">
        <f ca="1">DATEDIF(B5,TODAY(),"MD")</f>
        <v>12</v>
      </c>
      <c r="D5" s="189">
        <f ca="1">DATEDIF(B5,TODAY(),"YM")</f>
        <v>7</v>
      </c>
      <c r="E5" s="189">
        <f ca="1">DATEDIF(B5,TODAY(),"Y")</f>
        <v>44</v>
      </c>
      <c r="F5" s="216" t="str">
        <f ca="1">IF(E5&gt;20,"ADULT","CHILD")</f>
        <v>ADULT</v>
      </c>
    </row>
    <row r="6" spans="1:6" ht="18" customHeight="1" x14ac:dyDescent="0.25">
      <c r="A6" s="3" t="s">
        <v>272</v>
      </c>
      <c r="B6" s="2" t="s">
        <v>273</v>
      </c>
      <c r="C6" s="189">
        <f t="shared" ref="C6:C15" ca="1" si="0">DATEDIF(B6,TODAY(),"MD")</f>
        <v>7</v>
      </c>
      <c r="D6" s="189">
        <f t="shared" ref="D6:D15" ca="1" si="1">DATEDIF(B6,TODAY(),"YM")</f>
        <v>4</v>
      </c>
      <c r="E6" s="189">
        <f ca="1">DATEDIF(B6,TODAY(),"Y")</f>
        <v>43</v>
      </c>
      <c r="F6" s="216" t="str">
        <f t="shared" ref="F6:F15" ca="1" si="2">IF(E6&gt;20,"ADULT","CHILD")</f>
        <v>ADULT</v>
      </c>
    </row>
    <row r="7" spans="1:6" ht="18" customHeight="1" x14ac:dyDescent="0.25">
      <c r="A7" s="3" t="s">
        <v>274</v>
      </c>
      <c r="B7" s="2" t="s">
        <v>275</v>
      </c>
      <c r="C7" s="189">
        <f t="shared" ca="1" si="0"/>
        <v>12</v>
      </c>
      <c r="D7" s="189">
        <f t="shared" ca="1" si="1"/>
        <v>2</v>
      </c>
      <c r="E7" s="189">
        <f t="shared" ref="E7:E15" ca="1" si="3">DATEDIF(B7,TODAY(),"Y")</f>
        <v>21</v>
      </c>
      <c r="F7" s="216" t="str">
        <f t="shared" ca="1" si="2"/>
        <v>ADULT</v>
      </c>
    </row>
    <row r="8" spans="1:6" ht="18" customHeight="1" x14ac:dyDescent="0.25">
      <c r="A8" s="3" t="s">
        <v>276</v>
      </c>
      <c r="B8" s="2" t="s">
        <v>277</v>
      </c>
      <c r="C8" s="189">
        <f t="shared" ca="1" si="0"/>
        <v>2</v>
      </c>
      <c r="D8" s="189">
        <f t="shared" ca="1" si="1"/>
        <v>7</v>
      </c>
      <c r="E8" s="189">
        <f t="shared" ca="1" si="3"/>
        <v>34</v>
      </c>
      <c r="F8" s="216" t="str">
        <f t="shared" ca="1" si="2"/>
        <v>ADULT</v>
      </c>
    </row>
    <row r="9" spans="1:6" ht="18" customHeight="1" x14ac:dyDescent="0.25">
      <c r="A9" s="3" t="s">
        <v>278</v>
      </c>
      <c r="B9" s="2" t="s">
        <v>279</v>
      </c>
      <c r="C9" s="189">
        <f t="shared" ca="1" si="0"/>
        <v>3</v>
      </c>
      <c r="D9" s="189">
        <f t="shared" ca="1" si="1"/>
        <v>4</v>
      </c>
      <c r="E9" s="189">
        <f t="shared" ca="1" si="3"/>
        <v>32</v>
      </c>
      <c r="F9" s="216" t="str">
        <f t="shared" ca="1" si="2"/>
        <v>ADULT</v>
      </c>
    </row>
    <row r="10" spans="1:6" ht="18" customHeight="1" x14ac:dyDescent="0.25">
      <c r="A10" s="3" t="s">
        <v>280</v>
      </c>
      <c r="B10" s="2" t="s">
        <v>281</v>
      </c>
      <c r="C10" s="189">
        <f t="shared" ca="1" si="0"/>
        <v>4</v>
      </c>
      <c r="D10" s="189">
        <f t="shared" ca="1" si="1"/>
        <v>4</v>
      </c>
      <c r="E10" s="189">
        <f t="shared" ca="1" si="3"/>
        <v>26</v>
      </c>
      <c r="F10" s="216" t="str">
        <f t="shared" ca="1" si="2"/>
        <v>ADULT</v>
      </c>
    </row>
    <row r="11" spans="1:6" ht="18" customHeight="1" x14ac:dyDescent="0.25">
      <c r="A11" s="3" t="s">
        <v>282</v>
      </c>
      <c r="B11" s="2" t="s">
        <v>283</v>
      </c>
      <c r="C11" s="189">
        <f t="shared" ca="1" si="0"/>
        <v>15</v>
      </c>
      <c r="D11" s="189">
        <f t="shared" ca="1" si="1"/>
        <v>7</v>
      </c>
      <c r="E11" s="189">
        <f t="shared" ca="1" si="3"/>
        <v>44</v>
      </c>
      <c r="F11" s="216" t="str">
        <f t="shared" ca="1" si="2"/>
        <v>ADULT</v>
      </c>
    </row>
    <row r="12" spans="1:6" ht="18" customHeight="1" x14ac:dyDescent="0.25">
      <c r="A12" s="3" t="s">
        <v>284</v>
      </c>
      <c r="B12" s="2" t="s">
        <v>285</v>
      </c>
      <c r="C12" s="189">
        <f t="shared" ca="1" si="0"/>
        <v>9</v>
      </c>
      <c r="D12" s="189">
        <f t="shared" ca="1" si="1"/>
        <v>9</v>
      </c>
      <c r="E12" s="189">
        <f t="shared" ca="1" si="3"/>
        <v>19</v>
      </c>
      <c r="F12" s="216" t="str">
        <f t="shared" ca="1" si="2"/>
        <v>CHILD</v>
      </c>
    </row>
    <row r="13" spans="1:6" ht="18" customHeight="1" x14ac:dyDescent="0.25">
      <c r="A13" s="3" t="s">
        <v>286</v>
      </c>
      <c r="B13" s="2" t="s">
        <v>287</v>
      </c>
      <c r="C13" s="189">
        <f t="shared" ca="1" si="0"/>
        <v>12</v>
      </c>
      <c r="D13" s="189">
        <f t="shared" ca="1" si="1"/>
        <v>4</v>
      </c>
      <c r="E13" s="189">
        <f t="shared" ca="1" si="3"/>
        <v>17</v>
      </c>
      <c r="F13" s="216" t="str">
        <f t="shared" ca="1" si="2"/>
        <v>CHILD</v>
      </c>
    </row>
    <row r="14" spans="1:6" ht="18" customHeight="1" x14ac:dyDescent="0.25">
      <c r="A14" s="3" t="s">
        <v>288</v>
      </c>
      <c r="B14" s="2" t="s">
        <v>289</v>
      </c>
      <c r="C14" s="189">
        <f t="shared" ca="1" si="0"/>
        <v>2</v>
      </c>
      <c r="D14" s="189">
        <f t="shared" ca="1" si="1"/>
        <v>7</v>
      </c>
      <c r="E14" s="189">
        <f t="shared" ca="1" si="3"/>
        <v>14</v>
      </c>
      <c r="F14" s="216" t="str">
        <f t="shared" ca="1" si="2"/>
        <v>CHILD</v>
      </c>
    </row>
    <row r="15" spans="1:6" ht="17.100000000000001" customHeight="1" x14ac:dyDescent="0.25">
      <c r="A15" s="3" t="s">
        <v>290</v>
      </c>
      <c r="B15" s="2" t="s">
        <v>291</v>
      </c>
      <c r="C15" s="189">
        <f t="shared" ca="1" si="0"/>
        <v>2</v>
      </c>
      <c r="D15" s="189">
        <f t="shared" ca="1" si="1"/>
        <v>4</v>
      </c>
      <c r="E15" s="189">
        <f t="shared" ca="1" si="3"/>
        <v>31</v>
      </c>
      <c r="F15" s="216" t="str">
        <f t="shared" ca="1" si="2"/>
        <v>ADULT</v>
      </c>
    </row>
    <row r="16" spans="1:6" ht="14.1" customHeight="1" x14ac:dyDescent="0.25">
      <c r="A16" s="19" t="s">
        <v>292</v>
      </c>
      <c r="B16" s="32"/>
      <c r="C16" t="s">
        <v>293</v>
      </c>
      <c r="D16" s="198" t="s">
        <v>294</v>
      </c>
      <c r="E16" s="198" t="s">
        <v>295</v>
      </c>
      <c r="F16" s="166"/>
    </row>
    <row r="17" spans="1:5" ht="14.1" customHeight="1" x14ac:dyDescent="0.25">
      <c r="A17" s="5" t="s">
        <v>296</v>
      </c>
      <c r="B17" s="32" t="s">
        <v>297</v>
      </c>
      <c r="C17" t="s">
        <v>298</v>
      </c>
      <c r="D17" t="s">
        <v>299</v>
      </c>
      <c r="E17" t="s">
        <v>300</v>
      </c>
    </row>
    <row r="18" spans="1:5" ht="14.1" customHeight="1" x14ac:dyDescent="0.25">
      <c r="A18" s="191">
        <f>COUNTA(A5:A15)</f>
        <v>11</v>
      </c>
      <c r="B18" s="32"/>
      <c r="C18" t="s">
        <v>301</v>
      </c>
      <c r="D18" t="s">
        <v>302</v>
      </c>
      <c r="E18" t="s">
        <v>303</v>
      </c>
    </row>
    <row r="19" spans="1:5" s="166" customFormat="1" ht="14.1" customHeight="1" x14ac:dyDescent="0.25">
      <c r="B19" s="178"/>
    </row>
    <row r="20" spans="1:5" ht="14.1" customHeight="1" x14ac:dyDescent="0.25">
      <c r="A20" s="5" t="s">
        <v>304</v>
      </c>
      <c r="B20" s="32" t="s">
        <v>305</v>
      </c>
      <c r="C20" t="s">
        <v>306</v>
      </c>
      <c r="D20" t="s">
        <v>307</v>
      </c>
      <c r="E20" t="s">
        <v>308</v>
      </c>
    </row>
    <row r="21" spans="1:5" s="166" customFormat="1" ht="14.1" customHeight="1" x14ac:dyDescent="0.25">
      <c r="A21" s="158" t="str">
        <f ca="1">DATEDIF(B14,TODAY(),"Y")&amp;"year,"&amp;DATEDIF(B14,TODAY(),"YM")&amp;"month,"&amp;DATEDIF(B14,TODAY(),"MD")&amp;"days"</f>
        <v>14year,7month,2days</v>
      </c>
      <c r="B21" s="178"/>
    </row>
    <row r="22" spans="1:5" s="166" customFormat="1" ht="14.1" customHeight="1" x14ac:dyDescent="0.25">
      <c r="A22" s="167"/>
      <c r="B22" s="178"/>
    </row>
    <row r="23" spans="1:5" ht="14.1" customHeight="1" x14ac:dyDescent="0.25">
      <c r="A23" t="s">
        <v>309</v>
      </c>
      <c r="B23" t="s">
        <v>310</v>
      </c>
      <c r="C23" s="501"/>
      <c r="D23" s="483"/>
      <c r="E23" s="483"/>
    </row>
    <row r="24" spans="1:5" ht="14.1" customHeight="1" x14ac:dyDescent="0.25">
      <c r="A24" s="20" t="s">
        <v>311</v>
      </c>
      <c r="B24" s="179" t="s">
        <v>312</v>
      </c>
      <c r="C24" s="166" t="s">
        <v>313</v>
      </c>
      <c r="D24" s="166" t="s">
        <v>314</v>
      </c>
    </row>
    <row r="25" spans="1:5" s="166" customFormat="1" ht="14.1" customHeight="1" x14ac:dyDescent="0.25">
      <c r="A25" s="227">
        <f ca="1">COUNTIF(E5:E15,"&gt;20")</f>
        <v>8</v>
      </c>
      <c r="C25" s="179"/>
    </row>
    <row r="26" spans="1:5" s="166" customFormat="1" ht="14.1" customHeight="1" x14ac:dyDescent="0.25">
      <c r="A26" s="20"/>
      <c r="C26" s="179"/>
    </row>
    <row r="27" spans="1:5" ht="14.1" customHeight="1" x14ac:dyDescent="0.25">
      <c r="A27" s="487" t="s">
        <v>315</v>
      </c>
      <c r="B27" s="483" t="s">
        <v>316</v>
      </c>
      <c r="C27" s="483" t="s">
        <v>317</v>
      </c>
      <c r="D27" s="483"/>
      <c r="E27" s="483"/>
    </row>
    <row r="28" spans="1:5" s="166" customFormat="1" ht="14.1" customHeight="1" x14ac:dyDescent="0.25">
      <c r="A28" s="167"/>
    </row>
    <row r="29" spans="1:5" s="166" customFormat="1" ht="14.1" customHeight="1" x14ac:dyDescent="0.25">
      <c r="A29" s="167"/>
    </row>
    <row r="30" spans="1:5" ht="14.1" customHeight="1" x14ac:dyDescent="0.25">
      <c r="A30" t="s">
        <v>318</v>
      </c>
      <c r="B30" t="s">
        <v>319</v>
      </c>
      <c r="C30" s="32"/>
    </row>
    <row r="31" spans="1:5" ht="14.1" customHeight="1" x14ac:dyDescent="0.25">
      <c r="A31" s="33" t="s">
        <v>320</v>
      </c>
      <c r="B31" s="178" t="s">
        <v>321</v>
      </c>
      <c r="C31" s="180" t="s">
        <v>322</v>
      </c>
      <c r="D31" s="180" t="s">
        <v>323</v>
      </c>
    </row>
    <row r="32" spans="1:5" x14ac:dyDescent="0.25">
      <c r="A32" s="191">
        <f ca="1">COUNTIF(E5:E15,"&gt;25")</f>
        <v>7</v>
      </c>
    </row>
  </sheetData>
  <mergeCells count="5">
    <mergeCell ref="A1:E1"/>
    <mergeCell ref="A2:E2"/>
    <mergeCell ref="A3:E3"/>
    <mergeCell ref="C23:E23"/>
    <mergeCell ref="A27:E27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topLeftCell="A13" workbookViewId="0">
      <selection activeCell="C23" sqref="C23"/>
    </sheetView>
  </sheetViews>
  <sheetFormatPr defaultRowHeight="15" customHeight="1" x14ac:dyDescent="0.25"/>
  <cols>
    <col min="1" max="1" width="53"/>
    <col min="2" max="2" width="14"/>
    <col min="3" max="3" width="16"/>
    <col min="4" max="4" width="17"/>
    <col min="5" max="5" width="11"/>
    <col min="6" max="6" width="18"/>
    <col min="7" max="7" width="10"/>
  </cols>
  <sheetData>
    <row r="1" spans="1:7" ht="15" customHeight="1" x14ac:dyDescent="0.25">
      <c r="A1" s="499" t="s">
        <v>324</v>
      </c>
      <c r="B1" s="483"/>
      <c r="C1" s="483"/>
      <c r="D1" s="483"/>
      <c r="E1" s="483"/>
      <c r="F1" s="483"/>
      <c r="G1" s="483"/>
    </row>
    <row r="2" spans="1:7" ht="15" customHeight="1" x14ac:dyDescent="0.25">
      <c r="A2" s="500" t="s">
        <v>325</v>
      </c>
      <c r="B2" s="483"/>
      <c r="C2" s="483"/>
      <c r="D2" s="483"/>
      <c r="E2" s="483"/>
      <c r="F2" s="483"/>
      <c r="G2" s="483"/>
    </row>
    <row r="3" spans="1:7" ht="15" customHeight="1" x14ac:dyDescent="0.25">
      <c r="A3" s="493" t="s">
        <v>326</v>
      </c>
      <c r="B3" s="483"/>
      <c r="C3" s="483"/>
      <c r="D3" s="483"/>
      <c r="E3" s="483"/>
      <c r="F3" s="483"/>
      <c r="G3" s="483"/>
    </row>
    <row r="4" spans="1:7" ht="15" customHeight="1" x14ac:dyDescent="0.25">
      <c r="A4" s="35" t="s">
        <v>327</v>
      </c>
      <c r="B4" s="12" t="s">
        <v>328</v>
      </c>
      <c r="C4" s="36" t="s">
        <v>329</v>
      </c>
      <c r="D4" s="11" t="s">
        <v>330</v>
      </c>
      <c r="E4" s="12" t="s">
        <v>331</v>
      </c>
      <c r="F4" s="36" t="s">
        <v>332</v>
      </c>
      <c r="G4" s="11" t="s">
        <v>333</v>
      </c>
    </row>
    <row r="5" spans="1:7" ht="15" customHeight="1" x14ac:dyDescent="0.25">
      <c r="A5" s="37" t="s">
        <v>334</v>
      </c>
      <c r="B5" s="37" t="s">
        <v>335</v>
      </c>
      <c r="C5" s="37" t="s">
        <v>336</v>
      </c>
      <c r="D5" s="37" t="s">
        <v>337</v>
      </c>
      <c r="E5" s="37" t="s">
        <v>338</v>
      </c>
      <c r="F5" s="37" t="s">
        <v>339</v>
      </c>
      <c r="G5" s="37" t="s">
        <v>340</v>
      </c>
    </row>
    <row r="6" spans="1:7" ht="15" customHeight="1" x14ac:dyDescent="0.25">
      <c r="A6" s="38" t="s">
        <v>341</v>
      </c>
      <c r="B6" s="38">
        <v>80</v>
      </c>
      <c r="C6" s="38">
        <v>75</v>
      </c>
      <c r="D6" s="38">
        <v>85</v>
      </c>
      <c r="E6" s="39">
        <v>240</v>
      </c>
      <c r="F6" s="231">
        <f>E6/300*100</f>
        <v>80</v>
      </c>
      <c r="G6" s="4" t="str">
        <f>_xlfn.IFS(F6&gt;70,"Excellent",F6&gt;50,"Good",F6&lt;50,"Bad")</f>
        <v>Excellent</v>
      </c>
    </row>
    <row r="7" spans="1:7" ht="15" customHeight="1" x14ac:dyDescent="0.25">
      <c r="A7" s="38" t="s">
        <v>342</v>
      </c>
      <c r="B7" s="38">
        <v>50</v>
      </c>
      <c r="C7" s="38">
        <v>30</v>
      </c>
      <c r="D7" s="38">
        <v>40</v>
      </c>
      <c r="E7" s="39">
        <v>120</v>
      </c>
      <c r="F7" s="231">
        <f t="shared" ref="F7:F15" si="0">E7/300*100</f>
        <v>40</v>
      </c>
      <c r="G7" s="4" t="str">
        <f t="shared" ref="G7:G15" si="1">_xlfn.IFS(F7&gt;70,"Excellent",F7&gt;50,"Good",F7&lt;50,"Bad")</f>
        <v>Bad</v>
      </c>
    </row>
    <row r="8" spans="1:7" ht="15" customHeight="1" x14ac:dyDescent="0.25">
      <c r="A8" s="38" t="s">
        <v>343</v>
      </c>
      <c r="B8" s="38">
        <v>60</v>
      </c>
      <c r="C8" s="38">
        <v>70</v>
      </c>
      <c r="D8" s="38" t="s">
        <v>344</v>
      </c>
      <c r="E8" s="39">
        <v>130</v>
      </c>
      <c r="F8" s="231">
        <f t="shared" si="0"/>
        <v>43.333333333333336</v>
      </c>
      <c r="G8" s="4" t="str">
        <f t="shared" si="1"/>
        <v>Bad</v>
      </c>
    </row>
    <row r="9" spans="1:7" ht="15" customHeight="1" x14ac:dyDescent="0.25">
      <c r="A9" s="38" t="s">
        <v>345</v>
      </c>
      <c r="B9" s="38">
        <v>90</v>
      </c>
      <c r="C9" s="38">
        <v>85</v>
      </c>
      <c r="D9" s="38">
        <v>95</v>
      </c>
      <c r="E9" s="39">
        <v>270</v>
      </c>
      <c r="F9" s="231">
        <f t="shared" si="0"/>
        <v>90</v>
      </c>
      <c r="G9" s="4" t="str">
        <f t="shared" si="1"/>
        <v>Excellent</v>
      </c>
    </row>
    <row r="10" spans="1:7" ht="15" customHeight="1" x14ac:dyDescent="0.25">
      <c r="A10" s="38" t="s">
        <v>346</v>
      </c>
      <c r="B10" s="38">
        <v>20</v>
      </c>
      <c r="C10" s="38">
        <v>30</v>
      </c>
      <c r="D10" s="38" t="s">
        <v>347</v>
      </c>
      <c r="E10" s="39">
        <v>50</v>
      </c>
      <c r="F10" s="231">
        <f t="shared" si="0"/>
        <v>16.666666666666664</v>
      </c>
      <c r="G10" s="4" t="str">
        <f t="shared" si="1"/>
        <v>Bad</v>
      </c>
    </row>
    <row r="11" spans="1:7" ht="15" customHeight="1" x14ac:dyDescent="0.25">
      <c r="A11" s="38" t="s">
        <v>348</v>
      </c>
      <c r="B11" s="38">
        <v>40</v>
      </c>
      <c r="C11" s="38">
        <v>60</v>
      </c>
      <c r="D11" s="38">
        <v>80</v>
      </c>
      <c r="E11" s="39">
        <v>180</v>
      </c>
      <c r="F11" s="231">
        <f t="shared" si="0"/>
        <v>60</v>
      </c>
      <c r="G11" s="4" t="str">
        <f t="shared" si="1"/>
        <v>Good</v>
      </c>
    </row>
    <row r="12" spans="1:7" ht="15" customHeight="1" x14ac:dyDescent="0.25">
      <c r="A12" s="38" t="s">
        <v>349</v>
      </c>
      <c r="B12" s="38">
        <v>10</v>
      </c>
      <c r="C12" s="38">
        <v>90</v>
      </c>
      <c r="D12" s="38">
        <v>80</v>
      </c>
      <c r="E12" s="39">
        <v>180</v>
      </c>
      <c r="F12" s="231">
        <f t="shared" si="0"/>
        <v>60</v>
      </c>
      <c r="G12" s="4" t="str">
        <f t="shared" si="1"/>
        <v>Good</v>
      </c>
    </row>
    <row r="13" spans="1:7" ht="15" customHeight="1" x14ac:dyDescent="0.25">
      <c r="A13" s="38" t="s">
        <v>350</v>
      </c>
      <c r="B13" s="38">
        <v>80</v>
      </c>
      <c r="C13" s="38">
        <v>70</v>
      </c>
      <c r="D13" s="38">
        <v>60</v>
      </c>
      <c r="E13" s="39">
        <v>210</v>
      </c>
      <c r="F13" s="231">
        <f t="shared" si="0"/>
        <v>70</v>
      </c>
      <c r="G13" s="4" t="str">
        <f t="shared" si="1"/>
        <v>Good</v>
      </c>
    </row>
    <row r="14" spans="1:7" ht="15" customHeight="1" x14ac:dyDescent="0.25">
      <c r="A14" s="38" t="s">
        <v>351</v>
      </c>
      <c r="B14" s="38">
        <v>30</v>
      </c>
      <c r="C14" s="38">
        <v>10</v>
      </c>
      <c r="D14" s="38">
        <v>20</v>
      </c>
      <c r="E14" s="39">
        <v>60</v>
      </c>
      <c r="F14" s="231">
        <f t="shared" si="0"/>
        <v>20</v>
      </c>
      <c r="G14" s="4" t="str">
        <f t="shared" si="1"/>
        <v>Bad</v>
      </c>
    </row>
    <row r="15" spans="1:7" ht="15" customHeight="1" x14ac:dyDescent="0.25">
      <c r="A15" s="38" t="s">
        <v>352</v>
      </c>
      <c r="B15" s="38">
        <v>10</v>
      </c>
      <c r="C15" s="38">
        <v>20</v>
      </c>
      <c r="D15" s="38">
        <v>30</v>
      </c>
      <c r="E15" s="39">
        <v>60</v>
      </c>
      <c r="F15" s="231">
        <f t="shared" si="0"/>
        <v>20</v>
      </c>
      <c r="G15" s="4" t="str">
        <f t="shared" si="1"/>
        <v>Bad</v>
      </c>
    </row>
    <row r="16" spans="1:7" s="166" customFormat="1" ht="15" customHeight="1" x14ac:dyDescent="0.25">
      <c r="A16" s="229"/>
      <c r="B16" s="229"/>
      <c r="C16" s="229"/>
      <c r="D16" s="229"/>
      <c r="E16" s="230"/>
      <c r="F16" s="215"/>
      <c r="G16" s="215"/>
    </row>
    <row r="17" spans="1:7" s="166" customFormat="1" ht="15" customHeight="1" x14ac:dyDescent="0.25">
      <c r="A17" s="229"/>
      <c r="B17" s="229"/>
      <c r="C17" s="229"/>
      <c r="D17" s="229"/>
      <c r="E17" s="230"/>
      <c r="F17" s="215"/>
      <c r="G17" s="215"/>
    </row>
    <row r="18" spans="1:7" ht="15" customHeight="1" x14ac:dyDescent="0.25">
      <c r="A18" s="40" t="s">
        <v>353</v>
      </c>
      <c r="B18" s="503" t="s">
        <v>354</v>
      </c>
      <c r="C18" s="483" t="s">
        <v>355</v>
      </c>
      <c r="D18" s="483" t="s">
        <v>356</v>
      </c>
      <c r="E18" s="483" t="s">
        <v>357</v>
      </c>
      <c r="F18" s="483" t="s">
        <v>358</v>
      </c>
    </row>
    <row r="19" spans="1:7" s="166" customFormat="1" ht="15" customHeight="1" x14ac:dyDescent="0.25">
      <c r="A19" s="232">
        <f>COUNTA(A6:A15)</f>
        <v>10</v>
      </c>
      <c r="B19" s="181"/>
    </row>
    <row r="20" spans="1:7" s="166" customFormat="1" ht="15" customHeight="1" x14ac:dyDescent="0.25">
      <c r="A20" s="40"/>
      <c r="B20" s="181"/>
    </row>
    <row r="21" spans="1:7" ht="15" customHeight="1" x14ac:dyDescent="0.25">
      <c r="A21" s="40" t="s">
        <v>359</v>
      </c>
      <c r="B21" s="503" t="s">
        <v>360</v>
      </c>
      <c r="C21" s="483" t="s">
        <v>361</v>
      </c>
      <c r="D21" s="483" t="s">
        <v>362</v>
      </c>
      <c r="E21" s="483" t="s">
        <v>363</v>
      </c>
      <c r="F21" s="483" t="s">
        <v>364</v>
      </c>
      <c r="G21" s="483"/>
    </row>
    <row r="22" spans="1:7" s="166" customFormat="1" ht="15" customHeight="1" x14ac:dyDescent="0.25">
      <c r="A22" s="232">
        <f>COUNTIF(F6:F15,"&gt;50")</f>
        <v>5</v>
      </c>
      <c r="B22" s="181"/>
    </row>
    <row r="23" spans="1:7" s="166" customFormat="1" ht="15" customHeight="1" x14ac:dyDescent="0.25">
      <c r="A23" s="40"/>
      <c r="B23" s="181"/>
    </row>
    <row r="24" spans="1:7" ht="15" customHeight="1" x14ac:dyDescent="0.25">
      <c r="A24" s="40" t="s">
        <v>365</v>
      </c>
      <c r="B24" s="503" t="s">
        <v>366</v>
      </c>
      <c r="C24" s="483" t="s">
        <v>367</v>
      </c>
      <c r="D24" s="483" t="s">
        <v>368</v>
      </c>
      <c r="E24" s="483" t="s">
        <v>369</v>
      </c>
      <c r="F24" s="483" t="s">
        <v>370</v>
      </c>
      <c r="G24" s="483"/>
    </row>
    <row r="25" spans="1:7" s="166" customFormat="1" ht="15" customHeight="1" x14ac:dyDescent="0.25">
      <c r="A25" s="40"/>
      <c r="B25" s="37" t="s">
        <v>61</v>
      </c>
    </row>
    <row r="26" spans="1:7" s="166" customFormat="1" ht="15" customHeight="1" x14ac:dyDescent="0.25">
      <c r="A26" s="38" t="s">
        <v>342</v>
      </c>
      <c r="B26" s="557">
        <f>VLOOKUP(A26,$A$6:$E$15,5,FALSE)</f>
        <v>120</v>
      </c>
    </row>
    <row r="27" spans="1:7" s="166" customFormat="1" ht="15" customHeight="1" x14ac:dyDescent="0.25">
      <c r="A27" s="38" t="s">
        <v>346</v>
      </c>
      <c r="B27" s="557">
        <f>VLOOKUP(A27,$A$6:$E$15,5,FALSE)</f>
        <v>50</v>
      </c>
    </row>
    <row r="28" spans="1:7" s="166" customFormat="1" ht="15" customHeight="1" x14ac:dyDescent="0.25">
      <c r="A28" s="229"/>
      <c r="B28" s="181"/>
    </row>
    <row r="29" spans="1:7" ht="15" customHeight="1" x14ac:dyDescent="0.25">
      <c r="A29" s="488" t="s">
        <v>2409</v>
      </c>
      <c r="B29" s="483" t="s">
        <v>371</v>
      </c>
      <c r="C29" t="s">
        <v>372</v>
      </c>
      <c r="D29" t="s">
        <v>373</v>
      </c>
      <c r="E29" t="s">
        <v>374</v>
      </c>
      <c r="F29" t="s">
        <v>375</v>
      </c>
    </row>
    <row r="30" spans="1:7" s="166" customFormat="1" ht="15" customHeight="1" x14ac:dyDescent="0.25">
      <c r="A30" s="168"/>
    </row>
    <row r="31" spans="1:7" s="166" customFormat="1" ht="15" customHeight="1" x14ac:dyDescent="0.25">
      <c r="A31" s="168"/>
    </row>
    <row r="32" spans="1:7" ht="15" customHeight="1" x14ac:dyDescent="0.25">
      <c r="A32" s="6" t="s">
        <v>2410</v>
      </c>
      <c r="B32" s="501" t="s">
        <v>376</v>
      </c>
      <c r="C32" s="483" t="s">
        <v>377</v>
      </c>
      <c r="D32" s="483" t="s">
        <v>378</v>
      </c>
      <c r="E32" s="483" t="s">
        <v>379</v>
      </c>
      <c r="F32" s="483" t="s">
        <v>380</v>
      </c>
      <c r="G32" s="483"/>
    </row>
    <row r="34" spans="1:2" ht="15" customHeight="1" x14ac:dyDescent="0.25">
      <c r="A34" t="s">
        <v>2411</v>
      </c>
      <c r="B34" s="191">
        <f>COUNTIF($G$6:$G$15,A34)</f>
        <v>3</v>
      </c>
    </row>
    <row r="35" spans="1:2" ht="15" customHeight="1" x14ac:dyDescent="0.25">
      <c r="A35" t="s">
        <v>2412</v>
      </c>
      <c r="B35" s="191">
        <f>COUNTIF($G$6:$G$15,A35)</f>
        <v>5</v>
      </c>
    </row>
    <row r="50" spans="1:7" ht="15" customHeight="1" x14ac:dyDescent="0.25">
      <c r="A50" s="16"/>
      <c r="B50" s="504"/>
      <c r="C50" s="505"/>
      <c r="D50" s="505"/>
      <c r="E50" s="505"/>
      <c r="F50" s="505"/>
      <c r="G50" s="505"/>
    </row>
    <row r="51" spans="1:7" ht="15" customHeight="1" x14ac:dyDescent="0.25">
      <c r="A51" s="502"/>
      <c r="B51" s="483"/>
      <c r="C51" s="483"/>
      <c r="D51" s="483"/>
      <c r="E51" s="483"/>
      <c r="F51" s="483"/>
      <c r="G51" s="483"/>
    </row>
  </sheetData>
  <mergeCells count="10">
    <mergeCell ref="A1:G1"/>
    <mergeCell ref="A2:G2"/>
    <mergeCell ref="A3:G3"/>
    <mergeCell ref="B18:F18"/>
    <mergeCell ref="B50:G50"/>
    <mergeCell ref="A51:G51"/>
    <mergeCell ref="B21:G21"/>
    <mergeCell ref="B24:G24"/>
    <mergeCell ref="A29:B29"/>
    <mergeCell ref="B32:G3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F2F54-20A5-45B3-A858-4762029DC031}">
  <dimension ref="A1:G18"/>
  <sheetViews>
    <sheetView workbookViewId="0">
      <selection activeCell="J8" sqref="J8"/>
    </sheetView>
  </sheetViews>
  <sheetFormatPr defaultRowHeight="15" x14ac:dyDescent="0.25"/>
  <cols>
    <col min="1" max="1" width="21.5703125" bestFit="1" customWidth="1"/>
    <col min="2" max="2" width="20.28515625" bestFit="1" customWidth="1"/>
    <col min="3" max="3" width="14.85546875" bestFit="1" customWidth="1"/>
    <col min="4" max="4" width="13.140625" bestFit="1" customWidth="1"/>
    <col min="5" max="5" width="8.28515625" bestFit="1" customWidth="1"/>
    <col min="6" max="6" width="10.28515625" customWidth="1"/>
    <col min="7" max="7" width="10.5703125" customWidth="1"/>
  </cols>
  <sheetData>
    <row r="1" spans="1:7" ht="15.75" x14ac:dyDescent="0.25">
      <c r="A1" t="s">
        <v>381</v>
      </c>
      <c r="B1" t="s">
        <v>382</v>
      </c>
      <c r="C1" s="22" t="s">
        <v>383</v>
      </c>
    </row>
    <row r="2" spans="1:7" x14ac:dyDescent="0.25">
      <c r="A2" t="s">
        <v>384</v>
      </c>
      <c r="B2" s="5" t="s">
        <v>385</v>
      </c>
    </row>
    <row r="3" spans="1:7" x14ac:dyDescent="0.25">
      <c r="A3" s="41" t="s">
        <v>386</v>
      </c>
      <c r="B3" s="506" t="s">
        <v>387</v>
      </c>
      <c r="C3" s="507" t="s">
        <v>388</v>
      </c>
      <c r="D3" s="507" t="s">
        <v>389</v>
      </c>
      <c r="E3" s="507" t="s">
        <v>390</v>
      </c>
      <c r="F3" s="507" t="s">
        <v>391</v>
      </c>
    </row>
    <row r="4" spans="1:7" ht="15.75" x14ac:dyDescent="0.25">
      <c r="A4" s="42" t="s">
        <v>392</v>
      </c>
      <c r="B4" s="42" t="s">
        <v>393</v>
      </c>
      <c r="C4" s="42" t="s">
        <v>394</v>
      </c>
      <c r="D4" s="234" t="s">
        <v>395</v>
      </c>
      <c r="E4" s="234" t="s">
        <v>396</v>
      </c>
      <c r="F4" s="235" t="s">
        <v>397</v>
      </c>
      <c r="G4" s="235" t="s">
        <v>398</v>
      </c>
    </row>
    <row r="5" spans="1:7" ht="15.75" x14ac:dyDescent="0.25">
      <c r="A5" s="43" t="s">
        <v>399</v>
      </c>
      <c r="B5" s="44" t="s">
        <v>400</v>
      </c>
      <c r="C5" s="43" t="s">
        <v>401</v>
      </c>
      <c r="D5" s="236" t="s">
        <v>402</v>
      </c>
      <c r="E5" s="236" t="s">
        <v>403</v>
      </c>
      <c r="F5" s="236" t="s">
        <v>404</v>
      </c>
      <c r="G5" s="236" t="s">
        <v>405</v>
      </c>
    </row>
    <row r="6" spans="1:7" x14ac:dyDescent="0.25">
      <c r="A6" s="45">
        <v>110608</v>
      </c>
      <c r="B6" s="45" t="s">
        <v>406</v>
      </c>
      <c r="C6" s="45" t="s">
        <v>407</v>
      </c>
      <c r="D6" s="3">
        <v>602693</v>
      </c>
      <c r="E6" s="3" t="s">
        <v>408</v>
      </c>
      <c r="F6" s="189" t="str">
        <f>VLOOKUP(D6,$A$5:$C$18,3,FALSE)</f>
        <v>Micheal</v>
      </c>
      <c r="G6" s="233" t="str">
        <f>VLOOKUP(D6,$A$6:$C$18,2,FALSE)</f>
        <v>Vick</v>
      </c>
    </row>
    <row r="7" spans="1:7" x14ac:dyDescent="0.25">
      <c r="A7" s="45">
        <v>253072</v>
      </c>
      <c r="B7" s="45" t="s">
        <v>409</v>
      </c>
      <c r="C7" s="45" t="s">
        <v>410</v>
      </c>
      <c r="D7" s="3">
        <v>611810</v>
      </c>
      <c r="E7" s="3" t="s">
        <v>411</v>
      </c>
      <c r="F7" s="189" t="str">
        <f t="shared" ref="F7:F18" si="0">VLOOKUP(D7,$A$5:$C$18,3,FALSE)</f>
        <v>Tiger</v>
      </c>
      <c r="G7" s="233" t="str">
        <f t="shared" ref="G7:G18" si="1">VLOOKUP(D7,$A$6:$C$18,2,FALSE)</f>
        <v>Woods</v>
      </c>
    </row>
    <row r="8" spans="1:7" x14ac:dyDescent="0.25">
      <c r="A8" s="45">
        <v>352711</v>
      </c>
      <c r="B8" s="45" t="s">
        <v>412</v>
      </c>
      <c r="C8" s="45" t="s">
        <v>413</v>
      </c>
      <c r="D8" s="3">
        <v>549457</v>
      </c>
      <c r="E8" s="3" t="s">
        <v>414</v>
      </c>
      <c r="F8" s="189" t="str">
        <f t="shared" si="0"/>
        <v>John</v>
      </c>
      <c r="G8" s="233" t="str">
        <f t="shared" si="1"/>
        <v>Elway</v>
      </c>
    </row>
    <row r="9" spans="1:7" x14ac:dyDescent="0.25">
      <c r="A9" s="45">
        <v>391006</v>
      </c>
      <c r="B9" s="45" t="s">
        <v>415</v>
      </c>
      <c r="C9" s="45" t="s">
        <v>416</v>
      </c>
      <c r="D9" s="3">
        <v>612235</v>
      </c>
      <c r="E9" s="3" t="s">
        <v>417</v>
      </c>
      <c r="F9" s="189" t="str">
        <f t="shared" si="0"/>
        <v>Micheal</v>
      </c>
      <c r="G9" s="233" t="str">
        <f t="shared" si="1"/>
        <v>Jordan</v>
      </c>
    </row>
    <row r="10" spans="1:7" x14ac:dyDescent="0.25">
      <c r="A10" s="45">
        <v>392128</v>
      </c>
      <c r="B10" s="45" t="s">
        <v>418</v>
      </c>
      <c r="C10" s="45" t="s">
        <v>419</v>
      </c>
      <c r="D10" s="3">
        <v>580622</v>
      </c>
      <c r="E10" s="3" t="s">
        <v>420</v>
      </c>
      <c r="F10" s="189" t="str">
        <f t="shared" si="0"/>
        <v>Eli</v>
      </c>
      <c r="G10" s="233" t="str">
        <f t="shared" si="1"/>
        <v>Manning</v>
      </c>
    </row>
    <row r="11" spans="1:7" x14ac:dyDescent="0.25">
      <c r="A11" s="45">
        <v>549457</v>
      </c>
      <c r="B11" s="45" t="s">
        <v>421</v>
      </c>
      <c r="C11" s="45" t="s">
        <v>422</v>
      </c>
      <c r="D11" s="3">
        <v>830385</v>
      </c>
      <c r="E11" s="3" t="s">
        <v>423</v>
      </c>
      <c r="F11" s="189" t="str">
        <f t="shared" si="0"/>
        <v>Prince</v>
      </c>
      <c r="G11" s="233" t="str">
        <f t="shared" si="1"/>
        <v>Williams</v>
      </c>
    </row>
    <row r="12" spans="1:7" x14ac:dyDescent="0.25">
      <c r="A12" s="45">
        <v>580622</v>
      </c>
      <c r="B12" s="45" t="s">
        <v>424</v>
      </c>
      <c r="C12" s="45" t="s">
        <v>425</v>
      </c>
      <c r="D12" s="3">
        <v>253072</v>
      </c>
      <c r="E12" s="3" t="s">
        <v>426</v>
      </c>
      <c r="F12" s="189" t="str">
        <f t="shared" si="0"/>
        <v>Andy</v>
      </c>
      <c r="G12" s="233" t="str">
        <f t="shared" si="1"/>
        <v>Cline</v>
      </c>
    </row>
    <row r="13" spans="1:7" x14ac:dyDescent="0.25">
      <c r="A13" s="45">
        <v>602693</v>
      </c>
      <c r="B13" s="45" t="s">
        <v>427</v>
      </c>
      <c r="C13" s="45" t="s">
        <v>428</v>
      </c>
      <c r="D13" s="3">
        <v>391006</v>
      </c>
      <c r="E13" s="3" t="s">
        <v>429</v>
      </c>
      <c r="F13" s="189" t="str">
        <f t="shared" si="0"/>
        <v>Peter</v>
      </c>
      <c r="G13" s="233" t="str">
        <f t="shared" si="1"/>
        <v>Pan</v>
      </c>
    </row>
    <row r="14" spans="1:7" x14ac:dyDescent="0.25">
      <c r="A14" s="45">
        <v>611810</v>
      </c>
      <c r="B14" s="45" t="s">
        <v>430</v>
      </c>
      <c r="C14" s="45" t="s">
        <v>431</v>
      </c>
      <c r="D14" s="3">
        <v>990678</v>
      </c>
      <c r="E14" s="3" t="s">
        <v>432</v>
      </c>
      <c r="F14" s="189" t="str">
        <f t="shared" si="0"/>
        <v>Brad</v>
      </c>
      <c r="G14" s="233" t="str">
        <f t="shared" si="1"/>
        <v>Pitt</v>
      </c>
    </row>
    <row r="15" spans="1:7" x14ac:dyDescent="0.25">
      <c r="A15" s="45">
        <v>612235</v>
      </c>
      <c r="B15" s="45" t="s">
        <v>433</v>
      </c>
      <c r="C15" s="45" t="s">
        <v>434</v>
      </c>
      <c r="D15" s="3">
        <v>795574</v>
      </c>
      <c r="E15" s="3" t="s">
        <v>435</v>
      </c>
      <c r="F15" s="189" t="str">
        <f t="shared" si="0"/>
        <v>Tony</v>
      </c>
      <c r="G15" s="233" t="str">
        <f t="shared" si="1"/>
        <v>Stark</v>
      </c>
    </row>
    <row r="16" spans="1:7" x14ac:dyDescent="0.25">
      <c r="A16" s="45">
        <v>795574</v>
      </c>
      <c r="B16" s="45" t="s">
        <v>436</v>
      </c>
      <c r="C16" s="45" t="s">
        <v>437</v>
      </c>
      <c r="D16" s="3">
        <v>392128</v>
      </c>
      <c r="E16" s="3" t="s">
        <v>438</v>
      </c>
      <c r="F16" s="189" t="str">
        <f t="shared" si="0"/>
        <v>Bret</v>
      </c>
      <c r="G16" s="233" t="str">
        <f t="shared" si="1"/>
        <v>Favre</v>
      </c>
    </row>
    <row r="17" spans="1:7" ht="15.75" thickBot="1" x14ac:dyDescent="0.3">
      <c r="A17" s="45">
        <v>830385</v>
      </c>
      <c r="B17" s="45" t="s">
        <v>439</v>
      </c>
      <c r="C17" s="45" t="s">
        <v>440</v>
      </c>
      <c r="D17" s="3">
        <v>352711</v>
      </c>
      <c r="E17" s="3" t="s">
        <v>441</v>
      </c>
      <c r="F17" s="189" t="str">
        <f t="shared" si="0"/>
        <v>John</v>
      </c>
      <c r="G17" s="233" t="str">
        <f t="shared" si="1"/>
        <v>Smith</v>
      </c>
    </row>
    <row r="18" spans="1:7" x14ac:dyDescent="0.25">
      <c r="A18" s="46">
        <v>990678</v>
      </c>
      <c r="B18" s="47" t="s">
        <v>444</v>
      </c>
      <c r="C18" s="47" t="s">
        <v>445</v>
      </c>
      <c r="D18" s="48">
        <v>110608</v>
      </c>
      <c r="E18" s="48" t="s">
        <v>446</v>
      </c>
      <c r="F18" s="189" t="str">
        <f t="shared" si="0"/>
        <v>John</v>
      </c>
      <c r="G18" s="233" t="str">
        <f t="shared" si="1"/>
        <v>Doe</v>
      </c>
    </row>
  </sheetData>
  <mergeCells count="1"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ASG 1</vt:lpstr>
      <vt:lpstr>ASG 2</vt:lpstr>
      <vt:lpstr>ASG 3</vt:lpstr>
      <vt:lpstr>ASG 4</vt:lpstr>
      <vt:lpstr>ASG 5</vt:lpstr>
      <vt:lpstr>ASG 6</vt:lpstr>
      <vt:lpstr>ASG 7</vt:lpstr>
      <vt:lpstr>ASG 8</vt:lpstr>
      <vt:lpstr>ASG 9</vt:lpstr>
      <vt:lpstr>ASG 10</vt:lpstr>
      <vt:lpstr>ASG 11</vt:lpstr>
      <vt:lpstr>ASG 12</vt:lpstr>
      <vt:lpstr>ASG 13</vt:lpstr>
      <vt:lpstr>ASG 14</vt:lpstr>
      <vt:lpstr>ASG 15</vt:lpstr>
      <vt:lpstr>ASG 16</vt:lpstr>
      <vt:lpstr>ASG 17</vt:lpstr>
      <vt:lpstr>ASG 18</vt:lpstr>
      <vt:lpstr>ASG 19</vt:lpstr>
      <vt:lpstr>ASG21</vt:lpstr>
      <vt:lpstr>ASG 22</vt:lpstr>
      <vt:lpstr>ASG 23</vt:lpstr>
      <vt:lpstr>ASG 24</vt:lpstr>
      <vt:lpstr>ASG 26</vt:lpstr>
      <vt:lpstr>ASG 27</vt:lpstr>
      <vt:lpstr>ASG 28</vt:lpstr>
      <vt:lpstr>ASG 29</vt:lpstr>
      <vt:lpstr>ASG 30</vt:lpstr>
      <vt:lpstr>ASG 31</vt:lpstr>
      <vt:lpstr>ASG 32</vt:lpstr>
      <vt:lpstr>ASG33</vt:lpstr>
      <vt:lpstr>ASG 34</vt:lpstr>
      <vt:lpstr>ASG 36</vt:lpstr>
      <vt:lpstr>ASG 38</vt:lpstr>
      <vt:lpstr>ASG 42</vt:lpstr>
      <vt:lpstr>ASG 39</vt:lpstr>
      <vt:lpstr>ASG 40</vt:lpstr>
      <vt:lpstr>ASG 41</vt:lpstr>
      <vt:lpstr>ASG 43</vt:lpstr>
      <vt:lpstr>ASG 44</vt:lpstr>
      <vt:lpstr>ASG 45</vt:lpstr>
      <vt:lpstr>ASG 46</vt:lpstr>
      <vt:lpstr>ASG 47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Aspose Pty Ltd</dc:creator>
  <cp:lastModifiedBy>Atomgeo HR</cp:lastModifiedBy>
  <dcterms:created xsi:type="dcterms:W3CDTF">2024-12-25T15:41:47Z</dcterms:created>
  <dcterms:modified xsi:type="dcterms:W3CDTF">2024-12-27T12:22:53Z</dcterms:modified>
</cp:coreProperties>
</file>