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Job Search/04_Portfolio/FMVA/"/>
    </mc:Choice>
  </mc:AlternateContent>
  <xr:revisionPtr revIDLastSave="0" documentId="13_ncr:1_{FF46B80E-1288-F445-9E58-E4612323E598}" xr6:coauthVersionLast="47" xr6:coauthVersionMax="47" xr10:uidLastSave="{00000000-0000-0000-0000-000000000000}"/>
  <bookViews>
    <workbookView xWindow="140" yWindow="820" windowWidth="14480" windowHeight="17000" activeTab="1" xr2:uid="{BF3D2BD5-3565-4B0B-8265-0C0C1F0B094C}"/>
  </bookViews>
  <sheets>
    <sheet name="Cover" sheetId="12" r:id="rId1"/>
    <sheet name="Model" sheetId="4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43412.7003240741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_xlnm.Print_Area" localSheetId="1">Model!$E$6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D28" i="4"/>
  <c r="N22" i="12" s="1"/>
  <c r="N16" i="12"/>
  <c r="N21" i="12"/>
  <c r="E27" i="4"/>
  <c r="F27" i="4"/>
  <c r="G27" i="4"/>
  <c r="H27" i="4"/>
  <c r="I27" i="4"/>
  <c r="J27" i="4"/>
  <c r="K27" i="4"/>
  <c r="E28" i="4"/>
  <c r="F28" i="4"/>
  <c r="G28" i="4"/>
  <c r="H28" i="4"/>
  <c r="I28" i="4"/>
  <c r="J28" i="4"/>
  <c r="K28" i="4"/>
  <c r="D27" i="4"/>
  <c r="E193" i="4"/>
  <c r="F193" i="4"/>
  <c r="D193" i="4"/>
  <c r="F184" i="4"/>
  <c r="G181" i="4" s="1"/>
  <c r="E184" i="4"/>
  <c r="F181" i="4" s="1"/>
  <c r="D184" i="4"/>
  <c r="E181" i="4" s="1"/>
  <c r="F178" i="4"/>
  <c r="F183" i="4" s="1"/>
  <c r="E178" i="4"/>
  <c r="E109" i="4" s="1"/>
  <c r="D178" i="4"/>
  <c r="D183" i="4" s="1"/>
  <c r="G175" i="4"/>
  <c r="H173" i="4" s="1"/>
  <c r="H175" i="4"/>
  <c r="I175" i="4"/>
  <c r="J175" i="4"/>
  <c r="K173" i="4" s="1"/>
  <c r="K175" i="4"/>
  <c r="G167" i="4"/>
  <c r="H167" i="4"/>
  <c r="I167" i="4"/>
  <c r="J167" i="4"/>
  <c r="K167" i="4"/>
  <c r="G165" i="4"/>
  <c r="H163" i="4" s="1"/>
  <c r="H165" i="4"/>
  <c r="I163" i="4" s="1"/>
  <c r="I165" i="4"/>
  <c r="J165" i="4"/>
  <c r="K163" i="4" s="1"/>
  <c r="K165" i="4"/>
  <c r="E105" i="4"/>
  <c r="E202" i="4" s="1"/>
  <c r="F105" i="4"/>
  <c r="F202" i="4" s="1"/>
  <c r="D105" i="4"/>
  <c r="D202" i="4" s="1"/>
  <c r="F131" i="4"/>
  <c r="G131" i="4"/>
  <c r="H131" i="4"/>
  <c r="I131" i="4"/>
  <c r="J131" i="4"/>
  <c r="K131" i="4"/>
  <c r="D144" i="4"/>
  <c r="H79" i="4"/>
  <c r="I79" i="4"/>
  <c r="J79" i="4"/>
  <c r="K79" i="4"/>
  <c r="G79" i="4"/>
  <c r="H75" i="4"/>
  <c r="H46" i="4" s="1"/>
  <c r="I75" i="4"/>
  <c r="I46" i="4" s="1"/>
  <c r="J75" i="4"/>
  <c r="J46" i="4" s="1"/>
  <c r="K75" i="4"/>
  <c r="K46" i="4" s="1"/>
  <c r="G75" i="4"/>
  <c r="G46" i="4" s="1"/>
  <c r="E95" i="4"/>
  <c r="F95" i="4"/>
  <c r="D95" i="4"/>
  <c r="E11" i="4"/>
  <c r="F11" i="4"/>
  <c r="E12" i="4"/>
  <c r="F12" i="4"/>
  <c r="E13" i="4"/>
  <c r="F13" i="4"/>
  <c r="E14" i="4"/>
  <c r="E148" i="4" s="1"/>
  <c r="F14" i="4"/>
  <c r="F148" i="4" s="1"/>
  <c r="D12" i="4"/>
  <c r="D13" i="4"/>
  <c r="D14" i="4"/>
  <c r="D148" i="4" s="1"/>
  <c r="D11" i="4"/>
  <c r="G147" i="4"/>
  <c r="F152" i="4"/>
  <c r="E152" i="4"/>
  <c r="D152" i="4"/>
  <c r="D154" i="4"/>
  <c r="E151" i="4" s="1"/>
  <c r="K148" i="4"/>
  <c r="J148" i="4"/>
  <c r="I148" i="4"/>
  <c r="H148" i="4"/>
  <c r="G148" i="4"/>
  <c r="K147" i="4"/>
  <c r="J147" i="4"/>
  <c r="I147" i="4"/>
  <c r="H147" i="4"/>
  <c r="K130" i="4"/>
  <c r="J130" i="4"/>
  <c r="I130" i="4"/>
  <c r="H130" i="4"/>
  <c r="G130" i="4"/>
  <c r="K129" i="4"/>
  <c r="J129" i="4"/>
  <c r="I129" i="4"/>
  <c r="H129" i="4"/>
  <c r="G129" i="4"/>
  <c r="K128" i="4"/>
  <c r="J128" i="4"/>
  <c r="I128" i="4"/>
  <c r="H128" i="4"/>
  <c r="G128" i="4"/>
  <c r="F126" i="4"/>
  <c r="E126" i="4"/>
  <c r="F125" i="4"/>
  <c r="E125" i="4"/>
  <c r="F124" i="4"/>
  <c r="F146" i="4" s="1"/>
  <c r="E124" i="4"/>
  <c r="K123" i="4"/>
  <c r="J123" i="4"/>
  <c r="I123" i="4"/>
  <c r="H123" i="4"/>
  <c r="G123" i="4"/>
  <c r="F123" i="4"/>
  <c r="E123" i="4"/>
  <c r="D126" i="4"/>
  <c r="D125" i="4"/>
  <c r="D124" i="4"/>
  <c r="D146" i="4" s="1"/>
  <c r="D123" i="4"/>
  <c r="E15" i="4"/>
  <c r="E167" i="4" s="1"/>
  <c r="F15" i="4"/>
  <c r="F167" i="4" s="1"/>
  <c r="D15" i="4"/>
  <c r="D167" i="4" s="1"/>
  <c r="H41" i="4"/>
  <c r="I41" i="4"/>
  <c r="J41" i="4"/>
  <c r="K41" i="4"/>
  <c r="G41" i="4"/>
  <c r="G36" i="4"/>
  <c r="G40" i="4" s="1"/>
  <c r="E19" i="4"/>
  <c r="E147" i="4" s="1"/>
  <c r="F19" i="4"/>
  <c r="F147" i="4" s="1"/>
  <c r="D19" i="4"/>
  <c r="D147" i="4" s="1"/>
  <c r="E24" i="4"/>
  <c r="E165" i="4" s="1"/>
  <c r="F24" i="4"/>
  <c r="F165" i="4" s="1"/>
  <c r="E25" i="4"/>
  <c r="E175" i="4" s="1"/>
  <c r="F25" i="4"/>
  <c r="F175" i="4" s="1"/>
  <c r="D25" i="4"/>
  <c r="D175" i="4" s="1"/>
  <c r="D24" i="4"/>
  <c r="D165" i="4" s="1"/>
  <c r="E20" i="4"/>
  <c r="E128" i="4" s="1"/>
  <c r="F20" i="4"/>
  <c r="F128" i="4" s="1"/>
  <c r="E21" i="4"/>
  <c r="E129" i="4" s="1"/>
  <c r="F21" i="4"/>
  <c r="F129" i="4" s="1"/>
  <c r="E22" i="4"/>
  <c r="E130" i="4" s="1"/>
  <c r="F22" i="4"/>
  <c r="F130" i="4" s="1"/>
  <c r="E23" i="4"/>
  <c r="E131" i="4" s="1"/>
  <c r="E137" i="4" s="1"/>
  <c r="F23" i="4"/>
  <c r="D23" i="4"/>
  <c r="D131" i="4" s="1"/>
  <c r="D22" i="4"/>
  <c r="D130" i="4" s="1"/>
  <c r="D21" i="4"/>
  <c r="D129" i="4" s="1"/>
  <c r="D20" i="4"/>
  <c r="D128" i="4" s="1"/>
  <c r="E10" i="4"/>
  <c r="F10" i="4"/>
  <c r="D10" i="4"/>
  <c r="F9" i="4"/>
  <c r="E9" i="4"/>
  <c r="E81" i="4"/>
  <c r="F81" i="4"/>
  <c r="D81" i="4"/>
  <c r="E73" i="4"/>
  <c r="E76" i="4" s="1"/>
  <c r="E83" i="4" s="1"/>
  <c r="F73" i="4"/>
  <c r="F76" i="4" s="1"/>
  <c r="D73" i="4"/>
  <c r="D76" i="4" s="1"/>
  <c r="D83" i="4" s="1"/>
  <c r="E38" i="4"/>
  <c r="E44" i="4" s="1"/>
  <c r="E47" i="4" s="1"/>
  <c r="E50" i="4" s="1"/>
  <c r="E26" i="4" s="1"/>
  <c r="F38" i="4"/>
  <c r="F44" i="4" s="1"/>
  <c r="F47" i="4" s="1"/>
  <c r="F50" i="4" s="1"/>
  <c r="F177" i="4" s="1"/>
  <c r="F182" i="4" s="1"/>
  <c r="D38" i="4"/>
  <c r="D44" i="4" s="1"/>
  <c r="D47" i="4" s="1"/>
  <c r="D50" i="4" s="1"/>
  <c r="F137" i="4" l="1"/>
  <c r="F109" i="4"/>
  <c r="E169" i="4"/>
  <c r="E170" i="4" s="1"/>
  <c r="D177" i="4"/>
  <c r="D182" i="4" s="1"/>
  <c r="D181" i="4" s="1"/>
  <c r="H174" i="4"/>
  <c r="H108" i="4" s="1"/>
  <c r="E183" i="4"/>
  <c r="E173" i="4"/>
  <c r="E174" i="4" s="1"/>
  <c r="E108" i="4" s="1"/>
  <c r="D173" i="4"/>
  <c r="K174" i="4"/>
  <c r="K108" i="4" s="1"/>
  <c r="D109" i="4"/>
  <c r="D111" i="4" s="1"/>
  <c r="D203" i="4" s="1"/>
  <c r="G42" i="4"/>
  <c r="G124" i="4"/>
  <c r="G146" i="4" s="1"/>
  <c r="G154" i="4" s="1"/>
  <c r="E134" i="4"/>
  <c r="G43" i="4"/>
  <c r="G95" i="4" s="1"/>
  <c r="G38" i="4"/>
  <c r="G194" i="4" s="1"/>
  <c r="F134" i="4"/>
  <c r="G193" i="4"/>
  <c r="E135" i="4"/>
  <c r="D137" i="4"/>
  <c r="E143" i="4" s="1"/>
  <c r="E100" i="4" s="1"/>
  <c r="H36" i="4"/>
  <c r="I36" i="4" s="1"/>
  <c r="I38" i="4" s="1"/>
  <c r="D94" i="4"/>
  <c r="D101" i="4" s="1"/>
  <c r="D201" i="4" s="1"/>
  <c r="D136" i="4"/>
  <c r="D135" i="4"/>
  <c r="F26" i="4"/>
  <c r="F94" i="4"/>
  <c r="I164" i="4"/>
  <c r="I110" i="4" s="1"/>
  <c r="F143" i="4"/>
  <c r="F100" i="4" s="1"/>
  <c r="E163" i="4"/>
  <c r="E164" i="4" s="1"/>
  <c r="E110" i="4" s="1"/>
  <c r="D169" i="4"/>
  <c r="D170" i="4" s="1"/>
  <c r="D163" i="4"/>
  <c r="F173" i="4"/>
  <c r="F174" i="4" s="1"/>
  <c r="F108" i="4" s="1"/>
  <c r="F163" i="4"/>
  <c r="F164" i="4" s="1"/>
  <c r="F110" i="4" s="1"/>
  <c r="F169" i="4"/>
  <c r="F170" i="4" s="1"/>
  <c r="G173" i="4"/>
  <c r="G174" i="4" s="1"/>
  <c r="G108" i="4" s="1"/>
  <c r="G163" i="4"/>
  <c r="G164" i="4" s="1"/>
  <c r="G110" i="4" s="1"/>
  <c r="D134" i="4"/>
  <c r="J173" i="4"/>
  <c r="J174" i="4" s="1"/>
  <c r="J108" i="4" s="1"/>
  <c r="D197" i="4"/>
  <c r="D198" i="4" s="1"/>
  <c r="D26" i="4"/>
  <c r="D16" i="4"/>
  <c r="K169" i="4"/>
  <c r="K170" i="4" s="1"/>
  <c r="I173" i="4"/>
  <c r="I174" i="4" s="1"/>
  <c r="I108" i="4" s="1"/>
  <c r="D194" i="4"/>
  <c r="D195" i="4" s="1"/>
  <c r="F194" i="4"/>
  <c r="F195" i="4" s="1"/>
  <c r="F197" i="4"/>
  <c r="F198" i="4" s="1"/>
  <c r="E136" i="4"/>
  <c r="F153" i="4"/>
  <c r="E94" i="4"/>
  <c r="J169" i="4"/>
  <c r="J170" i="4" s="1"/>
  <c r="E177" i="4"/>
  <c r="E182" i="4" s="1"/>
  <c r="E194" i="4"/>
  <c r="E195" i="4" s="1"/>
  <c r="F136" i="4"/>
  <c r="F135" i="4"/>
  <c r="D153" i="4"/>
  <c r="D151" i="4" s="1"/>
  <c r="I169" i="4"/>
  <c r="I170" i="4" s="1"/>
  <c r="H40" i="4"/>
  <c r="E146" i="4"/>
  <c r="E153" i="4" s="1"/>
  <c r="E154" i="4" s="1"/>
  <c r="F151" i="4" s="1"/>
  <c r="E197" i="4"/>
  <c r="E198" i="4" s="1"/>
  <c r="F83" i="4"/>
  <c r="J163" i="4"/>
  <c r="J164" i="4" s="1"/>
  <c r="J110" i="4" s="1"/>
  <c r="H169" i="4"/>
  <c r="H170" i="4" s="1"/>
  <c r="H164" i="4"/>
  <c r="H110" i="4" s="1"/>
  <c r="K164" i="4"/>
  <c r="K110" i="4" s="1"/>
  <c r="G169" i="4"/>
  <c r="G170" i="4" s="1"/>
  <c r="E16" i="4"/>
  <c r="F16" i="4"/>
  <c r="H42" i="4" l="1"/>
  <c r="I193" i="4"/>
  <c r="H38" i="4"/>
  <c r="I124" i="4"/>
  <c r="I134" i="4" s="1"/>
  <c r="J36" i="4"/>
  <c r="J42" i="4" s="1"/>
  <c r="F154" i="4"/>
  <c r="G151" i="4" s="1"/>
  <c r="G195" i="4"/>
  <c r="D204" i="4"/>
  <c r="G66" i="4"/>
  <c r="H151" i="4"/>
  <c r="F140" i="4"/>
  <c r="F97" i="4" s="1"/>
  <c r="I40" i="4"/>
  <c r="I194" i="4" s="1"/>
  <c r="I195" i="4" s="1"/>
  <c r="H43" i="4"/>
  <c r="H95" i="4" s="1"/>
  <c r="D114" i="4"/>
  <c r="D115" i="4" s="1"/>
  <c r="E113" i="4" s="1"/>
  <c r="G134" i="4"/>
  <c r="E142" i="4"/>
  <c r="E99" i="4" s="1"/>
  <c r="H193" i="4"/>
  <c r="H37" i="4"/>
  <c r="H125" i="4" s="1"/>
  <c r="H135" i="4" s="1"/>
  <c r="I37" i="4"/>
  <c r="I125" i="4" s="1"/>
  <c r="I135" i="4" s="1"/>
  <c r="G44" i="4"/>
  <c r="G47" i="4" s="1"/>
  <c r="G49" i="4" s="1"/>
  <c r="G50" i="4" s="1"/>
  <c r="G197" i="4" s="1"/>
  <c r="G198" i="4" s="1"/>
  <c r="I42" i="4"/>
  <c r="H124" i="4"/>
  <c r="H146" i="4" s="1"/>
  <c r="I43" i="4"/>
  <c r="I95" i="4" s="1"/>
  <c r="E140" i="4"/>
  <c r="E97" i="4" s="1"/>
  <c r="F111" i="4"/>
  <c r="F203" i="4" s="1"/>
  <c r="G153" i="4"/>
  <c r="G152" i="4" s="1"/>
  <c r="G104" i="4" s="1"/>
  <c r="G105" i="4" s="1"/>
  <c r="G202" i="4" s="1"/>
  <c r="F141" i="4"/>
  <c r="F98" i="4" s="1"/>
  <c r="E141" i="4"/>
  <c r="E111" i="4"/>
  <c r="E203" i="4" s="1"/>
  <c r="G37" i="4"/>
  <c r="G125" i="4" s="1"/>
  <c r="I146" i="4"/>
  <c r="J124" i="4"/>
  <c r="J43" i="4"/>
  <c r="J95" i="4" s="1"/>
  <c r="J193" i="4"/>
  <c r="J40" i="4"/>
  <c r="I136" i="4"/>
  <c r="F142" i="4"/>
  <c r="F99" i="4" s="1"/>
  <c r="H194" i="4"/>
  <c r="K36" i="4"/>
  <c r="G126" i="4" l="1"/>
  <c r="G137" i="4" s="1"/>
  <c r="J38" i="4"/>
  <c r="H136" i="4"/>
  <c r="I44" i="4"/>
  <c r="I47" i="4" s="1"/>
  <c r="I49" i="4" s="1"/>
  <c r="I126" i="4" s="1"/>
  <c r="I137" i="4" s="1"/>
  <c r="H134" i="4"/>
  <c r="H62" i="4" s="1"/>
  <c r="G94" i="4"/>
  <c r="G177" i="4"/>
  <c r="G182" i="4" s="1"/>
  <c r="F101" i="4"/>
  <c r="F201" i="4" s="1"/>
  <c r="F204" i="4" s="1"/>
  <c r="D61" i="4"/>
  <c r="H195" i="4"/>
  <c r="G52" i="4"/>
  <c r="G178" i="4" s="1"/>
  <c r="G109" i="4" s="1"/>
  <c r="G111" i="4" s="1"/>
  <c r="G203" i="4" s="1"/>
  <c r="G62" i="4"/>
  <c r="G140" i="4"/>
  <c r="G97" i="4" s="1"/>
  <c r="J44" i="4"/>
  <c r="J47" i="4" s="1"/>
  <c r="J49" i="4" s="1"/>
  <c r="J126" i="4" s="1"/>
  <c r="J137" i="4" s="1"/>
  <c r="H44" i="4"/>
  <c r="H47" i="4" s="1"/>
  <c r="H49" i="4" s="1"/>
  <c r="H126" i="4" s="1"/>
  <c r="H137" i="4" s="1"/>
  <c r="H72" i="4" s="1"/>
  <c r="G136" i="4"/>
  <c r="H142" i="4" s="1"/>
  <c r="H99" i="4" s="1"/>
  <c r="G135" i="4"/>
  <c r="E98" i="4"/>
  <c r="E101" i="4" s="1"/>
  <c r="E201" i="4" s="1"/>
  <c r="E204" i="4" s="1"/>
  <c r="E144" i="4"/>
  <c r="J194" i="4"/>
  <c r="J195" i="4" s="1"/>
  <c r="H63" i="4"/>
  <c r="I141" i="4"/>
  <c r="I98" i="4" s="1"/>
  <c r="K42" i="4"/>
  <c r="K38" i="4"/>
  <c r="K193" i="4"/>
  <c r="K40" i="4"/>
  <c r="K124" i="4"/>
  <c r="K43" i="4"/>
  <c r="K95" i="4" s="1"/>
  <c r="I62" i="4"/>
  <c r="I140" i="4"/>
  <c r="I97" i="4" s="1"/>
  <c r="F144" i="4"/>
  <c r="J134" i="4"/>
  <c r="J140" i="4" s="1"/>
  <c r="J97" i="4" s="1"/>
  <c r="J146" i="4"/>
  <c r="I142" i="4"/>
  <c r="I99" i="4" s="1"/>
  <c r="I71" i="4"/>
  <c r="I63" i="4"/>
  <c r="I154" i="4"/>
  <c r="I66" i="4" s="1"/>
  <c r="I153" i="4"/>
  <c r="H154" i="4"/>
  <c r="H66" i="4" s="1"/>
  <c r="H153" i="4"/>
  <c r="H71" i="4"/>
  <c r="J37" i="4"/>
  <c r="J125" i="4" s="1"/>
  <c r="I72" i="4"/>
  <c r="I50" i="4"/>
  <c r="D190" i="4"/>
  <c r="D159" i="4"/>
  <c r="D91" i="4"/>
  <c r="D121" i="4"/>
  <c r="D58" i="4"/>
  <c r="D34" i="4"/>
  <c r="H73" i="4" l="1"/>
  <c r="H76" i="4" s="1"/>
  <c r="H140" i="4"/>
  <c r="H97" i="4" s="1"/>
  <c r="G72" i="4"/>
  <c r="G143" i="4"/>
  <c r="G100" i="4" s="1"/>
  <c r="G183" i="4"/>
  <c r="G184" i="4" s="1"/>
  <c r="G80" i="4" s="1"/>
  <c r="F114" i="4"/>
  <c r="D64" i="4"/>
  <c r="D68" i="4" s="1"/>
  <c r="D85" i="4" s="1"/>
  <c r="H50" i="4"/>
  <c r="H177" i="4" s="1"/>
  <c r="H182" i="4" s="1"/>
  <c r="I143" i="4"/>
  <c r="I100" i="4" s="1"/>
  <c r="H143" i="4"/>
  <c r="H100" i="4" s="1"/>
  <c r="E114" i="4"/>
  <c r="E115" i="4" s="1"/>
  <c r="E61" i="4" s="1"/>
  <c r="E64" i="4" s="1"/>
  <c r="E68" i="4" s="1"/>
  <c r="E85" i="4" s="1"/>
  <c r="G63" i="4"/>
  <c r="G141" i="4"/>
  <c r="K194" i="4"/>
  <c r="K195" i="4" s="1"/>
  <c r="G71" i="4"/>
  <c r="G73" i="4" s="1"/>
  <c r="G76" i="4" s="1"/>
  <c r="G142" i="4"/>
  <c r="G99" i="4" s="1"/>
  <c r="H141" i="4"/>
  <c r="H98" i="4" s="1"/>
  <c r="J135" i="4"/>
  <c r="J136" i="4"/>
  <c r="K37" i="4"/>
  <c r="K125" i="4" s="1"/>
  <c r="J62" i="4"/>
  <c r="K134" i="4"/>
  <c r="K62" i="4" s="1"/>
  <c r="K146" i="4"/>
  <c r="K44" i="4"/>
  <c r="K47" i="4" s="1"/>
  <c r="K49" i="4" s="1"/>
  <c r="K126" i="4" s="1"/>
  <c r="K137" i="4" s="1"/>
  <c r="K72" i="4" s="1"/>
  <c r="I73" i="4"/>
  <c r="I76" i="4" s="1"/>
  <c r="J154" i="4"/>
  <c r="J66" i="4" s="1"/>
  <c r="J153" i="4"/>
  <c r="I177" i="4"/>
  <c r="I182" i="4" s="1"/>
  <c r="I197" i="4"/>
  <c r="I198" i="4" s="1"/>
  <c r="H197" i="4"/>
  <c r="H198" i="4" s="1"/>
  <c r="J143" i="4"/>
  <c r="J72" i="4"/>
  <c r="I94" i="4"/>
  <c r="I52" i="4"/>
  <c r="I178" i="4" s="1"/>
  <c r="J50" i="4"/>
  <c r="H52" i="4"/>
  <c r="H178" i="4" s="1"/>
  <c r="E190" i="4"/>
  <c r="G81" i="4" l="1"/>
  <c r="I144" i="4"/>
  <c r="H181" i="4"/>
  <c r="H94" i="4"/>
  <c r="H101" i="4" s="1"/>
  <c r="H201" i="4" s="1"/>
  <c r="F113" i="4"/>
  <c r="F115" i="4" s="1"/>
  <c r="F61" i="4" s="1"/>
  <c r="K143" i="4"/>
  <c r="K100" i="4" s="1"/>
  <c r="H144" i="4"/>
  <c r="G98" i="4"/>
  <c r="G101" i="4" s="1"/>
  <c r="G144" i="4"/>
  <c r="K50" i="4"/>
  <c r="K94" i="4" s="1"/>
  <c r="K136" i="4"/>
  <c r="K135" i="4"/>
  <c r="K63" i="4" s="1"/>
  <c r="J71" i="4"/>
  <c r="J73" i="4" s="1"/>
  <c r="J76" i="4" s="1"/>
  <c r="J142" i="4"/>
  <c r="J99" i="4" s="1"/>
  <c r="K140" i="4"/>
  <c r="K97" i="4" s="1"/>
  <c r="J63" i="4"/>
  <c r="J141" i="4"/>
  <c r="J98" i="4" s="1"/>
  <c r="K154" i="4"/>
  <c r="K66" i="4" s="1"/>
  <c r="K153" i="4"/>
  <c r="H109" i="4"/>
  <c r="H111" i="4" s="1"/>
  <c r="H203" i="4" s="1"/>
  <c r="H183" i="4"/>
  <c r="H184" i="4" s="1"/>
  <c r="H80" i="4" s="1"/>
  <c r="H81" i="4" s="1"/>
  <c r="H83" i="4" s="1"/>
  <c r="I101" i="4"/>
  <c r="J177" i="4"/>
  <c r="J182" i="4" s="1"/>
  <c r="J197" i="4"/>
  <c r="J198" i="4" s="1"/>
  <c r="I109" i="4"/>
  <c r="I111" i="4" s="1"/>
  <c r="I203" i="4" s="1"/>
  <c r="I183" i="4"/>
  <c r="J100" i="4"/>
  <c r="J94" i="4"/>
  <c r="J52" i="4"/>
  <c r="J178" i="4" s="1"/>
  <c r="E91" i="4"/>
  <c r="E159" i="4"/>
  <c r="E58" i="4"/>
  <c r="E121" i="4"/>
  <c r="F4" i="4"/>
  <c r="F190" i="4" s="1"/>
  <c r="E34" i="4"/>
  <c r="K177" i="4" l="1"/>
  <c r="K182" i="4" s="1"/>
  <c r="K197" i="4"/>
  <c r="K198" i="4" s="1"/>
  <c r="F64" i="4"/>
  <c r="F68" i="4" s="1"/>
  <c r="F85" i="4" s="1"/>
  <c r="G113" i="4"/>
  <c r="G83" i="4"/>
  <c r="K52" i="4"/>
  <c r="G114" i="4"/>
  <c r="G115" i="4" s="1"/>
  <c r="G201" i="4"/>
  <c r="G204" i="4" s="1"/>
  <c r="K141" i="4"/>
  <c r="K98" i="4" s="1"/>
  <c r="J101" i="4"/>
  <c r="J201" i="4" s="1"/>
  <c r="J144" i="4"/>
  <c r="I181" i="4"/>
  <c r="I184" i="4" s="1"/>
  <c r="J181" i="4" s="1"/>
  <c r="K142" i="4"/>
  <c r="K99" i="4" s="1"/>
  <c r="K71" i="4"/>
  <c r="K73" i="4" s="1"/>
  <c r="K76" i="4" s="1"/>
  <c r="J109" i="4"/>
  <c r="J111" i="4" s="1"/>
  <c r="J203" i="4" s="1"/>
  <c r="J183" i="4"/>
  <c r="I201" i="4"/>
  <c r="F91" i="4"/>
  <c r="F159" i="4"/>
  <c r="F58" i="4"/>
  <c r="F121" i="4"/>
  <c r="G4" i="4"/>
  <c r="G190" i="4" s="1"/>
  <c r="F34" i="4"/>
  <c r="K178" i="4" l="1"/>
  <c r="N20" i="12" a="1"/>
  <c r="N20" i="12" s="1"/>
  <c r="K101" i="4"/>
  <c r="K201" i="4" s="1"/>
  <c r="G61" i="4"/>
  <c r="H113" i="4"/>
  <c r="I80" i="4"/>
  <c r="K144" i="4"/>
  <c r="J184" i="4"/>
  <c r="J80" i="4" s="1"/>
  <c r="J81" i="4" s="1"/>
  <c r="J83" i="4" s="1"/>
  <c r="G91" i="4"/>
  <c r="G159" i="4"/>
  <c r="G58" i="4"/>
  <c r="G121" i="4"/>
  <c r="H4" i="4"/>
  <c r="H190" i="4" s="1"/>
  <c r="G34" i="4"/>
  <c r="I81" i="4" l="1"/>
  <c r="K109" i="4"/>
  <c r="K111" i="4" s="1"/>
  <c r="K203" i="4" s="1"/>
  <c r="K183" i="4"/>
  <c r="G64" i="4"/>
  <c r="G68" i="4" s="1"/>
  <c r="G85" i="4" s="1"/>
  <c r="K181" i="4"/>
  <c r="K184" i="4" s="1"/>
  <c r="K80" i="4" s="1"/>
  <c r="K81" i="4" s="1"/>
  <c r="K83" i="4" s="1"/>
  <c r="H91" i="4"/>
  <c r="H159" i="4"/>
  <c r="H58" i="4"/>
  <c r="H121" i="4"/>
  <c r="I4" i="4"/>
  <c r="I190" i="4" s="1"/>
  <c r="H34" i="4"/>
  <c r="I83" i="4" l="1"/>
  <c r="N18" i="12"/>
  <c r="N19" i="12"/>
  <c r="I91" i="4"/>
  <c r="I159" i="4"/>
  <c r="I58" i="4"/>
  <c r="I121" i="4"/>
  <c r="J4" i="4"/>
  <c r="J190" i="4" s="1"/>
  <c r="I34" i="4"/>
  <c r="J91" i="4" l="1"/>
  <c r="J159" i="4"/>
  <c r="J58" i="4"/>
  <c r="J121" i="4"/>
  <c r="K4" i="4"/>
  <c r="K190" i="4" s="1"/>
  <c r="J34" i="4"/>
  <c r="K159" i="4" l="1"/>
  <c r="K121" i="4"/>
  <c r="K91" i="4"/>
  <c r="K34" i="4"/>
  <c r="K58" i="4"/>
  <c r="J151" i="4" l="1"/>
  <c r="J152" i="4" s="1"/>
  <c r="J104" i="4" s="1"/>
  <c r="J105" i="4" s="1"/>
  <c r="K151" i="4"/>
  <c r="K152" i="4"/>
  <c r="K104" i="4" s="1"/>
  <c r="K105" i="4" s="1"/>
  <c r="H152" i="4"/>
  <c r="H104" i="4" s="1"/>
  <c r="H105" i="4" s="1"/>
  <c r="I151" i="4"/>
  <c r="I152" i="4"/>
  <c r="I104" i="4" s="1"/>
  <c r="I105" i="4" s="1"/>
  <c r="J202" i="4" l="1"/>
  <c r="J204" i="4" s="1"/>
  <c r="J114" i="4"/>
  <c r="H202" i="4"/>
  <c r="H204" i="4" s="1"/>
  <c r="H114" i="4"/>
  <c r="H115" i="4" s="1"/>
  <c r="I202" i="4"/>
  <c r="I204" i="4" s="1"/>
  <c r="I114" i="4"/>
  <c r="K202" i="4"/>
  <c r="K204" i="4" s="1"/>
  <c r="K114" i="4"/>
  <c r="I113" i="4" l="1"/>
  <c r="I115" i="4" s="1"/>
  <c r="H61" i="4"/>
  <c r="H64" i="4" l="1"/>
  <c r="H68" i="4" s="1"/>
  <c r="H85" i="4" s="1"/>
  <c r="J113" i="4"/>
  <c r="J115" i="4" s="1"/>
  <c r="I61" i="4"/>
  <c r="I64" i="4" s="1"/>
  <c r="I68" i="4" s="1"/>
  <c r="I85" i="4" s="1"/>
  <c r="K113" i="4" l="1"/>
  <c r="K115" i="4" s="1"/>
  <c r="K61" i="4" s="1"/>
  <c r="J61" i="4"/>
  <c r="J64" i="4" s="1"/>
  <c r="J68" i="4" s="1"/>
  <c r="J85" i="4" s="1"/>
  <c r="N17" i="12" l="1"/>
  <c r="K64" i="4"/>
  <c r="K68" i="4" s="1"/>
  <c r="K8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<sst xmlns="http://schemas.openxmlformats.org/spreadsheetml/2006/main" count="187" uniqueCount="123">
  <si>
    <t>Balance Sheet Check</t>
  </si>
  <si>
    <t>Assumptions &amp; Drivers</t>
  </si>
  <si>
    <t>Days in Period</t>
  </si>
  <si>
    <t>Income Statement</t>
  </si>
  <si>
    <t>Sales Growth</t>
  </si>
  <si>
    <t>Gross Margin</t>
  </si>
  <si>
    <t>Distribution Expense (Percent of Sales)</t>
  </si>
  <si>
    <t>Research Expense (Percent of Sales)</t>
  </si>
  <si>
    <t>Tax Rate (Percent of EBT)</t>
  </si>
  <si>
    <t>Balance Sheet</t>
  </si>
  <si>
    <t>Receivable Days (Sales Basis)</t>
  </si>
  <si>
    <t>Inventory Days (COGS Basis)</t>
  </si>
  <si>
    <t>Payable Days (COGS Basis)</t>
  </si>
  <si>
    <t>Income Tax Payable</t>
  </si>
  <si>
    <t>Long Term Debt</t>
  </si>
  <si>
    <t>Common Share Capital</t>
  </si>
  <si>
    <t xml:space="preserve">Dividend Payout Ratio </t>
  </si>
  <si>
    <t>Revenues</t>
  </si>
  <si>
    <t>Cost of Goods Sold</t>
  </si>
  <si>
    <t>Gross Profit</t>
  </si>
  <si>
    <t>Distribution Expenses</t>
  </si>
  <si>
    <t>Marketing and Administration</t>
  </si>
  <si>
    <t>Research and Development</t>
  </si>
  <si>
    <t>Depreciation</t>
  </si>
  <si>
    <t>EBIT (Operating Profit)</t>
  </si>
  <si>
    <t>Interest</t>
  </si>
  <si>
    <t>Taxes</t>
  </si>
  <si>
    <t>Net Income</t>
  </si>
  <si>
    <t>Common Dividends</t>
  </si>
  <si>
    <t>ASSETS</t>
  </si>
  <si>
    <t>Cash</t>
  </si>
  <si>
    <t>Trade and Other Receivables</t>
  </si>
  <si>
    <t>Inventories</t>
  </si>
  <si>
    <t>Total Current Assets</t>
  </si>
  <si>
    <t>Property Plant and Equipment</t>
  </si>
  <si>
    <t>TOTAL ASSETS</t>
  </si>
  <si>
    <t>Trade and Other Payables</t>
  </si>
  <si>
    <t>Income Taxes Payable</t>
  </si>
  <si>
    <t>Long-Term Debt</t>
  </si>
  <si>
    <t>Common Stock and Additional Paid-In Capital</t>
  </si>
  <si>
    <t>Retained Earnings</t>
  </si>
  <si>
    <t>Total Shareholders' Equity</t>
  </si>
  <si>
    <t>Cash Flow Statement</t>
  </si>
  <si>
    <t>Changes in Operating Assets and Liabilities:</t>
  </si>
  <si>
    <t/>
  </si>
  <si>
    <t>Acquisitions of Property and Equipment</t>
  </si>
  <si>
    <t>Cash Flows from Investing Activities</t>
  </si>
  <si>
    <t>Issuance of Common Stock</t>
  </si>
  <si>
    <t>Dividends (current year)</t>
  </si>
  <si>
    <t>Increase/(Decrease) in Long-Term Debt</t>
  </si>
  <si>
    <t>Cash Flows from Financing Activities</t>
  </si>
  <si>
    <t>Increase/(Decrease) in Cash and Equivalents</t>
  </si>
  <si>
    <t>Cash and Equivalents, Beginning of the Year</t>
  </si>
  <si>
    <t>Cash and Equivalents, End of the Year</t>
  </si>
  <si>
    <t>Beginning of Period</t>
  </si>
  <si>
    <t>Capital Expenditures/Additions (Disposals)</t>
  </si>
  <si>
    <t>Depreciation Expense</t>
  </si>
  <si>
    <t>Retained Earnings (RE)</t>
  </si>
  <si>
    <t>Dividends</t>
  </si>
  <si>
    <t>Long Term Debt (LTD)</t>
  </si>
  <si>
    <t>Additions (Repayments)</t>
  </si>
  <si>
    <t>Long Term Debt Interest</t>
  </si>
  <si>
    <t>Total Interest</t>
  </si>
  <si>
    <t>Charts &amp; Graphs</t>
  </si>
  <si>
    <t>Revenue</t>
  </si>
  <si>
    <t>EBITDA</t>
  </si>
  <si>
    <t>EBITDA Margin</t>
  </si>
  <si>
    <t>Net Income Margin</t>
  </si>
  <si>
    <t>Cash Flow</t>
  </si>
  <si>
    <t>Investing</t>
  </si>
  <si>
    <t>Financing</t>
  </si>
  <si>
    <t>Change in Cash</t>
  </si>
  <si>
    <t>Table of Contents</t>
  </si>
  <si>
    <t>Marketing &amp; Admin Expense (Fixed Cost)</t>
  </si>
  <si>
    <t>Inventory</t>
  </si>
  <si>
    <t>Cash from Working Capital Items</t>
  </si>
  <si>
    <t xml:space="preserve"> </t>
  </si>
  <si>
    <t>All figures in USD thousands unless stated</t>
  </si>
  <si>
    <t>Model Checks</t>
  </si>
  <si>
    <t>LIABILITIES</t>
  </si>
  <si>
    <t>Total Liabilities</t>
  </si>
  <si>
    <t>EQUITY</t>
  </si>
  <si>
    <t>Total Liabilities &amp; Equity</t>
  </si>
  <si>
    <t>3-Statement Modeling</t>
  </si>
  <si>
    <t>Model</t>
  </si>
  <si>
    <t>Depreciation (Percent of Sales)</t>
  </si>
  <si>
    <t>Property, Plant &amp; Equipment (PP&amp;E)</t>
  </si>
  <si>
    <t>Net PP&amp;E, End of Period</t>
  </si>
  <si>
    <t>RE, End of Period</t>
  </si>
  <si>
    <t>LTD, End of Period</t>
  </si>
  <si>
    <t>Total Current Liabilities</t>
  </si>
  <si>
    <t>Cash Flows from Operating Activities</t>
  </si>
  <si>
    <t>Investing Activities</t>
  </si>
  <si>
    <t>Financing Activities</t>
  </si>
  <si>
    <t>Capital Asset Turnover Ratio</t>
  </si>
  <si>
    <t>Earnings Before Taxes</t>
  </si>
  <si>
    <t>(Days)</t>
  </si>
  <si>
    <t>(x)</t>
  </si>
  <si>
    <t>Income Tax Payable (Percent of Taxes)</t>
  </si>
  <si>
    <t>Long-Term Debt Interest (Average Debt)</t>
  </si>
  <si>
    <t>Common Stock, End of Period</t>
  </si>
  <si>
    <t>Working Capital and PP&amp;E Schedule</t>
  </si>
  <si>
    <t>Capital Structure Schedules</t>
  </si>
  <si>
    <t>Operating</t>
  </si>
  <si>
    <t>Cash Changes from Working Capital</t>
  </si>
  <si>
    <t>Working Capital</t>
  </si>
  <si>
    <t>Long-Term Debt Interest Rate (Average Debt)</t>
  </si>
  <si>
    <t>Color Scheme</t>
  </si>
  <si>
    <t xml:space="preserve">Text in Blue </t>
  </si>
  <si>
    <t>Text in Black</t>
  </si>
  <si>
    <t>Calculated Fields</t>
  </si>
  <si>
    <t xml:space="preserve">Mannually Entered data </t>
  </si>
  <si>
    <t>***This is a 3 statement model for a case study.</t>
  </si>
  <si>
    <t>Liquidity Check</t>
  </si>
  <si>
    <t>Negative Retained Earning Check</t>
  </si>
  <si>
    <t>Negative Cash Balance Check</t>
  </si>
  <si>
    <t>Negative Equity Check</t>
  </si>
  <si>
    <t>Balanced Sheet Equation Check</t>
  </si>
  <si>
    <t>Dividends Check</t>
  </si>
  <si>
    <t>Current Ratio</t>
  </si>
  <si>
    <t>Interest Coverage Ratio</t>
  </si>
  <si>
    <t>Solvency Check</t>
  </si>
  <si>
    <t>*** This space is meant for the organization name and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</si>
</sst>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-* #,##0.00_-;\-* #,##0.00_-;_-* &quot;-&quot;??_-;_-@_-"/>
    <numFmt numFmtId="165" formatCode="_-* #,##0_-;\(#,##0\)_-;_-* &quot;-&quot;_-;_-@_-"/>
    <numFmt numFmtId="166" formatCode="0&quot;A&quot;"/>
    <numFmt numFmtId="167" formatCode="#,##0_);\(#,##0\);\-"/>
    <numFmt numFmtId="168" formatCode="0.0%"/>
    <numFmt numFmtId="169" formatCode="[Blue]#,##0;[Blue]\(#,##0\);\-"/>
    <numFmt numFmtId="170" formatCode="#,##0_);[Red]\(#,##0\);\-"/>
    <numFmt numFmtId="171" formatCode="_(#,##0_);\(#,##0\);_(&quot;–&quot;_);_(@_)"/>
    <numFmt numFmtId="172" formatCode="_(#,##0_)_%;\(#,##0\)_%;_(&quot;–&quot;_)_%;_(@_)_%"/>
    <numFmt numFmtId="173" formatCode="0&quot;F&quot;"/>
    <numFmt numFmtId="174" formatCode="[=1]&quot;Yes&quot;;[=0]&quot;No&quot;"/>
    <numFmt numFmtId="175" formatCode="_(#,##0.0%_);\(#,##0.0%\);_(&quot;–&quot;_);_(@_)"/>
    <numFmt numFmtId="176" formatCode="_(0.00\x_);\(0.00\x\);_(&quot;–&quot;_);_(@_)"/>
    <numFmt numFmtId="177" formatCode="&quot;Year &quot;0;&quot;Year &quot;\-0"/>
  </numFmts>
  <fonts count="46">
    <font>
      <sz val="10"/>
      <name val="Arial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name val="Bookman"/>
      <family val="1"/>
    </font>
    <font>
      <sz val="10"/>
      <name val="Bookman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271D2"/>
      <name val="Open Sans"/>
      <family val="2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0"/>
      <name val="Open Sans"/>
      <family val="2"/>
    </font>
    <font>
      <i/>
      <sz val="10"/>
      <color rgb="FF000000"/>
      <name val="Open Sans"/>
      <family val="2"/>
    </font>
    <font>
      <i/>
      <sz val="10"/>
      <name val="Open Sans"/>
      <family val="2"/>
    </font>
    <font>
      <sz val="10"/>
      <color rgb="FF0000FF"/>
      <name val="Open Sans"/>
      <family val="2"/>
    </font>
    <font>
      <b/>
      <sz val="10"/>
      <color rgb="FF0000FF"/>
      <name val="Open Sans"/>
      <family val="2"/>
    </font>
    <font>
      <sz val="12"/>
      <color rgb="FF000000"/>
      <name val="Open Sans"/>
      <family val="2"/>
    </font>
    <font>
      <b/>
      <sz val="14"/>
      <color rgb="FF3271D2"/>
      <name val="Open Sans"/>
      <family val="2"/>
    </font>
    <font>
      <i/>
      <sz val="9"/>
      <color rgb="FF000000"/>
      <name val="Open Sans"/>
      <family val="2"/>
    </font>
    <font>
      <sz val="8"/>
      <color theme="1"/>
      <name val="Open Sans"/>
      <family val="2"/>
    </font>
    <font>
      <sz val="11"/>
      <color rgb="FFFA621C"/>
      <name val="Open Sans"/>
      <family val="2"/>
    </font>
    <font>
      <b/>
      <sz val="10"/>
      <color rgb="FFFA621C"/>
      <name val="Open Sans"/>
      <family val="2"/>
    </font>
    <font>
      <sz val="12"/>
      <color rgb="FF002060"/>
      <name val="Open Sans"/>
      <family val="2"/>
    </font>
    <font>
      <u/>
      <sz val="11"/>
      <color rgb="FFFA621C"/>
      <name val="Open Sans"/>
      <family val="2"/>
    </font>
    <font>
      <i/>
      <sz val="8"/>
      <name val="Open Sans"/>
      <family val="2"/>
    </font>
    <font>
      <sz val="10"/>
      <color rgb="FFFA621C"/>
      <name val="Open Sans"/>
      <family val="2"/>
    </font>
    <font>
      <sz val="10"/>
      <name val="Arial"/>
      <family val="2"/>
    </font>
    <font>
      <b/>
      <sz val="10"/>
      <color rgb="FF000000"/>
      <name val="Open Sans"/>
    </font>
    <font>
      <sz val="11"/>
      <color theme="5"/>
      <name val="Open Sans"/>
      <family val="2"/>
    </font>
    <font>
      <sz val="10"/>
      <color theme="9" tint="0.79998168889431442"/>
      <name val="Open Sans"/>
      <family val="2"/>
    </font>
    <font>
      <sz val="11"/>
      <color theme="9" tint="0.79998168889431442"/>
      <name val="Open Sans"/>
      <family val="2"/>
    </font>
    <font>
      <b/>
      <sz val="14"/>
      <color theme="5"/>
      <name val="Open Sans"/>
      <family val="2"/>
    </font>
    <font>
      <b/>
      <sz val="20"/>
      <color theme="5"/>
      <name val="Open Sans"/>
      <family val="2"/>
    </font>
    <font>
      <b/>
      <sz val="12"/>
      <color theme="1"/>
      <name val="Open Sans"/>
      <family val="2"/>
    </font>
    <font>
      <b/>
      <sz val="14"/>
      <color theme="4"/>
      <name val="Open Sans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2"/>
      <color theme="5"/>
      <name val="Open Sans"/>
      <family val="2"/>
    </font>
    <font>
      <b/>
      <sz val="12"/>
      <color rgb="FF000000"/>
      <name val="Open Sans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0">
    <xf numFmtId="0" fontId="0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33" fillId="0" borderId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</cellStyleXfs>
  <cellXfs count="161">
    <xf numFmtId="0" fontId="0" fillId="0" borderId="0" xfId="0"/>
    <xf numFmtId="171" fontId="10" fillId="0" borderId="0" xfId="0" applyNumberFormat="1" applyFont="1"/>
    <xf numFmtId="0" fontId="9" fillId="0" borderId="0" xfId="0" applyFont="1" applyAlignment="1">
      <alignment horizontal="left" indent="1"/>
    </xf>
    <xf numFmtId="171" fontId="12" fillId="0" borderId="0" xfId="0" applyNumberFormat="1" applyFont="1"/>
    <xf numFmtId="0" fontId="11" fillId="0" borderId="0" xfId="0" applyFont="1" applyAlignment="1">
      <alignment horizontal="left"/>
    </xf>
    <xf numFmtId="0" fontId="3" fillId="0" borderId="0" xfId="5" applyFont="1"/>
    <xf numFmtId="0" fontId="3" fillId="0" borderId="8" xfId="5" applyFont="1" applyBorder="1"/>
    <xf numFmtId="0" fontId="3" fillId="0" borderId="9" xfId="5" applyFont="1" applyBorder="1"/>
    <xf numFmtId="0" fontId="13" fillId="0" borderId="0" xfId="5" applyFont="1" applyAlignment="1">
      <alignment horizontal="right"/>
    </xf>
    <xf numFmtId="0" fontId="3" fillId="0" borderId="0" xfId="5" applyFont="1" applyProtection="1">
      <protection locked="0"/>
    </xf>
    <xf numFmtId="0" fontId="8" fillId="0" borderId="0" xfId="5" applyFont="1"/>
    <xf numFmtId="0" fontId="13" fillId="0" borderId="1" xfId="5" applyFont="1" applyBorder="1" applyProtection="1">
      <protection locked="0"/>
    </xf>
    <xf numFmtId="0" fontId="16" fillId="0" borderId="0" xfId="4" applyFont="1" applyFill="1" applyBorder="1" applyProtection="1">
      <protection locked="0"/>
    </xf>
    <xf numFmtId="0" fontId="3" fillId="0" borderId="10" xfId="5" applyFont="1" applyBorder="1"/>
    <xf numFmtId="0" fontId="3" fillId="0" borderId="11" xfId="5" applyFont="1" applyBorder="1"/>
    <xf numFmtId="0" fontId="3" fillId="0" borderId="12" xfId="5" applyFont="1" applyBorder="1"/>
    <xf numFmtId="0" fontId="9" fillId="0" borderId="0" xfId="0" applyFont="1"/>
    <xf numFmtId="37" fontId="10" fillId="0" borderId="0" xfId="0" applyNumberFormat="1" applyFont="1"/>
    <xf numFmtId="37" fontId="14" fillId="0" borderId="0" xfId="0" applyNumberFormat="1" applyFont="1" applyAlignment="1">
      <alignment vertical="center"/>
    </xf>
    <xf numFmtId="0" fontId="18" fillId="0" borderId="0" xfId="0" applyFont="1"/>
    <xf numFmtId="167" fontId="9" fillId="0" borderId="0" xfId="0" applyNumberFormat="1" applyFont="1"/>
    <xf numFmtId="168" fontId="9" fillId="0" borderId="0" xfId="0" applyNumberFormat="1" applyFont="1"/>
    <xf numFmtId="0" fontId="9" fillId="0" borderId="0" xfId="0" applyFont="1" applyAlignment="1">
      <alignment horizontal="left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left" indent="1"/>
    </xf>
    <xf numFmtId="167" fontId="12" fillId="0" borderId="0" xfId="0" applyNumberFormat="1" applyFont="1"/>
    <xf numFmtId="167" fontId="10" fillId="0" borderId="0" xfId="0" applyNumberFormat="1" applyFont="1"/>
    <xf numFmtId="0" fontId="13" fillId="0" borderId="4" xfId="5" applyFont="1" applyBorder="1" applyAlignment="1" applyProtection="1">
      <alignment horizontal="left"/>
      <protection locked="0"/>
    </xf>
    <xf numFmtId="0" fontId="3" fillId="0" borderId="4" xfId="5" applyFont="1" applyBorder="1" applyAlignment="1">
      <alignment horizontal="centerContinuous"/>
    </xf>
    <xf numFmtId="0" fontId="13" fillId="0" borderId="4" xfId="5" applyFont="1" applyBorder="1" applyAlignment="1" applyProtection="1">
      <alignment horizontal="centerContinuous"/>
      <protection locked="0"/>
    </xf>
    <xf numFmtId="172" fontId="23" fillId="0" borderId="0" xfId="4" applyNumberFormat="1" applyFont="1" applyFill="1" applyBorder="1" applyAlignment="1" applyProtection="1">
      <alignment horizontal="left"/>
      <protection locked="0"/>
    </xf>
    <xf numFmtId="170" fontId="10" fillId="0" borderId="0" xfId="0" applyNumberFormat="1" applyFont="1"/>
    <xf numFmtId="170" fontId="11" fillId="0" borderId="0" xfId="0" applyNumberFormat="1" applyFont="1"/>
    <xf numFmtId="0" fontId="18" fillId="0" borderId="0" xfId="0" applyFont="1" applyAlignment="1">
      <alignment horizontal="left" indent="1"/>
    </xf>
    <xf numFmtId="171" fontId="10" fillId="0" borderId="0" xfId="0" applyNumberFormat="1" applyFont="1" applyAlignment="1">
      <alignment horizontal="right"/>
    </xf>
    <xf numFmtId="37" fontId="24" fillId="0" borderId="0" xfId="0" applyNumberFormat="1" applyFont="1" applyAlignment="1">
      <alignment vertical="center"/>
    </xf>
    <xf numFmtId="171" fontId="10" fillId="0" borderId="0" xfId="1" applyNumberFormat="1" applyFont="1" applyFill="1"/>
    <xf numFmtId="171" fontId="9" fillId="0" borderId="0" xfId="1" applyNumberFormat="1" applyFont="1" applyFill="1"/>
    <xf numFmtId="171" fontId="10" fillId="0" borderId="0" xfId="1" applyNumberFormat="1" applyFont="1" applyFill="1" applyBorder="1"/>
    <xf numFmtId="165" fontId="25" fillId="0" borderId="0" xfId="2" applyNumberFormat="1" applyFont="1" applyFill="1" applyAlignment="1" applyProtection="1">
      <alignment horizontal="left"/>
      <protection locked="0"/>
    </xf>
    <xf numFmtId="168" fontId="19" fillId="0" borderId="0" xfId="1" applyNumberFormat="1" applyFont="1" applyBorder="1"/>
    <xf numFmtId="0" fontId="9" fillId="0" borderId="13" xfId="0" applyFont="1" applyBorder="1"/>
    <xf numFmtId="167" fontId="9" fillId="0" borderId="13" xfId="0" applyNumberFormat="1" applyFont="1" applyBorder="1"/>
    <xf numFmtId="0" fontId="10" fillId="0" borderId="13" xfId="0" applyFont="1" applyBorder="1"/>
    <xf numFmtId="0" fontId="10" fillId="0" borderId="0" xfId="0" applyFont="1"/>
    <xf numFmtId="169" fontId="9" fillId="0" borderId="13" xfId="0" applyNumberFormat="1" applyFont="1" applyBorder="1" applyProtection="1">
      <protection locked="0"/>
    </xf>
    <xf numFmtId="167" fontId="21" fillId="0" borderId="13" xfId="0" applyNumberFormat="1" applyFont="1" applyBorder="1"/>
    <xf numFmtId="0" fontId="20" fillId="0" borderId="13" xfId="0" applyFont="1" applyBorder="1"/>
    <xf numFmtId="0" fontId="26" fillId="2" borderId="0" xfId="5" applyFont="1" applyFill="1"/>
    <xf numFmtId="0" fontId="2" fillId="0" borderId="0" xfId="5" applyFont="1"/>
    <xf numFmtId="0" fontId="2" fillId="0" borderId="0" xfId="5" applyFont="1" applyAlignment="1">
      <alignment horizontal="centerContinuous"/>
    </xf>
    <xf numFmtId="0" fontId="2" fillId="0" borderId="4" xfId="5" applyFont="1" applyBorder="1" applyAlignment="1">
      <alignment horizontal="centerContinuous"/>
    </xf>
    <xf numFmtId="0" fontId="28" fillId="0" borderId="0" xfId="3" applyFont="1" applyAlignment="1">
      <alignment horizontal="left"/>
    </xf>
    <xf numFmtId="0" fontId="17" fillId="0" borderId="0" xfId="3" applyFont="1"/>
    <xf numFmtId="0" fontId="29" fillId="0" borderId="0" xfId="4" applyFont="1" applyFill="1" applyBorder="1" applyProtection="1">
      <protection locked="0"/>
    </xf>
    <xf numFmtId="0" fontId="13" fillId="0" borderId="0" xfId="5" applyFont="1" applyProtection="1">
      <protection locked="0"/>
    </xf>
    <xf numFmtId="0" fontId="9" fillId="0" borderId="0" xfId="5" applyFont="1" applyAlignment="1">
      <alignment horizontal="left"/>
    </xf>
    <xf numFmtId="172" fontId="30" fillId="0" borderId="0" xfId="4" applyNumberFormat="1" applyFont="1" applyFill="1" applyBorder="1"/>
    <xf numFmtId="0" fontId="27" fillId="0" borderId="0" xfId="4" applyFont="1" applyFill="1" applyBorder="1"/>
    <xf numFmtId="0" fontId="17" fillId="0" borderId="0" xfId="4" applyFont="1" applyFill="1" applyBorder="1"/>
    <xf numFmtId="171" fontId="11" fillId="0" borderId="0" xfId="0" applyNumberFormat="1" applyFont="1"/>
    <xf numFmtId="171" fontId="22" fillId="0" borderId="0" xfId="0" applyNumberFormat="1" applyFont="1"/>
    <xf numFmtId="171" fontId="18" fillId="0" borderId="0" xfId="0" applyNumberFormat="1" applyFont="1"/>
    <xf numFmtId="166" fontId="11" fillId="0" borderId="0" xfId="0" applyNumberFormat="1" applyFont="1" applyAlignment="1">
      <alignment horizontal="right" vertical="center"/>
    </xf>
    <xf numFmtId="173" fontId="11" fillId="0" borderId="0" xfId="0" applyNumberFormat="1" applyFont="1" applyAlignment="1">
      <alignment horizontal="right" vertical="center"/>
    </xf>
    <xf numFmtId="171" fontId="21" fillId="0" borderId="0" xfId="0" applyNumberFormat="1" applyFont="1"/>
    <xf numFmtId="171" fontId="9" fillId="0" borderId="0" xfId="0" applyNumberFormat="1" applyFont="1"/>
    <xf numFmtId="171" fontId="10" fillId="0" borderId="13" xfId="0" applyNumberFormat="1" applyFont="1" applyBorder="1"/>
    <xf numFmtId="171" fontId="24" fillId="0" borderId="0" xfId="0" applyNumberFormat="1" applyFont="1" applyAlignment="1">
      <alignment vertical="center"/>
    </xf>
    <xf numFmtId="171" fontId="11" fillId="0" borderId="0" xfId="0" applyNumberFormat="1" applyFont="1" applyAlignment="1">
      <alignment horizontal="right" vertical="center"/>
    </xf>
    <xf numFmtId="171" fontId="21" fillId="0" borderId="0" xfId="0" applyNumberFormat="1" applyFont="1" applyAlignment="1">
      <alignment horizontal="right"/>
    </xf>
    <xf numFmtId="171" fontId="9" fillId="0" borderId="0" xfId="0" applyNumberFormat="1" applyFont="1" applyAlignment="1">
      <alignment horizontal="right"/>
    </xf>
    <xf numFmtId="171" fontId="9" fillId="0" borderId="13" xfId="0" applyNumberFormat="1" applyFont="1" applyBorder="1"/>
    <xf numFmtId="171" fontId="21" fillId="0" borderId="0" xfId="1" applyNumberFormat="1" applyFont="1" applyFill="1"/>
    <xf numFmtId="175" fontId="10" fillId="0" borderId="0" xfId="1" applyNumberFormat="1" applyFont="1"/>
    <xf numFmtId="175" fontId="12" fillId="0" borderId="0" xfId="1" applyNumberFormat="1" applyFont="1"/>
    <xf numFmtId="175" fontId="10" fillId="3" borderId="0" xfId="1" applyNumberFormat="1" applyFont="1" applyFill="1"/>
    <xf numFmtId="175" fontId="9" fillId="3" borderId="0" xfId="1" applyNumberFormat="1" applyFont="1" applyFill="1"/>
    <xf numFmtId="171" fontId="10" fillId="3" borderId="0" xfId="0" applyNumberFormat="1" applyFont="1" applyFill="1"/>
    <xf numFmtId="171" fontId="11" fillId="3" borderId="2" xfId="0" applyNumberFormat="1" applyFont="1" applyFill="1" applyBorder="1"/>
    <xf numFmtId="171" fontId="10" fillId="3" borderId="0" xfId="0" applyNumberFormat="1" applyFont="1" applyFill="1" applyAlignment="1">
      <alignment horizontal="right"/>
    </xf>
    <xf numFmtId="171" fontId="10" fillId="3" borderId="2" xfId="0" applyNumberFormat="1" applyFont="1" applyFill="1" applyBorder="1"/>
    <xf numFmtId="171" fontId="11" fillId="3" borderId="3" xfId="0" applyNumberFormat="1" applyFont="1" applyFill="1" applyBorder="1"/>
    <xf numFmtId="171" fontId="10" fillId="3" borderId="14" xfId="0" applyNumberFormat="1" applyFont="1" applyFill="1" applyBorder="1"/>
    <xf numFmtId="171" fontId="10" fillId="3" borderId="17" xfId="0" applyNumberFormat="1" applyFont="1" applyFill="1" applyBorder="1"/>
    <xf numFmtId="171" fontId="10" fillId="3" borderId="15" xfId="1" applyNumberFormat="1" applyFont="1" applyFill="1" applyBorder="1"/>
    <xf numFmtId="171" fontId="10" fillId="3" borderId="0" xfId="1" applyNumberFormat="1" applyFont="1" applyFill="1"/>
    <xf numFmtId="171" fontId="10" fillId="3" borderId="18" xfId="1" applyNumberFormat="1" applyFont="1" applyFill="1" applyBorder="1"/>
    <xf numFmtId="171" fontId="10" fillId="3" borderId="16" xfId="1" applyNumberFormat="1" applyFont="1" applyFill="1" applyBorder="1"/>
    <xf numFmtId="171" fontId="10" fillId="3" borderId="13" xfId="1" applyNumberFormat="1" applyFont="1" applyFill="1" applyBorder="1"/>
    <xf numFmtId="171" fontId="10" fillId="3" borderId="19" xfId="1" applyNumberFormat="1" applyFont="1" applyFill="1" applyBorder="1"/>
    <xf numFmtId="171" fontId="10" fillId="3" borderId="3" xfId="1" applyNumberFormat="1" applyFont="1" applyFill="1" applyBorder="1"/>
    <xf numFmtId="171" fontId="10" fillId="3" borderId="0" xfId="1" applyNumberFormat="1" applyFont="1" applyFill="1" applyBorder="1" applyAlignment="1">
      <alignment horizontal="right"/>
    </xf>
    <xf numFmtId="175" fontId="19" fillId="3" borderId="2" xfId="1" applyNumberFormat="1" applyFont="1" applyFill="1" applyBorder="1"/>
    <xf numFmtId="171" fontId="10" fillId="3" borderId="3" xfId="0" applyNumberFormat="1" applyFont="1" applyFill="1" applyBorder="1"/>
    <xf numFmtId="171" fontId="10" fillId="3" borderId="2" xfId="0" applyNumberFormat="1" applyFont="1" applyFill="1" applyBorder="1" applyAlignment="1">
      <alignment horizontal="right"/>
    </xf>
    <xf numFmtId="176" fontId="10" fillId="3" borderId="0" xfId="0" applyNumberFormat="1" applyFont="1" applyFill="1"/>
    <xf numFmtId="0" fontId="31" fillId="0" borderId="0" xfId="0" applyFont="1" applyAlignment="1">
      <alignment horizontal="center"/>
    </xf>
    <xf numFmtId="171" fontId="10" fillId="3" borderId="0" xfId="1" applyNumberFormat="1" applyFont="1" applyFill="1" applyBorder="1"/>
    <xf numFmtId="171" fontId="9" fillId="3" borderId="0" xfId="0" applyNumberFormat="1" applyFont="1" applyFill="1"/>
    <xf numFmtId="171" fontId="18" fillId="3" borderId="2" xfId="0" applyNumberFormat="1" applyFont="1" applyFill="1" applyBorder="1"/>
    <xf numFmtId="171" fontId="9" fillId="3" borderId="2" xfId="0" applyNumberFormat="1" applyFont="1" applyFill="1" applyBorder="1"/>
    <xf numFmtId="171" fontId="9" fillId="3" borderId="14" xfId="0" applyNumberFormat="1" applyFont="1" applyFill="1" applyBorder="1"/>
    <xf numFmtId="171" fontId="9" fillId="3" borderId="17" xfId="0" applyNumberFormat="1" applyFont="1" applyFill="1" applyBorder="1"/>
    <xf numFmtId="171" fontId="9" fillId="3" borderId="16" xfId="0" applyNumberFormat="1" applyFont="1" applyFill="1" applyBorder="1"/>
    <xf numFmtId="171" fontId="9" fillId="3" borderId="13" xfId="0" applyNumberFormat="1" applyFont="1" applyFill="1" applyBorder="1"/>
    <xf numFmtId="171" fontId="9" fillId="3" borderId="19" xfId="0" applyNumberFormat="1" applyFont="1" applyFill="1" applyBorder="1"/>
    <xf numFmtId="171" fontId="10" fillId="3" borderId="14" xfId="0" applyNumberFormat="1" applyFont="1" applyFill="1" applyBorder="1" applyAlignment="1">
      <alignment horizontal="right" vertical="center"/>
    </xf>
    <xf numFmtId="171" fontId="10" fillId="3" borderId="2" xfId="0" applyNumberFormat="1" applyFont="1" applyFill="1" applyBorder="1" applyAlignment="1">
      <alignment horizontal="right" vertical="center"/>
    </xf>
    <xf numFmtId="171" fontId="10" fillId="3" borderId="17" xfId="0" applyNumberFormat="1" applyFont="1" applyFill="1" applyBorder="1" applyAlignment="1">
      <alignment horizontal="right" vertical="center"/>
    </xf>
    <xf numFmtId="176" fontId="10" fillId="3" borderId="15" xfId="0" applyNumberFormat="1" applyFont="1" applyFill="1" applyBorder="1" applyAlignment="1">
      <alignment horizontal="right" vertical="center"/>
    </xf>
    <xf numFmtId="176" fontId="10" fillId="3" borderId="0" xfId="0" applyNumberFormat="1" applyFont="1" applyFill="1" applyAlignment="1">
      <alignment horizontal="right" vertical="center"/>
    </xf>
    <xf numFmtId="176" fontId="10" fillId="3" borderId="18" xfId="0" applyNumberFormat="1" applyFont="1" applyFill="1" applyBorder="1" applyAlignment="1">
      <alignment horizontal="right" vertical="center"/>
    </xf>
    <xf numFmtId="175" fontId="10" fillId="3" borderId="16" xfId="0" applyNumberFormat="1" applyFont="1" applyFill="1" applyBorder="1" applyAlignment="1">
      <alignment horizontal="right" vertical="center"/>
    </xf>
    <xf numFmtId="175" fontId="10" fillId="3" borderId="13" xfId="0" applyNumberFormat="1" applyFont="1" applyFill="1" applyBorder="1" applyAlignment="1">
      <alignment horizontal="right" vertical="center"/>
    </xf>
    <xf numFmtId="175" fontId="10" fillId="3" borderId="19" xfId="0" applyNumberFormat="1" applyFont="1" applyFill="1" applyBorder="1" applyAlignment="1">
      <alignment horizontal="right" vertical="center"/>
    </xf>
    <xf numFmtId="0" fontId="32" fillId="0" borderId="0" xfId="0" applyFont="1"/>
    <xf numFmtId="175" fontId="9" fillId="3" borderId="20" xfId="0" applyNumberFormat="1" applyFont="1" applyFill="1" applyBorder="1"/>
    <xf numFmtId="175" fontId="9" fillId="3" borderId="21" xfId="0" applyNumberFormat="1" applyFont="1" applyFill="1" applyBorder="1"/>
    <xf numFmtId="175" fontId="9" fillId="0" borderId="0" xfId="0" applyNumberFormat="1" applyFont="1"/>
    <xf numFmtId="175" fontId="9" fillId="0" borderId="22" xfId="1" applyNumberFormat="1" applyFont="1" applyFill="1" applyBorder="1"/>
    <xf numFmtId="171" fontId="11" fillId="3" borderId="23" xfId="0" applyNumberFormat="1" applyFont="1" applyFill="1" applyBorder="1"/>
    <xf numFmtId="37" fontId="1" fillId="0" borderId="0" xfId="0" applyNumberFormat="1" applyFont="1" applyAlignment="1">
      <alignment vertical="center"/>
    </xf>
    <xf numFmtId="37" fontId="1" fillId="0" borderId="0" xfId="0" applyNumberFormat="1" applyFont="1"/>
    <xf numFmtId="171" fontId="12" fillId="0" borderId="0" xfId="7" applyNumberFormat="1" applyFont="1"/>
    <xf numFmtId="171" fontId="12" fillId="0" borderId="0" xfId="7" applyNumberFormat="1" applyFont="1" applyAlignment="1">
      <alignment horizontal="right"/>
    </xf>
    <xf numFmtId="175" fontId="12" fillId="0" borderId="0" xfId="8" applyNumberFormat="1" applyFont="1"/>
    <xf numFmtId="167" fontId="12" fillId="0" borderId="0" xfId="7" applyNumberFormat="1" applyFont="1"/>
    <xf numFmtId="0" fontId="33" fillId="0" borderId="0" xfId="7"/>
    <xf numFmtId="176" fontId="12" fillId="0" borderId="0" xfId="7" applyNumberFormat="1" applyFont="1"/>
    <xf numFmtId="175" fontId="10" fillId="3" borderId="0" xfId="1" applyNumberFormat="1" applyFont="1" applyFill="1" applyAlignment="1">
      <alignment horizontal="right"/>
    </xf>
    <xf numFmtId="171" fontId="12" fillId="0" borderId="0" xfId="8" applyNumberFormat="1" applyFont="1" applyFill="1"/>
    <xf numFmtId="171" fontId="12" fillId="0" borderId="0" xfId="8" applyNumberFormat="1" applyFont="1" applyFill="1" applyBorder="1"/>
    <xf numFmtId="171" fontId="34" fillId="3" borderId="2" xfId="0" applyNumberFormat="1" applyFont="1" applyFill="1" applyBorder="1"/>
    <xf numFmtId="37" fontId="38" fillId="5" borderId="0" xfId="0" applyNumberFormat="1" applyFont="1" applyFill="1" applyAlignment="1">
      <alignment horizontal="centerContinuous" vertical="distributed"/>
    </xf>
    <xf numFmtId="37" fontId="38" fillId="5" borderId="0" xfId="0" applyNumberFormat="1" applyFont="1" applyFill="1" applyAlignment="1">
      <alignment horizontal="centerContinuous" vertical="center"/>
    </xf>
    <xf numFmtId="37" fontId="38" fillId="5" borderId="0" xfId="0" applyNumberFormat="1" applyFont="1" applyFill="1" applyAlignment="1">
      <alignment vertical="center"/>
    </xf>
    <xf numFmtId="171" fontId="38" fillId="5" borderId="0" xfId="0" applyNumberFormat="1" applyFont="1" applyFill="1" applyAlignment="1">
      <alignment vertical="center"/>
    </xf>
    <xf numFmtId="0" fontId="3" fillId="4" borderId="5" xfId="5" applyFont="1" applyFill="1" applyBorder="1"/>
    <xf numFmtId="0" fontId="3" fillId="4" borderId="6" xfId="5" applyFont="1" applyFill="1" applyBorder="1"/>
    <xf numFmtId="0" fontId="3" fillId="4" borderId="7" xfId="5" applyFont="1" applyFill="1" applyBorder="1"/>
    <xf numFmtId="0" fontId="3" fillId="4" borderId="8" xfId="5" applyFont="1" applyFill="1" applyBorder="1"/>
    <xf numFmtId="0" fontId="3" fillId="4" borderId="0" xfId="5" applyFont="1" applyFill="1"/>
    <xf numFmtId="0" fontId="3" fillId="4" borderId="9" xfId="5" applyFont="1" applyFill="1" applyBorder="1"/>
    <xf numFmtId="0" fontId="26" fillId="4" borderId="0" xfId="5" applyFont="1" applyFill="1"/>
    <xf numFmtId="0" fontId="36" fillId="6" borderId="0" xfId="5" applyFont="1" applyFill="1"/>
    <xf numFmtId="172" fontId="37" fillId="6" borderId="0" xfId="5" applyNumberFormat="1" applyFont="1" applyFill="1"/>
    <xf numFmtId="0" fontId="39" fillId="0" borderId="0" xfId="5" applyFont="1" applyProtection="1">
      <protection locked="0"/>
    </xf>
    <xf numFmtId="0" fontId="35" fillId="0" borderId="0" xfId="5" applyFont="1"/>
    <xf numFmtId="0" fontId="40" fillId="6" borderId="0" xfId="5" applyFont="1" applyFill="1"/>
    <xf numFmtId="0" fontId="1" fillId="6" borderId="0" xfId="5" applyFont="1" applyFill="1"/>
    <xf numFmtId="0" fontId="41" fillId="0" borderId="0" xfId="5" applyFont="1" applyProtection="1">
      <protection locked="0"/>
    </xf>
    <xf numFmtId="0" fontId="42" fillId="0" borderId="0" xfId="0" applyFont="1"/>
    <xf numFmtId="0" fontId="43" fillId="0" borderId="0" xfId="0" applyFont="1"/>
    <xf numFmtId="176" fontId="10" fillId="3" borderId="0" xfId="9" applyNumberFormat="1" applyFont="1" applyFill="1"/>
    <xf numFmtId="172" fontId="44" fillId="0" borderId="0" xfId="6" applyNumberFormat="1" applyFont="1" applyFill="1" applyBorder="1" applyProtection="1">
      <protection locked="0"/>
    </xf>
    <xf numFmtId="174" fontId="45" fillId="0" borderId="0" xfId="4" applyNumberFormat="1" applyFont="1" applyFill="1" applyBorder="1" applyAlignment="1" applyProtection="1">
      <alignment horizontal="center"/>
      <protection locked="0"/>
    </xf>
    <xf numFmtId="177" fontId="11" fillId="0" borderId="24" xfId="0" applyNumberFormat="1" applyFont="1" applyBorder="1" applyAlignment="1">
      <alignment horizontal="right" vertical="center"/>
    </xf>
    <xf numFmtId="177" fontId="11" fillId="0" borderId="25" xfId="0" applyNumberFormat="1" applyFont="1" applyBorder="1" applyAlignment="1">
      <alignment horizontal="right" vertical="center"/>
    </xf>
    <xf numFmtId="177" fontId="11" fillId="0" borderId="26" xfId="0" applyNumberFormat="1" applyFont="1" applyBorder="1" applyAlignment="1">
      <alignment horizontal="right" vertical="center"/>
    </xf>
  </cellXfs>
  <cellStyles count="10">
    <cellStyle name="Comma" xfId="9" builtinId="3"/>
    <cellStyle name="Comma 2" xfId="2" xr:uid="{7B55658A-63F6-4A23-9179-88B5E6431BBC}"/>
    <cellStyle name="Hyperlink 2" xfId="6" xr:uid="{AABB877A-0240-4858-99C1-AC835270F35B}"/>
    <cellStyle name="Hyperlink 2 2" xfId="4" xr:uid="{C47D507C-18CD-474D-ACA9-329B8E602D73}"/>
    <cellStyle name="Normal" xfId="0" builtinId="0"/>
    <cellStyle name="Normal 2" xfId="7" xr:uid="{B0D05742-222A-8A42-9BA2-7DF8638415F4}"/>
    <cellStyle name="Normal 2 2" xfId="3" xr:uid="{F2F78BBF-65EF-46DA-BA07-F729A84321DF}"/>
    <cellStyle name="Normal 2 2 2" xfId="5" xr:uid="{4BFF3117-528E-4B94-8479-787A42AC9ED0}"/>
    <cellStyle name="Percent" xfId="1" builtinId="5"/>
    <cellStyle name="Percent 2" xfId="8" xr:uid="{6A4CB239-36E8-904F-9C25-D711CEB6AEEB}"/>
  </cellStyles>
  <dxfs count="3">
    <dxf>
      <font>
        <b/>
        <i val="0"/>
        <strike val="0"/>
        <color theme="0"/>
      </font>
      <fill>
        <patternFill>
          <bgColor rgb="FFFA621C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53635"/>
      <color rgb="FF9C1713"/>
      <color rgb="FFF3AEEC"/>
      <color rgb="FF0000FF"/>
      <color rgb="FF002060"/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Model!$B$193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Model!$D$193:$K$193</c:f>
              <c:numCache>
                <c:formatCode>_(#,##0_);\(#,##0\);_("–"_);_(@_)</c:formatCode>
                <c:ptCount val="8"/>
                <c:pt idx="0">
                  <c:v>81422</c:v>
                </c:pt>
                <c:pt idx="1">
                  <c:v>86698</c:v>
                </c:pt>
                <c:pt idx="2">
                  <c:v>93085.92</c:v>
                </c:pt>
                <c:pt idx="3">
                  <c:v>98671.075200000007</c:v>
                </c:pt>
                <c:pt idx="4">
                  <c:v>104591.33971200002</c:v>
                </c:pt>
                <c:pt idx="5">
                  <c:v>110866.82009472002</c:v>
                </c:pt>
                <c:pt idx="6">
                  <c:v>117518.82930040323</c:v>
                </c:pt>
                <c:pt idx="7">
                  <c:v>124569.95905842743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F-4B23-8B22-28049960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Model!$B$195</c:f>
              <c:strCache>
                <c:ptCount val="1"/>
                <c:pt idx="0">
                  <c:v>EBITDA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Model!$D$195:$K$195</c:f>
              <c:numCache>
                <c:formatCode>_(#,##0.0%_);\(#,##0.0%\);_("–"_);_(@_)</c:formatCode>
                <c:ptCount val="8"/>
                <c:pt idx="0">
                  <c:v>0.14917344206725455</c:v>
                </c:pt>
                <c:pt idx="1">
                  <c:v>0.16172230039908647</c:v>
                </c:pt>
                <c:pt idx="2">
                  <c:v>0.15496643788878062</c:v>
                </c:pt>
                <c:pt idx="3">
                  <c:v>0.12705168120434149</c:v>
                </c:pt>
                <c:pt idx="4">
                  <c:v>0.13317819226887545</c:v>
                </c:pt>
                <c:pt idx="5">
                  <c:v>0.13919225490213538</c:v>
                </c:pt>
                <c:pt idx="6">
                  <c:v>0.14509598968344864</c:v>
                </c:pt>
                <c:pt idx="7">
                  <c:v>0.15089209016752558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2F-4B23-8B22-28049960A2FB}"/>
            </c:ext>
          </c:extLst>
        </c:ser>
        <c:ser>
          <c:idx val="2"/>
          <c:order val="2"/>
          <c:tx>
            <c:strRef>
              <c:f>Model!$B$198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34925" cap="rnd">
              <a:solidFill>
                <a:schemeClr val="accent2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Model!$D$198:$K$198</c:f>
              <c:numCache>
                <c:formatCode>_(#,##0.0%_);\(#,##0.0%\);_("–"_);_(@_)</c:formatCode>
                <c:ptCount val="8"/>
                <c:pt idx="0">
                  <c:v>6.3680577730834423E-2</c:v>
                </c:pt>
                <c:pt idx="1">
                  <c:v>8.7072366144547747E-2</c:v>
                </c:pt>
                <c:pt idx="2">
                  <c:v>9.3550054143526767E-2</c:v>
                </c:pt>
                <c:pt idx="3">
                  <c:v>5.3340820479880653E-2</c:v>
                </c:pt>
                <c:pt idx="4">
                  <c:v>5.8376285189006789E-2</c:v>
                </c:pt>
                <c:pt idx="5">
                  <c:v>6.3290758243564546E-2</c:v>
                </c:pt>
                <c:pt idx="6">
                  <c:v>6.8088117129423281E-2</c:v>
                </c:pt>
                <c:pt idx="7">
                  <c:v>7.2772504957842654E-2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2F-4B23-8B22-28049960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_(#,##0.0%_);\(#,##0.0%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&quot;Year &quot;0;&quot;Year &quot;\-0" sourceLinked="1"/>
        <c:majorTickMark val="none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96957697009349"/>
          <c:y val="3.9464976978077458E-2"/>
          <c:w val="0.57356598051489671"/>
          <c:h val="6.78378896961460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Model!$B$202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Model!$D$202:$K$202</c:f>
              <c:numCache>
                <c:formatCode>_(#,##0_);\(#,##0\);_("–"_);_(@_)</c:formatCode>
                <c:ptCount val="8"/>
                <c:pt idx="0">
                  <c:v>-3004.9999999999973</c:v>
                </c:pt>
                <c:pt idx="1">
                  <c:v>-3911.0000000000018</c:v>
                </c:pt>
                <c:pt idx="2">
                  <c:v>-3710.8353600000046</c:v>
                </c:pt>
                <c:pt idx="3">
                  <c:v>-5199.197982870588</c:v>
                </c:pt>
                <c:pt idx="4">
                  <c:v>-4739.9262853722357</c:v>
                </c:pt>
                <c:pt idx="5">
                  <c:v>-5024.3218624945748</c:v>
                </c:pt>
                <c:pt idx="6">
                  <c:v>-5325.7811742442464</c:v>
                </c:pt>
                <c:pt idx="7">
                  <c:v>-5645.3280446989002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3-4C69-A957-E408F2543534}"/>
            </c:ext>
          </c:extLst>
        </c:ser>
        <c:ser>
          <c:idx val="3"/>
          <c:order val="1"/>
          <c:tx>
            <c:strRef>
              <c:f>Model!$B$203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Model!$D$203:$K$203</c:f>
              <c:numCache>
                <c:formatCode>_(#,##0_);\(#,##0\);_("–"_);_(@_)</c:formatCode>
                <c:ptCount val="8"/>
                <c:pt idx="0">
                  <c:v>-4312</c:v>
                </c:pt>
                <c:pt idx="1">
                  <c:v>-4209</c:v>
                </c:pt>
                <c:pt idx="2">
                  <c:v>-2930.9750848000026</c:v>
                </c:pt>
                <c:pt idx="3">
                  <c:v>6315.7627238399973</c:v>
                </c:pt>
                <c:pt idx="4">
                  <c:v>-4273.9577127296025</c:v>
                </c:pt>
                <c:pt idx="5">
                  <c:v>-4911.7915754933811</c:v>
                </c:pt>
                <c:pt idx="6">
                  <c:v>-5601.145070022988</c:v>
                </c:pt>
                <c:pt idx="7">
                  <c:v>-6345.6875742243665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3-4C69-A957-E408F2543534}"/>
            </c:ext>
          </c:extLst>
        </c:ser>
        <c:ser>
          <c:idx val="0"/>
          <c:order val="2"/>
          <c:tx>
            <c:strRef>
              <c:f>Model!$B$201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Model!$D$4:$K$4</c:f>
              <c:numCache>
                <c:formatCode>"Year "0;"Year "\-0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cat>
          <c:val>
            <c:numRef>
              <c:f>Model!$D$201:$K$201</c:f>
              <c:numCache>
                <c:formatCode>_(#,##0_);\(#,##0\);_("–"_);_(@_)</c:formatCode>
                <c:ptCount val="8"/>
                <c:pt idx="0">
                  <c:v>6935</c:v>
                </c:pt>
                <c:pt idx="1">
                  <c:v>8749.0000000000018</c:v>
                </c:pt>
                <c:pt idx="2">
                  <c:v>10882.593892712328</c:v>
                </c:pt>
                <c:pt idx="3">
                  <c:v>7176.0263615719496</c:v>
                </c:pt>
                <c:pt idx="4">
                  <c:v>8795.4462174970613</c:v>
                </c:pt>
                <c:pt idx="5">
                  <c:v>9870.9087705468883</c:v>
                </c:pt>
                <c:pt idx="6">
                  <c:v>11029.944736779709</c:v>
                </c:pt>
                <c:pt idx="7">
                  <c:v>12278.407840986491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3-4C69-A957-E408F254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Model!$B$204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>
              <a:solidFill>
                <a:schemeClr val="accent2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Model!$D$204:$K$204</c:f>
              <c:numCache>
                <c:formatCode>_(#,##0_);\(#,##0\);_("–"_);_(@_)</c:formatCode>
                <c:ptCount val="8"/>
                <c:pt idx="0">
                  <c:v>-381.99999999999727</c:v>
                </c:pt>
                <c:pt idx="1">
                  <c:v>629</c:v>
                </c:pt>
                <c:pt idx="2">
                  <c:v>4240.7834479123212</c:v>
                </c:pt>
                <c:pt idx="3">
                  <c:v>8292.5911025413589</c:v>
                </c:pt>
                <c:pt idx="4">
                  <c:v>-218.43778060477689</c:v>
                </c:pt>
                <c:pt idx="5">
                  <c:v>-65.204667441067613</c:v>
                </c:pt>
                <c:pt idx="6">
                  <c:v>103.01849251247495</c:v>
                </c:pt>
                <c:pt idx="7">
                  <c:v>287.39222206322393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3-4C69-A957-E408F254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&quot;Year &quot;0;&quot;Year &quot;\-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888295580353773"/>
          <c:y val="2.4908895056296714E-2"/>
          <c:w val="0.76719898000905817"/>
          <c:h val="7.1874864764133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56109</xdr:colOff>
      <xdr:row>207</xdr:row>
      <xdr:rowOff>85090</xdr:rowOff>
    </xdr:from>
    <xdr:to>
      <xdr:col>4</xdr:col>
      <xdr:colOff>1006230</xdr:colOff>
      <xdr:row>223</xdr:row>
      <xdr:rowOff>117230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B28CF-1B4B-4CA8-B004-C1B87A3A2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996462</xdr:colOff>
      <xdr:row>207</xdr:row>
      <xdr:rowOff>96405</xdr:rowOff>
    </xdr:from>
    <xdr:to>
      <xdr:col>11</xdr:col>
      <xdr:colOff>46181</xdr:colOff>
      <xdr:row>222</xdr:row>
      <xdr:rowOff>146539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7A477-4381-40FC-AC5E-E170794AC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C4F-2A6B-4F83-B5C8-4664A70FDCDD}">
  <sheetPr>
    <pageSetUpPr fitToPage="1"/>
  </sheetPr>
  <dimension ref="A1:W40"/>
  <sheetViews>
    <sheetView showGridLines="0" topLeftCell="A7" zoomScale="94" zoomScaleNormal="100" zoomScaleSheetLayoutView="85" workbookViewId="0">
      <selection activeCell="N43" sqref="N43"/>
    </sheetView>
  </sheetViews>
  <sheetFormatPr baseColWidth="10" defaultColWidth="9.6640625" defaultRowHeight="19.5" customHeight="1"/>
  <cols>
    <col min="1" max="1" width="5" style="5" customWidth="1"/>
    <col min="2" max="2" width="5.1640625" style="5" customWidth="1"/>
    <col min="3" max="3" width="19.6640625" style="5" customWidth="1"/>
    <col min="4" max="7" width="11.33203125" style="5" customWidth="1"/>
    <col min="8" max="8" width="19.6640625" style="5" customWidth="1"/>
    <col min="9" max="10" width="11.33203125" style="5" customWidth="1"/>
    <col min="11" max="11" width="15" style="5" customWidth="1"/>
    <col min="12" max="12" width="11.33203125" style="5" customWidth="1"/>
    <col min="13" max="13" width="18.33203125" style="5" customWidth="1"/>
    <col min="14" max="14" width="24" style="5" customWidth="1"/>
    <col min="15" max="15" width="6.33203125" style="5" customWidth="1"/>
    <col min="16" max="16" width="11.6640625" style="5" customWidth="1"/>
    <col min="17" max="16384" width="9.6640625" style="5"/>
  </cols>
  <sheetData>
    <row r="1" spans="1:15" ht="19.5" customHeight="1" thickBot="1">
      <c r="A1" s="49"/>
    </row>
    <row r="2" spans="1:15" ht="19.5" customHeight="1" thickTop="1">
      <c r="B2" s="139"/>
      <c r="C2" s="140" t="s">
        <v>122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1"/>
    </row>
    <row r="3" spans="1:15" ht="19.5" customHeight="1"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1:15" ht="19.5" customHeight="1"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4"/>
    </row>
    <row r="5" spans="1:15" ht="19.5" customHeight="1"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4"/>
    </row>
    <row r="6" spans="1:15" ht="19.5" customHeight="1">
      <c r="B6" s="142"/>
      <c r="C6" s="143"/>
      <c r="D6" s="143"/>
      <c r="E6" s="143"/>
      <c r="F6" s="143"/>
      <c r="G6" s="143"/>
      <c r="H6" s="145"/>
      <c r="I6" s="143"/>
      <c r="J6" s="143"/>
      <c r="K6" s="143"/>
      <c r="L6" s="143"/>
      <c r="M6" s="143"/>
      <c r="N6" s="143"/>
      <c r="O6" s="144"/>
    </row>
    <row r="7" spans="1:15" ht="19.5" customHeight="1"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4"/>
    </row>
    <row r="8" spans="1:15" ht="19.5" customHeight="1"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4"/>
    </row>
    <row r="9" spans="1:15" ht="19.5" customHeight="1"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</row>
    <row r="10" spans="1:15" ht="19.5" customHeight="1">
      <c r="B10" s="6"/>
      <c r="O10" s="7"/>
    </row>
    <row r="11" spans="1:15" ht="28.5" customHeight="1">
      <c r="B11" s="6"/>
      <c r="C11" s="148" t="s">
        <v>83</v>
      </c>
      <c r="D11" s="149"/>
      <c r="E11" s="149"/>
      <c r="N11" s="8"/>
      <c r="O11" s="7"/>
    </row>
    <row r="12" spans="1:15" ht="19.5" customHeight="1">
      <c r="B12" s="6"/>
      <c r="C12" s="9"/>
      <c r="L12" s="10"/>
      <c r="O12" s="7"/>
    </row>
    <row r="13" spans="1:15" ht="19.5" customHeight="1">
      <c r="B13" s="6"/>
      <c r="O13" s="7"/>
    </row>
    <row r="14" spans="1:15" ht="19.5" customHeight="1">
      <c r="B14" s="6"/>
      <c r="C14" s="11" t="s">
        <v>72</v>
      </c>
      <c r="D14" s="50"/>
      <c r="E14" s="50"/>
      <c r="F14" s="50"/>
      <c r="G14" s="50"/>
      <c r="H14" s="50"/>
      <c r="J14" s="51"/>
      <c r="K14" s="28" t="s">
        <v>78</v>
      </c>
      <c r="L14" s="52"/>
      <c r="M14" s="29"/>
      <c r="N14" s="30"/>
      <c r="O14" s="7"/>
    </row>
    <row r="15" spans="1:15" ht="19.5" customHeight="1">
      <c r="B15" s="6"/>
      <c r="D15" s="50"/>
      <c r="E15" s="50"/>
      <c r="F15" s="50"/>
      <c r="G15" s="50"/>
      <c r="H15" s="50"/>
      <c r="J15" s="50"/>
      <c r="K15" s="50"/>
      <c r="L15" s="50"/>
      <c r="M15" s="50"/>
      <c r="N15" s="50"/>
      <c r="O15" s="7"/>
    </row>
    <row r="16" spans="1:15" ht="19.5" customHeight="1">
      <c r="B16" s="6"/>
      <c r="C16" s="156" t="s">
        <v>84</v>
      </c>
      <c r="D16" s="50"/>
      <c r="E16" s="50"/>
      <c r="F16" s="50"/>
      <c r="G16" s="50"/>
      <c r="H16" s="50"/>
      <c r="K16" s="31" t="s">
        <v>117</v>
      </c>
      <c r="M16" s="31"/>
      <c r="N16" s="157" t="str">
        <f>IF(SUM(Model!D85:K85)=0,"OK"," Warning : Balance Sheet Unbalanced")</f>
        <v>OK</v>
      </c>
      <c r="O16" s="7"/>
    </row>
    <row r="17" spans="2:23" ht="19.5" customHeight="1">
      <c r="B17" s="6"/>
      <c r="C17"/>
      <c r="D17" s="50"/>
      <c r="E17" s="50"/>
      <c r="F17" s="50"/>
      <c r="G17" s="50"/>
      <c r="H17" s="50"/>
      <c r="K17" s="31" t="s">
        <v>115</v>
      </c>
      <c r="M17" s="31"/>
      <c r="N17" s="157" t="str">
        <f>IF(MIN(Model!D61:K61)&lt;0, "Warning:Negative Cash","OK")</f>
        <v>OK</v>
      </c>
      <c r="O17" s="7"/>
    </row>
    <row r="18" spans="2:23" ht="19.5" customHeight="1">
      <c r="B18" s="6"/>
      <c r="C18"/>
      <c r="D18" s="50"/>
      <c r="E18" s="50"/>
      <c r="F18" s="50"/>
      <c r="G18" s="50"/>
      <c r="H18" s="50"/>
      <c r="K18" s="31" t="s">
        <v>116</v>
      </c>
      <c r="M18" s="31"/>
      <c r="N18" s="157" t="str">
        <f>IF(MIN(Model!D81:J81)&lt;0, "WARNING: Negative Equity!", "OK")</f>
        <v>OK</v>
      </c>
      <c r="O18" s="7"/>
    </row>
    <row r="19" spans="2:23" ht="19.5" customHeight="1">
      <c r="B19" s="6"/>
      <c r="C19" s="54"/>
      <c r="D19" s="50"/>
      <c r="E19" s="50"/>
      <c r="F19" s="50"/>
      <c r="G19" s="50"/>
      <c r="H19" s="50"/>
      <c r="K19" s="31" t="s">
        <v>114</v>
      </c>
      <c r="M19" s="31"/>
      <c r="N19" s="157" t="str">
        <f>IF(MIN(Model!D80:K80)&lt;0, "WARNING: Negative Retained Earnings!", "OK")</f>
        <v>OK</v>
      </c>
      <c r="O19" s="7"/>
    </row>
    <row r="20" spans="2:23" ht="19.5" customHeight="1">
      <c r="B20" s="6"/>
      <c r="C20" s="11" t="s">
        <v>107</v>
      </c>
      <c r="D20" s="50"/>
      <c r="E20" s="50"/>
      <c r="F20" s="50"/>
      <c r="G20" s="50"/>
      <c r="H20" s="50"/>
      <c r="I20" s="31"/>
      <c r="K20" s="31" t="s">
        <v>118</v>
      </c>
      <c r="M20" s="31"/>
      <c r="N20" s="157" t="str" cm="1">
        <f t="array" ref="N20">IF(MIN(Model!D50:K50-Model!D52:K52)&gt;=0, "OK", "WARNING: Dividends Paid exceed Net Income!")</f>
        <v>OK</v>
      </c>
      <c r="O20" s="7"/>
    </row>
    <row r="21" spans="2:23" ht="19.5" customHeight="1">
      <c r="B21" s="6"/>
      <c r="C21" s="153" t="s">
        <v>108</v>
      </c>
      <c r="D21" s="153" t="s">
        <v>111</v>
      </c>
      <c r="E21" s="152"/>
      <c r="F21" s="56"/>
      <c r="G21" s="50"/>
      <c r="H21" s="50"/>
      <c r="I21" s="31"/>
      <c r="K21" s="31" t="s">
        <v>113</v>
      </c>
      <c r="M21" s="31"/>
      <c r="N21" s="157" t="str">
        <f>IF(MIN(Model!D27:K27)&lt;1,"Warning : Liquidity Issues ","OK")</f>
        <v>OK</v>
      </c>
      <c r="O21" s="7"/>
    </row>
    <row r="22" spans="2:23" ht="19.5" customHeight="1">
      <c r="B22" s="6"/>
      <c r="C22" s="154" t="s">
        <v>109</v>
      </c>
      <c r="D22" s="154" t="s">
        <v>110</v>
      </c>
      <c r="G22" s="50"/>
      <c r="H22" s="50"/>
      <c r="I22" s="31"/>
      <c r="K22" s="31" t="s">
        <v>121</v>
      </c>
      <c r="M22" s="31"/>
      <c r="N22" s="157" t="str">
        <f>IF(MIN(Model!D28:K28) &lt;2,"WARNING: SOLVENCY ISSUES ", "OK")</f>
        <v>OK</v>
      </c>
      <c r="O22" s="7"/>
    </row>
    <row r="23" spans="2:23" ht="19.5" customHeight="1">
      <c r="B23" s="6"/>
      <c r="C23"/>
      <c r="D23"/>
      <c r="F23" s="57"/>
      <c r="G23" s="50"/>
      <c r="H23" s="50"/>
      <c r="O23" s="7"/>
      <c r="R23" s="53"/>
      <c r="W23" s="53"/>
    </row>
    <row r="24" spans="2:23" ht="19.5" customHeight="1">
      <c r="B24" s="6"/>
      <c r="C24"/>
      <c r="D24"/>
      <c r="E24" s="12"/>
      <c r="F24" s="12"/>
      <c r="G24" s="50"/>
      <c r="H24" s="50"/>
      <c r="O24" s="7"/>
    </row>
    <row r="25" spans="2:23" ht="19.5" customHeight="1">
      <c r="B25" s="6"/>
      <c r="C25" s="55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7"/>
    </row>
    <row r="26" spans="2:23" ht="19.5" customHeight="1">
      <c r="B26" s="6"/>
      <c r="C26"/>
      <c r="D26" s="58"/>
      <c r="E26" s="58"/>
      <c r="F26" s="50"/>
      <c r="G26" s="50"/>
      <c r="H26" s="50"/>
      <c r="I26" s="50"/>
      <c r="J26" s="50"/>
      <c r="K26" s="50"/>
      <c r="L26" s="50"/>
      <c r="M26" s="50"/>
      <c r="N26" s="50"/>
      <c r="O26" s="7"/>
    </row>
    <row r="27" spans="2:23" ht="19.5" customHeight="1">
      <c r="B27" s="6"/>
      <c r="C27"/>
      <c r="D27"/>
      <c r="E27" s="59"/>
      <c r="F27" s="50"/>
      <c r="G27" s="50"/>
      <c r="H27" s="50"/>
      <c r="I27" s="50"/>
      <c r="J27" s="50"/>
      <c r="K27" s="50"/>
      <c r="L27" s="50"/>
      <c r="M27" s="50"/>
      <c r="N27" s="50"/>
      <c r="O27" s="7"/>
    </row>
    <row r="28" spans="2:23" ht="19.5" customHeight="1">
      <c r="B28" s="6"/>
      <c r="C28"/>
      <c r="D28"/>
      <c r="E28" s="59"/>
      <c r="F28" s="50"/>
      <c r="G28" s="50"/>
      <c r="H28" s="50"/>
      <c r="I28" s="50"/>
      <c r="J28" s="50"/>
      <c r="K28" s="50"/>
      <c r="L28" s="50"/>
      <c r="M28" s="50"/>
      <c r="N28" s="50"/>
      <c r="O28" s="7"/>
    </row>
    <row r="29" spans="2:23" ht="19.5" customHeight="1">
      <c r="B29" s="6"/>
      <c r="C29" s="6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7"/>
    </row>
    <row r="30" spans="2:23" ht="19.5" customHeight="1">
      <c r="B30" s="6"/>
      <c r="C30" s="6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7"/>
    </row>
    <row r="31" spans="2:23" ht="19.5" customHeight="1">
      <c r="B31" s="6"/>
      <c r="C31" s="150" t="s">
        <v>112</v>
      </c>
      <c r="D31" s="151"/>
      <c r="E31" s="151"/>
      <c r="F31" s="151"/>
      <c r="G31" s="151"/>
      <c r="H31" s="146"/>
      <c r="I31" s="146"/>
      <c r="J31" s="146"/>
      <c r="K31" s="146"/>
      <c r="L31" s="146"/>
      <c r="M31" s="146"/>
      <c r="N31" s="146"/>
      <c r="O31" s="7"/>
    </row>
    <row r="32" spans="2:23" ht="19.5" customHeight="1">
      <c r="B32" s="6"/>
      <c r="C32" s="147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7"/>
    </row>
    <row r="33" spans="2:16" ht="19.5" customHeight="1">
      <c r="B33" s="6"/>
      <c r="C33" s="147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7"/>
    </row>
    <row r="34" spans="2:16" ht="19.5" customHeight="1">
      <c r="B34" s="6"/>
      <c r="C34" s="147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7"/>
    </row>
    <row r="35" spans="2:16" ht="19.5" customHeight="1">
      <c r="B35" s="6"/>
      <c r="C35" s="147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7"/>
    </row>
    <row r="36" spans="2:16" ht="19.5" customHeight="1">
      <c r="B36" s="6"/>
      <c r="C36" s="147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7"/>
    </row>
    <row r="37" spans="2:16" ht="19.5" customHeight="1">
      <c r="B37" s="6"/>
      <c r="C37" s="147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7"/>
    </row>
    <row r="38" spans="2:16" ht="19.5" customHeight="1">
      <c r="B38" s="6"/>
      <c r="C38" s="147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7"/>
    </row>
    <row r="39" spans="2:16" ht="19.5" customHeight="1" thickBot="1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 t="s">
        <v>76</v>
      </c>
    </row>
    <row r="40" spans="2:16" ht="19.5" customHeight="1" thickTop="1">
      <c r="P40" s="5" t="s">
        <v>76</v>
      </c>
    </row>
  </sheetData>
  <conditionalFormatting sqref="N16:N22">
    <cfRule type="beginsWith" dxfId="2" priority="1" operator="beginsWith" text="WARNING">
      <formula>LEFT(N16,LEN("WARNING"))="WARNING"</formula>
    </cfRule>
    <cfRule type="containsText" dxfId="1" priority="2" operator="containsText" text="OK">
      <formula>NOT(ISERROR(SEARCH("OK",N16)))</formula>
    </cfRule>
  </conditionalFormatting>
  <hyperlinks>
    <hyperlink ref="C16" location="Model!A1" tooltip="Model" display="Model" xr:uid="{F3A75BB9-D836-40C7-84F2-529BCCD580F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1"/>
  <ignoredErrors>
    <ignoredError sqref="N16:N20 N21:N2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7CD-DD36-4C6E-AE31-5CAF12A17021}">
  <sheetPr>
    <pageSetUpPr fitToPage="1"/>
  </sheetPr>
  <dimension ref="A2:S225"/>
  <sheetViews>
    <sheetView showGridLines="0" tabSelected="1" zoomScale="75" zoomScaleNormal="130" zoomScaleSheetLayoutView="70" workbookViewId="0">
      <selection activeCell="T191" sqref="T191"/>
    </sheetView>
  </sheetViews>
  <sheetFormatPr baseColWidth="10" defaultColWidth="9.1640625" defaultRowHeight="15" customHeight="1" outlineLevelRow="1"/>
  <cols>
    <col min="1" max="1" width="9.1640625" style="16"/>
    <col min="2" max="2" width="41.1640625" style="16" customWidth="1"/>
    <col min="3" max="11" width="13.1640625" style="16" customWidth="1"/>
    <col min="12" max="12" width="2.33203125" style="16" customWidth="1"/>
    <col min="13" max="13" width="34.5" style="16" customWidth="1"/>
    <col min="14" max="16384" width="9.1640625" style="16"/>
  </cols>
  <sheetData>
    <row r="2" spans="1:19" s="123" customFormat="1" ht="20">
      <c r="A2" s="18" t="s">
        <v>76</v>
      </c>
      <c r="B2" s="137" t="s">
        <v>1</v>
      </c>
      <c r="C2" s="137"/>
      <c r="D2" s="138"/>
      <c r="E2" s="138"/>
      <c r="F2" s="138"/>
      <c r="G2" s="138"/>
      <c r="H2" s="138"/>
      <c r="I2" s="138"/>
      <c r="J2" s="138"/>
      <c r="K2" s="138"/>
      <c r="L2" s="18"/>
      <c r="M2" s="16"/>
    </row>
    <row r="3" spans="1:19" ht="15" customHeight="1" outlineLevel="1">
      <c r="B3" s="19"/>
      <c r="C3" s="19"/>
      <c r="G3" s="20"/>
      <c r="H3" s="20"/>
      <c r="I3" s="20"/>
      <c r="J3" s="20"/>
      <c r="K3" s="20"/>
    </row>
    <row r="4" spans="1:19" s="124" customFormat="1" ht="15" customHeight="1" outlineLevel="1">
      <c r="A4" s="17"/>
      <c r="B4" s="40" t="s">
        <v>77</v>
      </c>
      <c r="C4" s="40"/>
      <c r="D4" s="158">
        <v>-2</v>
      </c>
      <c r="E4" s="159">
        <f>+D4+1</f>
        <v>-1</v>
      </c>
      <c r="F4" s="159">
        <f t="shared" ref="F4:K4" si="0">+E4+1</f>
        <v>0</v>
      </c>
      <c r="G4" s="159">
        <f t="shared" si="0"/>
        <v>1</v>
      </c>
      <c r="H4" s="159">
        <f t="shared" si="0"/>
        <v>2</v>
      </c>
      <c r="I4" s="159">
        <f t="shared" si="0"/>
        <v>3</v>
      </c>
      <c r="J4" s="159">
        <f t="shared" si="0"/>
        <v>4</v>
      </c>
      <c r="K4" s="160">
        <f t="shared" si="0"/>
        <v>5</v>
      </c>
      <c r="L4" s="17"/>
      <c r="M4" s="17"/>
      <c r="N4" s="17"/>
      <c r="O4" s="17"/>
      <c r="P4" s="17"/>
      <c r="Q4" s="17"/>
    </row>
    <row r="5" spans="1:19" ht="15" customHeight="1" outlineLevel="1">
      <c r="B5" s="19"/>
      <c r="C5" s="19"/>
      <c r="G5" s="20"/>
      <c r="H5" s="20"/>
      <c r="I5" s="20"/>
      <c r="J5" s="20"/>
      <c r="K5" s="20"/>
    </row>
    <row r="6" spans="1:19" ht="15" customHeight="1" outlineLevel="1">
      <c r="B6" s="19" t="s">
        <v>2</v>
      </c>
      <c r="C6" s="19"/>
      <c r="D6" s="3">
        <v>365</v>
      </c>
      <c r="E6" s="3">
        <v>365</v>
      </c>
      <c r="F6" s="3">
        <v>365</v>
      </c>
      <c r="G6" s="3">
        <v>365</v>
      </c>
      <c r="H6" s="3">
        <v>365</v>
      </c>
      <c r="I6" s="3">
        <v>365</v>
      </c>
      <c r="J6" s="3">
        <v>365</v>
      </c>
      <c r="K6" s="3">
        <v>365</v>
      </c>
      <c r="M6" s="19"/>
    </row>
    <row r="7" spans="1:19" ht="15" customHeight="1" outlineLevel="1"/>
    <row r="8" spans="1:19" ht="15" customHeight="1" outlineLevel="1">
      <c r="B8" s="19" t="s">
        <v>3</v>
      </c>
      <c r="C8" s="19"/>
      <c r="E8" s="21"/>
      <c r="G8" s="20"/>
      <c r="H8" s="20"/>
      <c r="I8" s="20"/>
      <c r="J8" s="20"/>
      <c r="K8" s="20"/>
    </row>
    <row r="9" spans="1:19" ht="15" customHeight="1" outlineLevel="1">
      <c r="B9" s="2" t="s">
        <v>4</v>
      </c>
      <c r="C9" s="2"/>
      <c r="D9" s="121"/>
      <c r="E9" s="77">
        <f>(E36/D36)-1</f>
        <v>6.4798211785512594E-2</v>
      </c>
      <c r="F9" s="77">
        <f>(F36/E36)-1</f>
        <v>7.3680131029550733E-2</v>
      </c>
      <c r="G9" s="127">
        <v>0.06</v>
      </c>
      <c r="H9" s="127">
        <v>0.06</v>
      </c>
      <c r="I9" s="127">
        <v>0.06</v>
      </c>
      <c r="J9" s="127">
        <v>0.06</v>
      </c>
      <c r="K9" s="127">
        <v>0.06</v>
      </c>
      <c r="M9" s="22"/>
    </row>
    <row r="10" spans="1:19" ht="15" customHeight="1" outlineLevel="1">
      <c r="B10" s="2" t="s">
        <v>5</v>
      </c>
      <c r="C10" s="2"/>
      <c r="D10" s="77">
        <f>(-D37/D36)</f>
        <v>0.46819041536685418</v>
      </c>
      <c r="E10" s="77">
        <f t="shared" ref="E10:F10" si="1">(-E37/E36)</f>
        <v>0.43548870792867195</v>
      </c>
      <c r="F10" s="77">
        <f t="shared" si="1"/>
        <v>0.42582878269882274</v>
      </c>
      <c r="G10" s="127">
        <v>0.55000000000000004</v>
      </c>
      <c r="H10" s="127">
        <v>0.55000000000000004</v>
      </c>
      <c r="I10" s="127">
        <v>0.55000000000000004</v>
      </c>
      <c r="J10" s="127">
        <v>0.55000000000000004</v>
      </c>
      <c r="K10" s="127">
        <v>0.55000000000000004</v>
      </c>
      <c r="M10" s="22"/>
    </row>
    <row r="11" spans="1:19" ht="15" customHeight="1" outlineLevel="1">
      <c r="B11" s="2" t="s">
        <v>6</v>
      </c>
      <c r="C11" s="2"/>
      <c r="D11" s="131">
        <f>-D40/D$36</f>
        <v>7.2265481073911231E-2</v>
      </c>
      <c r="E11" s="131">
        <f t="shared" ref="E11:F11" si="2">-E40/E$36</f>
        <v>7.4061685390666446E-2</v>
      </c>
      <c r="F11" s="131">
        <f t="shared" si="2"/>
        <v>6.624003286426132E-2</v>
      </c>
      <c r="G11" s="127">
        <v>7.4999999999999997E-2</v>
      </c>
      <c r="H11" s="127">
        <v>7.4999999999999997E-2</v>
      </c>
      <c r="I11" s="127">
        <v>7.4999999999999997E-2</v>
      </c>
      <c r="J11" s="127">
        <v>7.4999999999999997E-2</v>
      </c>
      <c r="K11" s="127">
        <v>7.4999999999999997E-2</v>
      </c>
      <c r="M11" s="22"/>
    </row>
    <row r="12" spans="1:19" ht="15" customHeight="1" outlineLevel="1">
      <c r="B12" s="2" t="s">
        <v>73</v>
      </c>
      <c r="C12" s="2"/>
      <c r="D12" s="131">
        <f t="shared" ref="D12:F14" si="3">-D41/D$36</f>
        <v>0.28870575520129693</v>
      </c>
      <c r="E12" s="131">
        <f t="shared" si="3"/>
        <v>0.30645458949456733</v>
      </c>
      <c r="F12" s="131">
        <f t="shared" si="3"/>
        <v>0.33120016432130661</v>
      </c>
      <c r="G12" s="128">
        <v>32063</v>
      </c>
      <c r="H12" s="128">
        <v>33346</v>
      </c>
      <c r="I12" s="128">
        <v>34680</v>
      </c>
      <c r="J12" s="128">
        <v>36067</v>
      </c>
      <c r="K12" s="128">
        <v>37509</v>
      </c>
      <c r="M12" s="22"/>
      <c r="O12" s="26"/>
      <c r="P12" s="26"/>
      <c r="Q12" s="26"/>
      <c r="R12" s="26"/>
      <c r="S12" s="26"/>
    </row>
    <row r="13" spans="1:19" ht="15" customHeight="1" outlineLevel="1">
      <c r="B13" s="2" t="s">
        <v>7</v>
      </c>
      <c r="C13" s="2"/>
      <c r="D13" s="131">
        <f t="shared" si="3"/>
        <v>2.1664906290683107E-2</v>
      </c>
      <c r="E13" s="131">
        <f t="shared" si="3"/>
        <v>2.2272716787007773E-2</v>
      </c>
      <c r="F13" s="131">
        <f t="shared" si="3"/>
        <v>2.176458222682872E-2</v>
      </c>
      <c r="G13" s="127">
        <v>2.3E-2</v>
      </c>
      <c r="H13" s="127">
        <v>2.3E-2</v>
      </c>
      <c r="I13" s="127">
        <v>2.3E-2</v>
      </c>
      <c r="J13" s="127">
        <v>2.3E-2</v>
      </c>
      <c r="K13" s="127">
        <v>2.3E-2</v>
      </c>
      <c r="M13" s="22"/>
    </row>
    <row r="14" spans="1:19" ht="15" customHeight="1" outlineLevel="1">
      <c r="B14" s="2" t="s">
        <v>85</v>
      </c>
      <c r="C14" s="2"/>
      <c r="D14" s="131">
        <f t="shared" si="3"/>
        <v>3.6353811009309525E-2</v>
      </c>
      <c r="E14" s="131">
        <f t="shared" si="3"/>
        <v>3.2330618930079123E-2</v>
      </c>
      <c r="F14" s="131">
        <f t="shared" si="3"/>
        <v>3.1227444064580338E-2</v>
      </c>
      <c r="G14" s="127">
        <v>3.2000000000000001E-2</v>
      </c>
      <c r="H14" s="127">
        <v>3.2000000000000001E-2</v>
      </c>
      <c r="I14" s="127">
        <v>3.2000000000000001E-2</v>
      </c>
      <c r="J14" s="127">
        <v>3.2000000000000001E-2</v>
      </c>
      <c r="K14" s="127">
        <v>3.2000000000000001E-2</v>
      </c>
      <c r="M14" s="22"/>
    </row>
    <row r="15" spans="1:19" ht="15" customHeight="1" outlineLevel="1">
      <c r="B15" s="2" t="s">
        <v>106</v>
      </c>
      <c r="C15" s="2"/>
      <c r="D15" s="77">
        <f>-D46/D75</f>
        <v>6.2E-2</v>
      </c>
      <c r="E15" s="77">
        <f t="shared" ref="E15:F15" si="4">-E46/E75</f>
        <v>6.2E-2</v>
      </c>
      <c r="F15" s="77">
        <f t="shared" si="4"/>
        <v>6.2E-2</v>
      </c>
      <c r="G15" s="127">
        <v>6.2E-2</v>
      </c>
      <c r="H15" s="127">
        <v>6.2E-2</v>
      </c>
      <c r="I15" s="127">
        <v>6.2E-2</v>
      </c>
      <c r="J15" s="127">
        <v>6.2E-2</v>
      </c>
      <c r="K15" s="127">
        <v>6.2E-2</v>
      </c>
      <c r="L15" s="20"/>
      <c r="M15" s="22"/>
    </row>
    <row r="16" spans="1:19" ht="15" customHeight="1" outlineLevel="1">
      <c r="B16" s="2" t="s">
        <v>8</v>
      </c>
      <c r="C16" s="2"/>
      <c r="D16" s="77">
        <f>-D49/D47</f>
        <v>0.347470425371256</v>
      </c>
      <c r="E16" s="77">
        <f t="shared" ref="E16:F16" si="5">-E49/E47</f>
        <v>0.24343555822810181</v>
      </c>
      <c r="F16" s="77">
        <f t="shared" si="5"/>
        <v>0.15276420725750778</v>
      </c>
      <c r="G16" s="127">
        <v>0.3</v>
      </c>
      <c r="H16" s="127">
        <v>0.3</v>
      </c>
      <c r="I16" s="127">
        <v>0.3</v>
      </c>
      <c r="J16" s="127">
        <v>0.3</v>
      </c>
      <c r="K16" s="127">
        <v>0.3</v>
      </c>
      <c r="M16" s="22"/>
    </row>
    <row r="17" spans="1:13" ht="15" customHeight="1" outlineLevel="1">
      <c r="G17" s="129"/>
      <c r="H17" s="129"/>
      <c r="I17" s="129"/>
      <c r="J17" s="129"/>
      <c r="K17" s="129"/>
      <c r="M17" s="22"/>
    </row>
    <row r="18" spans="1:13" ht="15" customHeight="1" outlineLevel="1">
      <c r="B18" s="19" t="s">
        <v>9</v>
      </c>
      <c r="C18" s="19"/>
      <c r="D18"/>
      <c r="G18" s="129"/>
      <c r="H18" s="129"/>
      <c r="I18" s="129"/>
      <c r="J18" s="129"/>
      <c r="K18" s="129"/>
    </row>
    <row r="19" spans="1:13" ht="15" customHeight="1" outlineLevel="1">
      <c r="B19" s="2" t="s">
        <v>94</v>
      </c>
      <c r="C19" s="98" t="s">
        <v>97</v>
      </c>
      <c r="D19" s="97">
        <f>D36/D66</f>
        <v>4.2268597830036869</v>
      </c>
      <c r="E19" s="97">
        <f t="shared" ref="E19:F19" si="6">E36/E66</f>
        <v>4.2559520887536202</v>
      </c>
      <c r="F19" s="97">
        <f t="shared" si="6"/>
        <v>4.3960292798110974</v>
      </c>
      <c r="G19" s="130">
        <v>4.25</v>
      </c>
      <c r="H19" s="130">
        <v>4.25</v>
      </c>
      <c r="I19" s="130">
        <v>4.25</v>
      </c>
      <c r="J19" s="130">
        <v>4.25</v>
      </c>
      <c r="K19" s="130">
        <v>4.25</v>
      </c>
      <c r="M19" s="22"/>
    </row>
    <row r="20" spans="1:13" ht="15" customHeight="1" outlineLevel="1">
      <c r="B20" s="2" t="s">
        <v>10</v>
      </c>
      <c r="C20" s="98" t="s">
        <v>96</v>
      </c>
      <c r="D20" s="79">
        <f>(D62/D36)*D6</f>
        <v>56.864545208911593</v>
      </c>
      <c r="E20" s="79">
        <f t="shared" ref="E20:F20" si="7">(E62/E36)*E6</f>
        <v>59.251770513737341</v>
      </c>
      <c r="F20" s="79">
        <f t="shared" si="7"/>
        <v>57.723457210284863</v>
      </c>
      <c r="G20" s="125">
        <v>60</v>
      </c>
      <c r="H20" s="125">
        <v>60</v>
      </c>
      <c r="I20" s="125">
        <v>60</v>
      </c>
      <c r="J20" s="125">
        <v>60</v>
      </c>
      <c r="K20" s="125">
        <v>60</v>
      </c>
      <c r="M20" s="22"/>
    </row>
    <row r="21" spans="1:13" ht="15" customHeight="1" outlineLevel="1">
      <c r="B21" s="2" t="s">
        <v>11</v>
      </c>
      <c r="C21" s="98" t="s">
        <v>96</v>
      </c>
      <c r="D21" s="79">
        <f>D63/-D37*D6</f>
        <v>68.631987618373074</v>
      </c>
      <c r="E21" s="79">
        <f t="shared" ref="E21:F21" si="8">E63/-E37*E6</f>
        <v>74.351493802309562</v>
      </c>
      <c r="F21" s="79">
        <f t="shared" si="8"/>
        <v>74</v>
      </c>
      <c r="G21" s="125">
        <v>75</v>
      </c>
      <c r="H21" s="125">
        <v>75</v>
      </c>
      <c r="I21" s="125">
        <v>75</v>
      </c>
      <c r="J21" s="125">
        <v>75</v>
      </c>
      <c r="K21" s="125">
        <v>75</v>
      </c>
      <c r="M21" s="22"/>
    </row>
    <row r="22" spans="1:13" ht="15" customHeight="1" outlineLevel="1">
      <c r="B22" s="2" t="s">
        <v>12</v>
      </c>
      <c r="C22" s="98" t="s">
        <v>96</v>
      </c>
      <c r="D22" s="79">
        <f>D71/-D37*365</f>
        <v>95.757325358726149</v>
      </c>
      <c r="E22" s="79">
        <f t="shared" ref="E22:F22" si="9">E71/-E37*365</f>
        <v>101.54571458840979</v>
      </c>
      <c r="F22" s="79">
        <f t="shared" si="9"/>
        <v>102</v>
      </c>
      <c r="G22" s="125">
        <v>100</v>
      </c>
      <c r="H22" s="125">
        <v>100</v>
      </c>
      <c r="I22" s="125">
        <v>100</v>
      </c>
      <c r="J22" s="125">
        <v>100</v>
      </c>
      <c r="K22" s="125">
        <v>100</v>
      </c>
      <c r="M22" s="22"/>
    </row>
    <row r="23" spans="1:13" ht="15" customHeight="1" outlineLevel="1">
      <c r="B23" s="2" t="s">
        <v>98</v>
      </c>
      <c r="C23" s="2"/>
      <c r="D23" s="77">
        <f>D72/-D49</f>
        <v>0.39406012314378847</v>
      </c>
      <c r="E23" s="77">
        <f t="shared" ref="E23:F23" si="10">E72/-E49</f>
        <v>0.36805269658295597</v>
      </c>
      <c r="F23" s="77">
        <f t="shared" si="10"/>
        <v>0.37002475352237196</v>
      </c>
      <c r="G23" s="127">
        <v>0.37</v>
      </c>
      <c r="H23" s="127">
        <v>0.37</v>
      </c>
      <c r="I23" s="127">
        <v>0.37</v>
      </c>
      <c r="J23" s="127">
        <v>0.37</v>
      </c>
      <c r="K23" s="127">
        <v>0.37</v>
      </c>
      <c r="M23" s="22"/>
    </row>
    <row r="24" spans="1:13" ht="15" customHeight="1" outlineLevel="1">
      <c r="B24" s="2" t="s">
        <v>14</v>
      </c>
      <c r="C24" s="2"/>
      <c r="D24" s="79">
        <f>D75</f>
        <v>20000</v>
      </c>
      <c r="E24" s="79">
        <f t="shared" ref="E24:F24" si="11">E75</f>
        <v>20000</v>
      </c>
      <c r="F24" s="79">
        <f t="shared" si="11"/>
        <v>20000</v>
      </c>
      <c r="G24" s="125">
        <v>30000</v>
      </c>
      <c r="H24" s="125">
        <v>30000</v>
      </c>
      <c r="I24" s="125">
        <v>30000</v>
      </c>
      <c r="J24" s="125">
        <v>30000</v>
      </c>
      <c r="K24" s="125">
        <v>30000</v>
      </c>
      <c r="M24" s="22"/>
    </row>
    <row r="25" spans="1:13" ht="15" customHeight="1" outlineLevel="1">
      <c r="B25" s="2" t="s">
        <v>15</v>
      </c>
      <c r="C25" s="2"/>
      <c r="D25" s="79">
        <f>D79</f>
        <v>7627</v>
      </c>
      <c r="E25" s="79">
        <f t="shared" ref="E25:F25" si="12">E79</f>
        <v>7627</v>
      </c>
      <c r="F25" s="79">
        <f t="shared" si="12"/>
        <v>7627</v>
      </c>
      <c r="G25" s="125">
        <v>7627</v>
      </c>
      <c r="H25" s="125">
        <v>7627</v>
      </c>
      <c r="I25" s="125">
        <v>7627</v>
      </c>
      <c r="J25" s="125">
        <v>7627</v>
      </c>
      <c r="K25" s="125">
        <v>7627</v>
      </c>
      <c r="M25" s="22"/>
    </row>
    <row r="26" spans="1:13" ht="15" customHeight="1" outlineLevel="1">
      <c r="B26" s="2" t="s">
        <v>16</v>
      </c>
      <c r="C26" s="2"/>
      <c r="D26" s="77">
        <f>D52/D50</f>
        <v>0.83162970106075218</v>
      </c>
      <c r="E26" s="77">
        <f t="shared" ref="E26:F26" si="13">E52/E50</f>
        <v>0.55755729235660356</v>
      </c>
      <c r="F26" s="77">
        <f t="shared" si="13"/>
        <v>0.33657673104707847</v>
      </c>
      <c r="G26" s="127">
        <v>0.7</v>
      </c>
      <c r="H26" s="127">
        <v>0.7</v>
      </c>
      <c r="I26" s="127">
        <v>0.7</v>
      </c>
      <c r="J26" s="127">
        <v>0.7</v>
      </c>
      <c r="K26" s="127">
        <v>0.7</v>
      </c>
      <c r="M26" s="22"/>
    </row>
    <row r="27" spans="1:13" ht="15" customHeight="1" outlineLevel="1">
      <c r="B27" s="2" t="s">
        <v>119</v>
      </c>
      <c r="C27" s="2"/>
      <c r="D27" s="155">
        <f>(D64/D73)</f>
        <v>2.2672919109026966</v>
      </c>
      <c r="E27" s="155">
        <f t="shared" ref="E27:K27" si="14">(E64/E73)</f>
        <v>2.4287594314792074</v>
      </c>
      <c r="F27" s="155">
        <f t="shared" si="14"/>
        <v>2.8234709464263905</v>
      </c>
      <c r="G27" s="155">
        <f t="shared" si="14"/>
        <v>3.3689685436429975</v>
      </c>
      <c r="H27" s="155">
        <f t="shared" si="14"/>
        <v>3.2530573899319521</v>
      </c>
      <c r="I27" s="155">
        <f t="shared" si="14"/>
        <v>3.1556201026378163</v>
      </c>
      <c r="J27" s="155">
        <f t="shared" si="14"/>
        <v>3.0750768874299115</v>
      </c>
      <c r="K27" s="155">
        <f t="shared" si="14"/>
        <v>3.0099761366779858</v>
      </c>
      <c r="M27" s="22"/>
    </row>
    <row r="28" spans="1:13" ht="15" customHeight="1" outlineLevel="1">
      <c r="B28" s="2" t="s">
        <v>120</v>
      </c>
      <c r="C28" s="2"/>
      <c r="D28" s="155">
        <f>D44/-D46</f>
        <v>7.4080645161290324</v>
      </c>
      <c r="E28" s="155">
        <f t="shared" ref="E28:K28" si="15">E44/-E46</f>
        <v>9.0467741935483872</v>
      </c>
      <c r="F28" s="155">
        <f t="shared" si="15"/>
        <v>9.2889984516129047</v>
      </c>
      <c r="G28" s="155">
        <f t="shared" si="15"/>
        <v>5.0423933247311856</v>
      </c>
      <c r="H28" s="155">
        <f t="shared" si="15"/>
        <v>5.6894423005591426</v>
      </c>
      <c r="I28" s="155">
        <f t="shared" si="15"/>
        <v>6.3892819568722645</v>
      </c>
      <c r="J28" s="155">
        <f t="shared" si="15"/>
        <v>7.1456496269727765</v>
      </c>
      <c r="K28" s="155">
        <f t="shared" si="15"/>
        <v>7.9625714002900665</v>
      </c>
      <c r="M28" s="22"/>
    </row>
    <row r="29" spans="1:13" ht="15" customHeight="1" outlineLevel="1">
      <c r="B29" s="2"/>
      <c r="C29" s="2"/>
      <c r="D29" s="75"/>
      <c r="E29" s="75"/>
      <c r="F29" s="75"/>
      <c r="G29" s="76"/>
      <c r="H29" s="76"/>
      <c r="I29" s="76"/>
      <c r="J29" s="76"/>
      <c r="K29" s="76"/>
      <c r="M29" s="22"/>
    </row>
    <row r="30" spans="1:13" ht="15" customHeight="1" outlineLevel="1">
      <c r="B30" s="42"/>
      <c r="C30" s="42"/>
      <c r="D30" s="46"/>
      <c r="E30" s="46"/>
      <c r="F30" s="46"/>
      <c r="G30" s="46"/>
      <c r="H30" s="46"/>
      <c r="I30" s="46"/>
      <c r="J30" s="46"/>
      <c r="K30" s="46"/>
      <c r="M30" s="22"/>
    </row>
    <row r="31" spans="1:13" ht="15" customHeight="1">
      <c r="G31" s="20"/>
      <c r="H31" s="20"/>
      <c r="I31" s="20"/>
      <c r="J31" s="20"/>
      <c r="K31" s="20"/>
      <c r="M31" s="22"/>
    </row>
    <row r="32" spans="1:13" s="123" customFormat="1" ht="20">
      <c r="A32" s="18" t="s">
        <v>76</v>
      </c>
      <c r="B32" s="137" t="s">
        <v>3</v>
      </c>
      <c r="C32" s="137"/>
      <c r="D32" s="138"/>
      <c r="E32" s="138"/>
      <c r="F32" s="138"/>
      <c r="G32" s="138"/>
      <c r="H32" s="138"/>
      <c r="I32" s="138"/>
      <c r="J32" s="138"/>
      <c r="K32" s="138"/>
      <c r="L32" s="18"/>
    </row>
    <row r="33" spans="1:17" s="123" customFormat="1" ht="15" customHeight="1" outlineLevel="1">
      <c r="A33" s="18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18"/>
    </row>
    <row r="34" spans="1:17" s="124" customFormat="1" ht="15" customHeight="1" outlineLevel="1">
      <c r="A34" s="17"/>
      <c r="B34" s="40" t="s">
        <v>77</v>
      </c>
      <c r="C34" s="40"/>
      <c r="D34" s="158">
        <f>+D$4</f>
        <v>-2</v>
      </c>
      <c r="E34" s="159">
        <f t="shared" ref="E34:K34" si="16">+E$4</f>
        <v>-1</v>
      </c>
      <c r="F34" s="159">
        <f t="shared" si="16"/>
        <v>0</v>
      </c>
      <c r="G34" s="159">
        <f t="shared" si="16"/>
        <v>1</v>
      </c>
      <c r="H34" s="159">
        <f t="shared" si="16"/>
        <v>2</v>
      </c>
      <c r="I34" s="159">
        <f t="shared" si="16"/>
        <v>3</v>
      </c>
      <c r="J34" s="159">
        <f t="shared" si="16"/>
        <v>4</v>
      </c>
      <c r="K34" s="160">
        <f t="shared" si="16"/>
        <v>5</v>
      </c>
      <c r="L34" s="17"/>
      <c r="M34" s="17"/>
      <c r="N34" s="17"/>
      <c r="O34" s="17"/>
      <c r="P34" s="17"/>
      <c r="Q34" s="17"/>
    </row>
    <row r="35" spans="1:17" ht="15" customHeight="1" outlineLevel="1">
      <c r="B35" s="19"/>
      <c r="C35" s="19"/>
      <c r="G35" s="20"/>
      <c r="H35" s="20"/>
      <c r="I35" s="20"/>
      <c r="J35" s="20"/>
      <c r="K35" s="20"/>
    </row>
    <row r="36" spans="1:17" ht="15" customHeight="1" outlineLevel="1">
      <c r="B36" s="2" t="s">
        <v>17</v>
      </c>
      <c r="C36" s="2"/>
      <c r="D36" s="125">
        <v>81422</v>
      </c>
      <c r="E36" s="125">
        <v>86698</v>
      </c>
      <c r="F36" s="125">
        <v>93085.92</v>
      </c>
      <c r="G36" s="79">
        <f>(1+G9)*F36</f>
        <v>98671.075200000007</v>
      </c>
      <c r="H36" s="79">
        <f t="shared" ref="H36:K36" si="17">(1+H9)*G36</f>
        <v>104591.33971200002</v>
      </c>
      <c r="I36" s="79">
        <f t="shared" si="17"/>
        <v>110866.82009472002</v>
      </c>
      <c r="J36" s="79">
        <f t="shared" si="17"/>
        <v>117518.82930040323</v>
      </c>
      <c r="K36" s="79">
        <f t="shared" si="17"/>
        <v>124569.95905842743</v>
      </c>
    </row>
    <row r="37" spans="1:17" ht="15" customHeight="1" outlineLevel="1">
      <c r="B37" s="2" t="s">
        <v>18</v>
      </c>
      <c r="C37" s="2"/>
      <c r="D37" s="126">
        <v>-38121</v>
      </c>
      <c r="E37" s="126">
        <v>-37756</v>
      </c>
      <c r="F37" s="126">
        <v>-39638.663999999997</v>
      </c>
      <c r="G37" s="81">
        <f>G36-G38</f>
        <v>44401.983840000001</v>
      </c>
      <c r="H37" s="81">
        <f t="shared" ref="H37:K37" si="18">H36-H38</f>
        <v>47066.102870400005</v>
      </c>
      <c r="I37" s="81">
        <f t="shared" si="18"/>
        <v>49890.069042624003</v>
      </c>
      <c r="J37" s="81">
        <f t="shared" si="18"/>
        <v>52883.47318518145</v>
      </c>
      <c r="K37" s="81">
        <f t="shared" si="18"/>
        <v>56056.481576292339</v>
      </c>
    </row>
    <row r="38" spans="1:17" ht="15" customHeight="1" outlineLevel="1">
      <c r="B38" s="34" t="s">
        <v>19</v>
      </c>
      <c r="C38" s="34"/>
      <c r="D38" s="80">
        <f>D36+D37</f>
        <v>43301</v>
      </c>
      <c r="E38" s="80">
        <f t="shared" ref="E38:F38" si="19">E36+E37</f>
        <v>48942</v>
      </c>
      <c r="F38" s="80">
        <f t="shared" si="19"/>
        <v>53447.256000000001</v>
      </c>
      <c r="G38" s="80">
        <f>G10*G36</f>
        <v>54269.091360000006</v>
      </c>
      <c r="H38" s="80">
        <f t="shared" ref="H38:K38" si="20">H10*H36</f>
        <v>57525.23684160001</v>
      </c>
      <c r="I38" s="80">
        <f t="shared" si="20"/>
        <v>60976.75105209602</v>
      </c>
      <c r="J38" s="80">
        <f t="shared" si="20"/>
        <v>64635.356115221781</v>
      </c>
      <c r="K38" s="80">
        <f t="shared" si="20"/>
        <v>68513.477482135087</v>
      </c>
    </row>
    <row r="39" spans="1:17" ht="15" customHeight="1" outlineLevel="1">
      <c r="B39" s="34"/>
      <c r="C39" s="34"/>
      <c r="D39" s="61"/>
      <c r="E39" s="61"/>
      <c r="F39" s="61"/>
      <c r="G39" s="61"/>
      <c r="H39" s="61"/>
      <c r="I39" s="61"/>
      <c r="J39" s="61"/>
      <c r="K39" s="61"/>
    </row>
    <row r="40" spans="1:17" ht="15" customHeight="1" outlineLevel="1">
      <c r="B40" s="2" t="s">
        <v>20</v>
      </c>
      <c r="C40" s="2"/>
      <c r="D40" s="126">
        <v>-5884</v>
      </c>
      <c r="E40" s="126">
        <v>-6421</v>
      </c>
      <c r="F40" s="126">
        <v>-6166.0144</v>
      </c>
      <c r="G40" s="81">
        <f>-G11*G36</f>
        <v>-7400.3306400000001</v>
      </c>
      <c r="H40" s="81">
        <f t="shared" ref="H40:K40" si="21">-H11*H36</f>
        <v>-7844.3504784000006</v>
      </c>
      <c r="I40" s="81">
        <f t="shared" si="21"/>
        <v>-8315.0115071040018</v>
      </c>
      <c r="J40" s="81">
        <f t="shared" si="21"/>
        <v>-8813.9121975302423</v>
      </c>
      <c r="K40" s="81">
        <f t="shared" si="21"/>
        <v>-9342.7469293820559</v>
      </c>
    </row>
    <row r="41" spans="1:17" ht="15" customHeight="1" outlineLevel="1">
      <c r="B41" s="2" t="s">
        <v>21</v>
      </c>
      <c r="C41" s="2"/>
      <c r="D41" s="126">
        <v>-23507</v>
      </c>
      <c r="E41" s="126">
        <v>-26569</v>
      </c>
      <c r="F41" s="126">
        <v>-30830.072</v>
      </c>
      <c r="G41" s="81">
        <f>-G12</f>
        <v>-32063</v>
      </c>
      <c r="H41" s="81">
        <f t="shared" ref="H41:K41" si="22">-H12</f>
        <v>-33346</v>
      </c>
      <c r="I41" s="81">
        <f t="shared" si="22"/>
        <v>-34680</v>
      </c>
      <c r="J41" s="81">
        <f t="shared" si="22"/>
        <v>-36067</v>
      </c>
      <c r="K41" s="81">
        <f t="shared" si="22"/>
        <v>-37509</v>
      </c>
    </row>
    <row r="42" spans="1:17" ht="15" customHeight="1" outlineLevel="1">
      <c r="B42" s="2" t="s">
        <v>22</v>
      </c>
      <c r="C42" s="2"/>
      <c r="D42" s="126">
        <v>-1764</v>
      </c>
      <c r="E42" s="126">
        <v>-1931</v>
      </c>
      <c r="F42" s="126">
        <v>-2025.9761599999999</v>
      </c>
      <c r="G42" s="81">
        <f>-G13*G36</f>
        <v>-2269.4347296000001</v>
      </c>
      <c r="H42" s="81">
        <f t="shared" ref="H42:K42" si="23">-H13*H36</f>
        <v>-2405.6008133760001</v>
      </c>
      <c r="I42" s="81">
        <f t="shared" si="23"/>
        <v>-2549.9368621785607</v>
      </c>
      <c r="J42" s="81">
        <f t="shared" si="23"/>
        <v>-2702.9330739092743</v>
      </c>
      <c r="K42" s="81">
        <f t="shared" si="23"/>
        <v>-2865.1090583438308</v>
      </c>
    </row>
    <row r="43" spans="1:17" ht="15" customHeight="1" outlineLevel="1">
      <c r="B43" s="2" t="s">
        <v>23</v>
      </c>
      <c r="C43" s="2"/>
      <c r="D43" s="126">
        <v>-2960</v>
      </c>
      <c r="E43" s="126">
        <v>-2803</v>
      </c>
      <c r="F43" s="126">
        <v>-2906.83536</v>
      </c>
      <c r="G43" s="81">
        <f>-G14*G36</f>
        <v>-3157.4744064000001</v>
      </c>
      <c r="H43" s="81">
        <f t="shared" ref="H43:K43" si="24">-H14*H36</f>
        <v>-3346.9228707840007</v>
      </c>
      <c r="I43" s="81">
        <f t="shared" si="24"/>
        <v>-3547.7382430310408</v>
      </c>
      <c r="J43" s="81">
        <f t="shared" si="24"/>
        <v>-3760.6025376129037</v>
      </c>
      <c r="K43" s="81">
        <f t="shared" si="24"/>
        <v>-3986.2386898696777</v>
      </c>
    </row>
    <row r="44" spans="1:17" ht="15" customHeight="1" outlineLevel="1">
      <c r="B44" s="34" t="s">
        <v>24</v>
      </c>
      <c r="C44" s="34"/>
      <c r="D44" s="80">
        <f>SUM(D38:D43)</f>
        <v>9186</v>
      </c>
      <c r="E44" s="80">
        <f t="shared" ref="E44:K44" si="25">SUM(E38:E43)</f>
        <v>11218</v>
      </c>
      <c r="F44" s="80">
        <f t="shared" si="25"/>
        <v>11518.358080000002</v>
      </c>
      <c r="G44" s="80">
        <f>SUM(G38:G43)</f>
        <v>9378.8515840000055</v>
      </c>
      <c r="H44" s="80">
        <f t="shared" si="25"/>
        <v>10582.362679040005</v>
      </c>
      <c r="I44" s="80">
        <f t="shared" si="25"/>
        <v>11884.064439782413</v>
      </c>
      <c r="J44" s="80">
        <f t="shared" si="25"/>
        <v>13290.908306169364</v>
      </c>
      <c r="K44" s="80">
        <f t="shared" si="25"/>
        <v>14810.382804539524</v>
      </c>
    </row>
    <row r="45" spans="1:17" ht="15" customHeight="1" outlineLevel="1">
      <c r="B45" s="34"/>
      <c r="C45" s="34"/>
      <c r="D45" s="61"/>
      <c r="E45" s="61"/>
      <c r="F45" s="61"/>
      <c r="G45" s="61"/>
      <c r="H45" s="61"/>
      <c r="I45" s="61"/>
      <c r="J45" s="61"/>
      <c r="K45" s="61"/>
    </row>
    <row r="46" spans="1:17" ht="15" customHeight="1" outlineLevel="1">
      <c r="B46" s="2" t="s">
        <v>25</v>
      </c>
      <c r="C46" s="2"/>
      <c r="D46" s="125">
        <v>-1240</v>
      </c>
      <c r="E46" s="125">
        <v>-1240</v>
      </c>
      <c r="F46" s="125">
        <v>-1240</v>
      </c>
      <c r="G46" s="79">
        <f>-G15*G75</f>
        <v>-1860</v>
      </c>
      <c r="H46" s="79">
        <f t="shared" ref="H46:K46" si="26">-H15*H75</f>
        <v>-1860</v>
      </c>
      <c r="I46" s="79">
        <f t="shared" si="26"/>
        <v>-1860</v>
      </c>
      <c r="J46" s="79">
        <f t="shared" si="26"/>
        <v>-1860</v>
      </c>
      <c r="K46" s="79">
        <f t="shared" si="26"/>
        <v>-1860</v>
      </c>
    </row>
    <row r="47" spans="1:17" ht="15" customHeight="1" outlineLevel="1">
      <c r="B47" s="2" t="s">
        <v>95</v>
      </c>
      <c r="C47" s="2"/>
      <c r="D47" s="96">
        <f>D44+D46</f>
        <v>7946</v>
      </c>
      <c r="E47" s="96">
        <f t="shared" ref="E47:K47" si="27">E44+E46</f>
        <v>9978</v>
      </c>
      <c r="F47" s="96">
        <f t="shared" si="27"/>
        <v>10278.358080000002</v>
      </c>
      <c r="G47" s="96">
        <f>G44+G46</f>
        <v>7518.8515840000055</v>
      </c>
      <c r="H47" s="96">
        <f t="shared" si="27"/>
        <v>8722.3626790400049</v>
      </c>
      <c r="I47" s="96">
        <f t="shared" si="27"/>
        <v>10024.064439782413</v>
      </c>
      <c r="J47" s="96">
        <f t="shared" si="27"/>
        <v>11430.908306169364</v>
      </c>
      <c r="K47" s="96">
        <f t="shared" si="27"/>
        <v>12950.382804539524</v>
      </c>
    </row>
    <row r="48" spans="1:17" ht="15" customHeight="1" outlineLevel="1">
      <c r="B48" s="2"/>
      <c r="C48" s="2"/>
      <c r="D48" s="35"/>
      <c r="E48" s="35"/>
      <c r="F48" s="35"/>
      <c r="G48" s="35"/>
      <c r="H48" s="35"/>
      <c r="I48" s="35"/>
      <c r="J48" s="35"/>
      <c r="K48" s="35"/>
    </row>
    <row r="49" spans="1:13" ht="15" customHeight="1" outlineLevel="1">
      <c r="B49" s="2" t="s">
        <v>26</v>
      </c>
      <c r="C49" s="2"/>
      <c r="D49" s="125">
        <v>-2761</v>
      </c>
      <c r="E49" s="125">
        <v>-2429</v>
      </c>
      <c r="F49" s="125">
        <v>-1570.1652240000001</v>
      </c>
      <c r="G49" s="79">
        <f>-G16*G47</f>
        <v>-2255.6554752000015</v>
      </c>
      <c r="H49" s="79">
        <f t="shared" ref="H49:K49" si="28">-H16*H47</f>
        <v>-2616.7088037120016</v>
      </c>
      <c r="I49" s="79">
        <f t="shared" si="28"/>
        <v>-3007.2193319347239</v>
      </c>
      <c r="J49" s="79">
        <f t="shared" si="28"/>
        <v>-3429.2724918508088</v>
      </c>
      <c r="K49" s="79">
        <f t="shared" si="28"/>
        <v>-3885.1148413618571</v>
      </c>
      <c r="M49"/>
    </row>
    <row r="50" spans="1:13" ht="15" customHeight="1" outlineLevel="1" thickBot="1">
      <c r="B50" s="34" t="s">
        <v>27</v>
      </c>
      <c r="C50" s="34"/>
      <c r="D50" s="83">
        <f>D47+D49</f>
        <v>5185</v>
      </c>
      <c r="E50" s="83">
        <f t="shared" ref="E50:K50" si="29">E47+E49</f>
        <v>7549</v>
      </c>
      <c r="F50" s="83">
        <f t="shared" si="29"/>
        <v>8708.1928560000015</v>
      </c>
      <c r="G50" s="83">
        <f>G47+G49</f>
        <v>5263.1961088000044</v>
      </c>
      <c r="H50" s="83">
        <f t="shared" si="29"/>
        <v>6105.6538753280038</v>
      </c>
      <c r="I50" s="83">
        <f t="shared" si="29"/>
        <v>7016.8451078476883</v>
      </c>
      <c r="J50" s="83">
        <f t="shared" si="29"/>
        <v>8001.6358143185553</v>
      </c>
      <c r="K50" s="83">
        <f t="shared" si="29"/>
        <v>9065.2679631776664</v>
      </c>
    </row>
    <row r="51" spans="1:13" ht="15" customHeight="1" outlineLevel="1">
      <c r="B51" s="19"/>
      <c r="C51" s="19"/>
      <c r="D51" s="62"/>
      <c r="E51" s="62"/>
      <c r="F51" s="62"/>
      <c r="G51" s="63"/>
      <c r="H51" s="63"/>
      <c r="I51" s="63"/>
      <c r="J51" s="63"/>
      <c r="K51" s="63"/>
    </row>
    <row r="52" spans="1:13" ht="15" customHeight="1" outlineLevel="1">
      <c r="B52" s="16" t="s">
        <v>28</v>
      </c>
      <c r="D52" s="125">
        <v>4312</v>
      </c>
      <c r="E52" s="125">
        <v>4209</v>
      </c>
      <c r="F52" s="125">
        <v>2930.9750848000026</v>
      </c>
      <c r="G52" s="79">
        <f>G26*G50</f>
        <v>3684.2372761600027</v>
      </c>
      <c r="H52" s="79">
        <f t="shared" ref="H52:K52" si="30">H26*H50</f>
        <v>4273.9577127296025</v>
      </c>
      <c r="I52" s="79">
        <f t="shared" si="30"/>
        <v>4911.7915754933811</v>
      </c>
      <c r="J52" s="79">
        <f t="shared" si="30"/>
        <v>5601.145070022988</v>
      </c>
      <c r="K52" s="79">
        <f t="shared" si="30"/>
        <v>6345.6875742243665</v>
      </c>
    </row>
    <row r="53" spans="1:13" ht="15" customHeight="1" outlineLevel="1">
      <c r="D53" s="3"/>
      <c r="E53" s="3"/>
      <c r="F53" s="3"/>
      <c r="G53" s="1"/>
      <c r="H53" s="1"/>
      <c r="I53" s="1"/>
      <c r="J53" s="1"/>
      <c r="K53" s="1"/>
    </row>
    <row r="54" spans="1:13" ht="15" customHeight="1" outlineLevel="1">
      <c r="B54" s="42"/>
      <c r="C54" s="42"/>
      <c r="D54" s="47"/>
      <c r="E54" s="47"/>
      <c r="F54" s="47"/>
      <c r="G54" s="43"/>
      <c r="H54" s="43"/>
      <c r="I54" s="43"/>
      <c r="J54" s="43"/>
      <c r="K54" s="43"/>
    </row>
    <row r="55" spans="1:13" ht="15" customHeight="1">
      <c r="G55" s="20"/>
      <c r="H55" s="20"/>
      <c r="I55" s="20"/>
      <c r="J55" s="20"/>
      <c r="K55" s="20"/>
    </row>
    <row r="56" spans="1:13" s="123" customFormat="1" ht="20">
      <c r="A56" s="18" t="s">
        <v>76</v>
      </c>
      <c r="B56" s="137" t="s">
        <v>9</v>
      </c>
      <c r="C56" s="137"/>
      <c r="D56" s="138"/>
      <c r="E56" s="138"/>
      <c r="F56" s="138"/>
      <c r="G56" s="138"/>
      <c r="H56" s="138"/>
      <c r="I56" s="138"/>
      <c r="J56" s="138"/>
      <c r="K56" s="138"/>
      <c r="L56" s="18"/>
    </row>
    <row r="57" spans="1:13" s="123" customFormat="1" ht="15" customHeight="1" outlineLevel="1">
      <c r="A57" s="18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8"/>
    </row>
    <row r="58" spans="1:13" ht="15" customHeight="1" outlineLevel="1">
      <c r="B58" s="40" t="s">
        <v>77</v>
      </c>
      <c r="C58" s="40"/>
      <c r="D58" s="158">
        <f t="shared" ref="D58:K58" si="31">+D$4</f>
        <v>-2</v>
      </c>
      <c r="E58" s="159">
        <f t="shared" si="31"/>
        <v>-1</v>
      </c>
      <c r="F58" s="159">
        <f t="shared" si="31"/>
        <v>0</v>
      </c>
      <c r="G58" s="159">
        <f t="shared" si="31"/>
        <v>1</v>
      </c>
      <c r="H58" s="159">
        <f t="shared" si="31"/>
        <v>2</v>
      </c>
      <c r="I58" s="159">
        <f t="shared" si="31"/>
        <v>3</v>
      </c>
      <c r="J58" s="159">
        <f t="shared" si="31"/>
        <v>4</v>
      </c>
      <c r="K58" s="160">
        <f t="shared" si="31"/>
        <v>5</v>
      </c>
    </row>
    <row r="59" spans="1:13" ht="15" customHeight="1" outlineLevel="1">
      <c r="B59" s="40"/>
      <c r="C59" s="40"/>
      <c r="D59" s="64"/>
      <c r="E59" s="64"/>
      <c r="F59" s="64"/>
      <c r="G59" s="65"/>
      <c r="H59" s="65"/>
      <c r="I59" s="65"/>
      <c r="J59" s="65"/>
      <c r="K59" s="65"/>
    </row>
    <row r="60" spans="1:13" ht="15" customHeight="1" outlineLevel="1">
      <c r="B60" s="19" t="s">
        <v>29</v>
      </c>
      <c r="C60" s="19"/>
      <c r="D60" s="23"/>
      <c r="E60" s="23"/>
      <c r="F60" s="23"/>
      <c r="G60" s="20"/>
      <c r="H60" s="20"/>
      <c r="I60" s="20"/>
      <c r="J60" s="20"/>
      <c r="K60" s="20"/>
    </row>
    <row r="61" spans="1:13" ht="15" customHeight="1" outlineLevel="1">
      <c r="B61" s="16" t="s">
        <v>30</v>
      </c>
      <c r="D61" s="79">
        <f>D115</f>
        <v>5289.0000000000027</v>
      </c>
      <c r="E61" s="79">
        <f t="shared" ref="E61:K61" si="32">E115</f>
        <v>5918.0000000000027</v>
      </c>
      <c r="F61" s="79">
        <f t="shared" si="32"/>
        <v>10158.783447912323</v>
      </c>
      <c r="G61" s="79">
        <f t="shared" si="32"/>
        <v>18451.374550453682</v>
      </c>
      <c r="H61" s="79">
        <f t="shared" si="32"/>
        <v>18232.936769848904</v>
      </c>
      <c r="I61" s="79">
        <f t="shared" si="32"/>
        <v>18167.732102407837</v>
      </c>
      <c r="J61" s="79">
        <f t="shared" si="32"/>
        <v>18270.750594920311</v>
      </c>
      <c r="K61" s="79">
        <f t="shared" si="32"/>
        <v>18558.142816983534</v>
      </c>
    </row>
    <row r="62" spans="1:13" ht="15" customHeight="1" outlineLevel="1">
      <c r="B62" s="16" t="s">
        <v>31</v>
      </c>
      <c r="D62" s="125">
        <v>12685</v>
      </c>
      <c r="E62" s="125">
        <v>14074</v>
      </c>
      <c r="F62" s="125">
        <v>14721.208547945205</v>
      </c>
      <c r="G62" s="79">
        <f>G134</f>
        <v>16219.902772602742</v>
      </c>
      <c r="H62" s="79">
        <f t="shared" ref="H62:K62" si="33">H134</f>
        <v>17193.096938958908</v>
      </c>
      <c r="I62" s="79">
        <f t="shared" si="33"/>
        <v>18224.682755296442</v>
      </c>
      <c r="J62" s="79">
        <f t="shared" si="33"/>
        <v>19318.16372061423</v>
      </c>
      <c r="K62" s="79">
        <f t="shared" si="33"/>
        <v>20477.253543851082</v>
      </c>
    </row>
    <row r="63" spans="1:13" ht="15" customHeight="1" outlineLevel="1">
      <c r="B63" s="16" t="s">
        <v>32</v>
      </c>
      <c r="D63" s="125">
        <v>7168</v>
      </c>
      <c r="E63" s="125">
        <v>7691</v>
      </c>
      <c r="F63" s="125">
        <v>8036.3318794520546</v>
      </c>
      <c r="G63" s="79">
        <f>G135</f>
        <v>9123.6953095890403</v>
      </c>
      <c r="H63" s="79">
        <f t="shared" ref="H63:K63" si="34">H135</f>
        <v>9671.1170281643845</v>
      </c>
      <c r="I63" s="79">
        <f t="shared" si="34"/>
        <v>10251.384049854247</v>
      </c>
      <c r="J63" s="79">
        <f t="shared" si="34"/>
        <v>10866.467092845505</v>
      </c>
      <c r="K63" s="79">
        <f t="shared" si="34"/>
        <v>11518.455118416234</v>
      </c>
      <c r="M63" s="27"/>
    </row>
    <row r="64" spans="1:13" ht="15" customHeight="1" outlineLevel="1">
      <c r="B64" s="16" t="s">
        <v>33</v>
      </c>
      <c r="D64" s="82">
        <f>SUM(D61:D63)</f>
        <v>25142.000000000004</v>
      </c>
      <c r="E64" s="82">
        <f t="shared" ref="E64:K64" si="35">SUM(E61:E63)</f>
        <v>27683.000000000004</v>
      </c>
      <c r="F64" s="82">
        <f t="shared" si="35"/>
        <v>32916.323875309579</v>
      </c>
      <c r="G64" s="82">
        <f>SUM(G61:G63)</f>
        <v>43794.972632645462</v>
      </c>
      <c r="H64" s="82">
        <f t="shared" si="35"/>
        <v>45097.150736972195</v>
      </c>
      <c r="I64" s="82">
        <f t="shared" si="35"/>
        <v>46643.798907558528</v>
      </c>
      <c r="J64" s="82">
        <f t="shared" si="35"/>
        <v>48455.381408380039</v>
      </c>
      <c r="K64" s="82">
        <f t="shared" si="35"/>
        <v>50553.85147925085</v>
      </c>
      <c r="M64" s="32"/>
    </row>
    <row r="65" spans="2:13" ht="15" customHeight="1" outlineLevel="1">
      <c r="B65" s="19"/>
      <c r="C65" s="19"/>
      <c r="D65" s="66"/>
      <c r="E65" s="66"/>
      <c r="F65" s="66"/>
      <c r="G65" s="67"/>
      <c r="H65" s="67"/>
      <c r="I65" s="67"/>
      <c r="J65" s="67"/>
      <c r="K65" s="67"/>
      <c r="M65" s="27"/>
    </row>
    <row r="66" spans="2:13" ht="15" customHeight="1" outlineLevel="1">
      <c r="B66" s="16" t="s">
        <v>34</v>
      </c>
      <c r="D66" s="125">
        <v>19262.999999999996</v>
      </c>
      <c r="E66" s="125">
        <v>20371</v>
      </c>
      <c r="F66" s="125">
        <v>21175.000000000004</v>
      </c>
      <c r="G66" s="79">
        <f>G154</f>
        <v>23216.723576470591</v>
      </c>
      <c r="H66" s="79">
        <f t="shared" ref="H66:K66" si="36">H154</f>
        <v>24609.726991058826</v>
      </c>
      <c r="I66" s="79">
        <f t="shared" si="36"/>
        <v>26086.31061052236</v>
      </c>
      <c r="J66" s="79">
        <f t="shared" si="36"/>
        <v>27651.489247153702</v>
      </c>
      <c r="K66" s="79">
        <f t="shared" si="36"/>
        <v>29310.578601982925</v>
      </c>
      <c r="M66" s="27"/>
    </row>
    <row r="67" spans="2:13" ht="15" customHeight="1" outlineLevel="1">
      <c r="D67" s="3"/>
      <c r="E67" s="3"/>
      <c r="F67" s="3"/>
      <c r="G67" s="1"/>
      <c r="H67" s="1"/>
      <c r="I67" s="1"/>
      <c r="J67" s="1"/>
      <c r="K67" s="1"/>
      <c r="M67" s="27"/>
    </row>
    <row r="68" spans="2:13" ht="15" customHeight="1" outlineLevel="1" thickBot="1">
      <c r="B68" s="19" t="s">
        <v>35</v>
      </c>
      <c r="C68" s="19"/>
      <c r="D68" s="83">
        <f>D64+D66</f>
        <v>44405</v>
      </c>
      <c r="E68" s="83">
        <f t="shared" ref="E68:K68" si="37">E64+E66</f>
        <v>48054</v>
      </c>
      <c r="F68" s="83">
        <f t="shared" si="37"/>
        <v>54091.323875309579</v>
      </c>
      <c r="G68" s="83">
        <f t="shared" si="37"/>
        <v>67011.696209116053</v>
      </c>
      <c r="H68" s="83">
        <f t="shared" si="37"/>
        <v>69706.877728031017</v>
      </c>
      <c r="I68" s="83">
        <f t="shared" si="37"/>
        <v>72730.109518080892</v>
      </c>
      <c r="J68" s="83">
        <f t="shared" si="37"/>
        <v>76106.870655533741</v>
      </c>
      <c r="K68" s="83">
        <f t="shared" si="37"/>
        <v>79864.430081233775</v>
      </c>
      <c r="M68" s="33"/>
    </row>
    <row r="69" spans="2:13" ht="15" customHeight="1" outlineLevel="1">
      <c r="D69" s="66"/>
      <c r="E69" s="66"/>
      <c r="F69" s="66"/>
      <c r="G69" s="67"/>
      <c r="H69" s="67"/>
      <c r="I69" s="67"/>
      <c r="J69" s="67"/>
      <c r="K69" s="67"/>
      <c r="M69" s="27"/>
    </row>
    <row r="70" spans="2:13" ht="15" customHeight="1" outlineLevel="1">
      <c r="B70" s="19" t="s">
        <v>79</v>
      </c>
      <c r="C70" s="19"/>
      <c r="D70" s="66"/>
      <c r="E70" s="66"/>
      <c r="F70" s="66"/>
      <c r="G70" s="67"/>
      <c r="H70" s="67"/>
      <c r="I70" s="67"/>
      <c r="J70" s="67"/>
      <c r="K70" s="67"/>
      <c r="M70" s="27"/>
    </row>
    <row r="71" spans="2:13" ht="15" customHeight="1" outlineLevel="1">
      <c r="B71" s="16" t="s">
        <v>36</v>
      </c>
      <c r="D71" s="125">
        <v>10001</v>
      </c>
      <c r="E71" s="125">
        <v>10504</v>
      </c>
      <c r="F71" s="125">
        <v>11077.106104109589</v>
      </c>
      <c r="G71" s="79">
        <f>G136</f>
        <v>12164.927079452054</v>
      </c>
      <c r="H71" s="79">
        <f t="shared" ref="H71:K71" si="38">H136</f>
        <v>12894.822704219181</v>
      </c>
      <c r="I71" s="79">
        <f t="shared" si="38"/>
        <v>13668.512066472329</v>
      </c>
      <c r="J71" s="79">
        <f t="shared" si="38"/>
        <v>14488.622790460673</v>
      </c>
      <c r="K71" s="79">
        <f t="shared" si="38"/>
        <v>15357.940157888312</v>
      </c>
      <c r="M71" s="27"/>
    </row>
    <row r="72" spans="2:13" ht="15" customHeight="1" outlineLevel="1">
      <c r="B72" s="16" t="s">
        <v>37</v>
      </c>
      <c r="D72" s="125">
        <v>1088</v>
      </c>
      <c r="E72" s="125">
        <v>894</v>
      </c>
      <c r="F72" s="125">
        <v>581</v>
      </c>
      <c r="G72" s="79">
        <f>G137</f>
        <v>834.59252582400052</v>
      </c>
      <c r="H72" s="79">
        <f t="shared" ref="H72:K72" si="39">H137</f>
        <v>968.18225737344051</v>
      </c>
      <c r="I72" s="79">
        <f t="shared" si="39"/>
        <v>1112.6711528158478</v>
      </c>
      <c r="J72" s="79">
        <f t="shared" si="39"/>
        <v>1268.8308219847993</v>
      </c>
      <c r="K72" s="79">
        <f t="shared" si="39"/>
        <v>1437.4924913038872</v>
      </c>
    </row>
    <row r="73" spans="2:13" ht="15" customHeight="1" outlineLevel="1">
      <c r="B73" s="16" t="s">
        <v>90</v>
      </c>
      <c r="D73" s="82">
        <f>SUM(D71:D72)</f>
        <v>11089</v>
      </c>
      <c r="E73" s="82">
        <f t="shared" ref="E73:K73" si="40">SUM(E71:E72)</f>
        <v>11398</v>
      </c>
      <c r="F73" s="82">
        <f t="shared" si="40"/>
        <v>11658.106104109589</v>
      </c>
      <c r="G73" s="82">
        <f t="shared" si="40"/>
        <v>12999.519605276055</v>
      </c>
      <c r="H73" s="82">
        <f t="shared" si="40"/>
        <v>13863.004961592622</v>
      </c>
      <c r="I73" s="82">
        <f t="shared" si="40"/>
        <v>14781.183219288177</v>
      </c>
      <c r="J73" s="82">
        <f t="shared" si="40"/>
        <v>15757.453612445472</v>
      </c>
      <c r="K73" s="82">
        <f t="shared" si="40"/>
        <v>16795.4326491922</v>
      </c>
      <c r="M73" s="32"/>
    </row>
    <row r="74" spans="2:13" ht="15" customHeight="1" outlineLevel="1">
      <c r="B74" s="19"/>
      <c r="C74" s="19"/>
      <c r="D74" s="66"/>
      <c r="E74" s="66"/>
      <c r="F74" s="66"/>
      <c r="G74" s="67"/>
      <c r="H74" s="67"/>
      <c r="I74" s="67"/>
      <c r="J74" s="67"/>
      <c r="K74" s="67"/>
      <c r="M74" s="27"/>
    </row>
    <row r="75" spans="2:13" ht="15" customHeight="1" outlineLevel="1">
      <c r="B75" s="16" t="s">
        <v>38</v>
      </c>
      <c r="D75" s="125">
        <v>20000</v>
      </c>
      <c r="E75" s="125">
        <v>20000</v>
      </c>
      <c r="F75" s="125">
        <v>20000</v>
      </c>
      <c r="G75" s="79">
        <f>G24</f>
        <v>30000</v>
      </c>
      <c r="H75" s="79">
        <f t="shared" ref="H75:K75" si="41">H24</f>
        <v>30000</v>
      </c>
      <c r="I75" s="79">
        <f t="shared" si="41"/>
        <v>30000</v>
      </c>
      <c r="J75" s="79">
        <f t="shared" si="41"/>
        <v>30000</v>
      </c>
      <c r="K75" s="79">
        <f t="shared" si="41"/>
        <v>30000</v>
      </c>
      <c r="L75" s="20"/>
    </row>
    <row r="76" spans="2:13" ht="15" customHeight="1" outlineLevel="1">
      <c r="B76" s="22" t="s">
        <v>80</v>
      </c>
      <c r="C76" s="22"/>
      <c r="D76" s="82">
        <f>D73+D75</f>
        <v>31089</v>
      </c>
      <c r="E76" s="82">
        <f t="shared" ref="E76:K76" si="42">E73+E75</f>
        <v>31398</v>
      </c>
      <c r="F76" s="82">
        <f t="shared" si="42"/>
        <v>31658.106104109589</v>
      </c>
      <c r="G76" s="82">
        <f t="shared" si="42"/>
        <v>42999.519605276058</v>
      </c>
      <c r="H76" s="82">
        <f t="shared" si="42"/>
        <v>43863.004961592625</v>
      </c>
      <c r="I76" s="82">
        <f t="shared" si="42"/>
        <v>44781.183219288177</v>
      </c>
      <c r="J76" s="82">
        <f t="shared" si="42"/>
        <v>45757.453612445475</v>
      </c>
      <c r="K76" s="82">
        <f t="shared" si="42"/>
        <v>46795.432649192197</v>
      </c>
      <c r="L76" s="20"/>
      <c r="M76" s="27"/>
    </row>
    <row r="77" spans="2:13" ht="15" customHeight="1" outlineLevel="1">
      <c r="D77" s="3"/>
      <c r="E77" s="3"/>
      <c r="F77" s="3"/>
      <c r="G77" s="1"/>
      <c r="H77" s="1"/>
      <c r="I77" s="1"/>
      <c r="J77" s="1"/>
      <c r="K77" s="1"/>
      <c r="L77" s="20"/>
      <c r="M77" s="27"/>
    </row>
    <row r="78" spans="2:13" ht="15" customHeight="1" outlineLevel="1">
      <c r="B78" s="19" t="s">
        <v>81</v>
      </c>
      <c r="C78" s="19"/>
      <c r="D78" s="66"/>
      <c r="E78" s="66"/>
      <c r="F78" s="66"/>
      <c r="G78" s="67"/>
      <c r="H78" s="67"/>
      <c r="I78" s="67"/>
      <c r="J78" s="67"/>
      <c r="K78" s="67"/>
      <c r="M78" s="27"/>
    </row>
    <row r="79" spans="2:13" ht="15" customHeight="1" outlineLevel="1">
      <c r="B79" s="16" t="s">
        <v>39</v>
      </c>
      <c r="D79" s="125">
        <v>7627</v>
      </c>
      <c r="E79" s="125">
        <v>7627</v>
      </c>
      <c r="F79" s="125">
        <v>7627</v>
      </c>
      <c r="G79" s="79">
        <f>G25</f>
        <v>7627</v>
      </c>
      <c r="H79" s="79">
        <f t="shared" ref="H79:K79" si="43">H25</f>
        <v>7627</v>
      </c>
      <c r="I79" s="79">
        <f t="shared" si="43"/>
        <v>7627</v>
      </c>
      <c r="J79" s="79">
        <f t="shared" si="43"/>
        <v>7627</v>
      </c>
      <c r="K79" s="79">
        <f t="shared" si="43"/>
        <v>7627</v>
      </c>
    </row>
    <row r="80" spans="2:13" ht="15" customHeight="1" outlineLevel="1">
      <c r="B80" s="16" t="s">
        <v>40</v>
      </c>
      <c r="D80" s="125">
        <v>5689</v>
      </c>
      <c r="E80" s="125">
        <v>9029</v>
      </c>
      <c r="F80" s="125">
        <v>14806.217771200003</v>
      </c>
      <c r="G80" s="79">
        <f>G184</f>
        <v>16385.176603840006</v>
      </c>
      <c r="H80" s="79">
        <f t="shared" ref="H80:K80" si="44">H184</f>
        <v>18216.872766438406</v>
      </c>
      <c r="I80" s="79">
        <f t="shared" si="44"/>
        <v>20321.92629879271</v>
      </c>
      <c r="J80" s="79">
        <f t="shared" si="44"/>
        <v>22722.417043088277</v>
      </c>
      <c r="K80" s="79">
        <f t="shared" si="44"/>
        <v>25441.997432041579</v>
      </c>
      <c r="M80" s="27"/>
    </row>
    <row r="81" spans="1:13" ht="15" customHeight="1" outlineLevel="1">
      <c r="B81" s="19" t="s">
        <v>41</v>
      </c>
      <c r="C81" s="19"/>
      <c r="D81" s="80">
        <f>SUM(D79:D80)</f>
        <v>13316</v>
      </c>
      <c r="E81" s="80">
        <f t="shared" ref="E81:K81" si="45">SUM(E79:E80)</f>
        <v>16656</v>
      </c>
      <c r="F81" s="80">
        <f t="shared" si="45"/>
        <v>22433.217771200005</v>
      </c>
      <c r="G81" s="80">
        <f t="shared" si="45"/>
        <v>24012.176603840006</v>
      </c>
      <c r="H81" s="80">
        <f t="shared" si="45"/>
        <v>25843.872766438406</v>
      </c>
      <c r="I81" s="80">
        <f t="shared" si="45"/>
        <v>27948.92629879271</v>
      </c>
      <c r="J81" s="80">
        <f t="shared" si="45"/>
        <v>30349.417043088277</v>
      </c>
      <c r="K81" s="80">
        <f t="shared" si="45"/>
        <v>33068.997432041579</v>
      </c>
      <c r="M81" s="33"/>
    </row>
    <row r="82" spans="1:13" ht="15" customHeight="1" outlineLevel="1">
      <c r="B82" s="19"/>
      <c r="C82" s="19"/>
      <c r="D82" s="61"/>
      <c r="E82" s="61"/>
      <c r="F82" s="61"/>
      <c r="G82" s="61"/>
      <c r="H82" s="61"/>
      <c r="I82" s="61"/>
      <c r="J82" s="61"/>
      <c r="K82" s="61"/>
      <c r="M82" s="33"/>
    </row>
    <row r="83" spans="1:13" ht="15" customHeight="1" outlineLevel="1" thickBot="1">
      <c r="B83" s="19" t="s">
        <v>82</v>
      </c>
      <c r="D83" s="83">
        <f>D76+D81</f>
        <v>44405</v>
      </c>
      <c r="E83" s="83">
        <f t="shared" ref="E83:K83" si="46">E76+E81</f>
        <v>48054</v>
      </c>
      <c r="F83" s="83">
        <f t="shared" si="46"/>
        <v>54091.323875309594</v>
      </c>
      <c r="G83" s="83">
        <f t="shared" si="46"/>
        <v>67011.696209116068</v>
      </c>
      <c r="H83" s="83">
        <f t="shared" si="46"/>
        <v>69706.877728031031</v>
      </c>
      <c r="I83" s="83">
        <f t="shared" si="46"/>
        <v>72730.109518080892</v>
      </c>
      <c r="J83" s="83">
        <f t="shared" si="46"/>
        <v>76106.870655533756</v>
      </c>
      <c r="K83" s="83">
        <f t="shared" si="46"/>
        <v>79864.430081233775</v>
      </c>
      <c r="M83" s="33"/>
    </row>
    <row r="84" spans="1:13" ht="15" customHeight="1" outlineLevel="1">
      <c r="D84" s="67"/>
      <c r="E84" s="67"/>
      <c r="F84" s="67"/>
      <c r="G84" s="67"/>
      <c r="H84" s="67"/>
      <c r="I84" s="67"/>
      <c r="J84" s="67"/>
      <c r="K84" s="67"/>
      <c r="M84" s="45"/>
    </row>
    <row r="85" spans="1:13" ht="15" customHeight="1" outlineLevel="1">
      <c r="B85" s="24" t="s">
        <v>0</v>
      </c>
      <c r="C85" s="24"/>
      <c r="D85" s="79">
        <f>D68-D83</f>
        <v>0</v>
      </c>
      <c r="E85" s="79">
        <f t="shared" ref="E85:K85" si="47">E68-E83</f>
        <v>0</v>
      </c>
      <c r="F85" s="79">
        <f t="shared" si="47"/>
        <v>0</v>
      </c>
      <c r="G85" s="79">
        <f t="shared" si="47"/>
        <v>0</v>
      </c>
      <c r="H85" s="79">
        <f t="shared" si="47"/>
        <v>0</v>
      </c>
      <c r="I85" s="79">
        <f t="shared" si="47"/>
        <v>0</v>
      </c>
      <c r="J85" s="79">
        <f t="shared" si="47"/>
        <v>0</v>
      </c>
      <c r="K85" s="79">
        <f t="shared" si="47"/>
        <v>0</v>
      </c>
    </row>
    <row r="86" spans="1:13" ht="15" customHeight="1" outlineLevel="1">
      <c r="B86" s="24"/>
      <c r="C86" s="24"/>
      <c r="D86" s="1"/>
      <c r="E86" s="1"/>
      <c r="F86" s="1"/>
      <c r="G86" s="1"/>
      <c r="H86" s="1"/>
      <c r="I86" s="1"/>
      <c r="J86" s="1"/>
      <c r="K86" s="1"/>
      <c r="M86" s="27"/>
    </row>
    <row r="87" spans="1:13" ht="15" customHeight="1" outlineLevel="1">
      <c r="B87" s="48"/>
      <c r="C87" s="48"/>
      <c r="D87" s="68"/>
      <c r="E87" s="68"/>
      <c r="F87" s="68"/>
      <c r="G87" s="68"/>
      <c r="H87" s="68"/>
      <c r="I87" s="68"/>
      <c r="J87" s="68"/>
      <c r="K87" s="68"/>
      <c r="M87" s="27"/>
    </row>
    <row r="88" spans="1:13" ht="15" customHeight="1">
      <c r="D88" s="67"/>
      <c r="E88" s="1"/>
      <c r="F88" s="1"/>
      <c r="G88" s="1"/>
      <c r="H88" s="1"/>
      <c r="I88" s="1"/>
      <c r="J88" s="1"/>
      <c r="K88" s="1"/>
      <c r="M88" s="27"/>
    </row>
    <row r="89" spans="1:13" s="123" customFormat="1" ht="20">
      <c r="A89" s="18" t="s">
        <v>76</v>
      </c>
      <c r="B89" s="137" t="s">
        <v>42</v>
      </c>
      <c r="C89" s="137"/>
      <c r="D89" s="138"/>
      <c r="E89" s="138"/>
      <c r="F89" s="138"/>
      <c r="G89" s="138"/>
      <c r="H89" s="138"/>
      <c r="I89" s="138"/>
      <c r="J89" s="138"/>
      <c r="K89" s="138"/>
      <c r="L89" s="18"/>
    </row>
    <row r="90" spans="1:13" s="123" customFormat="1" ht="15" customHeight="1" outlineLevel="1">
      <c r="A90" s="18"/>
      <c r="B90" s="36"/>
      <c r="C90" s="36"/>
      <c r="D90" s="69"/>
      <c r="E90" s="69"/>
      <c r="F90" s="69"/>
      <c r="G90" s="69"/>
      <c r="H90" s="69"/>
      <c r="I90" s="69"/>
      <c r="J90" s="69"/>
      <c r="K90" s="69"/>
      <c r="L90" s="18"/>
    </row>
    <row r="91" spans="1:13" ht="15" customHeight="1" outlineLevel="1">
      <c r="B91" s="40" t="s">
        <v>77</v>
      </c>
      <c r="C91" s="40"/>
      <c r="D91" s="158">
        <f t="shared" ref="D91:K91" si="48">+D$4</f>
        <v>-2</v>
      </c>
      <c r="E91" s="159">
        <f t="shared" si="48"/>
        <v>-1</v>
      </c>
      <c r="F91" s="159">
        <f t="shared" si="48"/>
        <v>0</v>
      </c>
      <c r="G91" s="159">
        <f t="shared" si="48"/>
        <v>1</v>
      </c>
      <c r="H91" s="159">
        <f t="shared" si="48"/>
        <v>2</v>
      </c>
      <c r="I91" s="159">
        <f t="shared" si="48"/>
        <v>3</v>
      </c>
      <c r="J91" s="159">
        <f t="shared" si="48"/>
        <v>4</v>
      </c>
      <c r="K91" s="160">
        <f t="shared" si="48"/>
        <v>5</v>
      </c>
      <c r="M91" s="123"/>
    </row>
    <row r="92" spans="1:13" ht="15" customHeight="1" outlineLevel="1">
      <c r="B92" s="40"/>
      <c r="C92" s="40"/>
      <c r="D92" s="70"/>
      <c r="E92" s="70"/>
      <c r="F92" s="70"/>
      <c r="G92" s="70"/>
      <c r="H92" s="70"/>
      <c r="I92" s="70"/>
      <c r="J92" s="70"/>
      <c r="K92" s="70"/>
    </row>
    <row r="93" spans="1:13" ht="15" customHeight="1" outlineLevel="1">
      <c r="B93" s="19" t="s">
        <v>91</v>
      </c>
      <c r="C93" s="19"/>
      <c r="D93" s="71"/>
      <c r="E93" s="71"/>
      <c r="F93" s="71"/>
      <c r="G93" s="72"/>
      <c r="H93" s="72"/>
      <c r="I93" s="72"/>
      <c r="J93" s="72"/>
      <c r="K93" s="72"/>
    </row>
    <row r="94" spans="1:13" ht="15" customHeight="1" outlineLevel="1">
      <c r="B94" s="16" t="s">
        <v>27</v>
      </c>
      <c r="D94" s="79">
        <f>D50</f>
        <v>5185</v>
      </c>
      <c r="E94" s="79">
        <f t="shared" ref="E94:K94" si="49">E50</f>
        <v>7549</v>
      </c>
      <c r="F94" s="79">
        <f t="shared" si="49"/>
        <v>8708.1928560000015</v>
      </c>
      <c r="G94" s="79">
        <f t="shared" si="49"/>
        <v>5263.1961088000044</v>
      </c>
      <c r="H94" s="79">
        <f t="shared" si="49"/>
        <v>6105.6538753280038</v>
      </c>
      <c r="I94" s="79">
        <f t="shared" si="49"/>
        <v>7016.8451078476883</v>
      </c>
      <c r="J94" s="79">
        <f t="shared" si="49"/>
        <v>8001.6358143185553</v>
      </c>
      <c r="K94" s="79">
        <f t="shared" si="49"/>
        <v>9065.2679631776664</v>
      </c>
    </row>
    <row r="95" spans="1:13" ht="15" customHeight="1" outlineLevel="1">
      <c r="B95" s="16" t="s">
        <v>23</v>
      </c>
      <c r="D95" s="79">
        <f>-D43</f>
        <v>2960</v>
      </c>
      <c r="E95" s="79">
        <f t="shared" ref="E95:K95" si="50">-E43</f>
        <v>2803</v>
      </c>
      <c r="F95" s="79">
        <f t="shared" si="50"/>
        <v>2906.83536</v>
      </c>
      <c r="G95" s="79">
        <f t="shared" si="50"/>
        <v>3157.4744064000001</v>
      </c>
      <c r="H95" s="79">
        <f t="shared" si="50"/>
        <v>3346.9228707840007</v>
      </c>
      <c r="I95" s="79">
        <f t="shared" si="50"/>
        <v>3547.7382430310408</v>
      </c>
      <c r="J95" s="79">
        <f t="shared" si="50"/>
        <v>3760.6025376129037</v>
      </c>
      <c r="K95" s="79">
        <f t="shared" si="50"/>
        <v>3986.2386898696777</v>
      </c>
    </row>
    <row r="96" spans="1:13" ht="15" customHeight="1" outlineLevel="1">
      <c r="B96" s="16" t="s">
        <v>43</v>
      </c>
      <c r="D96" s="66"/>
      <c r="E96" s="66"/>
      <c r="F96" s="66"/>
      <c r="G96" s="66"/>
      <c r="H96" s="66"/>
      <c r="I96" s="66"/>
      <c r="J96" s="66"/>
      <c r="K96" s="66"/>
    </row>
    <row r="97" spans="2:11" ht="15" customHeight="1" outlineLevel="1">
      <c r="B97" s="2" t="s">
        <v>31</v>
      </c>
      <c r="C97" s="2"/>
      <c r="D97" s="132">
        <v>-1280</v>
      </c>
      <c r="E97" s="79">
        <f t="shared" ref="E97:K97" si="51">E140</f>
        <v>-1389</v>
      </c>
      <c r="F97" s="79">
        <f t="shared" si="51"/>
        <v>-647.20854794520528</v>
      </c>
      <c r="G97" s="79">
        <f t="shared" si="51"/>
        <v>-1498.6942246575363</v>
      </c>
      <c r="H97" s="79">
        <f t="shared" si="51"/>
        <v>-973.19416635616653</v>
      </c>
      <c r="I97" s="79">
        <f t="shared" si="51"/>
        <v>-1031.5858163375342</v>
      </c>
      <c r="J97" s="79">
        <f t="shared" si="51"/>
        <v>-1093.4809653177872</v>
      </c>
      <c r="K97" s="79">
        <f t="shared" si="51"/>
        <v>-1159.0898232368527</v>
      </c>
    </row>
    <row r="98" spans="2:11" ht="15" customHeight="1" outlineLevel="1">
      <c r="B98" s="2" t="s">
        <v>32</v>
      </c>
      <c r="C98" s="2"/>
      <c r="D98" s="132">
        <v>-470</v>
      </c>
      <c r="E98" s="79">
        <f t="shared" ref="E98:K98" si="52">E141</f>
        <v>-523</v>
      </c>
      <c r="F98" s="79">
        <f t="shared" si="52"/>
        <v>-345.33187945205373</v>
      </c>
      <c r="G98" s="79">
        <f t="shared" si="52"/>
        <v>-1087.3634301369866</v>
      </c>
      <c r="H98" s="79">
        <f t="shared" si="52"/>
        <v>-547.42171857534413</v>
      </c>
      <c r="I98" s="79">
        <f t="shared" si="52"/>
        <v>-580.2670216898623</v>
      </c>
      <c r="J98" s="79">
        <f t="shared" si="52"/>
        <v>-615.08304299125848</v>
      </c>
      <c r="K98" s="79">
        <f t="shared" si="52"/>
        <v>-651.9880255707285</v>
      </c>
    </row>
    <row r="99" spans="2:11" ht="15" customHeight="1" outlineLevel="1">
      <c r="B99" s="2" t="s">
        <v>36</v>
      </c>
      <c r="C99" s="2"/>
      <c r="D99" s="133">
        <v>490</v>
      </c>
      <c r="E99" s="79">
        <f t="shared" ref="E99:K99" si="53">E142</f>
        <v>503.00000000000182</v>
      </c>
      <c r="F99" s="79">
        <f t="shared" si="53"/>
        <v>573.10610410958543</v>
      </c>
      <c r="G99" s="79">
        <f>G142</f>
        <v>1087.8209753424671</v>
      </c>
      <c r="H99" s="79">
        <f t="shared" si="53"/>
        <v>729.89562476712672</v>
      </c>
      <c r="I99" s="79">
        <f t="shared" si="53"/>
        <v>773.68936225314792</v>
      </c>
      <c r="J99" s="79">
        <f t="shared" si="53"/>
        <v>820.11072398834403</v>
      </c>
      <c r="K99" s="79">
        <f t="shared" si="53"/>
        <v>869.3173674276386</v>
      </c>
    </row>
    <row r="100" spans="2:11" ht="15" customHeight="1" outlineLevel="1">
      <c r="B100" s="2" t="s">
        <v>37</v>
      </c>
      <c r="C100" s="2"/>
      <c r="D100" s="133">
        <v>50</v>
      </c>
      <c r="E100" s="79">
        <f>E143</f>
        <v>-193.99999999999989</v>
      </c>
      <c r="F100" s="79">
        <f t="shared" ref="F100:J100" si="54">F143</f>
        <v>-313.00000000000011</v>
      </c>
      <c r="G100" s="79">
        <f t="shared" si="54"/>
        <v>253.59252582400052</v>
      </c>
      <c r="H100" s="79">
        <f t="shared" si="54"/>
        <v>133.58973154943999</v>
      </c>
      <c r="I100" s="79">
        <f t="shared" si="54"/>
        <v>144.48889544240728</v>
      </c>
      <c r="J100" s="79">
        <f t="shared" si="54"/>
        <v>156.1596691689515</v>
      </c>
      <c r="K100" s="79">
        <f>K143</f>
        <v>168.66166931908788</v>
      </c>
    </row>
    <row r="101" spans="2:11" ht="15" customHeight="1" outlineLevel="1">
      <c r="B101" s="16" t="s">
        <v>91</v>
      </c>
      <c r="D101" s="134">
        <f>SUM(D94:D100)</f>
        <v>6935</v>
      </c>
      <c r="E101" s="134">
        <f t="shared" ref="E101:K101" si="55">SUM(E94:E100)</f>
        <v>8749.0000000000018</v>
      </c>
      <c r="F101" s="134">
        <f t="shared" si="55"/>
        <v>10882.593892712328</v>
      </c>
      <c r="G101" s="134">
        <f t="shared" si="55"/>
        <v>7176.0263615719496</v>
      </c>
      <c r="H101" s="134">
        <f t="shared" si="55"/>
        <v>8795.4462174970613</v>
      </c>
      <c r="I101" s="134">
        <f t="shared" si="55"/>
        <v>9870.9087705468883</v>
      </c>
      <c r="J101" s="134">
        <f t="shared" si="55"/>
        <v>11029.944736779709</v>
      </c>
      <c r="K101" s="134">
        <f t="shared" si="55"/>
        <v>12278.407840986491</v>
      </c>
    </row>
    <row r="102" spans="2:11" ht="15" customHeight="1" outlineLevel="1">
      <c r="B102" s="16" t="s">
        <v>44</v>
      </c>
      <c r="D102" s="66"/>
      <c r="E102" s="66"/>
      <c r="F102" s="66"/>
      <c r="G102" s="67"/>
      <c r="H102" s="67"/>
      <c r="I102" s="67"/>
      <c r="J102" s="67"/>
      <c r="K102" s="67"/>
    </row>
    <row r="103" spans="2:11" ht="15" customHeight="1" outlineLevel="1">
      <c r="B103" s="19" t="s">
        <v>92</v>
      </c>
      <c r="C103" s="19"/>
      <c r="D103" s="66"/>
      <c r="E103" s="66"/>
      <c r="F103" s="66"/>
      <c r="G103" s="67"/>
      <c r="H103" s="67"/>
      <c r="I103" s="67"/>
      <c r="J103" s="67"/>
      <c r="K103" s="67"/>
    </row>
    <row r="104" spans="2:11" ht="15" customHeight="1" outlineLevel="1">
      <c r="B104" s="16" t="s">
        <v>45</v>
      </c>
      <c r="D104" s="125">
        <v>-3004.9999999999973</v>
      </c>
      <c r="E104" s="125">
        <v>-3911.0000000000018</v>
      </c>
      <c r="F104" s="125">
        <v>-3710.8353600000046</v>
      </c>
      <c r="G104" s="79">
        <f>-G152</f>
        <v>-5199.197982870588</v>
      </c>
      <c r="H104" s="79">
        <f t="shared" ref="H104:K104" si="56">-H152</f>
        <v>-4739.9262853722357</v>
      </c>
      <c r="I104" s="79">
        <f t="shared" si="56"/>
        <v>-5024.3218624945748</v>
      </c>
      <c r="J104" s="79">
        <f t="shared" si="56"/>
        <v>-5325.7811742442464</v>
      </c>
      <c r="K104" s="79">
        <f t="shared" si="56"/>
        <v>-5645.3280446989002</v>
      </c>
    </row>
    <row r="105" spans="2:11" ht="15" customHeight="1" outlineLevel="1">
      <c r="B105" s="16" t="s">
        <v>46</v>
      </c>
      <c r="D105" s="134">
        <f>D104</f>
        <v>-3004.9999999999973</v>
      </c>
      <c r="E105" s="134">
        <f t="shared" ref="E105:K105" si="57">E104</f>
        <v>-3911.0000000000018</v>
      </c>
      <c r="F105" s="134">
        <f t="shared" si="57"/>
        <v>-3710.8353600000046</v>
      </c>
      <c r="G105" s="134">
        <f t="shared" si="57"/>
        <v>-5199.197982870588</v>
      </c>
      <c r="H105" s="134">
        <f t="shared" si="57"/>
        <v>-4739.9262853722357</v>
      </c>
      <c r="I105" s="134">
        <f t="shared" si="57"/>
        <v>-5024.3218624945748</v>
      </c>
      <c r="J105" s="134">
        <f t="shared" si="57"/>
        <v>-5325.7811742442464</v>
      </c>
      <c r="K105" s="134">
        <f t="shared" si="57"/>
        <v>-5645.3280446989002</v>
      </c>
    </row>
    <row r="106" spans="2:11" ht="15" customHeight="1" outlineLevel="1">
      <c r="B106" s="16" t="s">
        <v>44</v>
      </c>
      <c r="D106" s="66"/>
      <c r="E106" s="66"/>
      <c r="F106" s="66"/>
      <c r="G106" s="67"/>
      <c r="H106" s="67"/>
      <c r="I106" s="67"/>
      <c r="J106" s="67"/>
      <c r="K106" s="67"/>
    </row>
    <row r="107" spans="2:11" ht="15" customHeight="1" outlineLevel="1">
      <c r="B107" s="19" t="s">
        <v>93</v>
      </c>
      <c r="C107" s="19"/>
      <c r="D107" s="66"/>
      <c r="E107" s="66"/>
      <c r="F107" s="66"/>
      <c r="G107" s="67"/>
      <c r="H107" s="67"/>
      <c r="I107" s="67"/>
      <c r="J107" s="67"/>
      <c r="K107" s="67"/>
    </row>
    <row r="108" spans="2:11" ht="15" customHeight="1" outlineLevel="1">
      <c r="B108" s="16" t="s">
        <v>47</v>
      </c>
      <c r="D108" s="3"/>
      <c r="E108" s="79">
        <f>E174</f>
        <v>0</v>
      </c>
      <c r="F108" s="79">
        <f t="shared" ref="F108:K108" si="58">F174</f>
        <v>0</v>
      </c>
      <c r="G108" s="79">
        <f t="shared" si="58"/>
        <v>0</v>
      </c>
      <c r="H108" s="79">
        <f t="shared" si="58"/>
        <v>0</v>
      </c>
      <c r="I108" s="79">
        <f t="shared" si="58"/>
        <v>0</v>
      </c>
      <c r="J108" s="79">
        <f t="shared" si="58"/>
        <v>0</v>
      </c>
      <c r="K108" s="79">
        <f t="shared" si="58"/>
        <v>0</v>
      </c>
    </row>
    <row r="109" spans="2:11" ht="15" customHeight="1" outlineLevel="1">
      <c r="B109" s="16" t="s">
        <v>48</v>
      </c>
      <c r="D109" s="79">
        <f>-D178</f>
        <v>-4312</v>
      </c>
      <c r="E109" s="79">
        <f t="shared" ref="E109:K109" si="59">-E178</f>
        <v>-4209</v>
      </c>
      <c r="F109" s="79">
        <f t="shared" si="59"/>
        <v>-2930.9750848000026</v>
      </c>
      <c r="G109" s="79">
        <f t="shared" si="59"/>
        <v>-3684.2372761600027</v>
      </c>
      <c r="H109" s="79">
        <f t="shared" si="59"/>
        <v>-4273.9577127296025</v>
      </c>
      <c r="I109" s="79">
        <f t="shared" si="59"/>
        <v>-4911.7915754933811</v>
      </c>
      <c r="J109" s="79">
        <f t="shared" si="59"/>
        <v>-5601.145070022988</v>
      </c>
      <c r="K109" s="79">
        <f t="shared" si="59"/>
        <v>-6345.6875742243665</v>
      </c>
    </row>
    <row r="110" spans="2:11" ht="15" customHeight="1" outlineLevel="1">
      <c r="B110" s="16" t="s">
        <v>49</v>
      </c>
      <c r="D110" s="3"/>
      <c r="E110" s="79">
        <f>E164</f>
        <v>0</v>
      </c>
      <c r="F110" s="79">
        <f t="shared" ref="F110:K110" si="60">F164</f>
        <v>0</v>
      </c>
      <c r="G110" s="79">
        <f t="shared" si="60"/>
        <v>10000</v>
      </c>
      <c r="H110" s="79">
        <f t="shared" si="60"/>
        <v>0</v>
      </c>
      <c r="I110" s="79">
        <f t="shared" si="60"/>
        <v>0</v>
      </c>
      <c r="J110" s="79">
        <f t="shared" si="60"/>
        <v>0</v>
      </c>
      <c r="K110" s="79">
        <f t="shared" si="60"/>
        <v>0</v>
      </c>
    </row>
    <row r="111" spans="2:11" ht="15" customHeight="1" outlineLevel="1">
      <c r="B111" s="16" t="s">
        <v>50</v>
      </c>
      <c r="D111" s="134">
        <f>SUM(D108:D110)</f>
        <v>-4312</v>
      </c>
      <c r="E111" s="134">
        <f t="shared" ref="E111:K111" si="61">SUM(E108:E110)</f>
        <v>-4209</v>
      </c>
      <c r="F111" s="134">
        <f t="shared" si="61"/>
        <v>-2930.9750848000026</v>
      </c>
      <c r="G111" s="134">
        <f t="shared" si="61"/>
        <v>6315.7627238399973</v>
      </c>
      <c r="H111" s="134">
        <f t="shared" si="61"/>
        <v>-4273.9577127296025</v>
      </c>
      <c r="I111" s="134">
        <f t="shared" si="61"/>
        <v>-4911.7915754933811</v>
      </c>
      <c r="J111" s="134">
        <f t="shared" si="61"/>
        <v>-5601.145070022988</v>
      </c>
      <c r="K111" s="134">
        <f t="shared" si="61"/>
        <v>-6345.6875742243665</v>
      </c>
    </row>
    <row r="112" spans="2:11" ht="15" customHeight="1" outlineLevel="1">
      <c r="B112" s="16" t="s">
        <v>44</v>
      </c>
      <c r="D112" s="66"/>
      <c r="E112" s="66"/>
      <c r="F112" s="66"/>
      <c r="G112" s="67"/>
      <c r="H112" s="67"/>
      <c r="I112" s="67"/>
      <c r="J112" s="67"/>
      <c r="K112" s="67"/>
    </row>
    <row r="113" spans="1:13" ht="15" customHeight="1" outlineLevel="1">
      <c r="B113" s="16" t="s">
        <v>52</v>
      </c>
      <c r="D113" s="125">
        <v>5671</v>
      </c>
      <c r="E113" s="79">
        <f>D115</f>
        <v>5289.0000000000027</v>
      </c>
      <c r="F113" s="79">
        <f t="shared" ref="F113:K113" si="62">E115</f>
        <v>5918.0000000000027</v>
      </c>
      <c r="G113" s="79">
        <f t="shared" si="62"/>
        <v>10158.783447912323</v>
      </c>
      <c r="H113" s="79">
        <f t="shared" si="62"/>
        <v>18451.374550453682</v>
      </c>
      <c r="I113" s="79">
        <f t="shared" si="62"/>
        <v>18232.936769848904</v>
      </c>
      <c r="J113" s="79">
        <f t="shared" si="62"/>
        <v>18167.732102407837</v>
      </c>
      <c r="K113" s="79">
        <f t="shared" si="62"/>
        <v>18270.750594920311</v>
      </c>
    </row>
    <row r="114" spans="1:13" ht="15" customHeight="1" outlineLevel="1">
      <c r="B114" s="16" t="s">
        <v>51</v>
      </c>
      <c r="D114" s="79">
        <f>(D101+D105+D111)</f>
        <v>-381.99999999999727</v>
      </c>
      <c r="E114" s="79">
        <f t="shared" ref="E114:K114" si="63">(E101+E105+E111)</f>
        <v>629</v>
      </c>
      <c r="F114" s="79">
        <f t="shared" si="63"/>
        <v>4240.7834479123212</v>
      </c>
      <c r="G114" s="79">
        <f t="shared" si="63"/>
        <v>8292.5911025413589</v>
      </c>
      <c r="H114" s="79">
        <f t="shared" si="63"/>
        <v>-218.43778060477689</v>
      </c>
      <c r="I114" s="79">
        <f t="shared" si="63"/>
        <v>-65.204667441067613</v>
      </c>
      <c r="J114" s="79">
        <f t="shared" si="63"/>
        <v>103.01849251247495</v>
      </c>
      <c r="K114" s="79">
        <f t="shared" si="63"/>
        <v>287.39222206322393</v>
      </c>
    </row>
    <row r="115" spans="1:13" ht="15" customHeight="1" outlineLevel="1" thickBot="1">
      <c r="B115" s="19" t="s">
        <v>53</v>
      </c>
      <c r="C115" s="19"/>
      <c r="D115" s="83">
        <f>D113+D114</f>
        <v>5289.0000000000027</v>
      </c>
      <c r="E115" s="83">
        <f t="shared" ref="E115:K115" si="64">E113+E114</f>
        <v>5918.0000000000027</v>
      </c>
      <c r="F115" s="83">
        <f t="shared" si="64"/>
        <v>10158.783447912323</v>
      </c>
      <c r="G115" s="83">
        <f t="shared" si="64"/>
        <v>18451.374550453682</v>
      </c>
      <c r="H115" s="83">
        <f t="shared" si="64"/>
        <v>18232.936769848904</v>
      </c>
      <c r="I115" s="83">
        <f t="shared" si="64"/>
        <v>18167.732102407837</v>
      </c>
      <c r="J115" s="83">
        <f t="shared" si="64"/>
        <v>18270.750594920311</v>
      </c>
      <c r="K115" s="83">
        <f t="shared" si="64"/>
        <v>18558.142816983534</v>
      </c>
    </row>
    <row r="116" spans="1:13" ht="15" customHeight="1" outlineLevel="1">
      <c r="B116" s="19"/>
      <c r="C116" s="19"/>
      <c r="D116" s="61"/>
      <c r="E116" s="61"/>
      <c r="F116" s="61"/>
      <c r="G116" s="61"/>
      <c r="H116" s="61"/>
      <c r="I116" s="61"/>
      <c r="J116" s="61"/>
      <c r="K116" s="61"/>
    </row>
    <row r="117" spans="1:13" ht="15" customHeight="1" outlineLevel="1">
      <c r="B117" s="42"/>
      <c r="C117" s="42"/>
      <c r="D117" s="73"/>
      <c r="E117" s="73"/>
      <c r="F117" s="73"/>
      <c r="G117" s="73"/>
      <c r="H117" s="73"/>
      <c r="I117" s="73"/>
      <c r="J117" s="73"/>
      <c r="K117" s="73"/>
    </row>
    <row r="118" spans="1:13" ht="15" customHeight="1">
      <c r="D118" s="67"/>
      <c r="E118" s="67"/>
      <c r="F118" s="67"/>
      <c r="G118" s="67"/>
      <c r="H118" s="67"/>
      <c r="I118" s="67"/>
      <c r="J118" s="67"/>
      <c r="K118" s="67"/>
    </row>
    <row r="119" spans="1:13" s="123" customFormat="1" ht="20">
      <c r="A119" s="18" t="s">
        <v>76</v>
      </c>
      <c r="B119" s="137" t="s">
        <v>101</v>
      </c>
      <c r="C119" s="137"/>
      <c r="D119" s="138"/>
      <c r="E119" s="138"/>
      <c r="F119" s="138"/>
      <c r="G119" s="138"/>
      <c r="H119" s="138"/>
      <c r="I119" s="138"/>
      <c r="J119" s="138"/>
      <c r="K119" s="138"/>
      <c r="L119" s="18"/>
    </row>
    <row r="120" spans="1:13" s="123" customFormat="1" ht="15" customHeight="1" outlineLevel="1">
      <c r="A120" s="18"/>
      <c r="B120" s="36"/>
      <c r="C120" s="36"/>
      <c r="D120" s="69"/>
      <c r="E120" s="69"/>
      <c r="F120" s="69"/>
      <c r="G120" s="69"/>
      <c r="H120" s="69"/>
      <c r="I120" s="69"/>
      <c r="J120" s="69"/>
      <c r="K120" s="69"/>
      <c r="L120" s="18"/>
    </row>
    <row r="121" spans="1:13" s="123" customFormat="1" ht="15" customHeight="1" outlineLevel="1">
      <c r="A121" s="18"/>
      <c r="B121" s="40" t="s">
        <v>77</v>
      </c>
      <c r="C121" s="40"/>
      <c r="D121" s="158">
        <f t="shared" ref="D121:K121" si="65">+D$4</f>
        <v>-2</v>
      </c>
      <c r="E121" s="159">
        <f t="shared" si="65"/>
        <v>-1</v>
      </c>
      <c r="F121" s="159">
        <f t="shared" si="65"/>
        <v>0</v>
      </c>
      <c r="G121" s="159">
        <f t="shared" si="65"/>
        <v>1</v>
      </c>
      <c r="H121" s="159">
        <f t="shared" si="65"/>
        <v>2</v>
      </c>
      <c r="I121" s="159">
        <f t="shared" si="65"/>
        <v>3</v>
      </c>
      <c r="J121" s="159">
        <f t="shared" si="65"/>
        <v>4</v>
      </c>
      <c r="K121" s="160">
        <f t="shared" si="65"/>
        <v>5</v>
      </c>
      <c r="L121" s="18"/>
    </row>
    <row r="122" spans="1:13" s="123" customFormat="1" ht="15" customHeight="1" outlineLevel="1">
      <c r="A122" s="18"/>
      <c r="B122" s="36"/>
      <c r="C122" s="36"/>
      <c r="D122" s="69"/>
      <c r="E122" s="69"/>
      <c r="F122" s="69"/>
      <c r="G122" s="69"/>
      <c r="H122" s="69"/>
      <c r="I122" s="69"/>
      <c r="J122" s="69"/>
      <c r="K122" s="69"/>
      <c r="L122" s="18"/>
    </row>
    <row r="123" spans="1:13" ht="15" customHeight="1" outlineLevel="1">
      <c r="B123" s="16" t="s">
        <v>2</v>
      </c>
      <c r="D123" s="84">
        <f>D6</f>
        <v>365</v>
      </c>
      <c r="E123" s="82">
        <f t="shared" ref="E123:K123" si="66">E6</f>
        <v>365</v>
      </c>
      <c r="F123" s="82">
        <f t="shared" si="66"/>
        <v>365</v>
      </c>
      <c r="G123" s="82">
        <f t="shared" si="66"/>
        <v>365</v>
      </c>
      <c r="H123" s="82">
        <f t="shared" si="66"/>
        <v>365</v>
      </c>
      <c r="I123" s="82">
        <f t="shared" si="66"/>
        <v>365</v>
      </c>
      <c r="J123" s="82">
        <f t="shared" si="66"/>
        <v>365</v>
      </c>
      <c r="K123" s="85">
        <f t="shared" si="66"/>
        <v>365</v>
      </c>
      <c r="M123" s="22"/>
    </row>
    <row r="124" spans="1:13" ht="15" customHeight="1" outlineLevel="1">
      <c r="B124" s="16" t="s">
        <v>64</v>
      </c>
      <c r="D124" s="86">
        <f>D36</f>
        <v>81422</v>
      </c>
      <c r="E124" s="99">
        <f t="shared" ref="E124:K124" si="67">E36</f>
        <v>86698</v>
      </c>
      <c r="F124" s="99">
        <f t="shared" si="67"/>
        <v>93085.92</v>
      </c>
      <c r="G124" s="99">
        <f t="shared" si="67"/>
        <v>98671.075200000007</v>
      </c>
      <c r="H124" s="99">
        <f t="shared" si="67"/>
        <v>104591.33971200002</v>
      </c>
      <c r="I124" s="99">
        <f t="shared" si="67"/>
        <v>110866.82009472002</v>
      </c>
      <c r="J124" s="99">
        <f t="shared" si="67"/>
        <v>117518.82930040323</v>
      </c>
      <c r="K124" s="88">
        <f t="shared" si="67"/>
        <v>124569.95905842743</v>
      </c>
      <c r="M124" s="22"/>
    </row>
    <row r="125" spans="1:13" ht="15" customHeight="1" outlineLevel="1">
      <c r="B125" s="16" t="s">
        <v>18</v>
      </c>
      <c r="D125" s="86">
        <f>-D37</f>
        <v>38121</v>
      </c>
      <c r="E125" s="99">
        <f t="shared" ref="E125:K125" si="68">-E37</f>
        <v>37756</v>
      </c>
      <c r="F125" s="99">
        <f t="shared" si="68"/>
        <v>39638.663999999997</v>
      </c>
      <c r="G125" s="99">
        <f t="shared" si="68"/>
        <v>-44401.983840000001</v>
      </c>
      <c r="H125" s="99">
        <f t="shared" si="68"/>
        <v>-47066.102870400005</v>
      </c>
      <c r="I125" s="99">
        <f t="shared" si="68"/>
        <v>-49890.069042624003</v>
      </c>
      <c r="J125" s="99">
        <f t="shared" si="68"/>
        <v>-52883.47318518145</v>
      </c>
      <c r="K125" s="88">
        <f t="shared" si="68"/>
        <v>-56056.481576292339</v>
      </c>
      <c r="M125" s="22"/>
    </row>
    <row r="126" spans="1:13" ht="15" customHeight="1" outlineLevel="1">
      <c r="B126" s="16" t="s">
        <v>26</v>
      </c>
      <c r="D126" s="89">
        <f>-D49</f>
        <v>2761</v>
      </c>
      <c r="E126" s="90">
        <f t="shared" ref="E126:K126" si="69">-E49</f>
        <v>2429</v>
      </c>
      <c r="F126" s="90">
        <f t="shared" si="69"/>
        <v>1570.1652240000001</v>
      </c>
      <c r="G126" s="90">
        <f t="shared" si="69"/>
        <v>2255.6554752000015</v>
      </c>
      <c r="H126" s="90">
        <f t="shared" si="69"/>
        <v>2616.7088037120016</v>
      </c>
      <c r="I126" s="90">
        <f t="shared" si="69"/>
        <v>3007.2193319347239</v>
      </c>
      <c r="J126" s="90">
        <f t="shared" si="69"/>
        <v>3429.2724918508088</v>
      </c>
      <c r="K126" s="91">
        <f t="shared" si="69"/>
        <v>3885.1148413618571</v>
      </c>
      <c r="M126" s="22"/>
    </row>
    <row r="127" spans="1:13" ht="15" customHeight="1" outlineLevel="1">
      <c r="B127" s="19"/>
      <c r="C127" s="19"/>
      <c r="D127" s="38"/>
      <c r="E127" s="38"/>
      <c r="F127" s="38"/>
      <c r="G127" s="74"/>
      <c r="H127" s="74"/>
      <c r="I127" s="74"/>
      <c r="J127" s="74"/>
      <c r="K127" s="74"/>
      <c r="M127" s="22"/>
    </row>
    <row r="128" spans="1:13" ht="15" customHeight="1" outlineLevel="1">
      <c r="B128" s="16" t="s">
        <v>31</v>
      </c>
      <c r="C128" s="98" t="s">
        <v>96</v>
      </c>
      <c r="D128" s="79">
        <f>D20</f>
        <v>56.864545208911593</v>
      </c>
      <c r="E128" s="79">
        <f t="shared" ref="E128:K128" si="70">E20</f>
        <v>59.251770513737341</v>
      </c>
      <c r="F128" s="79">
        <f t="shared" si="70"/>
        <v>57.723457210284863</v>
      </c>
      <c r="G128" s="79">
        <f t="shared" si="70"/>
        <v>60</v>
      </c>
      <c r="H128" s="79">
        <f t="shared" si="70"/>
        <v>60</v>
      </c>
      <c r="I128" s="79">
        <f t="shared" si="70"/>
        <v>60</v>
      </c>
      <c r="J128" s="79">
        <f t="shared" si="70"/>
        <v>60</v>
      </c>
      <c r="K128" s="79">
        <f t="shared" si="70"/>
        <v>60</v>
      </c>
    </row>
    <row r="129" spans="2:13" ht="15" customHeight="1" outlineLevel="1">
      <c r="B129" s="16" t="s">
        <v>74</v>
      </c>
      <c r="C129" s="98" t="s">
        <v>96</v>
      </c>
      <c r="D129" s="79">
        <f>D21</f>
        <v>68.631987618373074</v>
      </c>
      <c r="E129" s="79">
        <f t="shared" ref="E129:K129" si="71">E21</f>
        <v>74.351493802309562</v>
      </c>
      <c r="F129" s="79">
        <f t="shared" si="71"/>
        <v>74</v>
      </c>
      <c r="G129" s="79">
        <f t="shared" si="71"/>
        <v>75</v>
      </c>
      <c r="H129" s="79">
        <f t="shared" si="71"/>
        <v>75</v>
      </c>
      <c r="I129" s="79">
        <f t="shared" si="71"/>
        <v>75</v>
      </c>
      <c r="J129" s="79">
        <f t="shared" si="71"/>
        <v>75</v>
      </c>
      <c r="K129" s="79">
        <f t="shared" si="71"/>
        <v>75</v>
      </c>
    </row>
    <row r="130" spans="2:13" ht="15" customHeight="1" outlineLevel="1">
      <c r="B130" s="16" t="s">
        <v>36</v>
      </c>
      <c r="C130" s="98" t="s">
        <v>96</v>
      </c>
      <c r="D130" s="79">
        <f>D22</f>
        <v>95.757325358726149</v>
      </c>
      <c r="E130" s="79">
        <f t="shared" ref="E130:K130" si="72">E22</f>
        <v>101.54571458840979</v>
      </c>
      <c r="F130" s="79">
        <f t="shared" si="72"/>
        <v>102</v>
      </c>
      <c r="G130" s="79">
        <f t="shared" si="72"/>
        <v>100</v>
      </c>
      <c r="H130" s="79">
        <f t="shared" si="72"/>
        <v>100</v>
      </c>
      <c r="I130" s="79">
        <f t="shared" si="72"/>
        <v>100</v>
      </c>
      <c r="J130" s="79">
        <f t="shared" si="72"/>
        <v>100</v>
      </c>
      <c r="K130" s="79">
        <f t="shared" si="72"/>
        <v>100</v>
      </c>
    </row>
    <row r="131" spans="2:13" ht="15" customHeight="1" outlineLevel="1">
      <c r="B131" s="22" t="s">
        <v>98</v>
      </c>
      <c r="D131" s="78">
        <f>D23</f>
        <v>0.39406012314378847</v>
      </c>
      <c r="E131" s="78">
        <f t="shared" ref="E131:K131" si="73">E23</f>
        <v>0.36805269658295597</v>
      </c>
      <c r="F131" s="78">
        <f t="shared" si="73"/>
        <v>0.37002475352237196</v>
      </c>
      <c r="G131" s="78">
        <f t="shared" si="73"/>
        <v>0.37</v>
      </c>
      <c r="H131" s="78">
        <f t="shared" si="73"/>
        <v>0.37</v>
      </c>
      <c r="I131" s="78">
        <f t="shared" si="73"/>
        <v>0.37</v>
      </c>
      <c r="J131" s="78">
        <f t="shared" si="73"/>
        <v>0.37</v>
      </c>
      <c r="K131" s="78">
        <f t="shared" si="73"/>
        <v>0.37</v>
      </c>
    </row>
    <row r="132" spans="2:13" ht="15" customHeight="1" outlineLevel="1">
      <c r="D132" s="38"/>
      <c r="E132" s="38"/>
      <c r="F132" s="38"/>
      <c r="G132" s="74"/>
      <c r="H132" s="74"/>
      <c r="I132" s="74"/>
      <c r="J132" s="74"/>
      <c r="K132" s="74"/>
      <c r="M132" s="22"/>
    </row>
    <row r="133" spans="2:13" ht="15" customHeight="1" outlineLevel="1">
      <c r="B133" s="19" t="s">
        <v>105</v>
      </c>
      <c r="D133" s="38"/>
      <c r="E133" s="38"/>
      <c r="F133" s="38"/>
      <c r="G133" s="74"/>
      <c r="H133" s="74"/>
      <c r="I133" s="74"/>
      <c r="J133" s="74"/>
      <c r="K133" s="74"/>
      <c r="M133" s="22"/>
    </row>
    <row r="134" spans="2:13" ht="15" customHeight="1" outlineLevel="1">
      <c r="B134" s="16" t="s">
        <v>31</v>
      </c>
      <c r="D134" s="87">
        <f>(D124/D123)*D128</f>
        <v>12685</v>
      </c>
      <c r="E134" s="87">
        <f t="shared" ref="E134:K134" si="74">(E124/E123)*E128</f>
        <v>14074</v>
      </c>
      <c r="F134" s="87">
        <f t="shared" si="74"/>
        <v>14721.208547945205</v>
      </c>
      <c r="G134" s="87">
        <f t="shared" si="74"/>
        <v>16219.902772602742</v>
      </c>
      <c r="H134" s="87">
        <f t="shared" si="74"/>
        <v>17193.096938958908</v>
      </c>
      <c r="I134" s="87">
        <f t="shared" si="74"/>
        <v>18224.682755296442</v>
      </c>
      <c r="J134" s="87">
        <f t="shared" si="74"/>
        <v>19318.16372061423</v>
      </c>
      <c r="K134" s="87">
        <f t="shared" si="74"/>
        <v>20477.253543851082</v>
      </c>
    </row>
    <row r="135" spans="2:13" ht="15" customHeight="1" outlineLevel="1">
      <c r="B135" s="16" t="s">
        <v>74</v>
      </c>
      <c r="D135" s="87">
        <f>(D125/D123)*D129</f>
        <v>7168</v>
      </c>
      <c r="E135" s="87">
        <f t="shared" ref="E135:F135" si="75">(E125/E123)*E129</f>
        <v>7691</v>
      </c>
      <c r="F135" s="87">
        <f t="shared" si="75"/>
        <v>8036.3318794520537</v>
      </c>
      <c r="G135" s="87">
        <f>-(G125/G123)*G129</f>
        <v>9123.6953095890403</v>
      </c>
      <c r="H135" s="87">
        <f t="shared" ref="H135:K135" si="76">-(H125/H123)*H129</f>
        <v>9671.1170281643845</v>
      </c>
      <c r="I135" s="87">
        <f t="shared" si="76"/>
        <v>10251.384049854247</v>
      </c>
      <c r="J135" s="87">
        <f t="shared" si="76"/>
        <v>10866.467092845505</v>
      </c>
      <c r="K135" s="87">
        <f t="shared" si="76"/>
        <v>11518.455118416234</v>
      </c>
    </row>
    <row r="136" spans="2:13" ht="15" customHeight="1" outlineLevel="1">
      <c r="B136" s="16" t="s">
        <v>36</v>
      </c>
      <c r="D136" s="87">
        <f>(D125/D123)*D130</f>
        <v>10001</v>
      </c>
      <c r="E136" s="87">
        <f t="shared" ref="E136:F136" si="77">(E125/E123)*E130</f>
        <v>10504.000000000002</v>
      </c>
      <c r="F136" s="87">
        <f t="shared" si="77"/>
        <v>11077.106104109587</v>
      </c>
      <c r="G136" s="87">
        <f>-(G125/G123)*G130</f>
        <v>12164.927079452054</v>
      </c>
      <c r="H136" s="87">
        <f t="shared" ref="H136:K136" si="78">-(H125/H123)*H130</f>
        <v>12894.822704219181</v>
      </c>
      <c r="I136" s="87">
        <f t="shared" si="78"/>
        <v>13668.512066472329</v>
      </c>
      <c r="J136" s="87">
        <f t="shared" si="78"/>
        <v>14488.622790460673</v>
      </c>
      <c r="K136" s="87">
        <f t="shared" si="78"/>
        <v>15357.940157888312</v>
      </c>
    </row>
    <row r="137" spans="2:13" ht="15" customHeight="1" outlineLevel="1">
      <c r="B137" s="22" t="s">
        <v>13</v>
      </c>
      <c r="D137" s="87">
        <f>D131*D126</f>
        <v>1088</v>
      </c>
      <c r="E137" s="87">
        <f t="shared" ref="E137:K137" si="79">E131*E126</f>
        <v>894.00000000000011</v>
      </c>
      <c r="F137" s="87">
        <f t="shared" si="79"/>
        <v>581</v>
      </c>
      <c r="G137" s="87">
        <f t="shared" si="79"/>
        <v>834.59252582400052</v>
      </c>
      <c r="H137" s="87">
        <f t="shared" si="79"/>
        <v>968.18225737344051</v>
      </c>
      <c r="I137" s="87">
        <f t="shared" si="79"/>
        <v>1112.6711528158478</v>
      </c>
      <c r="J137" s="87">
        <f t="shared" si="79"/>
        <v>1268.8308219847993</v>
      </c>
      <c r="K137" s="87">
        <f t="shared" si="79"/>
        <v>1437.4924913038872</v>
      </c>
    </row>
    <row r="138" spans="2:13" ht="15" customHeight="1" outlineLevel="1">
      <c r="D138" s="38"/>
      <c r="E138" s="38"/>
      <c r="F138" s="38"/>
      <c r="G138" s="37"/>
      <c r="H138" s="37"/>
      <c r="I138" s="37"/>
      <c r="J138" s="37"/>
      <c r="K138" s="37"/>
      <c r="M138" s="22"/>
    </row>
    <row r="139" spans="2:13" ht="15" customHeight="1" outlineLevel="1">
      <c r="B139" s="4" t="s">
        <v>104</v>
      </c>
      <c r="C139" s="4"/>
      <c r="D139" s="38"/>
      <c r="E139" s="38"/>
      <c r="F139" s="38"/>
      <c r="G139" s="37"/>
      <c r="H139" s="37"/>
      <c r="I139" s="37"/>
      <c r="J139" s="37"/>
      <c r="K139" s="37"/>
      <c r="M139" s="22"/>
    </row>
    <row r="140" spans="2:13" ht="15" customHeight="1" outlineLevel="1">
      <c r="B140" s="2" t="s">
        <v>31</v>
      </c>
      <c r="C140" s="2"/>
      <c r="D140" s="132">
        <v>-1280</v>
      </c>
      <c r="E140" s="87">
        <f>D134-E134</f>
        <v>-1389</v>
      </c>
      <c r="F140" s="87">
        <f t="shared" ref="F140:K140" si="80">E134-F134</f>
        <v>-647.20854794520528</v>
      </c>
      <c r="G140" s="87">
        <f t="shared" si="80"/>
        <v>-1498.6942246575363</v>
      </c>
      <c r="H140" s="87">
        <f t="shared" si="80"/>
        <v>-973.19416635616653</v>
      </c>
      <c r="I140" s="87">
        <f t="shared" si="80"/>
        <v>-1031.5858163375342</v>
      </c>
      <c r="J140" s="87">
        <f t="shared" si="80"/>
        <v>-1093.4809653177872</v>
      </c>
      <c r="K140" s="87">
        <f t="shared" si="80"/>
        <v>-1159.0898232368527</v>
      </c>
      <c r="M140" s="22"/>
    </row>
    <row r="141" spans="2:13" ht="15" customHeight="1" outlineLevel="1">
      <c r="B141" s="2" t="s">
        <v>74</v>
      </c>
      <c r="C141" s="2"/>
      <c r="D141" s="132">
        <v>-470</v>
      </c>
      <c r="E141" s="87">
        <f>D135-E135</f>
        <v>-523</v>
      </c>
      <c r="F141" s="87">
        <f t="shared" ref="F141:K141" si="81">E135-F135</f>
        <v>-345.33187945205373</v>
      </c>
      <c r="G141" s="87">
        <f t="shared" si="81"/>
        <v>-1087.3634301369866</v>
      </c>
      <c r="H141" s="87">
        <f t="shared" si="81"/>
        <v>-547.42171857534413</v>
      </c>
      <c r="I141" s="87">
        <f t="shared" si="81"/>
        <v>-580.2670216898623</v>
      </c>
      <c r="J141" s="87">
        <f t="shared" si="81"/>
        <v>-615.08304299125848</v>
      </c>
      <c r="K141" s="87">
        <f t="shared" si="81"/>
        <v>-651.9880255707285</v>
      </c>
      <c r="M141" s="22"/>
    </row>
    <row r="142" spans="2:13" ht="15" customHeight="1" outlineLevel="1">
      <c r="B142" s="2" t="s">
        <v>36</v>
      </c>
      <c r="C142" s="2"/>
      <c r="D142" s="133">
        <v>490</v>
      </c>
      <c r="E142" s="87">
        <f>E136-D136</f>
        <v>503.00000000000182</v>
      </c>
      <c r="F142" s="87">
        <f t="shared" ref="F142:K142" si="82">F136-E136</f>
        <v>573.10610410958543</v>
      </c>
      <c r="G142" s="87">
        <f>G136-F136</f>
        <v>1087.8209753424671</v>
      </c>
      <c r="H142" s="87">
        <f t="shared" si="82"/>
        <v>729.89562476712672</v>
      </c>
      <c r="I142" s="87">
        <f t="shared" si="82"/>
        <v>773.68936225314792</v>
      </c>
      <c r="J142" s="87">
        <f t="shared" si="82"/>
        <v>820.11072398834403</v>
      </c>
      <c r="K142" s="87">
        <f t="shared" si="82"/>
        <v>869.3173674276386</v>
      </c>
      <c r="M142" s="22"/>
    </row>
    <row r="143" spans="2:13" ht="15" customHeight="1" outlineLevel="1">
      <c r="B143" s="2" t="s">
        <v>37</v>
      </c>
      <c r="C143" s="2"/>
      <c r="D143" s="133">
        <v>50</v>
      </c>
      <c r="E143" s="93">
        <f>E137-D137</f>
        <v>-193.99999999999989</v>
      </c>
      <c r="F143" s="93">
        <f t="shared" ref="F143:K143" si="83">F137-E137</f>
        <v>-313.00000000000011</v>
      </c>
      <c r="G143" s="93">
        <f t="shared" si="83"/>
        <v>253.59252582400052</v>
      </c>
      <c r="H143" s="93">
        <f t="shared" si="83"/>
        <v>133.58973154943999</v>
      </c>
      <c r="I143" s="93">
        <f t="shared" si="83"/>
        <v>144.48889544240728</v>
      </c>
      <c r="J143" s="93">
        <f t="shared" si="83"/>
        <v>156.1596691689515</v>
      </c>
      <c r="K143" s="93">
        <f t="shared" si="83"/>
        <v>168.66166931908788</v>
      </c>
      <c r="M143" s="22"/>
    </row>
    <row r="144" spans="2:13" ht="15" customHeight="1" outlineLevel="1" thickBot="1">
      <c r="B144" s="2" t="s">
        <v>75</v>
      </c>
      <c r="C144" s="2"/>
      <c r="D144" s="92">
        <f>SUM(D140:D143)</f>
        <v>-1210</v>
      </c>
      <c r="E144" s="92">
        <f>SUM(E140:E143)</f>
        <v>-1602.9999999999982</v>
      </c>
      <c r="F144" s="92">
        <f t="shared" ref="F144:K144" si="84">SUM(F140:F143)</f>
        <v>-732.43432328767369</v>
      </c>
      <c r="G144" s="92">
        <f t="shared" si="84"/>
        <v>-1244.6441536280554</v>
      </c>
      <c r="H144" s="92">
        <f t="shared" si="84"/>
        <v>-657.13052861494396</v>
      </c>
      <c r="I144" s="92">
        <f t="shared" si="84"/>
        <v>-693.6745803318413</v>
      </c>
      <c r="J144" s="92">
        <f t="shared" si="84"/>
        <v>-732.29361515175015</v>
      </c>
      <c r="K144" s="92">
        <f t="shared" si="84"/>
        <v>-773.0988120608547</v>
      </c>
      <c r="M144" s="22"/>
    </row>
    <row r="145" spans="1:13" ht="15" customHeight="1" outlineLevel="1">
      <c r="B145" s="2"/>
      <c r="C145" s="2"/>
      <c r="D145" s="39"/>
      <c r="E145" s="39"/>
      <c r="F145" s="39"/>
      <c r="G145" s="39"/>
      <c r="H145" s="39"/>
      <c r="I145" s="39"/>
      <c r="J145" s="39"/>
      <c r="K145" s="39"/>
      <c r="M145" s="22"/>
    </row>
    <row r="146" spans="1:13" ht="15" customHeight="1" outlineLevel="1">
      <c r="B146" s="16" t="s">
        <v>64</v>
      </c>
      <c r="C146" s="40"/>
      <c r="D146" s="108">
        <f>D124</f>
        <v>81422</v>
      </c>
      <c r="E146" s="109">
        <f t="shared" ref="E146:K146" si="85">E124</f>
        <v>86698</v>
      </c>
      <c r="F146" s="109">
        <f t="shared" si="85"/>
        <v>93085.92</v>
      </c>
      <c r="G146" s="109">
        <f t="shared" si="85"/>
        <v>98671.075200000007</v>
      </c>
      <c r="H146" s="109">
        <f t="shared" si="85"/>
        <v>104591.33971200002</v>
      </c>
      <c r="I146" s="109">
        <f t="shared" si="85"/>
        <v>110866.82009472002</v>
      </c>
      <c r="J146" s="109">
        <f t="shared" si="85"/>
        <v>117518.82930040323</v>
      </c>
      <c r="K146" s="110">
        <f t="shared" si="85"/>
        <v>124569.95905842743</v>
      </c>
      <c r="M146"/>
    </row>
    <row r="147" spans="1:13" ht="15" customHeight="1" outlineLevel="1">
      <c r="B147" s="22" t="s">
        <v>94</v>
      </c>
      <c r="C147" s="98" t="s">
        <v>97</v>
      </c>
      <c r="D147" s="111">
        <f>D19</f>
        <v>4.2268597830036869</v>
      </c>
      <c r="E147" s="112">
        <f t="shared" ref="E147:K147" si="86">E19</f>
        <v>4.2559520887536202</v>
      </c>
      <c r="F147" s="112">
        <f t="shared" si="86"/>
        <v>4.3960292798110974</v>
      </c>
      <c r="G147" s="112">
        <f>G19</f>
        <v>4.25</v>
      </c>
      <c r="H147" s="112">
        <f t="shared" si="86"/>
        <v>4.25</v>
      </c>
      <c r="I147" s="112">
        <f t="shared" si="86"/>
        <v>4.25</v>
      </c>
      <c r="J147" s="112">
        <f t="shared" si="86"/>
        <v>4.25</v>
      </c>
      <c r="K147" s="113">
        <f t="shared" si="86"/>
        <v>4.25</v>
      </c>
    </row>
    <row r="148" spans="1:13" ht="15" customHeight="1" outlineLevel="1">
      <c r="B148" s="22" t="s">
        <v>85</v>
      </c>
      <c r="C148" s="98"/>
      <c r="D148" s="114">
        <f>D14</f>
        <v>3.6353811009309525E-2</v>
      </c>
      <c r="E148" s="115">
        <f t="shared" ref="E148:K148" si="87">E14</f>
        <v>3.2330618930079123E-2</v>
      </c>
      <c r="F148" s="115">
        <f t="shared" si="87"/>
        <v>3.1227444064580338E-2</v>
      </c>
      <c r="G148" s="115">
        <f t="shared" si="87"/>
        <v>3.2000000000000001E-2</v>
      </c>
      <c r="H148" s="115">
        <f t="shared" si="87"/>
        <v>3.2000000000000001E-2</v>
      </c>
      <c r="I148" s="115">
        <f t="shared" si="87"/>
        <v>3.2000000000000001E-2</v>
      </c>
      <c r="J148" s="115">
        <f t="shared" si="87"/>
        <v>3.2000000000000001E-2</v>
      </c>
      <c r="K148" s="116">
        <f t="shared" si="87"/>
        <v>3.2000000000000001E-2</v>
      </c>
    </row>
    <row r="149" spans="1:13" ht="15" customHeight="1" outlineLevel="1">
      <c r="B149" s="40"/>
      <c r="C149" s="40"/>
      <c r="D149" s="70"/>
      <c r="E149" s="70"/>
      <c r="F149" s="70"/>
      <c r="G149" s="70"/>
      <c r="H149" s="70"/>
      <c r="I149" s="70"/>
      <c r="J149" s="70"/>
      <c r="K149" s="70"/>
    </row>
    <row r="150" spans="1:13" ht="15" customHeight="1" outlineLevel="1">
      <c r="B150" s="19" t="s">
        <v>86</v>
      </c>
      <c r="C150" s="19"/>
      <c r="D150" s="67"/>
      <c r="E150" s="67"/>
      <c r="F150" s="67"/>
      <c r="G150" s="67"/>
      <c r="H150" s="67"/>
      <c r="I150" s="67"/>
      <c r="J150" s="67"/>
      <c r="K150" s="67"/>
    </row>
    <row r="151" spans="1:13" ht="15" customHeight="1" outlineLevel="1">
      <c r="B151" s="16" t="s">
        <v>54</v>
      </c>
      <c r="D151" s="79">
        <f>D154-D153-D152</f>
        <v>19218</v>
      </c>
      <c r="E151" s="79">
        <f>D154</f>
        <v>19262.999999999996</v>
      </c>
      <c r="F151" s="79">
        <f>E154</f>
        <v>20371</v>
      </c>
      <c r="G151" s="79">
        <f t="shared" ref="G151:K151" si="88">F154</f>
        <v>21175.000000000004</v>
      </c>
      <c r="H151" s="79">
        <f t="shared" si="88"/>
        <v>23216.723576470591</v>
      </c>
      <c r="I151" s="79">
        <f t="shared" si="88"/>
        <v>24609.726991058826</v>
      </c>
      <c r="J151" s="79">
        <f t="shared" si="88"/>
        <v>26086.31061052236</v>
      </c>
      <c r="K151" s="79">
        <f t="shared" si="88"/>
        <v>27651.489247153702</v>
      </c>
    </row>
    <row r="152" spans="1:13" ht="15" customHeight="1" outlineLevel="1">
      <c r="B152" s="16" t="s">
        <v>55</v>
      </c>
      <c r="D152" s="79">
        <f>-D104</f>
        <v>3004.9999999999973</v>
      </c>
      <c r="E152" s="79">
        <f t="shared" ref="E152" si="89">-E104</f>
        <v>3911.0000000000018</v>
      </c>
      <c r="F152" s="79">
        <f>-F104</f>
        <v>3710.8353600000046</v>
      </c>
      <c r="G152" s="79">
        <f>G154-G151-G153</f>
        <v>5199.197982870588</v>
      </c>
      <c r="H152" s="79">
        <f t="shared" ref="H152:K152" si="90">H154-H151-H153</f>
        <v>4739.9262853722357</v>
      </c>
      <c r="I152" s="79">
        <f t="shared" si="90"/>
        <v>5024.3218624945748</v>
      </c>
      <c r="J152" s="79">
        <f t="shared" si="90"/>
        <v>5325.7811742442464</v>
      </c>
      <c r="K152" s="79">
        <f t="shared" si="90"/>
        <v>5645.3280446989002</v>
      </c>
    </row>
    <row r="153" spans="1:13" ht="15" customHeight="1" outlineLevel="1">
      <c r="B153" s="16" t="s">
        <v>56</v>
      </c>
      <c r="D153" s="79">
        <f>-D148*D146</f>
        <v>-2960</v>
      </c>
      <c r="E153" s="79">
        <f>-E148*E146</f>
        <v>-2803</v>
      </c>
      <c r="F153" s="79">
        <f t="shared" ref="F153:K153" si="91">-F148*F146</f>
        <v>-2906.83536</v>
      </c>
      <c r="G153" s="79">
        <f>-G148*G146</f>
        <v>-3157.4744064000001</v>
      </c>
      <c r="H153" s="79">
        <f t="shared" si="91"/>
        <v>-3346.9228707840007</v>
      </c>
      <c r="I153" s="79">
        <f t="shared" si="91"/>
        <v>-3547.7382430310408</v>
      </c>
      <c r="J153" s="79">
        <f t="shared" si="91"/>
        <v>-3760.6025376129037</v>
      </c>
      <c r="K153" s="79">
        <f t="shared" si="91"/>
        <v>-3986.2386898696777</v>
      </c>
    </row>
    <row r="154" spans="1:13" ht="15" customHeight="1" outlineLevel="1">
      <c r="B154" s="19" t="s">
        <v>87</v>
      </c>
      <c r="C154" s="19"/>
      <c r="D154" s="122">
        <f>D66</f>
        <v>19262.999999999996</v>
      </c>
      <c r="E154" s="80">
        <f>SUM(E151:E153)</f>
        <v>20371</v>
      </c>
      <c r="F154" s="80">
        <f t="shared" ref="F154" si="92">SUM(F151:F153)</f>
        <v>21175.000000000004</v>
      </c>
      <c r="G154" s="80">
        <f>G146/G147</f>
        <v>23216.723576470591</v>
      </c>
      <c r="H154" s="80">
        <f t="shared" ref="H154:K154" si="93">H146/H147</f>
        <v>24609.726991058826</v>
      </c>
      <c r="I154" s="80">
        <f t="shared" si="93"/>
        <v>26086.31061052236</v>
      </c>
      <c r="J154" s="80">
        <f t="shared" si="93"/>
        <v>27651.489247153702</v>
      </c>
      <c r="K154" s="80">
        <f t="shared" si="93"/>
        <v>29310.578601982925</v>
      </c>
      <c r="M154" s="117"/>
    </row>
    <row r="155" spans="1:13" ht="15" customHeight="1" outlineLevel="1">
      <c r="B155" s="44"/>
      <c r="C155" s="44"/>
      <c r="D155" s="68"/>
      <c r="E155" s="68"/>
      <c r="F155" s="68"/>
      <c r="G155" s="68"/>
      <c r="H155" s="68"/>
      <c r="I155" s="68"/>
      <c r="J155" s="68"/>
      <c r="K155" s="68"/>
    </row>
    <row r="156" spans="1:13" ht="15" customHeight="1">
      <c r="D156" s="67"/>
      <c r="E156" s="67"/>
      <c r="F156" s="67"/>
      <c r="G156" s="67"/>
      <c r="H156" s="67"/>
      <c r="I156" s="67"/>
      <c r="J156" s="67"/>
      <c r="K156" s="67"/>
    </row>
    <row r="157" spans="1:13" s="123" customFormat="1" ht="20">
      <c r="A157" s="18" t="s">
        <v>76</v>
      </c>
      <c r="B157" s="137" t="s">
        <v>102</v>
      </c>
      <c r="C157" s="137"/>
      <c r="D157" s="138"/>
      <c r="E157" s="138"/>
      <c r="F157" s="138"/>
      <c r="G157" s="138"/>
      <c r="H157" s="138"/>
      <c r="I157" s="138"/>
      <c r="J157" s="138"/>
      <c r="K157" s="138"/>
      <c r="L157" s="18"/>
    </row>
    <row r="158" spans="1:13" s="123" customFormat="1" ht="15" customHeight="1" outlineLevel="1">
      <c r="A158" s="18"/>
      <c r="B158" s="36"/>
      <c r="C158" s="36"/>
      <c r="D158" s="69"/>
      <c r="E158" s="69"/>
      <c r="F158" s="69"/>
      <c r="G158" s="69"/>
      <c r="H158" s="69"/>
      <c r="I158" s="69"/>
      <c r="J158" s="69"/>
      <c r="K158" s="69"/>
      <c r="L158" s="18"/>
    </row>
    <row r="159" spans="1:13" ht="15" customHeight="1" outlineLevel="1">
      <c r="B159" s="40" t="s">
        <v>77</v>
      </c>
      <c r="C159" s="40"/>
      <c r="D159" s="158">
        <f t="shared" ref="D159:K159" si="94">+D$4</f>
        <v>-2</v>
      </c>
      <c r="E159" s="159">
        <f t="shared" si="94"/>
        <v>-1</v>
      </c>
      <c r="F159" s="159">
        <f t="shared" si="94"/>
        <v>0</v>
      </c>
      <c r="G159" s="159">
        <f t="shared" si="94"/>
        <v>1</v>
      </c>
      <c r="H159" s="159">
        <f t="shared" si="94"/>
        <v>2</v>
      </c>
      <c r="I159" s="159">
        <f t="shared" si="94"/>
        <v>3</v>
      </c>
      <c r="J159" s="159">
        <f t="shared" si="94"/>
        <v>4</v>
      </c>
      <c r="K159" s="160">
        <f t="shared" si="94"/>
        <v>5</v>
      </c>
    </row>
    <row r="160" spans="1:13" ht="15" customHeight="1" outlineLevel="1">
      <c r="B160" s="40"/>
      <c r="C160" s="40"/>
      <c r="D160" s="70"/>
      <c r="E160" s="70"/>
      <c r="F160" s="70"/>
      <c r="G160" s="70"/>
      <c r="H160" s="70"/>
      <c r="I160" s="70"/>
      <c r="J160" s="70"/>
      <c r="K160" s="70"/>
    </row>
    <row r="161" spans="2:11" ht="15" customHeight="1" outlineLevel="1">
      <c r="B161" s="19" t="s">
        <v>44</v>
      </c>
      <c r="C161" s="19"/>
      <c r="D161" s="63"/>
      <c r="E161" s="63"/>
      <c r="F161" s="63"/>
      <c r="G161" s="63"/>
      <c r="H161" s="63"/>
      <c r="I161" s="63"/>
      <c r="J161" s="63"/>
      <c r="K161" s="63"/>
    </row>
    <row r="162" spans="2:11" ht="15" customHeight="1" outlineLevel="1">
      <c r="B162" s="19" t="s">
        <v>59</v>
      </c>
      <c r="C162" s="19"/>
      <c r="D162" s="67"/>
      <c r="E162" s="67"/>
      <c r="F162" s="67"/>
      <c r="G162" s="67"/>
      <c r="H162" s="67"/>
      <c r="I162" s="67"/>
      <c r="J162" s="67"/>
      <c r="K162" s="67"/>
    </row>
    <row r="163" spans="2:11" ht="15" customHeight="1" outlineLevel="1">
      <c r="B163" s="16" t="s">
        <v>54</v>
      </c>
      <c r="D163" s="81">
        <f>D165-D164</f>
        <v>20000</v>
      </c>
      <c r="E163" s="81">
        <f>D165</f>
        <v>20000</v>
      </c>
      <c r="F163" s="81">
        <f t="shared" ref="F163:K163" si="95">E165</f>
        <v>20000</v>
      </c>
      <c r="G163" s="81">
        <f t="shared" si="95"/>
        <v>20000</v>
      </c>
      <c r="H163" s="81">
        <f t="shared" si="95"/>
        <v>30000</v>
      </c>
      <c r="I163" s="81">
        <f t="shared" si="95"/>
        <v>30000</v>
      </c>
      <c r="J163" s="81">
        <f t="shared" si="95"/>
        <v>30000</v>
      </c>
      <c r="K163" s="81">
        <f t="shared" si="95"/>
        <v>30000</v>
      </c>
    </row>
    <row r="164" spans="2:11" ht="15" customHeight="1" outlineLevel="1">
      <c r="B164" s="16" t="s">
        <v>60</v>
      </c>
      <c r="D164" s="1"/>
      <c r="E164" s="79">
        <f>E165-E163</f>
        <v>0</v>
      </c>
      <c r="F164" s="79">
        <f t="shared" ref="F164:K164" si="96">F165-F163</f>
        <v>0</v>
      </c>
      <c r="G164" s="79">
        <f t="shared" si="96"/>
        <v>10000</v>
      </c>
      <c r="H164" s="79">
        <f t="shared" si="96"/>
        <v>0</v>
      </c>
      <c r="I164" s="79">
        <f t="shared" si="96"/>
        <v>0</v>
      </c>
      <c r="J164" s="79">
        <f t="shared" si="96"/>
        <v>0</v>
      </c>
      <c r="K164" s="79">
        <f t="shared" si="96"/>
        <v>0</v>
      </c>
    </row>
    <row r="165" spans="2:11" ht="15" customHeight="1" outlineLevel="1">
      <c r="B165" s="19" t="s">
        <v>89</v>
      </c>
      <c r="C165" s="19"/>
      <c r="D165" s="80">
        <f>D24</f>
        <v>20000</v>
      </c>
      <c r="E165" s="80">
        <f t="shared" ref="E165:K165" si="97">E24</f>
        <v>20000</v>
      </c>
      <c r="F165" s="80">
        <f t="shared" si="97"/>
        <v>20000</v>
      </c>
      <c r="G165" s="80">
        <f t="shared" si="97"/>
        <v>30000</v>
      </c>
      <c r="H165" s="80">
        <f t="shared" si="97"/>
        <v>30000</v>
      </c>
      <c r="I165" s="80">
        <f t="shared" si="97"/>
        <v>30000</v>
      </c>
      <c r="J165" s="80">
        <f t="shared" si="97"/>
        <v>30000</v>
      </c>
      <c r="K165" s="80">
        <f t="shared" si="97"/>
        <v>30000</v>
      </c>
    </row>
    <row r="166" spans="2:11" ht="15" customHeight="1" outlineLevel="1">
      <c r="B166" s="16" t="s">
        <v>44</v>
      </c>
      <c r="D166" s="67"/>
      <c r="E166" s="67"/>
      <c r="F166" s="67"/>
      <c r="G166" s="67"/>
      <c r="H166" s="67"/>
      <c r="I166" s="67"/>
      <c r="J166" s="67"/>
      <c r="K166" s="67"/>
    </row>
    <row r="167" spans="2:11" ht="15" customHeight="1" outlineLevel="1">
      <c r="B167" s="16" t="s">
        <v>99</v>
      </c>
      <c r="C167" s="19"/>
      <c r="D167" s="119">
        <f>D15</f>
        <v>6.2E-2</v>
      </c>
      <c r="E167" s="118">
        <f>E15</f>
        <v>6.2E-2</v>
      </c>
      <c r="F167" s="118">
        <f t="shared" ref="F167:K167" si="98">F15</f>
        <v>6.2E-2</v>
      </c>
      <c r="G167" s="118">
        <f t="shared" si="98"/>
        <v>6.2E-2</v>
      </c>
      <c r="H167" s="118">
        <f t="shared" si="98"/>
        <v>6.2E-2</v>
      </c>
      <c r="I167" s="118">
        <f t="shared" si="98"/>
        <v>6.2E-2</v>
      </c>
      <c r="J167" s="118">
        <f t="shared" si="98"/>
        <v>6.2E-2</v>
      </c>
      <c r="K167" s="118">
        <f t="shared" si="98"/>
        <v>6.2E-2</v>
      </c>
    </row>
    <row r="168" spans="2:11" ht="15" customHeight="1" outlineLevel="1">
      <c r="C168" s="19"/>
      <c r="D168" s="120"/>
      <c r="E168" s="120"/>
      <c r="F168" s="120"/>
      <c r="G168" s="120"/>
      <c r="H168" s="120"/>
      <c r="I168" s="120"/>
      <c r="J168" s="120"/>
      <c r="K168" s="120"/>
    </row>
    <row r="169" spans="2:11" ht="15" customHeight="1" outlineLevel="1">
      <c r="B169" s="16" t="s">
        <v>61</v>
      </c>
      <c r="D169" s="79">
        <f>D167*D165</f>
        <v>1240</v>
      </c>
      <c r="E169" s="79">
        <f t="shared" ref="E169:K169" si="99">E167*E165</f>
        <v>1240</v>
      </c>
      <c r="F169" s="79">
        <f t="shared" si="99"/>
        <v>1240</v>
      </c>
      <c r="G169" s="79">
        <f t="shared" si="99"/>
        <v>1860</v>
      </c>
      <c r="H169" s="79">
        <f t="shared" si="99"/>
        <v>1860</v>
      </c>
      <c r="I169" s="79">
        <f t="shared" si="99"/>
        <v>1860</v>
      </c>
      <c r="J169" s="79">
        <f t="shared" si="99"/>
        <v>1860</v>
      </c>
      <c r="K169" s="79">
        <f t="shared" si="99"/>
        <v>1860</v>
      </c>
    </row>
    <row r="170" spans="2:11" ht="15" customHeight="1" outlineLevel="1">
      <c r="B170" s="19" t="s">
        <v>62</v>
      </c>
      <c r="C170" s="19"/>
      <c r="D170" s="80">
        <f>D169</f>
        <v>1240</v>
      </c>
      <c r="E170" s="80">
        <f t="shared" ref="E170:K170" si="100">E169</f>
        <v>1240</v>
      </c>
      <c r="F170" s="80">
        <f t="shared" si="100"/>
        <v>1240</v>
      </c>
      <c r="G170" s="80">
        <f t="shared" si="100"/>
        <v>1860</v>
      </c>
      <c r="H170" s="80">
        <f t="shared" si="100"/>
        <v>1860</v>
      </c>
      <c r="I170" s="80">
        <f t="shared" si="100"/>
        <v>1860</v>
      </c>
      <c r="J170" s="80">
        <f t="shared" si="100"/>
        <v>1860</v>
      </c>
      <c r="K170" s="80">
        <f t="shared" si="100"/>
        <v>1860</v>
      </c>
    </row>
    <row r="171" spans="2:11" ht="15" customHeight="1" outlineLevel="1">
      <c r="D171" s="67"/>
      <c r="E171" s="67"/>
      <c r="F171" s="67"/>
      <c r="G171" s="67"/>
      <c r="H171" s="67"/>
      <c r="I171" s="67"/>
      <c r="J171" s="67"/>
      <c r="K171" s="67"/>
    </row>
    <row r="172" spans="2:11" ht="15" customHeight="1" outlineLevel="1">
      <c r="B172" s="19" t="s">
        <v>39</v>
      </c>
      <c r="D172" s="67"/>
      <c r="E172" s="67"/>
      <c r="F172" s="67"/>
      <c r="G172" s="67"/>
      <c r="H172" s="67"/>
      <c r="I172" s="67"/>
      <c r="J172" s="67"/>
      <c r="K172" s="67"/>
    </row>
    <row r="173" spans="2:11" ht="15" customHeight="1" outlineLevel="1">
      <c r="B173" s="16" t="s">
        <v>54</v>
      </c>
      <c r="D173" s="100">
        <f>D175-D174</f>
        <v>7627</v>
      </c>
      <c r="E173" s="100">
        <f>D175</f>
        <v>7627</v>
      </c>
      <c r="F173" s="100">
        <f t="shared" ref="F173:K173" si="101">E175</f>
        <v>7627</v>
      </c>
      <c r="G173" s="100">
        <f t="shared" si="101"/>
        <v>7627</v>
      </c>
      <c r="H173" s="100">
        <f t="shared" si="101"/>
        <v>7627</v>
      </c>
      <c r="I173" s="100">
        <f t="shared" si="101"/>
        <v>7627</v>
      </c>
      <c r="J173" s="100">
        <f t="shared" si="101"/>
        <v>7627</v>
      </c>
      <c r="K173" s="100">
        <f t="shared" si="101"/>
        <v>7627</v>
      </c>
    </row>
    <row r="174" spans="2:11" ht="15" customHeight="1" outlineLevel="1">
      <c r="B174" s="16" t="s">
        <v>60</v>
      </c>
      <c r="D174" s="67"/>
      <c r="E174" s="100">
        <f>E175-E173</f>
        <v>0</v>
      </c>
      <c r="F174" s="100">
        <f t="shared" ref="F174:K174" si="102">F175-F173</f>
        <v>0</v>
      </c>
      <c r="G174" s="100">
        <f t="shared" si="102"/>
        <v>0</v>
      </c>
      <c r="H174" s="100">
        <f t="shared" si="102"/>
        <v>0</v>
      </c>
      <c r="I174" s="100">
        <f t="shared" si="102"/>
        <v>0</v>
      </c>
      <c r="J174" s="100">
        <f t="shared" si="102"/>
        <v>0</v>
      </c>
      <c r="K174" s="100">
        <f t="shared" si="102"/>
        <v>0</v>
      </c>
    </row>
    <row r="175" spans="2:11" ht="15" customHeight="1" outlineLevel="1">
      <c r="B175" s="19" t="s">
        <v>100</v>
      </c>
      <c r="D175" s="101">
        <f>D25</f>
        <v>7627</v>
      </c>
      <c r="E175" s="101">
        <f t="shared" ref="E175:K175" si="103">E25</f>
        <v>7627</v>
      </c>
      <c r="F175" s="101">
        <f t="shared" si="103"/>
        <v>7627</v>
      </c>
      <c r="G175" s="101">
        <f t="shared" si="103"/>
        <v>7627</v>
      </c>
      <c r="H175" s="101">
        <f t="shared" si="103"/>
        <v>7627</v>
      </c>
      <c r="I175" s="101">
        <f t="shared" si="103"/>
        <v>7627</v>
      </c>
      <c r="J175" s="101">
        <f t="shared" si="103"/>
        <v>7627</v>
      </c>
      <c r="K175" s="101">
        <f t="shared" si="103"/>
        <v>7627</v>
      </c>
    </row>
    <row r="176" spans="2:11" ht="15" customHeight="1" outlineLevel="1">
      <c r="D176" s="67"/>
      <c r="E176" s="67"/>
      <c r="F176" s="67"/>
      <c r="G176" s="67"/>
      <c r="H176" s="67"/>
      <c r="I176" s="67"/>
      <c r="J176" s="67"/>
      <c r="K176" s="67"/>
    </row>
    <row r="177" spans="1:12" ht="15" customHeight="1" outlineLevel="1">
      <c r="B177" s="16" t="s">
        <v>27</v>
      </c>
      <c r="D177" s="103">
        <f>D50</f>
        <v>5185</v>
      </c>
      <c r="E177" s="102">
        <f t="shared" ref="E177:K177" si="104">E50</f>
        <v>7549</v>
      </c>
      <c r="F177" s="102">
        <f t="shared" si="104"/>
        <v>8708.1928560000015</v>
      </c>
      <c r="G177" s="102">
        <f t="shared" si="104"/>
        <v>5263.1961088000044</v>
      </c>
      <c r="H177" s="102">
        <f t="shared" si="104"/>
        <v>6105.6538753280038</v>
      </c>
      <c r="I177" s="102">
        <f t="shared" si="104"/>
        <v>7016.8451078476883</v>
      </c>
      <c r="J177" s="102">
        <f t="shared" si="104"/>
        <v>8001.6358143185553</v>
      </c>
      <c r="K177" s="104">
        <f t="shared" si="104"/>
        <v>9065.2679631776664</v>
      </c>
    </row>
    <row r="178" spans="1:12" ht="15" customHeight="1" outlineLevel="1">
      <c r="B178" s="16" t="s">
        <v>58</v>
      </c>
      <c r="D178" s="105">
        <f>D52</f>
        <v>4312</v>
      </c>
      <c r="E178" s="106">
        <f t="shared" ref="E178:K178" si="105">E52</f>
        <v>4209</v>
      </c>
      <c r="F178" s="106">
        <f t="shared" si="105"/>
        <v>2930.9750848000026</v>
      </c>
      <c r="G178" s="106">
        <f t="shared" si="105"/>
        <v>3684.2372761600027</v>
      </c>
      <c r="H178" s="106">
        <f t="shared" si="105"/>
        <v>4273.9577127296025</v>
      </c>
      <c r="I178" s="106">
        <f t="shared" si="105"/>
        <v>4911.7915754933811</v>
      </c>
      <c r="J178" s="106">
        <f t="shared" si="105"/>
        <v>5601.145070022988</v>
      </c>
      <c r="K178" s="107">
        <f t="shared" si="105"/>
        <v>6345.6875742243665</v>
      </c>
    </row>
    <row r="179" spans="1:12" ht="15" customHeight="1" outlineLevel="1">
      <c r="D179" s="67"/>
      <c r="E179" s="67"/>
      <c r="F179" s="67"/>
      <c r="G179" s="67"/>
      <c r="H179" s="67"/>
      <c r="I179" s="67"/>
      <c r="J179" s="67"/>
      <c r="K179" s="67"/>
    </row>
    <row r="180" spans="1:12" ht="15" customHeight="1" outlineLevel="1">
      <c r="B180" s="19" t="s">
        <v>57</v>
      </c>
      <c r="C180" s="19"/>
      <c r="D180" s="67"/>
      <c r="E180" s="67"/>
      <c r="F180" s="67"/>
      <c r="G180" s="67"/>
      <c r="H180" s="67"/>
      <c r="I180" s="67"/>
      <c r="J180" s="67"/>
      <c r="K180" s="67"/>
    </row>
    <row r="181" spans="1:12" ht="15" customHeight="1" outlineLevel="1">
      <c r="B181" s="16" t="s">
        <v>54</v>
      </c>
      <c r="D181" s="79">
        <f>D184-D183-D182</f>
        <v>4816</v>
      </c>
      <c r="E181" s="79">
        <f>D184</f>
        <v>5689</v>
      </c>
      <c r="F181" s="79">
        <f t="shared" ref="F181:K181" si="106">E184</f>
        <v>9029</v>
      </c>
      <c r="G181" s="79">
        <f t="shared" si="106"/>
        <v>14806.217771200003</v>
      </c>
      <c r="H181" s="79">
        <f t="shared" si="106"/>
        <v>16385.176603840006</v>
      </c>
      <c r="I181" s="79">
        <f t="shared" si="106"/>
        <v>18216.872766438406</v>
      </c>
      <c r="J181" s="79">
        <f t="shared" si="106"/>
        <v>20321.92629879271</v>
      </c>
      <c r="K181" s="79">
        <f t="shared" si="106"/>
        <v>22722.417043088277</v>
      </c>
    </row>
    <row r="182" spans="1:12" ht="15" customHeight="1" outlineLevel="1">
      <c r="B182" s="16" t="s">
        <v>27</v>
      </c>
      <c r="D182" s="79">
        <f>D177</f>
        <v>5185</v>
      </c>
      <c r="E182" s="79">
        <f t="shared" ref="E182:K182" si="107">E177</f>
        <v>7549</v>
      </c>
      <c r="F182" s="79">
        <f t="shared" si="107"/>
        <v>8708.1928560000015</v>
      </c>
      <c r="G182" s="79">
        <f t="shared" si="107"/>
        <v>5263.1961088000044</v>
      </c>
      <c r="H182" s="79">
        <f t="shared" si="107"/>
        <v>6105.6538753280038</v>
      </c>
      <c r="I182" s="79">
        <f t="shared" si="107"/>
        <v>7016.8451078476883</v>
      </c>
      <c r="J182" s="79">
        <f t="shared" si="107"/>
        <v>8001.6358143185553</v>
      </c>
      <c r="K182" s="79">
        <f t="shared" si="107"/>
        <v>9065.2679631776664</v>
      </c>
    </row>
    <row r="183" spans="1:12" ht="15" customHeight="1" outlineLevel="1">
      <c r="B183" s="16" t="s">
        <v>58</v>
      </c>
      <c r="D183" s="79">
        <f>-D178</f>
        <v>-4312</v>
      </c>
      <c r="E183" s="79">
        <f t="shared" ref="E183:K183" si="108">-E178</f>
        <v>-4209</v>
      </c>
      <c r="F183" s="79">
        <f t="shared" si="108"/>
        <v>-2930.9750848000026</v>
      </c>
      <c r="G183" s="79">
        <f t="shared" si="108"/>
        <v>-3684.2372761600027</v>
      </c>
      <c r="H183" s="79">
        <f t="shared" si="108"/>
        <v>-4273.9577127296025</v>
      </c>
      <c r="I183" s="79">
        <f t="shared" si="108"/>
        <v>-4911.7915754933811</v>
      </c>
      <c r="J183" s="79">
        <f t="shared" si="108"/>
        <v>-5601.145070022988</v>
      </c>
      <c r="K183" s="79">
        <f t="shared" si="108"/>
        <v>-6345.6875742243665</v>
      </c>
    </row>
    <row r="184" spans="1:12" ht="15" customHeight="1" outlineLevel="1">
      <c r="B184" s="19" t="s">
        <v>88</v>
      </c>
      <c r="C184" s="19"/>
      <c r="D184" s="122">
        <f>D80</f>
        <v>5689</v>
      </c>
      <c r="E184" s="80">
        <f t="shared" ref="E184:F184" si="109">E80</f>
        <v>9029</v>
      </c>
      <c r="F184" s="80">
        <f t="shared" si="109"/>
        <v>14806.217771200003</v>
      </c>
      <c r="G184" s="80">
        <f>SUM(G181:G183)</f>
        <v>16385.176603840006</v>
      </c>
      <c r="H184" s="80">
        <f t="shared" ref="H184:K184" si="110">SUM(H181:H183)</f>
        <v>18216.872766438406</v>
      </c>
      <c r="I184" s="80">
        <f t="shared" si="110"/>
        <v>20321.92629879271</v>
      </c>
      <c r="J184" s="80">
        <f t="shared" si="110"/>
        <v>22722.417043088277</v>
      </c>
      <c r="K184" s="80">
        <f t="shared" si="110"/>
        <v>25441.997432041579</v>
      </c>
    </row>
    <row r="185" spans="1:12" ht="15" customHeight="1" outlineLevel="1">
      <c r="B185" s="19"/>
      <c r="C185" s="19"/>
      <c r="D185" s="61"/>
      <c r="E185" s="61"/>
      <c r="F185" s="61"/>
      <c r="G185" s="61"/>
      <c r="H185" s="61"/>
      <c r="I185" s="61"/>
      <c r="J185" s="61"/>
      <c r="K185" s="61"/>
    </row>
    <row r="186" spans="1:12" ht="15" customHeight="1" outlineLevel="1">
      <c r="B186" s="42"/>
      <c r="C186" s="42"/>
      <c r="D186" s="73"/>
      <c r="E186" s="73"/>
      <c r="F186" s="73"/>
      <c r="G186" s="73"/>
      <c r="H186" s="73"/>
      <c r="I186" s="73"/>
      <c r="J186" s="73"/>
      <c r="K186" s="73"/>
    </row>
    <row r="187" spans="1:12" ht="15" customHeight="1">
      <c r="D187" s="67"/>
      <c r="E187" s="67"/>
      <c r="F187" s="67"/>
      <c r="G187" s="67"/>
      <c r="H187" s="67"/>
      <c r="I187" s="67"/>
      <c r="J187" s="67"/>
      <c r="K187" s="67"/>
    </row>
    <row r="188" spans="1:12" s="123" customFormat="1" ht="20">
      <c r="A188" s="18" t="s">
        <v>76</v>
      </c>
      <c r="B188" s="137" t="s">
        <v>63</v>
      </c>
      <c r="C188" s="137"/>
      <c r="D188" s="138"/>
      <c r="E188" s="138"/>
      <c r="F188" s="138"/>
      <c r="G188" s="138"/>
      <c r="H188" s="138"/>
      <c r="I188" s="138"/>
      <c r="J188" s="138"/>
      <c r="K188" s="138"/>
      <c r="L188" s="18"/>
    </row>
    <row r="189" spans="1:12" s="123" customFormat="1" ht="15" customHeight="1" outlineLevel="1">
      <c r="A189" s="18"/>
      <c r="B189" s="36"/>
      <c r="C189" s="36"/>
      <c r="D189" s="69"/>
      <c r="E189" s="69"/>
      <c r="F189" s="69"/>
      <c r="G189" s="69"/>
      <c r="H189" s="69"/>
      <c r="I189" s="69"/>
      <c r="J189" s="69"/>
      <c r="K189" s="69"/>
      <c r="L189" s="18"/>
    </row>
    <row r="190" spans="1:12" ht="15" customHeight="1" outlineLevel="1">
      <c r="B190" s="40" t="s">
        <v>77</v>
      </c>
      <c r="C190" s="40"/>
      <c r="D190" s="158">
        <f t="shared" ref="D190:K190" si="111">+D$4</f>
        <v>-2</v>
      </c>
      <c r="E190" s="159">
        <f t="shared" si="111"/>
        <v>-1</v>
      </c>
      <c r="F190" s="159">
        <f t="shared" si="111"/>
        <v>0</v>
      </c>
      <c r="G190" s="159">
        <f t="shared" si="111"/>
        <v>1</v>
      </c>
      <c r="H190" s="159">
        <f t="shared" si="111"/>
        <v>2</v>
      </c>
      <c r="I190" s="159">
        <f t="shared" si="111"/>
        <v>3</v>
      </c>
      <c r="J190" s="159">
        <f t="shared" si="111"/>
        <v>4</v>
      </c>
      <c r="K190" s="160">
        <f t="shared" si="111"/>
        <v>5</v>
      </c>
    </row>
    <row r="191" spans="1:12" ht="15" customHeight="1" outlineLevel="1">
      <c r="B191" s="40"/>
      <c r="C191" s="40"/>
      <c r="D191" s="70"/>
      <c r="E191" s="70"/>
      <c r="F191" s="70"/>
      <c r="G191" s="70"/>
      <c r="H191" s="70"/>
      <c r="I191" s="70"/>
      <c r="J191" s="70"/>
      <c r="K191" s="70"/>
    </row>
    <row r="192" spans="1:12" ht="15" customHeight="1" outlineLevel="1">
      <c r="B192" s="19" t="s">
        <v>3</v>
      </c>
      <c r="C192" s="19"/>
      <c r="D192" s="67"/>
      <c r="E192" s="67"/>
      <c r="F192" s="67"/>
      <c r="G192" s="67"/>
      <c r="H192" s="67"/>
      <c r="I192" s="67"/>
      <c r="J192" s="67"/>
      <c r="K192" s="67"/>
    </row>
    <row r="193" spans="1:11" ht="15" customHeight="1" outlineLevel="1">
      <c r="B193" s="16" t="s">
        <v>64</v>
      </c>
      <c r="D193" s="79">
        <f>D36</f>
        <v>81422</v>
      </c>
      <c r="E193" s="79">
        <f t="shared" ref="E193:K193" si="112">E36</f>
        <v>86698</v>
      </c>
      <c r="F193" s="79">
        <f t="shared" si="112"/>
        <v>93085.92</v>
      </c>
      <c r="G193" s="79">
        <f t="shared" si="112"/>
        <v>98671.075200000007</v>
      </c>
      <c r="H193" s="79">
        <f t="shared" si="112"/>
        <v>104591.33971200002</v>
      </c>
      <c r="I193" s="79">
        <f t="shared" si="112"/>
        <v>110866.82009472002</v>
      </c>
      <c r="J193" s="79">
        <f t="shared" si="112"/>
        <v>117518.82930040323</v>
      </c>
      <c r="K193" s="79">
        <f t="shared" si="112"/>
        <v>124569.95905842743</v>
      </c>
    </row>
    <row r="194" spans="1:11" ht="15" customHeight="1" outlineLevel="1">
      <c r="B194" s="16" t="s">
        <v>65</v>
      </c>
      <c r="D194" s="79">
        <f>D38+D40+D41+D42</f>
        <v>12146</v>
      </c>
      <c r="E194" s="79">
        <f t="shared" ref="E194:K194" si="113">E38+E40+E41+E42</f>
        <v>14021</v>
      </c>
      <c r="F194" s="79">
        <f t="shared" si="113"/>
        <v>14425.193440000001</v>
      </c>
      <c r="G194" s="79">
        <f t="shared" si="113"/>
        <v>12536.325990400006</v>
      </c>
      <c r="H194" s="79">
        <f t="shared" si="113"/>
        <v>13929.285549824006</v>
      </c>
      <c r="I194" s="79">
        <f t="shared" si="113"/>
        <v>15431.802682813453</v>
      </c>
      <c r="J194" s="79">
        <f t="shared" si="113"/>
        <v>17051.510843782267</v>
      </c>
      <c r="K194" s="79">
        <f t="shared" si="113"/>
        <v>18796.621494409203</v>
      </c>
    </row>
    <row r="195" spans="1:11" ht="15" customHeight="1" outlineLevel="1">
      <c r="B195" s="25" t="s">
        <v>66</v>
      </c>
      <c r="C195" s="25"/>
      <c r="D195" s="94">
        <f>D194/D193</f>
        <v>0.14917344206725455</v>
      </c>
      <c r="E195" s="94">
        <f t="shared" ref="E195:K195" si="114">E194/E193</f>
        <v>0.16172230039908647</v>
      </c>
      <c r="F195" s="94">
        <f t="shared" si="114"/>
        <v>0.15496643788878062</v>
      </c>
      <c r="G195" s="94">
        <f t="shared" si="114"/>
        <v>0.12705168120434149</v>
      </c>
      <c r="H195" s="94">
        <f t="shared" si="114"/>
        <v>0.13317819226887545</v>
      </c>
      <c r="I195" s="94">
        <f t="shared" si="114"/>
        <v>0.13919225490213538</v>
      </c>
      <c r="J195" s="94">
        <f t="shared" si="114"/>
        <v>0.14509598968344864</v>
      </c>
      <c r="K195" s="94">
        <f t="shared" si="114"/>
        <v>0.15089209016752558</v>
      </c>
    </row>
    <row r="196" spans="1:11" ht="15" customHeight="1" outlineLevel="1">
      <c r="B196" s="25"/>
      <c r="C196" s="25"/>
      <c r="D196" s="41"/>
      <c r="E196" s="41"/>
      <c r="F196" s="41"/>
      <c r="G196" s="41"/>
      <c r="H196" s="41"/>
      <c r="I196" s="41"/>
      <c r="J196" s="41"/>
      <c r="K196" s="41"/>
    </row>
    <row r="197" spans="1:11" ht="15" customHeight="1" outlineLevel="1">
      <c r="B197" s="16" t="s">
        <v>27</v>
      </c>
      <c r="D197" s="79">
        <f>D50</f>
        <v>5185</v>
      </c>
      <c r="E197" s="79">
        <f t="shared" ref="E197:K197" si="115">E50</f>
        <v>7549</v>
      </c>
      <c r="F197" s="79">
        <f t="shared" si="115"/>
        <v>8708.1928560000015</v>
      </c>
      <c r="G197" s="79">
        <f t="shared" si="115"/>
        <v>5263.1961088000044</v>
      </c>
      <c r="H197" s="79">
        <f t="shared" si="115"/>
        <v>6105.6538753280038</v>
      </c>
      <c r="I197" s="79">
        <f t="shared" si="115"/>
        <v>7016.8451078476883</v>
      </c>
      <c r="J197" s="79">
        <f t="shared" si="115"/>
        <v>8001.6358143185553</v>
      </c>
      <c r="K197" s="79">
        <f t="shared" si="115"/>
        <v>9065.2679631776664</v>
      </c>
    </row>
    <row r="198" spans="1:11" ht="15" customHeight="1" outlineLevel="1">
      <c r="B198" s="25" t="s">
        <v>67</v>
      </c>
      <c r="C198" s="25"/>
      <c r="D198" s="94">
        <f>D197/D193</f>
        <v>6.3680577730834423E-2</v>
      </c>
      <c r="E198" s="94">
        <f t="shared" ref="E198:K198" si="116">E197/E193</f>
        <v>8.7072366144547747E-2</v>
      </c>
      <c r="F198" s="94">
        <f t="shared" si="116"/>
        <v>9.3550054143526767E-2</v>
      </c>
      <c r="G198" s="94">
        <f t="shared" si="116"/>
        <v>5.3340820479880653E-2</v>
      </c>
      <c r="H198" s="94">
        <f t="shared" si="116"/>
        <v>5.8376285189006789E-2</v>
      </c>
      <c r="I198" s="94">
        <f t="shared" si="116"/>
        <v>6.3290758243564546E-2</v>
      </c>
      <c r="J198" s="94">
        <f t="shared" si="116"/>
        <v>6.8088117129423281E-2</v>
      </c>
      <c r="K198" s="94">
        <f t="shared" si="116"/>
        <v>7.2772504957842654E-2</v>
      </c>
    </row>
    <row r="199" spans="1:11" ht="15" customHeight="1" outlineLevel="1"/>
    <row r="200" spans="1:11" ht="15" customHeight="1" outlineLevel="1">
      <c r="B200" s="19" t="s">
        <v>68</v>
      </c>
      <c r="C200" s="19"/>
    </row>
    <row r="201" spans="1:11" ht="15" customHeight="1" outlineLevel="1">
      <c r="B201" s="16" t="s">
        <v>103</v>
      </c>
      <c r="D201" s="79">
        <f>D101</f>
        <v>6935</v>
      </c>
      <c r="E201" s="79">
        <f t="shared" ref="E201:K201" si="117">E101</f>
        <v>8749.0000000000018</v>
      </c>
      <c r="F201" s="79">
        <f t="shared" si="117"/>
        <v>10882.593892712328</v>
      </c>
      <c r="G201" s="79">
        <f t="shared" si="117"/>
        <v>7176.0263615719496</v>
      </c>
      <c r="H201" s="79">
        <f t="shared" si="117"/>
        <v>8795.4462174970613</v>
      </c>
      <c r="I201" s="79">
        <f t="shared" si="117"/>
        <v>9870.9087705468883</v>
      </c>
      <c r="J201" s="79">
        <f t="shared" si="117"/>
        <v>11029.944736779709</v>
      </c>
      <c r="K201" s="79">
        <f t="shared" si="117"/>
        <v>12278.407840986491</v>
      </c>
    </row>
    <row r="202" spans="1:11" ht="15" customHeight="1" outlineLevel="1">
      <c r="B202" s="16" t="s">
        <v>69</v>
      </c>
      <c r="D202" s="79">
        <f>D105</f>
        <v>-3004.9999999999973</v>
      </c>
      <c r="E202" s="79">
        <f t="shared" ref="E202:K202" si="118">E105</f>
        <v>-3911.0000000000018</v>
      </c>
      <c r="F202" s="79">
        <f t="shared" si="118"/>
        <v>-3710.8353600000046</v>
      </c>
      <c r="G202" s="79">
        <f t="shared" si="118"/>
        <v>-5199.197982870588</v>
      </c>
      <c r="H202" s="79">
        <f t="shared" si="118"/>
        <v>-4739.9262853722357</v>
      </c>
      <c r="I202" s="79">
        <f t="shared" si="118"/>
        <v>-5024.3218624945748</v>
      </c>
      <c r="J202" s="79">
        <f t="shared" si="118"/>
        <v>-5325.7811742442464</v>
      </c>
      <c r="K202" s="79">
        <f t="shared" si="118"/>
        <v>-5645.3280446989002</v>
      </c>
    </row>
    <row r="203" spans="1:11" ht="15" customHeight="1" outlineLevel="1">
      <c r="B203" s="16" t="s">
        <v>70</v>
      </c>
      <c r="D203" s="79">
        <f>D111</f>
        <v>-4312</v>
      </c>
      <c r="E203" s="79">
        <f t="shared" ref="E203:K203" si="119">E111</f>
        <v>-4209</v>
      </c>
      <c r="F203" s="79">
        <f t="shared" si="119"/>
        <v>-2930.9750848000026</v>
      </c>
      <c r="G203" s="79">
        <f t="shared" si="119"/>
        <v>6315.7627238399973</v>
      </c>
      <c r="H203" s="79">
        <f t="shared" si="119"/>
        <v>-4273.9577127296025</v>
      </c>
      <c r="I203" s="79">
        <f t="shared" si="119"/>
        <v>-4911.7915754933811</v>
      </c>
      <c r="J203" s="79">
        <f t="shared" si="119"/>
        <v>-5601.145070022988</v>
      </c>
      <c r="K203" s="79">
        <f t="shared" si="119"/>
        <v>-6345.6875742243665</v>
      </c>
    </row>
    <row r="204" spans="1:11" ht="15" customHeight="1" outlineLevel="1" thickBot="1">
      <c r="B204" s="16" t="s">
        <v>71</v>
      </c>
      <c r="D204" s="95">
        <f>SUM(D201:D203)</f>
        <v>-381.99999999999727</v>
      </c>
      <c r="E204" s="95">
        <f t="shared" ref="E204:J204" si="120">SUM(E201:E203)</f>
        <v>629</v>
      </c>
      <c r="F204" s="95">
        <f t="shared" si="120"/>
        <v>4240.7834479123212</v>
      </c>
      <c r="G204" s="95">
        <f t="shared" si="120"/>
        <v>8292.5911025413589</v>
      </c>
      <c r="H204" s="95">
        <f t="shared" si="120"/>
        <v>-218.43778060477689</v>
      </c>
      <c r="I204" s="95">
        <f t="shared" si="120"/>
        <v>-65.204667441067613</v>
      </c>
      <c r="J204" s="95">
        <f t="shared" si="120"/>
        <v>103.01849251247495</v>
      </c>
      <c r="K204" s="95">
        <f>SUM(K201:K203)</f>
        <v>287.39222206322393</v>
      </c>
    </row>
    <row r="205" spans="1:11" ht="15" customHeight="1" outlineLevel="1"/>
    <row r="206" spans="1:11" ht="15" customHeight="1" outlineLevel="1"/>
    <row r="207" spans="1:11" ht="15" customHeight="1" outlineLevel="1">
      <c r="A207" s="18" t="s">
        <v>76</v>
      </c>
      <c r="B207" s="135" t="s">
        <v>3</v>
      </c>
      <c r="C207" s="135"/>
      <c r="D207" s="135"/>
      <c r="E207" s="135"/>
      <c r="G207" s="136" t="s">
        <v>42</v>
      </c>
      <c r="H207" s="136"/>
      <c r="I207" s="136"/>
      <c r="J207" s="136"/>
      <c r="K207" s="136"/>
    </row>
    <row r="208" spans="1:11" ht="15" customHeight="1" outlineLevel="1"/>
    <row r="209" ht="15" customHeight="1" outlineLevel="1"/>
    <row r="210" ht="15" customHeight="1" outlineLevel="1"/>
    <row r="211" ht="15" customHeight="1" outlineLevel="1"/>
    <row r="212" ht="15" customHeight="1" outlineLevel="1"/>
    <row r="213" ht="15" customHeight="1" outlineLevel="1"/>
    <row r="214" ht="15" customHeight="1" outlineLevel="1"/>
    <row r="215" ht="15" customHeight="1" outlineLevel="1"/>
    <row r="216" ht="15" customHeight="1" outlineLevel="1"/>
    <row r="217" ht="15" customHeight="1" outlineLevel="1"/>
    <row r="218" ht="15" customHeight="1" outlineLevel="1"/>
    <row r="219" ht="15" customHeight="1" outlineLevel="1"/>
    <row r="220" ht="15" customHeight="1" outlineLevel="1"/>
    <row r="221" ht="15" customHeight="1" outlineLevel="1"/>
    <row r="222" ht="15" customHeight="1" outlineLevel="1"/>
    <row r="223" ht="15" customHeight="1" outlineLevel="1"/>
    <row r="224" ht="15" customHeight="1" outlineLevel="1"/>
    <row r="225" spans="1:11" ht="15" customHeight="1" outlineLevel="1">
      <c r="A225" s="16" t="s">
        <v>76</v>
      </c>
      <c r="B225" s="42"/>
      <c r="C225" s="42"/>
      <c r="D225" s="42"/>
      <c r="E225" s="42"/>
      <c r="F225" s="42"/>
      <c r="G225" s="42"/>
      <c r="H225" s="42"/>
      <c r="I225" s="42"/>
      <c r="J225" s="42"/>
      <c r="K225" s="42"/>
    </row>
  </sheetData>
  <conditionalFormatting sqref="D85:K85">
    <cfRule type="expression" dxfId="0" priority="1">
      <formula>D$85&lt;&gt;0</formula>
    </cfRule>
  </conditionalFormatting>
  <printOptions horizontalCentered="1"/>
  <pageMargins left="0.74803149606299202" right="0.74803149606299202" top="0.98425196850393704" bottom="0.98425196850393704" header="0.511811023622047" footer="0.511811023622047"/>
  <pageSetup orientation="landscape" r:id="rId1"/>
  <headerFooter alignWithMargins="0">
    <oddFooter>&amp;L&amp;"Open Sans,Bold"&amp;K002060Introduction to 3-Statement Modeling&amp;C&amp;"Open Sans,Bold"&amp;K002060Page &amp;P of &amp;N&amp;R&amp;6&amp;G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Model</vt:lpstr>
      <vt:lpstr>Cover!Print_Area</vt:lpstr>
      <vt:lpstr>Model!Print_Area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Yash Agrawal</cp:lastModifiedBy>
  <cp:lastPrinted>2023-06-01T15:35:29Z</cp:lastPrinted>
  <dcterms:created xsi:type="dcterms:W3CDTF">2019-09-10T18:31:51Z</dcterms:created>
  <dcterms:modified xsi:type="dcterms:W3CDTF">2025-06-10T04:19:18Z</dcterms:modified>
</cp:coreProperties>
</file>