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harts/chart4.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yash/Desktop/Job Search/04_Portfolio/SIF/"/>
    </mc:Choice>
  </mc:AlternateContent>
  <xr:revisionPtr revIDLastSave="0" documentId="8_{D2AF3696-6010-F140-8433-14BDD21A0E62}" xr6:coauthVersionLast="47" xr6:coauthVersionMax="47" xr10:uidLastSave="{00000000-0000-0000-0000-000000000000}"/>
  <bookViews>
    <workbookView xWindow="0" yWindow="760" windowWidth="23260" windowHeight="14860" tabRatio="1000" activeTab="1" xr2:uid="{FFA5A243-90F2-439E-BFBA-AFB8585185A8}"/>
  </bookViews>
  <sheets>
    <sheet name="Effect on Portfolio" sheetId="20" r:id="rId1"/>
    <sheet name="Valuation Summary" sheetId="1" r:id="rId2"/>
    <sheet name="Assumptions" sheetId="2" r:id="rId3"/>
    <sheet name="FCF Firm" sheetId="7" r:id="rId4"/>
    <sheet name="FCF Equity" sheetId="18" r:id="rId5"/>
    <sheet name="Comps" sheetId="8" r:id="rId6"/>
    <sheet name="Precedents" sheetId="19" r:id="rId7"/>
    <sheet name="Dividend Discount" sheetId="9" r:id="rId8"/>
    <sheet name="Income Statement" sheetId="3" r:id="rId9"/>
    <sheet name="IS Bear" sheetId="10" r:id="rId10"/>
    <sheet name="IS Bull" sheetId="12" r:id="rId11"/>
    <sheet name="Cash Flows" sheetId="6" r:id="rId12"/>
    <sheet name="CF Bear" sheetId="13" r:id="rId13"/>
    <sheet name="CF Bull" sheetId="16" r:id="rId14"/>
    <sheet name="Balance Sheet" sheetId="5" r:id="rId15"/>
    <sheet name="BS Bear" sheetId="14" r:id="rId16"/>
    <sheet name="BS Bull" sheetId="15" r:id="rId17"/>
  </sheets>
  <definedNames>
    <definedName name="CIQWBGuid" hidden="1">"b98c30bb-69f3-4d09-b49c-0252579ac98d"</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"c2108"</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"c1346"</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IZED_INTEREST" hidden="1">"c2076"</definedName>
    <definedName name="IQ_CASH" hidden="1">"c1458"</definedName>
    <definedName name="IQ_CASH_ACQUIRE_CF" hidden="1">"c1630"</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ASSA_OUTSTANDING_BS_DATE" hidden="1">"c1971"</definedName>
    <definedName name="IQ_CLASSA_OUTSTANDING_FILING_DATE" hidden="1">"c1973"</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OTHER_COST" hidden="1">"c284"</definedName>
    <definedName name="IQ_DEF_BENEFIT_ROA" hidden="1">"c285"</definedName>
    <definedName name="IQ_DEF_BENEFIT_SERVICE_COST" hidden="1">"c286"</definedName>
    <definedName name="IQ_DEF_BENEFIT_TOTAL_COST" hidden="1">"c287"</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V_PAYMENT_DATE" hidden="1">"c2106"</definedName>
    <definedName name="IQ_DIV_RECORD_DATE" hidden="1">"c2105"</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EPS" hidden="1">"c1648"</definedName>
    <definedName name="IQ_EST_CURRENCY" hidden="1">"c2140"</definedName>
    <definedName name="IQ_EST_DATE" hidden="1">"c1634"</definedName>
    <definedName name="IQ_EST_EPS_GROWTH_1YR" hidden="1">"c1636"</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DIVID" hidden="1">"c1446"</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ROFIT" hidden="1">"c1378"</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PRICE" hidden="1">"c545"</definedName>
    <definedName name="IQ_HOMEOWNERS_WRITTEN" hidden="1">"c546"</definedName>
    <definedName name="IQ_IMPAIR_OIL" hidden="1">"c547"</definedName>
    <definedName name="IQ_IMPAIRMENT_GW" hidden="1">"c548"</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LAND" hidden="1">"c645"</definedName>
    <definedName name="IQ_LAST_SPLIT_DATE" hidden="1">"c2095"</definedName>
    <definedName name="IQ_LAST_SPLIT_FACTOR" hidden="1">"c2093"</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ICENSED_POPS" hidden="1">"c2123"</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REPAIR" hidden="1">"c2087"</definedName>
    <definedName name="IQ_MARKETCAP" hidden="1">"c712"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NET_CHANGE" hidden="1">"c749"</definedName>
    <definedName name="IQ_NET_DEBT" hidden="1">"c1584"</definedName>
    <definedName name="IQ_NET_DEBT_EBITDA" hidden="1">"c750"</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CLOSE_BALANCE_GAS" hidden="1">"c2049"</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OIL" hidden="1">"c2032"</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OIL" hidden="1">"c2035"</definedName>
    <definedName name="IQ_OG_PURCHASES_GAS" hidden="1">"c2045"</definedName>
    <definedName name="IQ_OG_PURCHASES_OIL" hidden="1">"c2033"</definedName>
    <definedName name="IQ_OG_REVISIONS_GAS" hidden="1">"c2042"</definedName>
    <definedName name="IQ_OG_REVISIONS_OIL" hidden="1">"c2030"</definedName>
    <definedName name="IQ_OG_SALES_IN_PLACE_GAS" hidden="1">"c2046"</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OIL_PRODUCTON" hidden="1">"c2059"</definedName>
    <definedName name="IQ_OG_UNDEVELOPED_RESERVES_GAS" hidden="1">"c2051"</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ISSUED" hidden="1">"c857"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UTSTANDING_BS_DATE" hidden="1">"c2128"</definedName>
    <definedName name="IQ_OUTSTANDING_FILING_DATE" hidden="1">"c2127"</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WRITTEN" hidden="1">"c1027"</definedName>
    <definedName name="IQ_PE_EXCL" hidden="1">"c1028"</definedName>
    <definedName name="IQ_PE_EXCL_AVG" hidden="1">"c1029"</definedName>
    <definedName name="IQ_PE_EXCL_FWD" hidden="1">"c1030"</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VG_STORE_SIZE_GROSS" hidden="1">"c2066"</definedName>
    <definedName name="IQ_RETAIL_AVG_STORE_SIZE_NET" hidden="1">"c2067"</definedName>
    <definedName name="IQ_RETAIL_CLOSED_STORES" hidden="1">"c2063"</definedName>
    <definedName name="IQ_RETAIL_OPENED_STORES" hidden="1">"c2062"</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Q_FOOTAGE" hidden="1">"c2064"</definedName>
    <definedName name="IQ_RETAIL_STORE_SELLING_AREA" hidden="1">"c2065"</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ME_STORE" hidden="1">"c1149"</definedName>
    <definedName name="IQ_SAVING_DEP" hidden="1">"c1150"</definedName>
    <definedName name="IQ_SECUR_RECEIV" hidden="1">"c1151"</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CF" hidden="1">"c1203"</definedName>
    <definedName name="IQ_STRIKE_PRICE_ISSUED" hidden="1">"c1645"</definedName>
    <definedName name="IQ_STRIKE_PRICE_OS" hidden="1">"c1646"</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IER_ONE_RATIO" hidden="1">"c1229"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QUITY" hidden="1">"c1250"</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"c1522"</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EXP" hidden="1">"c1291"</definedName>
    <definedName name="IQ_TOTAL_PENSION_OBLIGATION" hidden="1">"c1292"</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S" hidden="1">"c2119"</definedName>
    <definedName name="IQ_TOTAL_UNUSUAL" hidden="1">"c1508"</definedName>
    <definedName name="IQ_TRADE_AR" hidden="1">"c1345"</definedName>
    <definedName name="IQ_TRADE_PRINCIPAL" hidden="1">"c1309"</definedName>
    <definedName name="IQ_TRADING_ASSETS" hidden="1">"c1310"</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USUAL_EXP" hidden="1">"c1456"</definedName>
    <definedName name="IQ_US_GAAP" hidden="1">"c1331"</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EIGHTED_AVG_PRICE" hidden="1">"c1334"</definedName>
    <definedName name="IQ_WIP_INV" hidden="1">"c1335"</definedName>
    <definedName name="IQ_WORKMEN_WRITTEN" hidden="1">"c1336"</definedName>
    <definedName name="IQ_XDIV_DATE" hidden="1">"c2104"</definedName>
    <definedName name="IQ_YEARHIGH" hidden="1">"c1337"</definedName>
    <definedName name="IQ_YEARLOW" hidden="1">"c1338"</definedName>
    <definedName name="IQ_YTD" hidden="1">3000</definedName>
    <definedName name="IQ_Z_SCORE" hidden="1">"c1339"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C11" i="6"/>
  <c r="H217" i="2"/>
  <c r="G217" i="2"/>
  <c r="F217" i="2"/>
  <c r="E217" i="2"/>
  <c r="D217" i="2"/>
  <c r="I10" i="8"/>
  <c r="H10" i="8"/>
  <c r="E5" i="8"/>
  <c r="D5" i="8"/>
  <c r="C19" i="7"/>
  <c r="I118" i="2"/>
  <c r="L118" i="2"/>
  <c r="J118" i="2"/>
  <c r="C50" i="2"/>
  <c r="C40" i="2"/>
  <c r="C7" i="1"/>
  <c r="C77" i="2"/>
  <c r="C88" i="2"/>
  <c r="C68" i="2"/>
  <c r="D38" i="2" a="1"/>
  <c r="D38" i="2" s="1"/>
  <c r="O5" i="20"/>
  <c r="O4" i="20"/>
  <c r="C4" i="20"/>
  <c r="C9" i="20" s="1"/>
  <c r="G11" i="1"/>
  <c r="D16" i="1"/>
  <c r="C16" i="1"/>
  <c r="F25" i="19"/>
  <c r="M7" i="1"/>
  <c r="F7" i="1" s="1"/>
  <c r="G7" i="1"/>
  <c r="E7" i="1"/>
  <c r="E6" i="1"/>
  <c r="E4" i="1"/>
  <c r="C5" i="1"/>
  <c r="C6" i="1"/>
  <c r="C4" i="1"/>
  <c r="F16" i="1"/>
  <c r="G5" i="1"/>
  <c r="G6" i="1"/>
  <c r="G4" i="1"/>
  <c r="B69" i="18"/>
  <c r="B70" i="18"/>
  <c r="B68" i="18"/>
  <c r="B69" i="7"/>
  <c r="B70" i="7"/>
  <c r="B68" i="7"/>
  <c r="C20" i="19"/>
  <c r="D20" i="19" s="1"/>
  <c r="C26" i="8"/>
  <c r="C25" i="8"/>
  <c r="C24" i="8"/>
  <c r="C27" i="19"/>
  <c r="D27" i="19" s="1"/>
  <c r="C22" i="19"/>
  <c r="D22" i="19" s="1"/>
  <c r="C26" i="19"/>
  <c r="D26" i="19" s="1"/>
  <c r="C21" i="19"/>
  <c r="D21" i="19" s="1"/>
  <c r="C25" i="19"/>
  <c r="D25" i="19" s="1"/>
  <c r="B24" i="19"/>
  <c r="B19" i="19"/>
  <c r="C16" i="8" l="1"/>
  <c r="K118" i="2"/>
  <c r="E16" i="1"/>
  <c r="C6" i="20"/>
  <c r="F21" i="19"/>
  <c r="F26" i="19"/>
  <c r="F27" i="19"/>
  <c r="F20" i="19"/>
  <c r="F22" i="19"/>
  <c r="C21" i="8"/>
  <c r="D21" i="8" s="1"/>
  <c r="C22" i="8"/>
  <c r="D22" i="8" s="1"/>
  <c r="C18" i="8"/>
  <c r="D18" i="8" s="1"/>
  <c r="C17" i="8"/>
  <c r="D17" i="8" s="1"/>
  <c r="C20" i="8"/>
  <c r="C41" i="2"/>
  <c r="B15" i="2"/>
  <c r="B14" i="2"/>
  <c r="R30" i="18"/>
  <c r="Q30" i="18"/>
  <c r="P30" i="18"/>
  <c r="O30" i="18"/>
  <c r="N30" i="18"/>
  <c r="R48" i="18"/>
  <c r="Q48" i="18"/>
  <c r="P48" i="18"/>
  <c r="O48" i="18"/>
  <c r="N48" i="18"/>
  <c r="R51" i="18"/>
  <c r="Q51" i="18"/>
  <c r="P51" i="18"/>
  <c r="O51" i="18"/>
  <c r="N51" i="18"/>
  <c r="R49" i="18"/>
  <c r="Q49" i="18"/>
  <c r="P49" i="18"/>
  <c r="O49" i="18"/>
  <c r="N49" i="18"/>
  <c r="R47" i="18"/>
  <c r="Q47" i="18"/>
  <c r="P47" i="18"/>
  <c r="O47" i="18"/>
  <c r="N47" i="18"/>
  <c r="R46" i="18"/>
  <c r="Q46" i="18"/>
  <c r="P46" i="18"/>
  <c r="O46" i="18"/>
  <c r="N46" i="18"/>
  <c r="R44" i="18"/>
  <c r="Q44" i="18"/>
  <c r="P44" i="18"/>
  <c r="O44" i="18"/>
  <c r="N44" i="18"/>
  <c r="R42" i="18"/>
  <c r="R50" i="18" s="1"/>
  <c r="Q42" i="18"/>
  <c r="Q50" i="18" s="1"/>
  <c r="P42" i="18"/>
  <c r="P50" i="18" s="1"/>
  <c r="O42" i="18"/>
  <c r="O50" i="18" s="1"/>
  <c r="N42" i="18"/>
  <c r="N50" i="18" s="1"/>
  <c r="R33" i="18"/>
  <c r="Q33" i="18"/>
  <c r="P33" i="18"/>
  <c r="O33" i="18"/>
  <c r="N33" i="18"/>
  <c r="R31" i="18"/>
  <c r="Q31" i="18"/>
  <c r="P31" i="18"/>
  <c r="O31" i="18"/>
  <c r="N31" i="18"/>
  <c r="R29" i="18"/>
  <c r="Q29" i="18"/>
  <c r="P29" i="18"/>
  <c r="O29" i="18"/>
  <c r="N29" i="18"/>
  <c r="R28" i="18"/>
  <c r="Q28" i="18"/>
  <c r="P28" i="18"/>
  <c r="O28" i="18"/>
  <c r="N28" i="18"/>
  <c r="R26" i="18"/>
  <c r="Q26" i="18"/>
  <c r="P26" i="18"/>
  <c r="O26" i="18"/>
  <c r="N26" i="18"/>
  <c r="R24" i="18"/>
  <c r="R32" i="18" s="1"/>
  <c r="Q24" i="18"/>
  <c r="Q32" i="18" s="1"/>
  <c r="P24" i="18"/>
  <c r="P32" i="18" s="1"/>
  <c r="O24" i="18"/>
  <c r="O32" i="18" s="1"/>
  <c r="N24" i="18"/>
  <c r="N32" i="18" s="1"/>
  <c r="R56" i="18"/>
  <c r="Q56" i="18"/>
  <c r="P56" i="18"/>
  <c r="O56" i="18"/>
  <c r="N56" i="18"/>
  <c r="R55" i="18"/>
  <c r="Q55" i="18"/>
  <c r="P55" i="18"/>
  <c r="O55" i="18"/>
  <c r="N55" i="18"/>
  <c r="R53" i="18"/>
  <c r="Q53" i="18"/>
  <c r="P53" i="18"/>
  <c r="O53" i="18"/>
  <c r="N53" i="18"/>
  <c r="R38" i="18"/>
  <c r="Q38" i="18"/>
  <c r="P38" i="18"/>
  <c r="O38" i="18"/>
  <c r="N38" i="18"/>
  <c r="R37" i="18"/>
  <c r="Q37" i="18"/>
  <c r="P37" i="18"/>
  <c r="O37" i="18"/>
  <c r="N37" i="18"/>
  <c r="R35" i="18"/>
  <c r="Q35" i="18"/>
  <c r="P35" i="18"/>
  <c r="O35" i="18"/>
  <c r="N35" i="18"/>
  <c r="N6" i="18"/>
  <c r="N14" i="18" s="1"/>
  <c r="O6" i="18"/>
  <c r="O14" i="18" s="1"/>
  <c r="P6" i="18"/>
  <c r="P14" i="18" s="1"/>
  <c r="Q6" i="18"/>
  <c r="Q14" i="18" s="1"/>
  <c r="R6" i="18"/>
  <c r="R14" i="18" s="1"/>
  <c r="N8" i="18"/>
  <c r="O8" i="18"/>
  <c r="P8" i="18"/>
  <c r="Q8" i="18"/>
  <c r="R8" i="18"/>
  <c r="N10" i="18"/>
  <c r="O10" i="18"/>
  <c r="P10" i="18"/>
  <c r="Q10" i="18"/>
  <c r="R10" i="18"/>
  <c r="N11" i="18"/>
  <c r="O11" i="18"/>
  <c r="P11" i="18"/>
  <c r="Q11" i="18"/>
  <c r="R11" i="18"/>
  <c r="N12" i="18"/>
  <c r="O12" i="18"/>
  <c r="P12" i="18"/>
  <c r="Q12" i="18"/>
  <c r="R12" i="18"/>
  <c r="N13" i="18"/>
  <c r="O13" i="18"/>
  <c r="P13" i="18"/>
  <c r="Q13" i="18"/>
  <c r="R13" i="18"/>
  <c r="N15" i="18"/>
  <c r="O15" i="18"/>
  <c r="P15" i="18"/>
  <c r="Q15" i="18"/>
  <c r="R15" i="18"/>
  <c r="N17" i="18"/>
  <c r="O17" i="18"/>
  <c r="P17" i="18"/>
  <c r="Q17" i="18"/>
  <c r="R17" i="18"/>
  <c r="N19" i="18"/>
  <c r="O19" i="18"/>
  <c r="P19" i="18"/>
  <c r="Q19" i="18"/>
  <c r="R19" i="18"/>
  <c r="N20" i="18"/>
  <c r="O20" i="18"/>
  <c r="P20" i="18"/>
  <c r="Q20" i="18"/>
  <c r="R20" i="18"/>
  <c r="R53" i="7"/>
  <c r="Q53" i="7"/>
  <c r="P53" i="7"/>
  <c r="O53" i="7"/>
  <c r="N53" i="7"/>
  <c r="R35" i="7"/>
  <c r="Q35" i="7"/>
  <c r="P35" i="7"/>
  <c r="O35" i="7"/>
  <c r="N35" i="7"/>
  <c r="N17" i="7"/>
  <c r="O17" i="7"/>
  <c r="P17" i="7"/>
  <c r="Q17" i="7"/>
  <c r="R17" i="7"/>
  <c r="E4" i="20" l="1"/>
  <c r="J4" i="20"/>
  <c r="C42" i="2"/>
  <c r="B1" i="18"/>
  <c r="B1" i="7"/>
  <c r="F55" i="18"/>
  <c r="C55" i="18"/>
  <c r="F44" i="18"/>
  <c r="C44" i="18"/>
  <c r="I41" i="18" a="1"/>
  <c r="E41" i="18"/>
  <c r="E63" i="18" s="1"/>
  <c r="B41" i="18"/>
  <c r="B63" i="18" s="1"/>
  <c r="F37" i="18"/>
  <c r="C37" i="18"/>
  <c r="F26" i="18"/>
  <c r="C26" i="18"/>
  <c r="I23" i="18" a="1"/>
  <c r="E23" i="18"/>
  <c r="E62" i="18" s="1"/>
  <c r="B23" i="18"/>
  <c r="B62" i="18" s="1"/>
  <c r="F19" i="18"/>
  <c r="C19" i="18"/>
  <c r="F8" i="18"/>
  <c r="C8" i="18"/>
  <c r="I5" i="18" a="1"/>
  <c r="E5" i="18"/>
  <c r="E61" i="18" s="1"/>
  <c r="B5" i="18"/>
  <c r="B61" i="18" s="1"/>
  <c r="G59" i="12"/>
  <c r="F59" i="12"/>
  <c r="E59" i="12"/>
  <c r="D59" i="12"/>
  <c r="C59" i="12"/>
  <c r="G59" i="10"/>
  <c r="F59" i="10"/>
  <c r="E59" i="10"/>
  <c r="D59" i="10"/>
  <c r="C59" i="10"/>
  <c r="B57" i="3"/>
  <c r="D59" i="3"/>
  <c r="E59" i="3"/>
  <c r="F59" i="3"/>
  <c r="G59" i="3"/>
  <c r="C59" i="3"/>
  <c r="B136" i="2"/>
  <c r="B147" i="2" s="1"/>
  <c r="E301" i="2"/>
  <c r="F301" i="2"/>
  <c r="G301" i="2"/>
  <c r="H301" i="2"/>
  <c r="B302" i="2"/>
  <c r="B303" i="2" s="1"/>
  <c r="C301" i="2"/>
  <c r="D301" i="2"/>
  <c r="E194" i="2"/>
  <c r="F194" i="2"/>
  <c r="G194" i="2"/>
  <c r="H194" i="2"/>
  <c r="D194" i="2"/>
  <c r="B199" i="2"/>
  <c r="H200" i="2"/>
  <c r="G200" i="2"/>
  <c r="F200" i="2"/>
  <c r="E200" i="2"/>
  <c r="D200" i="2"/>
  <c r="B200" i="2"/>
  <c r="E41" i="7"/>
  <c r="E23" i="7"/>
  <c r="E5" i="7"/>
  <c r="B41" i="7"/>
  <c r="B23" i="7"/>
  <c r="B5" i="7"/>
  <c r="B150" i="2"/>
  <c r="B57" i="12"/>
  <c r="G51" i="12"/>
  <c r="F51" i="12"/>
  <c r="E51" i="12"/>
  <c r="D51" i="12"/>
  <c r="C51" i="12"/>
  <c r="B51" i="12"/>
  <c r="G47" i="12"/>
  <c r="F47" i="12"/>
  <c r="E47" i="12"/>
  <c r="D47" i="12"/>
  <c r="C47" i="12"/>
  <c r="B47" i="12"/>
  <c r="G44" i="12"/>
  <c r="F44" i="12"/>
  <c r="E44" i="12"/>
  <c r="D44" i="12"/>
  <c r="C44" i="12"/>
  <c r="B44" i="12"/>
  <c r="B49" i="12" s="1"/>
  <c r="B43" i="12"/>
  <c r="B57" i="10"/>
  <c r="G51" i="10"/>
  <c r="F51" i="10"/>
  <c r="E51" i="10"/>
  <c r="D51" i="10"/>
  <c r="C51" i="10"/>
  <c r="B51" i="10"/>
  <c r="G47" i="10"/>
  <c r="F47" i="10"/>
  <c r="E47" i="10"/>
  <c r="D47" i="10"/>
  <c r="C47" i="10"/>
  <c r="B47" i="10"/>
  <c r="G44" i="10"/>
  <c r="F44" i="10"/>
  <c r="E44" i="10"/>
  <c r="D44" i="10"/>
  <c r="C44" i="10"/>
  <c r="B44" i="10"/>
  <c r="B49" i="10" s="1"/>
  <c r="B43" i="10"/>
  <c r="H150" i="2"/>
  <c r="G150" i="2"/>
  <c r="F150" i="2"/>
  <c r="E150" i="2"/>
  <c r="D150" i="2"/>
  <c r="B159" i="2"/>
  <c r="B148" i="2"/>
  <c r="C145" i="2"/>
  <c r="D141" i="2"/>
  <c r="D139" i="2" s="1"/>
  <c r="H143" i="2"/>
  <c r="G143" i="2"/>
  <c r="F143" i="2"/>
  <c r="E143" i="2"/>
  <c r="H141" i="2"/>
  <c r="G141" i="2"/>
  <c r="F141" i="2"/>
  <c r="E141" i="2"/>
  <c r="D143" i="2"/>
  <c r="B143" i="2"/>
  <c r="B141" i="2"/>
  <c r="D118" i="2"/>
  <c r="J5" i="20" l="1"/>
  <c r="K4" i="20"/>
  <c r="K5" i="20" s="1"/>
  <c r="E5" i="20"/>
  <c r="F4" i="20"/>
  <c r="F5" i="20" s="1"/>
  <c r="H302" i="2"/>
  <c r="H303" i="2" s="1"/>
  <c r="D302" i="2"/>
  <c r="D303" i="2" s="1"/>
  <c r="E139" i="2"/>
  <c r="E302" i="2"/>
  <c r="E303" i="2" s="1"/>
  <c r="F302" i="2"/>
  <c r="F303" i="2" s="1"/>
  <c r="I41" i="18"/>
  <c r="E42" i="18" s="1"/>
  <c r="I23" i="18"/>
  <c r="E27" i="18" s="1"/>
  <c r="I5" i="18"/>
  <c r="G302" i="2"/>
  <c r="G303" i="2" s="1"/>
  <c r="H139" i="2"/>
  <c r="G139" i="2"/>
  <c r="F139" i="2"/>
  <c r="F142" i="2"/>
  <c r="E142" i="2"/>
  <c r="G142" i="2"/>
  <c r="F49" i="12"/>
  <c r="H142" i="2"/>
  <c r="C49" i="10"/>
  <c r="D49" i="10"/>
  <c r="E49" i="10"/>
  <c r="F49" i="10"/>
  <c r="C49" i="12"/>
  <c r="G49" i="10"/>
  <c r="D49" i="12"/>
  <c r="D142" i="2"/>
  <c r="E49" i="12"/>
  <c r="G49" i="12"/>
  <c r="B27" i="18" l="1"/>
  <c r="E24" i="18"/>
  <c r="B24" i="18"/>
  <c r="B42" i="18"/>
  <c r="E45" i="18"/>
  <c r="B45" i="18"/>
  <c r="B9" i="18"/>
  <c r="E9" i="18"/>
  <c r="B6" i="18"/>
  <c r="E6" i="18"/>
  <c r="D135" i="2"/>
  <c r="C42" i="9" l="1"/>
  <c r="C35" i="9" a="1"/>
  <c r="C35" i="9" s="1"/>
  <c r="B35" i="9"/>
  <c r="B55" i="9" s="1"/>
  <c r="C26" i="9"/>
  <c r="C19" i="9" a="1"/>
  <c r="C19" i="9" s="1"/>
  <c r="B19" i="9"/>
  <c r="B54" i="9" s="1"/>
  <c r="B3" i="9"/>
  <c r="B53" i="9" s="1"/>
  <c r="C46" i="2"/>
  <c r="C45" i="2"/>
  <c r="C10" i="9"/>
  <c r="C3" i="9" a="1"/>
  <c r="C3" i="9" s="1"/>
  <c r="C8" i="7"/>
  <c r="I41" i="7" a="1"/>
  <c r="I23" i="7" a="1"/>
  <c r="I5" i="7" a="1"/>
  <c r="D259" i="2" a="1"/>
  <c r="D259" i="2" s="1"/>
  <c r="D186" i="2" a="1"/>
  <c r="D186" i="2" s="1"/>
  <c r="D113" i="2" a="1"/>
  <c r="C5" i="9"/>
  <c r="C9" i="9"/>
  <c r="D18" i="2" a="1"/>
  <c r="D18" i="2" s="1"/>
  <c r="Q10" i="7" l="1"/>
  <c r="R13" i="7"/>
  <c r="P6" i="7"/>
  <c r="Q6" i="7"/>
  <c r="R11" i="7"/>
  <c r="R6" i="7"/>
  <c r="Q13" i="7"/>
  <c r="R10" i="7"/>
  <c r="P12" i="7"/>
  <c r="Q8" i="7"/>
  <c r="Q20" i="7" s="1"/>
  <c r="P19" i="7"/>
  <c r="P8" i="7"/>
  <c r="P20" i="7" s="1"/>
  <c r="Q12" i="7"/>
  <c r="R12" i="7"/>
  <c r="R8" i="7"/>
  <c r="R20" i="7" s="1"/>
  <c r="P11" i="7"/>
  <c r="Q19" i="7"/>
  <c r="Q11" i="7"/>
  <c r="R19" i="7"/>
  <c r="P13" i="7"/>
  <c r="P10" i="7"/>
  <c r="Q26" i="7"/>
  <c r="Q29" i="7"/>
  <c r="Q38" i="7" s="1"/>
  <c r="Q37" i="7"/>
  <c r="P24" i="7"/>
  <c r="Q28" i="7"/>
  <c r="Q33" i="7"/>
  <c r="P28" i="7"/>
  <c r="P32" i="7"/>
  <c r="P26" i="7"/>
  <c r="P38" i="7" s="1"/>
  <c r="R29" i="7"/>
  <c r="R37" i="7"/>
  <c r="R26" i="7"/>
  <c r="P29" i="7"/>
  <c r="R24" i="7"/>
  <c r="P37" i="7"/>
  <c r="Q24" i="7"/>
  <c r="R28" i="7"/>
  <c r="R32" i="7"/>
  <c r="Q32" i="7"/>
  <c r="R33" i="7"/>
  <c r="R38" i="7" s="1"/>
  <c r="R47" i="7"/>
  <c r="Q50" i="7"/>
  <c r="Q44" i="7"/>
  <c r="Q42" i="7"/>
  <c r="P55" i="7"/>
  <c r="R44" i="7"/>
  <c r="R56" i="7" s="1"/>
  <c r="P42" i="7"/>
  <c r="P46" i="7"/>
  <c r="R50" i="7"/>
  <c r="Q47" i="7"/>
  <c r="P50" i="7"/>
  <c r="R55" i="7"/>
  <c r="P44" i="7"/>
  <c r="P47" i="7"/>
  <c r="R42" i="7"/>
  <c r="Q55" i="7"/>
  <c r="R46" i="7"/>
  <c r="Q46" i="7"/>
  <c r="Q56" i="7" s="1"/>
  <c r="P51" i="7"/>
  <c r="P56" i="7" s="1"/>
  <c r="P303" i="2"/>
  <c r="P33" i="7" s="1"/>
  <c r="P200" i="2"/>
  <c r="Q303" i="2"/>
  <c r="Q51" i="7" s="1"/>
  <c r="O200" i="2"/>
  <c r="R303" i="2"/>
  <c r="R51" i="7" s="1"/>
  <c r="N200" i="2"/>
  <c r="R200" i="2"/>
  <c r="Q200" i="2"/>
  <c r="I303" i="2"/>
  <c r="J303" i="2" s="1"/>
  <c r="C299" i="2"/>
  <c r="C283" i="2"/>
  <c r="C245" i="2"/>
  <c r="K200" i="2"/>
  <c r="M200" i="2"/>
  <c r="J200" i="2"/>
  <c r="I200" i="2"/>
  <c r="L200" i="2"/>
  <c r="P155" i="2"/>
  <c r="P139" i="2"/>
  <c r="Q139" i="2"/>
  <c r="Q155" i="2"/>
  <c r="R142" i="2"/>
  <c r="O139" i="2"/>
  <c r="R155" i="2"/>
  <c r="R150" i="2"/>
  <c r="Q142" i="2"/>
  <c r="N139" i="2"/>
  <c r="R118" i="2"/>
  <c r="R120" i="2" s="1"/>
  <c r="Q6" i="12" s="1"/>
  <c r="Q150" i="2"/>
  <c r="P142" i="2"/>
  <c r="N118" i="2"/>
  <c r="N120" i="2" s="1"/>
  <c r="M6" i="12" s="1"/>
  <c r="P150" i="2"/>
  <c r="O142" i="2"/>
  <c r="O118" i="2"/>
  <c r="O119" i="2" s="1"/>
  <c r="N6" i="10" s="1"/>
  <c r="O155" i="2"/>
  <c r="O150" i="2"/>
  <c r="N142" i="2"/>
  <c r="P118" i="2"/>
  <c r="P120" i="2" s="1"/>
  <c r="O6" i="12" s="1"/>
  <c r="N155" i="2"/>
  <c r="N150" i="2"/>
  <c r="R139" i="2"/>
  <c r="Q118" i="2"/>
  <c r="Q119" i="2" s="1"/>
  <c r="P6" i="10" s="1"/>
  <c r="K155" i="2"/>
  <c r="I155" i="2"/>
  <c r="I143" i="2"/>
  <c r="K150" i="2"/>
  <c r="I142" i="2"/>
  <c r="K139" i="2"/>
  <c r="L150" i="2"/>
  <c r="L155" i="2"/>
  <c r="J150" i="2"/>
  <c r="J139" i="2"/>
  <c r="M155" i="2"/>
  <c r="I150" i="2"/>
  <c r="I139" i="2"/>
  <c r="M142" i="2"/>
  <c r="J142" i="2"/>
  <c r="L142" i="2"/>
  <c r="M150" i="2"/>
  <c r="K142" i="2"/>
  <c r="M139" i="2"/>
  <c r="J155" i="2"/>
  <c r="L139" i="2"/>
  <c r="D113" i="2"/>
  <c r="C113" i="2" s="1"/>
  <c r="J119" i="2"/>
  <c r="I6" i="10" s="1"/>
  <c r="K119" i="2"/>
  <c r="J6" i="10" s="1"/>
  <c r="I120" i="2"/>
  <c r="H6" i="12" s="1"/>
  <c r="L120" i="2"/>
  <c r="K6" i="12" s="1"/>
  <c r="C25" i="9"/>
  <c r="C41" i="9"/>
  <c r="C21" i="9"/>
  <c r="C37" i="9"/>
  <c r="D5" i="9"/>
  <c r="E5" i="9" s="1"/>
  <c r="B50" i="2"/>
  <c r="I41" i="7"/>
  <c r="I5" i="7"/>
  <c r="I23" i="7"/>
  <c r="O37" i="7" l="1"/>
  <c r="N37" i="7"/>
  <c r="N55" i="7"/>
  <c r="O55" i="7"/>
  <c r="O19" i="7"/>
  <c r="N19" i="7"/>
  <c r="K303" i="2"/>
  <c r="Q120" i="2"/>
  <c r="P6" i="12" s="1"/>
  <c r="R119" i="2"/>
  <c r="Q6" i="10" s="1"/>
  <c r="N119" i="2"/>
  <c r="M6" i="10" s="1"/>
  <c r="P119" i="2"/>
  <c r="O6" i="10" s="1"/>
  <c r="O120" i="2"/>
  <c r="N6" i="12" s="1"/>
  <c r="I119" i="2"/>
  <c r="H6" i="10" s="1"/>
  <c r="K120" i="2"/>
  <c r="J6" i="12" s="1"/>
  <c r="L119" i="2"/>
  <c r="K6" i="10" s="1"/>
  <c r="J143" i="2"/>
  <c r="J120" i="2"/>
  <c r="I6" i="12" s="1"/>
  <c r="D37" i="9"/>
  <c r="E37" i="9" s="1"/>
  <c r="F37" i="9" s="1"/>
  <c r="D21" i="9"/>
  <c r="E21" i="9" s="1"/>
  <c r="F21" i="9" s="1"/>
  <c r="F5" i="9"/>
  <c r="L303" i="2" l="1"/>
  <c r="M303" i="2" s="1"/>
  <c r="K143" i="2"/>
  <c r="G5" i="9"/>
  <c r="G37" i="9"/>
  <c r="G21" i="9"/>
  <c r="N303" i="2" l="1"/>
  <c r="L143" i="2"/>
  <c r="H5" i="9"/>
  <c r="C13" i="9" s="1"/>
  <c r="H37" i="9"/>
  <c r="H21" i="9"/>
  <c r="O303" i="2" l="1"/>
  <c r="M143" i="2"/>
  <c r="N143" i="2" s="1"/>
  <c r="C29" i="9"/>
  <c r="C45" i="9"/>
  <c r="O143" i="2" l="1"/>
  <c r="P143" i="2" l="1"/>
  <c r="G26" i="8"/>
  <c r="G25" i="8"/>
  <c r="G24" i="8"/>
  <c r="G22" i="8"/>
  <c r="G21" i="8"/>
  <c r="G20" i="8"/>
  <c r="G17" i="8"/>
  <c r="G18" i="8"/>
  <c r="G16" i="8"/>
  <c r="Q143" i="2" l="1"/>
  <c r="B13" i="2"/>
  <c r="B12" i="2"/>
  <c r="F55" i="7"/>
  <c r="F44" i="7"/>
  <c r="E63" i="7"/>
  <c r="F37" i="7"/>
  <c r="F26" i="7"/>
  <c r="F8" i="7"/>
  <c r="E62" i="7"/>
  <c r="E61" i="7"/>
  <c r="R143" i="2" l="1"/>
  <c r="B62" i="7"/>
  <c r="B63" i="7"/>
  <c r="B61" i="7"/>
  <c r="F19" i="7"/>
  <c r="C37" i="7"/>
  <c r="C26" i="7"/>
  <c r="C55" i="7"/>
  <c r="C44" i="7"/>
  <c r="B43" i="3"/>
  <c r="D9" i="16"/>
  <c r="E9" i="16"/>
  <c r="F9" i="16"/>
  <c r="G9" i="16"/>
  <c r="D14" i="16"/>
  <c r="E14" i="16"/>
  <c r="F14" i="16"/>
  <c r="G14" i="16"/>
  <c r="D15" i="16"/>
  <c r="E15" i="16"/>
  <c r="F15" i="16"/>
  <c r="G15" i="16"/>
  <c r="D16" i="16"/>
  <c r="E16" i="16"/>
  <c r="F16" i="16"/>
  <c r="G16" i="16"/>
  <c r="D17" i="16"/>
  <c r="E17" i="16"/>
  <c r="F17" i="16"/>
  <c r="G17" i="16"/>
  <c r="D22" i="16"/>
  <c r="E22" i="16"/>
  <c r="E57" i="15" s="1"/>
  <c r="F22" i="16"/>
  <c r="F57" i="15" s="1"/>
  <c r="G22" i="16"/>
  <c r="G57" i="15" s="1"/>
  <c r="D23" i="16"/>
  <c r="E23" i="16"/>
  <c r="F23" i="16"/>
  <c r="G23" i="16"/>
  <c r="D24" i="16"/>
  <c r="E24" i="16"/>
  <c r="F24" i="16"/>
  <c r="G24" i="16"/>
  <c r="D25" i="16"/>
  <c r="E25" i="16"/>
  <c r="F25" i="16"/>
  <c r="G25" i="16"/>
  <c r="D26" i="16"/>
  <c r="E26" i="16"/>
  <c r="F26" i="16"/>
  <c r="G26" i="16"/>
  <c r="D29" i="16"/>
  <c r="E29" i="16"/>
  <c r="F29" i="16"/>
  <c r="G29" i="16"/>
  <c r="B41" i="16"/>
  <c r="B35" i="16"/>
  <c r="B34" i="16"/>
  <c r="C29" i="16"/>
  <c r="B29" i="16"/>
  <c r="C26" i="16"/>
  <c r="B26" i="16"/>
  <c r="C25" i="16"/>
  <c r="B25" i="16"/>
  <c r="C24" i="16"/>
  <c r="B24" i="16"/>
  <c r="C23" i="16"/>
  <c r="B23" i="16"/>
  <c r="C22" i="16"/>
  <c r="C57" i="15" s="1"/>
  <c r="B22" i="16"/>
  <c r="C17" i="16"/>
  <c r="C16" i="16"/>
  <c r="C15" i="16"/>
  <c r="C14" i="16"/>
  <c r="C9" i="16"/>
  <c r="B9" i="16"/>
  <c r="B8" i="16"/>
  <c r="B7" i="16"/>
  <c r="B5" i="16"/>
  <c r="B56" i="15"/>
  <c r="B42" i="15"/>
  <c r="B40" i="15"/>
  <c r="G38" i="15"/>
  <c r="F38" i="15"/>
  <c r="E38" i="15"/>
  <c r="D38" i="15"/>
  <c r="C38" i="15"/>
  <c r="B38" i="15"/>
  <c r="G37" i="15"/>
  <c r="F37" i="15"/>
  <c r="E37" i="15"/>
  <c r="D37" i="15"/>
  <c r="C37" i="15"/>
  <c r="B37" i="15"/>
  <c r="G36" i="15"/>
  <c r="F36" i="15"/>
  <c r="E36" i="15"/>
  <c r="D36" i="15"/>
  <c r="C36" i="15"/>
  <c r="B36" i="15"/>
  <c r="G33" i="15"/>
  <c r="F33" i="15"/>
  <c r="E33" i="15"/>
  <c r="D33" i="15"/>
  <c r="C33" i="15"/>
  <c r="B33" i="15"/>
  <c r="G35" i="15"/>
  <c r="F35" i="15"/>
  <c r="E35" i="15"/>
  <c r="D35" i="15"/>
  <c r="C35" i="15"/>
  <c r="B35" i="15"/>
  <c r="G34" i="15"/>
  <c r="F34" i="15"/>
  <c r="E34" i="15"/>
  <c r="D34" i="15"/>
  <c r="C34" i="15"/>
  <c r="B34" i="15"/>
  <c r="B29" i="15"/>
  <c r="B28" i="15"/>
  <c r="G27" i="15"/>
  <c r="F27" i="15"/>
  <c r="E27" i="15"/>
  <c r="D27" i="15"/>
  <c r="C27" i="15"/>
  <c r="B27" i="15"/>
  <c r="G26" i="15"/>
  <c r="F26" i="15"/>
  <c r="E26" i="15"/>
  <c r="D26" i="15"/>
  <c r="C26" i="15"/>
  <c r="B26" i="15"/>
  <c r="B24" i="15"/>
  <c r="G23" i="15"/>
  <c r="F23" i="15"/>
  <c r="E23" i="15"/>
  <c r="D23" i="15"/>
  <c r="C23" i="15"/>
  <c r="B23" i="15"/>
  <c r="G22" i="15"/>
  <c r="F22" i="15"/>
  <c r="E22" i="15"/>
  <c r="D22" i="15"/>
  <c r="C22" i="15"/>
  <c r="B22" i="15"/>
  <c r="G21" i="15"/>
  <c r="F21" i="15"/>
  <c r="E21" i="15"/>
  <c r="D21" i="15"/>
  <c r="C21" i="15"/>
  <c r="B21" i="15"/>
  <c r="B16" i="15"/>
  <c r="B15" i="15"/>
  <c r="G14" i="15"/>
  <c r="F14" i="15"/>
  <c r="E14" i="15"/>
  <c r="D14" i="15"/>
  <c r="C14" i="15"/>
  <c r="B14" i="15"/>
  <c r="G13" i="15"/>
  <c r="F13" i="15"/>
  <c r="E13" i="15"/>
  <c r="D13" i="15"/>
  <c r="C13" i="15"/>
  <c r="B13" i="15"/>
  <c r="G12" i="15"/>
  <c r="F12" i="15"/>
  <c r="E12" i="15"/>
  <c r="D12" i="15"/>
  <c r="C12" i="15"/>
  <c r="B12" i="15"/>
  <c r="B10" i="15"/>
  <c r="G9" i="15"/>
  <c r="F9" i="15"/>
  <c r="E9" i="15"/>
  <c r="D9" i="15"/>
  <c r="C9" i="15"/>
  <c r="B9" i="15"/>
  <c r="G8" i="15"/>
  <c r="F8" i="15"/>
  <c r="E8" i="15"/>
  <c r="D8" i="15"/>
  <c r="C8" i="15"/>
  <c r="B8" i="15"/>
  <c r="B7" i="15"/>
  <c r="B6" i="15"/>
  <c r="D8" i="14"/>
  <c r="E8" i="14"/>
  <c r="F8" i="14"/>
  <c r="G8" i="14"/>
  <c r="D9" i="14"/>
  <c r="E9" i="14"/>
  <c r="F9" i="14"/>
  <c r="G9" i="14"/>
  <c r="D12" i="14"/>
  <c r="E12" i="14"/>
  <c r="F12" i="14"/>
  <c r="G12" i="14"/>
  <c r="D13" i="14"/>
  <c r="E13" i="14"/>
  <c r="F13" i="14"/>
  <c r="G13" i="14"/>
  <c r="D14" i="14"/>
  <c r="E14" i="14"/>
  <c r="F14" i="14"/>
  <c r="G14" i="14"/>
  <c r="D21" i="14"/>
  <c r="E21" i="14"/>
  <c r="F21" i="14"/>
  <c r="G21" i="14"/>
  <c r="D22" i="14"/>
  <c r="E22" i="14"/>
  <c r="F22" i="14"/>
  <c r="G22" i="14"/>
  <c r="D23" i="14"/>
  <c r="E23" i="14"/>
  <c r="F23" i="14"/>
  <c r="G23" i="14"/>
  <c r="D26" i="14"/>
  <c r="E26" i="14"/>
  <c r="F26" i="14"/>
  <c r="G26" i="14"/>
  <c r="D27" i="14"/>
  <c r="E27" i="14"/>
  <c r="F27" i="14"/>
  <c r="G27" i="14"/>
  <c r="D34" i="14"/>
  <c r="E34" i="14"/>
  <c r="F34" i="14"/>
  <c r="G34" i="14"/>
  <c r="D35" i="14"/>
  <c r="E35" i="14"/>
  <c r="F35" i="14"/>
  <c r="G35" i="14"/>
  <c r="D33" i="14"/>
  <c r="E33" i="14"/>
  <c r="F33" i="14"/>
  <c r="G33" i="14"/>
  <c r="D36" i="14"/>
  <c r="E36" i="14"/>
  <c r="F36" i="14"/>
  <c r="G36" i="14"/>
  <c r="D37" i="14"/>
  <c r="E37" i="14"/>
  <c r="F37" i="14"/>
  <c r="G37" i="14"/>
  <c r="D38" i="14"/>
  <c r="E38" i="14"/>
  <c r="F38" i="14"/>
  <c r="G38" i="14"/>
  <c r="B56" i="14"/>
  <c r="B42" i="14"/>
  <c r="B40" i="14"/>
  <c r="C38" i="14"/>
  <c r="B38" i="14"/>
  <c r="C37" i="14"/>
  <c r="B37" i="14"/>
  <c r="C36" i="14"/>
  <c r="B36" i="14"/>
  <c r="C33" i="14"/>
  <c r="B33" i="14"/>
  <c r="C35" i="14"/>
  <c r="B35" i="14"/>
  <c r="C34" i="14"/>
  <c r="B34" i="14"/>
  <c r="B29" i="14"/>
  <c r="B28" i="14"/>
  <c r="C27" i="14"/>
  <c r="B27" i="14"/>
  <c r="C26" i="14"/>
  <c r="B26" i="14"/>
  <c r="B24" i="14"/>
  <c r="C23" i="14"/>
  <c r="B23" i="14"/>
  <c r="C22" i="14"/>
  <c r="B22" i="14"/>
  <c r="C21" i="14"/>
  <c r="B21" i="14"/>
  <c r="B16" i="14"/>
  <c r="B15" i="14"/>
  <c r="C14" i="14"/>
  <c r="B14" i="14"/>
  <c r="C13" i="14"/>
  <c r="B13" i="14"/>
  <c r="C12" i="14"/>
  <c r="B12" i="14"/>
  <c r="B10" i="14"/>
  <c r="C9" i="14"/>
  <c r="B9" i="14"/>
  <c r="C8" i="14"/>
  <c r="B8" i="14"/>
  <c r="B7" i="14"/>
  <c r="B6" i="14"/>
  <c r="D9" i="13"/>
  <c r="E9" i="13"/>
  <c r="F9" i="13"/>
  <c r="G9" i="13"/>
  <c r="D14" i="13"/>
  <c r="E14" i="13"/>
  <c r="F14" i="13"/>
  <c r="G14" i="13"/>
  <c r="D15" i="13"/>
  <c r="E15" i="13"/>
  <c r="F15" i="13"/>
  <c r="G15" i="13"/>
  <c r="D16" i="13"/>
  <c r="E16" i="13"/>
  <c r="F16" i="13"/>
  <c r="G16" i="13"/>
  <c r="D17" i="13"/>
  <c r="E17" i="13"/>
  <c r="F17" i="13"/>
  <c r="G17" i="13"/>
  <c r="D22" i="13"/>
  <c r="D57" i="14" s="1"/>
  <c r="E22" i="13"/>
  <c r="F22" i="13"/>
  <c r="F57" i="14" s="1"/>
  <c r="G22" i="13"/>
  <c r="G57" i="14" s="1"/>
  <c r="D23" i="13"/>
  <c r="E23" i="13"/>
  <c r="F23" i="13"/>
  <c r="G23" i="13"/>
  <c r="D24" i="13"/>
  <c r="E24" i="13"/>
  <c r="F24" i="13"/>
  <c r="G24" i="13"/>
  <c r="D25" i="13"/>
  <c r="E25" i="13"/>
  <c r="F25" i="13"/>
  <c r="G25" i="13"/>
  <c r="D26" i="13"/>
  <c r="E26" i="13"/>
  <c r="F26" i="13"/>
  <c r="G26" i="13"/>
  <c r="D29" i="13"/>
  <c r="E29" i="13"/>
  <c r="F29" i="13"/>
  <c r="G29" i="13"/>
  <c r="B41" i="13"/>
  <c r="B35" i="13"/>
  <c r="B34" i="13"/>
  <c r="C29" i="13"/>
  <c r="B29" i="13"/>
  <c r="C26" i="13"/>
  <c r="B26" i="13"/>
  <c r="C25" i="13"/>
  <c r="B25" i="13"/>
  <c r="C24" i="13"/>
  <c r="B24" i="13"/>
  <c r="C23" i="13"/>
  <c r="B23" i="13"/>
  <c r="C22" i="13"/>
  <c r="C57" i="14" s="1"/>
  <c r="B22" i="13"/>
  <c r="C17" i="13"/>
  <c r="C16" i="13"/>
  <c r="C15" i="13"/>
  <c r="C14" i="13"/>
  <c r="C9" i="13"/>
  <c r="B9" i="13"/>
  <c r="B8" i="13"/>
  <c r="B7" i="13"/>
  <c r="B5" i="13"/>
  <c r="G6" i="16"/>
  <c r="F6" i="16"/>
  <c r="E6" i="16"/>
  <c r="D55" i="15"/>
  <c r="C55" i="15"/>
  <c r="G13" i="16"/>
  <c r="F13" i="16"/>
  <c r="E13" i="16"/>
  <c r="D13" i="16"/>
  <c r="C54" i="15"/>
  <c r="B34" i="12"/>
  <c r="G31" i="12"/>
  <c r="G58" i="12" s="1"/>
  <c r="F31" i="12"/>
  <c r="F58" i="12" s="1"/>
  <c r="E31" i="12"/>
  <c r="E58" i="12" s="1"/>
  <c r="D31" i="12"/>
  <c r="D58" i="12" s="1"/>
  <c r="C31" i="12"/>
  <c r="C58" i="12" s="1"/>
  <c r="B31" i="12"/>
  <c r="B58" i="12" s="1"/>
  <c r="B25" i="12"/>
  <c r="G19" i="12"/>
  <c r="F19" i="12"/>
  <c r="E19" i="12"/>
  <c r="D19" i="12"/>
  <c r="C19" i="12"/>
  <c r="B19" i="12"/>
  <c r="G16" i="12"/>
  <c r="F16" i="12"/>
  <c r="E16" i="12"/>
  <c r="D16" i="12"/>
  <c r="C16" i="12"/>
  <c r="B16" i="12"/>
  <c r="G8" i="12"/>
  <c r="G10" i="12" s="1" a="1"/>
  <c r="F8" i="12"/>
  <c r="F10" i="12" s="1" a="1"/>
  <c r="E8" i="12"/>
  <c r="D8" i="12"/>
  <c r="D10" i="12" s="1" a="1"/>
  <c r="C8" i="12"/>
  <c r="C53" i="15" s="1"/>
  <c r="G4" i="12"/>
  <c r="F4" i="12"/>
  <c r="E4" i="12"/>
  <c r="D4" i="12"/>
  <c r="C4" i="12"/>
  <c r="B4" i="12"/>
  <c r="G55" i="14"/>
  <c r="F55" i="14"/>
  <c r="E55" i="14"/>
  <c r="D55" i="14"/>
  <c r="C55" i="14"/>
  <c r="G54" i="14"/>
  <c r="F54" i="14"/>
  <c r="E54" i="14"/>
  <c r="D54" i="14"/>
  <c r="C13" i="13"/>
  <c r="B34" i="10"/>
  <c r="G31" i="10"/>
  <c r="G58" i="10" s="1"/>
  <c r="F31" i="10"/>
  <c r="F58" i="10" s="1"/>
  <c r="E31" i="10"/>
  <c r="E58" i="10" s="1"/>
  <c r="D31" i="10"/>
  <c r="D58" i="10" s="1"/>
  <c r="C31" i="10"/>
  <c r="C58" i="10" s="1"/>
  <c r="B31" i="10"/>
  <c r="B58" i="10" s="1"/>
  <c r="B25" i="10"/>
  <c r="G19" i="10"/>
  <c r="F19" i="10"/>
  <c r="E19" i="10"/>
  <c r="D19" i="10"/>
  <c r="C19" i="10"/>
  <c r="B19" i="10"/>
  <c r="G16" i="10"/>
  <c r="F16" i="10"/>
  <c r="E16" i="10"/>
  <c r="D16" i="10"/>
  <c r="C16" i="10"/>
  <c r="B16" i="10"/>
  <c r="G8" i="10"/>
  <c r="F8" i="10"/>
  <c r="F10" i="10" s="1" a="1"/>
  <c r="E8" i="10"/>
  <c r="E10" i="10" s="1" a="1"/>
  <c r="D8" i="10"/>
  <c r="C8" i="10"/>
  <c r="C53" i="14" s="1"/>
  <c r="G4" i="10"/>
  <c r="F4" i="10"/>
  <c r="E4" i="10"/>
  <c r="D4" i="10"/>
  <c r="C4" i="10"/>
  <c r="B4" i="10"/>
  <c r="C73" i="2"/>
  <c r="C62" i="2" s="1"/>
  <c r="C96" i="2"/>
  <c r="C97" i="2" s="1"/>
  <c r="C101" i="2"/>
  <c r="B26" i="2"/>
  <c r="B250" i="2"/>
  <c r="B262" i="2"/>
  <c r="D262" i="2"/>
  <c r="E262" i="2"/>
  <c r="F262" i="2"/>
  <c r="G262" i="2"/>
  <c r="H262" i="2"/>
  <c r="B35" i="6"/>
  <c r="B34" i="6"/>
  <c r="B26" i="6"/>
  <c r="B25" i="6"/>
  <c r="B24" i="6"/>
  <c r="B23" i="6"/>
  <c r="B22" i="6"/>
  <c r="B57" i="14" s="1"/>
  <c r="B29" i="6"/>
  <c r="D29" i="6"/>
  <c r="E29" i="6"/>
  <c r="F29" i="6"/>
  <c r="G29" i="6"/>
  <c r="C29" i="6"/>
  <c r="B189" i="2"/>
  <c r="D189" i="2"/>
  <c r="E189" i="2"/>
  <c r="F189" i="2"/>
  <c r="G189" i="2"/>
  <c r="H189" i="2"/>
  <c r="B38" i="5"/>
  <c r="B37" i="5"/>
  <c r="B36" i="5"/>
  <c r="B33" i="5"/>
  <c r="B35" i="5"/>
  <c r="B34" i="5"/>
  <c r="B60" i="2" l="1"/>
  <c r="B3" i="8"/>
  <c r="E10" i="12" a="1"/>
  <c r="D10" i="10" a="1"/>
  <c r="G10" i="10" a="1"/>
  <c r="P262" i="2"/>
  <c r="O262" i="2"/>
  <c r="N262" i="2"/>
  <c r="R262" i="2"/>
  <c r="Q262" i="2"/>
  <c r="Q189" i="2"/>
  <c r="P189" i="2"/>
  <c r="N189" i="2"/>
  <c r="R189" i="2"/>
  <c r="O189" i="2"/>
  <c r="C3" i="10" a="1"/>
  <c r="C3" i="15" a="1"/>
  <c r="C3" i="3" a="1"/>
  <c r="C3" i="14" a="1"/>
  <c r="C3" i="5" a="1"/>
  <c r="C3" i="12" a="1"/>
  <c r="C3" i="16" a="1"/>
  <c r="C3" i="13" a="1"/>
  <c r="C3" i="6" a="1"/>
  <c r="I189" i="2"/>
  <c r="K189" i="2"/>
  <c r="M189" i="2"/>
  <c r="J189" i="2"/>
  <c r="L189" i="2"/>
  <c r="I262" i="2"/>
  <c r="J262" i="2"/>
  <c r="K262" i="2"/>
  <c r="L262" i="2"/>
  <c r="M262" i="2"/>
  <c r="E40" i="14"/>
  <c r="C40" i="15"/>
  <c r="D48" i="10"/>
  <c r="D52" i="10"/>
  <c r="D45" i="10"/>
  <c r="C5" i="12"/>
  <c r="C45" i="12"/>
  <c r="C48" i="12"/>
  <c r="C52" i="12"/>
  <c r="D40" i="14"/>
  <c r="B9" i="12"/>
  <c r="B45" i="12"/>
  <c r="B52" i="12"/>
  <c r="B48" i="12"/>
  <c r="D48" i="12"/>
  <c r="D52" i="12"/>
  <c r="D45" i="12"/>
  <c r="F45" i="10"/>
  <c r="F52" i="10"/>
  <c r="F48" i="10"/>
  <c r="E52" i="12"/>
  <c r="E48" i="12"/>
  <c r="E45" i="12"/>
  <c r="G52" i="10"/>
  <c r="G45" i="10"/>
  <c r="G48" i="10"/>
  <c r="F45" i="12"/>
  <c r="F52" i="12"/>
  <c r="F48" i="12"/>
  <c r="G52" i="12"/>
  <c r="G45" i="12"/>
  <c r="G48" i="12"/>
  <c r="E40" i="15"/>
  <c r="C40" i="13"/>
  <c r="C45" i="10"/>
  <c r="C48" i="10"/>
  <c r="C52" i="10"/>
  <c r="E45" i="10"/>
  <c r="E48" i="10"/>
  <c r="E52" i="10"/>
  <c r="D40" i="15"/>
  <c r="G40" i="14"/>
  <c r="F40" i="15"/>
  <c r="B9" i="10"/>
  <c r="B48" i="10"/>
  <c r="B45" i="10"/>
  <c r="B52" i="10"/>
  <c r="C40" i="14"/>
  <c r="F40" i="14"/>
  <c r="G40" i="15"/>
  <c r="G53" i="15"/>
  <c r="G10" i="12"/>
  <c r="E10" i="10"/>
  <c r="F53" i="14"/>
  <c r="F10" i="10"/>
  <c r="D53" i="14"/>
  <c r="D10" i="10"/>
  <c r="G53" i="14"/>
  <c r="G10" i="10"/>
  <c r="D53" i="15"/>
  <c r="D10" i="12"/>
  <c r="F53" i="15"/>
  <c r="F10" i="12"/>
  <c r="E53" i="15"/>
  <c r="E10" i="12"/>
  <c r="C21" i="1"/>
  <c r="C26" i="1"/>
  <c r="D26" i="1"/>
  <c r="E26" i="1"/>
  <c r="F26" i="1"/>
  <c r="F5" i="10"/>
  <c r="F6" i="10"/>
  <c r="G52" i="14"/>
  <c r="G6" i="10"/>
  <c r="D5" i="12"/>
  <c r="D6" i="12"/>
  <c r="E40" i="16"/>
  <c r="E6" i="12"/>
  <c r="G40" i="16"/>
  <c r="G6" i="12"/>
  <c r="F5" i="12"/>
  <c r="F6" i="12"/>
  <c r="D52" i="14"/>
  <c r="D6" i="10"/>
  <c r="E40" i="13"/>
  <c r="E6" i="10"/>
  <c r="C102" i="2"/>
  <c r="D20" i="8"/>
  <c r="D16" i="8"/>
  <c r="E27" i="16"/>
  <c r="G27" i="16"/>
  <c r="D18" i="16"/>
  <c r="F27" i="16"/>
  <c r="D40" i="16"/>
  <c r="D27" i="16"/>
  <c r="G54" i="15"/>
  <c r="D6" i="16"/>
  <c r="C52" i="15"/>
  <c r="F54" i="15"/>
  <c r="C6" i="16"/>
  <c r="G55" i="15"/>
  <c r="E54" i="15"/>
  <c r="C13" i="16"/>
  <c r="C18" i="16" s="1"/>
  <c r="F55" i="15"/>
  <c r="D54" i="15"/>
  <c r="C40" i="16"/>
  <c r="E55" i="15"/>
  <c r="G52" i="15"/>
  <c r="F52" i="15"/>
  <c r="G18" i="16"/>
  <c r="E52" i="15"/>
  <c r="F18" i="16"/>
  <c r="F40" i="16"/>
  <c r="D52" i="15"/>
  <c r="E18" i="16"/>
  <c r="E28" i="15"/>
  <c r="D57" i="15"/>
  <c r="E15" i="15"/>
  <c r="F28" i="15"/>
  <c r="C15" i="15"/>
  <c r="C24" i="15"/>
  <c r="B57" i="15"/>
  <c r="D15" i="15"/>
  <c r="D24" i="15"/>
  <c r="F15" i="15"/>
  <c r="F24" i="15"/>
  <c r="C28" i="15"/>
  <c r="D28" i="15"/>
  <c r="E24" i="15"/>
  <c r="C27" i="16"/>
  <c r="G15" i="15"/>
  <c r="G24" i="15"/>
  <c r="G28" i="15"/>
  <c r="F15" i="14"/>
  <c r="C28" i="14"/>
  <c r="D15" i="14"/>
  <c r="G24" i="14"/>
  <c r="F24" i="14"/>
  <c r="E28" i="14"/>
  <c r="G28" i="14"/>
  <c r="E9" i="10"/>
  <c r="G12" i="12"/>
  <c r="F28" i="14"/>
  <c r="E15" i="14"/>
  <c r="E27" i="13"/>
  <c r="F32" i="10"/>
  <c r="E57" i="14"/>
  <c r="E24" i="14"/>
  <c r="D24" i="14"/>
  <c r="F27" i="13"/>
  <c r="G15" i="14"/>
  <c r="F52" i="14"/>
  <c r="G9" i="12"/>
  <c r="C52" i="14"/>
  <c r="E52" i="14"/>
  <c r="F17" i="10"/>
  <c r="F32" i="12"/>
  <c r="C54" i="14"/>
  <c r="E53" i="14"/>
  <c r="D28" i="14"/>
  <c r="C15" i="14"/>
  <c r="C24" i="14"/>
  <c r="D27" i="13"/>
  <c r="G27" i="13"/>
  <c r="C18" i="13"/>
  <c r="G12" i="10"/>
  <c r="D17" i="10"/>
  <c r="F20" i="10"/>
  <c r="F17" i="12"/>
  <c r="C27" i="13"/>
  <c r="F12" i="12"/>
  <c r="F12" i="10"/>
  <c r="E12" i="12"/>
  <c r="D12" i="10"/>
  <c r="C20" i="12"/>
  <c r="G5" i="12"/>
  <c r="D20" i="12"/>
  <c r="D32" i="12"/>
  <c r="C9" i="10"/>
  <c r="G32" i="12"/>
  <c r="G40" i="13"/>
  <c r="E17" i="10"/>
  <c r="E20" i="10"/>
  <c r="C12" i="12"/>
  <c r="C13" i="12" s="1"/>
  <c r="F40" i="13"/>
  <c r="D40" i="13"/>
  <c r="D9" i="12"/>
  <c r="C17" i="12"/>
  <c r="B32" i="12"/>
  <c r="B35" i="12"/>
  <c r="C9" i="12"/>
  <c r="B23" i="10"/>
  <c r="G32" i="10"/>
  <c r="E9" i="12"/>
  <c r="D17" i="12"/>
  <c r="F20" i="12"/>
  <c r="B29" i="12"/>
  <c r="C6" i="13"/>
  <c r="E12" i="10"/>
  <c r="D5" i="10"/>
  <c r="F9" i="12"/>
  <c r="E5" i="10"/>
  <c r="B29" i="10"/>
  <c r="C32" i="12"/>
  <c r="E5" i="12"/>
  <c r="E32" i="12"/>
  <c r="E17" i="12"/>
  <c r="G20" i="12"/>
  <c r="E20" i="12"/>
  <c r="G17" i="12"/>
  <c r="B38" i="12"/>
  <c r="B23" i="12"/>
  <c r="B26" i="12"/>
  <c r="B13" i="12"/>
  <c r="B17" i="12"/>
  <c r="B20" i="12"/>
  <c r="B5" i="12"/>
  <c r="D12" i="12"/>
  <c r="C20" i="10"/>
  <c r="F9" i="10"/>
  <c r="D20" i="10"/>
  <c r="B35" i="10"/>
  <c r="C32" i="10"/>
  <c r="D9" i="10"/>
  <c r="B26" i="10"/>
  <c r="B32" i="10"/>
  <c r="G5" i="10"/>
  <c r="D32" i="10"/>
  <c r="C12" i="10"/>
  <c r="C17" i="10"/>
  <c r="E32" i="10"/>
  <c r="G9" i="10"/>
  <c r="G17" i="10"/>
  <c r="C5" i="10"/>
  <c r="G20" i="10"/>
  <c r="B38" i="10"/>
  <c r="B13" i="10"/>
  <c r="B17" i="10"/>
  <c r="B20" i="10"/>
  <c r="B5" i="10"/>
  <c r="C83" i="2"/>
  <c r="C84" i="2" s="1"/>
  <c r="C65" i="2"/>
  <c r="C80" i="2"/>
  <c r="C81" i="2" s="1"/>
  <c r="B75" i="2"/>
  <c r="C69" i="2"/>
  <c r="B90" i="2"/>
  <c r="C72" i="2"/>
  <c r="C67" i="2"/>
  <c r="B113" i="2"/>
  <c r="H41" i="18" l="1"/>
  <c r="H23" i="18"/>
  <c r="H5" i="18"/>
  <c r="F25" i="18"/>
  <c r="F7" i="18"/>
  <c r="C7" i="18"/>
  <c r="F43" i="18"/>
  <c r="C25" i="18"/>
  <c r="C43" i="18"/>
  <c r="M9" i="6"/>
  <c r="N9" i="6"/>
  <c r="O9" i="6"/>
  <c r="P9" i="6"/>
  <c r="Q9" i="6"/>
  <c r="M9" i="13"/>
  <c r="N9" i="13"/>
  <c r="O9" i="13"/>
  <c r="P9" i="13"/>
  <c r="Q9" i="13"/>
  <c r="P9" i="16"/>
  <c r="O9" i="16"/>
  <c r="Q9" i="16"/>
  <c r="M9" i="16"/>
  <c r="N9" i="16"/>
  <c r="C3" i="13"/>
  <c r="H23" i="13"/>
  <c r="H22" i="14" s="1"/>
  <c r="H17" i="13"/>
  <c r="I9" i="13"/>
  <c r="H16" i="13"/>
  <c r="I16" i="13" s="1"/>
  <c r="J16" i="13" s="1"/>
  <c r="J9" i="13"/>
  <c r="H29" i="13"/>
  <c r="H15" i="13"/>
  <c r="K9" i="13"/>
  <c r="H26" i="13"/>
  <c r="H14" i="13"/>
  <c r="H24" i="13"/>
  <c r="I24" i="13" s="1"/>
  <c r="L9" i="13"/>
  <c r="H25" i="13"/>
  <c r="I25" i="13" s="1"/>
  <c r="J25" i="13" s="1"/>
  <c r="H9" i="13"/>
  <c r="C3" i="16"/>
  <c r="L9" i="16"/>
  <c r="H17" i="16"/>
  <c r="I17" i="16" s="1"/>
  <c r="K9" i="16"/>
  <c r="H16" i="16"/>
  <c r="I16" i="16" s="1"/>
  <c r="J16" i="16" s="1"/>
  <c r="H29" i="16"/>
  <c r="H15" i="16"/>
  <c r="I15" i="16" s="1"/>
  <c r="H26" i="16"/>
  <c r="H14" i="16"/>
  <c r="H25" i="16"/>
  <c r="I25" i="16" s="1"/>
  <c r="J25" i="16" s="1"/>
  <c r="I9" i="16"/>
  <c r="H24" i="16"/>
  <c r="H9" i="16"/>
  <c r="J9" i="16"/>
  <c r="H23" i="16"/>
  <c r="H22" i="15" s="1"/>
  <c r="C3" i="12"/>
  <c r="H4" i="12"/>
  <c r="I49" i="18" s="1"/>
  <c r="C3" i="5"/>
  <c r="C3" i="14"/>
  <c r="H37" i="14"/>
  <c r="I37" i="14" s="1"/>
  <c r="J37" i="14" s="1"/>
  <c r="K37" i="14" s="1"/>
  <c r="L37" i="14" s="1"/>
  <c r="M37" i="14" s="1"/>
  <c r="N37" i="14" s="1"/>
  <c r="O37" i="14" s="1"/>
  <c r="P37" i="14" s="1"/>
  <c r="Q37" i="14" s="1"/>
  <c r="H36" i="14"/>
  <c r="I36" i="14" s="1"/>
  <c r="J36" i="14" s="1"/>
  <c r="K36" i="14" s="1"/>
  <c r="L36" i="14" s="1"/>
  <c r="M36" i="14" s="1"/>
  <c r="N36" i="14" s="1"/>
  <c r="O36" i="14" s="1"/>
  <c r="P36" i="14" s="1"/>
  <c r="Q36" i="14" s="1"/>
  <c r="H35" i="14"/>
  <c r="I35" i="14" s="1"/>
  <c r="J35" i="14" s="1"/>
  <c r="K35" i="14" s="1"/>
  <c r="L35" i="14" s="1"/>
  <c r="M35" i="14" s="1"/>
  <c r="N35" i="14" s="1"/>
  <c r="O35" i="14" s="1"/>
  <c r="P35" i="14" s="1"/>
  <c r="Q35" i="14" s="1"/>
  <c r="H14" i="14"/>
  <c r="I14" i="14" s="1"/>
  <c r="J14" i="14" s="1"/>
  <c r="K14" i="14" s="1"/>
  <c r="L14" i="14" s="1"/>
  <c r="M14" i="14" s="1"/>
  <c r="N14" i="14" s="1"/>
  <c r="O14" i="14" s="1"/>
  <c r="P14" i="14" s="1"/>
  <c r="Q14" i="14" s="1"/>
  <c r="H38" i="14"/>
  <c r="I38" i="14" s="1"/>
  <c r="J38" i="14" s="1"/>
  <c r="K38" i="14" s="1"/>
  <c r="L38" i="14" s="1"/>
  <c r="M38" i="14" s="1"/>
  <c r="N38" i="14" s="1"/>
  <c r="O38" i="14" s="1"/>
  <c r="P38" i="14" s="1"/>
  <c r="Q38" i="14" s="1"/>
  <c r="H34" i="14"/>
  <c r="I34" i="14" s="1"/>
  <c r="J34" i="14" s="1"/>
  <c r="K34" i="14" s="1"/>
  <c r="L34" i="14" s="1"/>
  <c r="M34" i="14" s="1"/>
  <c r="N34" i="14" s="1"/>
  <c r="O34" i="14" s="1"/>
  <c r="P34" i="14" s="1"/>
  <c r="Q34" i="14" s="1"/>
  <c r="H13" i="14"/>
  <c r="I13" i="14" s="1"/>
  <c r="J13" i="14" s="1"/>
  <c r="K13" i="14" s="1"/>
  <c r="L13" i="14" s="1"/>
  <c r="M13" i="14" s="1"/>
  <c r="N13" i="14" s="1"/>
  <c r="O13" i="14" s="1"/>
  <c r="P13" i="14" s="1"/>
  <c r="Q13" i="14" s="1"/>
  <c r="H23" i="14"/>
  <c r="I23" i="14" s="1"/>
  <c r="J23" i="14" s="1"/>
  <c r="K23" i="14" s="1"/>
  <c r="H27" i="14"/>
  <c r="I27" i="14" s="1"/>
  <c r="J27" i="14" s="1"/>
  <c r="K27" i="14" s="1"/>
  <c r="L27" i="14" s="1"/>
  <c r="M27" i="14" s="1"/>
  <c r="N27" i="14" s="1"/>
  <c r="O27" i="14" s="1"/>
  <c r="P27" i="14" s="1"/>
  <c r="Q27" i="14" s="1"/>
  <c r="H9" i="14"/>
  <c r="I9" i="14" s="1"/>
  <c r="J9" i="14" s="1"/>
  <c r="K9" i="14" s="1"/>
  <c r="H26" i="14"/>
  <c r="I26" i="14" s="1"/>
  <c r="C3" i="3"/>
  <c r="C3" i="15"/>
  <c r="H37" i="15"/>
  <c r="I37" i="15" s="1"/>
  <c r="J37" i="15" s="1"/>
  <c r="K37" i="15" s="1"/>
  <c r="L37" i="15" s="1"/>
  <c r="M37" i="15" s="1"/>
  <c r="N37" i="15" s="1"/>
  <c r="O37" i="15" s="1"/>
  <c r="P37" i="15" s="1"/>
  <c r="Q37" i="15" s="1"/>
  <c r="H36" i="15"/>
  <c r="I36" i="15" s="1"/>
  <c r="J36" i="15" s="1"/>
  <c r="K36" i="15" s="1"/>
  <c r="L36" i="15" s="1"/>
  <c r="M36" i="15" s="1"/>
  <c r="N36" i="15" s="1"/>
  <c r="O36" i="15" s="1"/>
  <c r="P36" i="15" s="1"/>
  <c r="Q36" i="15" s="1"/>
  <c r="H23" i="15"/>
  <c r="I23" i="15" s="1"/>
  <c r="J23" i="15" s="1"/>
  <c r="K23" i="15" s="1"/>
  <c r="H35" i="15"/>
  <c r="I35" i="15" s="1"/>
  <c r="J35" i="15" s="1"/>
  <c r="K35" i="15" s="1"/>
  <c r="L35" i="15" s="1"/>
  <c r="M35" i="15" s="1"/>
  <c r="N35" i="15" s="1"/>
  <c r="O35" i="15" s="1"/>
  <c r="P35" i="15" s="1"/>
  <c r="Q35" i="15" s="1"/>
  <c r="H14" i="15"/>
  <c r="I14" i="15" s="1"/>
  <c r="J14" i="15" s="1"/>
  <c r="K14" i="15" s="1"/>
  <c r="L14" i="15" s="1"/>
  <c r="M14" i="15" s="1"/>
  <c r="N14" i="15" s="1"/>
  <c r="O14" i="15" s="1"/>
  <c r="P14" i="15" s="1"/>
  <c r="Q14" i="15" s="1"/>
  <c r="H34" i="15"/>
  <c r="I34" i="15" s="1"/>
  <c r="J34" i="15" s="1"/>
  <c r="K34" i="15" s="1"/>
  <c r="L34" i="15" s="1"/>
  <c r="M34" i="15" s="1"/>
  <c r="N34" i="15" s="1"/>
  <c r="O34" i="15" s="1"/>
  <c r="P34" i="15" s="1"/>
  <c r="Q34" i="15" s="1"/>
  <c r="H13" i="15"/>
  <c r="I13" i="15" s="1"/>
  <c r="H38" i="15"/>
  <c r="I38" i="15" s="1"/>
  <c r="J38" i="15" s="1"/>
  <c r="K38" i="15" s="1"/>
  <c r="L38" i="15" s="1"/>
  <c r="M38" i="15" s="1"/>
  <c r="N38" i="15" s="1"/>
  <c r="O38" i="15" s="1"/>
  <c r="P38" i="15" s="1"/>
  <c r="Q38" i="15" s="1"/>
  <c r="H27" i="15"/>
  <c r="I27" i="15" s="1"/>
  <c r="J27" i="15" s="1"/>
  <c r="K27" i="15" s="1"/>
  <c r="L27" i="15" s="1"/>
  <c r="M27" i="15" s="1"/>
  <c r="N27" i="15" s="1"/>
  <c r="O27" i="15" s="1"/>
  <c r="P27" i="15" s="1"/>
  <c r="Q27" i="15" s="1"/>
  <c r="H9" i="15"/>
  <c r="I9" i="15" s="1"/>
  <c r="J9" i="15" s="1"/>
  <c r="K9" i="15" s="1"/>
  <c r="H26" i="15"/>
  <c r="I26" i="15" s="1"/>
  <c r="C3" i="6"/>
  <c r="I9" i="6"/>
  <c r="J9" i="6"/>
  <c r="K9" i="6"/>
  <c r="L9" i="6"/>
  <c r="H29" i="6"/>
  <c r="I29" i="6" s="1"/>
  <c r="J29" i="6" s="1"/>
  <c r="H9" i="6"/>
  <c r="C3" i="10"/>
  <c r="H4" i="10"/>
  <c r="I31" i="18" s="1"/>
  <c r="C51" i="2"/>
  <c r="C38" i="9" s="1"/>
  <c r="D14" i="12"/>
  <c r="F22" i="12"/>
  <c r="F14" i="12"/>
  <c r="E13" i="12"/>
  <c r="E14" i="12"/>
  <c r="G13" i="12"/>
  <c r="G14" i="12"/>
  <c r="E22" i="10"/>
  <c r="E14" i="10"/>
  <c r="D22" i="10"/>
  <c r="D14" i="10"/>
  <c r="G13" i="10"/>
  <c r="G14" i="10"/>
  <c r="F22" i="10"/>
  <c r="F14" i="10"/>
  <c r="E9" i="7"/>
  <c r="B9" i="7"/>
  <c r="E6" i="7"/>
  <c r="B6" i="7"/>
  <c r="E29" i="15"/>
  <c r="E42" i="15" s="1"/>
  <c r="H41" i="7"/>
  <c r="H23" i="7"/>
  <c r="F29" i="15"/>
  <c r="F42" i="15" s="1"/>
  <c r="C29" i="15"/>
  <c r="C42" i="15" s="1"/>
  <c r="B3" i="14"/>
  <c r="B3" i="15"/>
  <c r="B3" i="16"/>
  <c r="D29" i="15"/>
  <c r="D42" i="15" s="1"/>
  <c r="G29" i="15"/>
  <c r="G42" i="15" s="1"/>
  <c r="C29" i="14"/>
  <c r="C42" i="14" s="1"/>
  <c r="G29" i="14"/>
  <c r="G42" i="14" s="1"/>
  <c r="F29" i="14"/>
  <c r="F42" i="14" s="1"/>
  <c r="G22" i="12"/>
  <c r="E29" i="14"/>
  <c r="E42" i="14" s="1"/>
  <c r="D29" i="14"/>
  <c r="D42" i="14" s="1"/>
  <c r="F13" i="12"/>
  <c r="G22" i="10"/>
  <c r="F13" i="10"/>
  <c r="B3" i="13"/>
  <c r="B3" i="10"/>
  <c r="B3" i="12"/>
  <c r="C22" i="12"/>
  <c r="D13" i="10"/>
  <c r="E22" i="12"/>
  <c r="E13" i="10"/>
  <c r="D22" i="12"/>
  <c r="D13" i="12"/>
  <c r="C13" i="10"/>
  <c r="C22" i="10"/>
  <c r="C85" i="2"/>
  <c r="C104" i="2" l="1"/>
  <c r="M19" i="18"/>
  <c r="K19" i="18"/>
  <c r="L19" i="18"/>
  <c r="I19" i="18"/>
  <c r="J19" i="18"/>
  <c r="L37" i="18"/>
  <c r="K37" i="18"/>
  <c r="J37" i="18"/>
  <c r="M37" i="18"/>
  <c r="I37" i="18"/>
  <c r="L55" i="18"/>
  <c r="J55" i="18"/>
  <c r="M55" i="18"/>
  <c r="K55" i="18"/>
  <c r="I55" i="18"/>
  <c r="I51" i="7"/>
  <c r="H59" i="12"/>
  <c r="I33" i="7"/>
  <c r="H59" i="10"/>
  <c r="I29" i="13"/>
  <c r="J29" i="13" s="1"/>
  <c r="K25" i="16"/>
  <c r="J17" i="16"/>
  <c r="K17" i="16" s="1"/>
  <c r="I17" i="13"/>
  <c r="J17" i="13" s="1"/>
  <c r="I23" i="13"/>
  <c r="I22" i="14" s="1"/>
  <c r="I24" i="16"/>
  <c r="K16" i="13"/>
  <c r="I28" i="14"/>
  <c r="J26" i="14"/>
  <c r="J15" i="16"/>
  <c r="I28" i="15"/>
  <c r="J26" i="15"/>
  <c r="J13" i="15"/>
  <c r="K13" i="15" s="1"/>
  <c r="L13" i="15" s="1"/>
  <c r="M13" i="15" s="1"/>
  <c r="N13" i="15" s="1"/>
  <c r="O13" i="15" s="1"/>
  <c r="P13" i="15" s="1"/>
  <c r="Q13" i="15" s="1"/>
  <c r="H5" i="12"/>
  <c r="I15" i="13"/>
  <c r="K25" i="13"/>
  <c r="I14" i="13"/>
  <c r="J14" i="13" s="1"/>
  <c r="H5" i="10"/>
  <c r="K29" i="6"/>
  <c r="I23" i="16"/>
  <c r="I22" i="15" s="1"/>
  <c r="I26" i="13"/>
  <c r="J26" i="13" s="1"/>
  <c r="I29" i="16"/>
  <c r="I4" i="10"/>
  <c r="J31" i="18" s="1"/>
  <c r="I26" i="16"/>
  <c r="I4" i="12"/>
  <c r="J49" i="18" s="1"/>
  <c r="K16" i="16"/>
  <c r="I14" i="16"/>
  <c r="J24" i="13"/>
  <c r="D57" i="12"/>
  <c r="D60" i="12" s="1"/>
  <c r="D43" i="12"/>
  <c r="D53" i="12" s="1"/>
  <c r="E57" i="10"/>
  <c r="E60" i="10" s="1"/>
  <c r="E43" i="10"/>
  <c r="E53" i="10" s="1"/>
  <c r="G43" i="10"/>
  <c r="G53" i="10" s="1"/>
  <c r="G57" i="10"/>
  <c r="G60" i="10" s="1"/>
  <c r="F43" i="10"/>
  <c r="F53" i="10" s="1"/>
  <c r="F57" i="10"/>
  <c r="F60" i="10" s="1"/>
  <c r="E57" i="12"/>
  <c r="E60" i="12" s="1"/>
  <c r="E43" i="12"/>
  <c r="E53" i="12" s="1"/>
  <c r="C57" i="12"/>
  <c r="C60" i="12" s="1"/>
  <c r="C43" i="12"/>
  <c r="C53" i="12" s="1"/>
  <c r="C43" i="10"/>
  <c r="C53" i="10" s="1"/>
  <c r="C57" i="10"/>
  <c r="C60" i="10" s="1"/>
  <c r="D43" i="10"/>
  <c r="D53" i="10" s="1"/>
  <c r="D57" i="10"/>
  <c r="D60" i="10" s="1"/>
  <c r="F43" i="12"/>
  <c r="F53" i="12" s="1"/>
  <c r="F57" i="12"/>
  <c r="F60" i="12" s="1"/>
  <c r="G57" i="12"/>
  <c r="G60" i="12" s="1"/>
  <c r="G43" i="12"/>
  <c r="G53" i="12" s="1"/>
  <c r="C22" i="9"/>
  <c r="D22" i="9" s="1"/>
  <c r="F23" i="12"/>
  <c r="C6" i="9"/>
  <c r="C7" i="9" s="1"/>
  <c r="D23" i="10"/>
  <c r="E23" i="10"/>
  <c r="F23" i="10"/>
  <c r="D38" i="9"/>
  <c r="C39" i="9"/>
  <c r="C46" i="9"/>
  <c r="C47" i="9" s="1"/>
  <c r="E24" i="7"/>
  <c r="E27" i="7"/>
  <c r="E45" i="7"/>
  <c r="E42" i="7"/>
  <c r="B27" i="7"/>
  <c r="B24" i="7"/>
  <c r="B42" i="7"/>
  <c r="B45" i="7"/>
  <c r="E23" i="12"/>
  <c r="C23" i="12"/>
  <c r="G23" i="12"/>
  <c r="G23" i="10"/>
  <c r="D23" i="12"/>
  <c r="C23" i="10"/>
  <c r="E250" i="2"/>
  <c r="D35" i="16" s="1"/>
  <c r="F250" i="2"/>
  <c r="E35" i="16" s="1"/>
  <c r="G250" i="2"/>
  <c r="F35" i="16" s="1"/>
  <c r="H250" i="2"/>
  <c r="G35" i="16" s="1"/>
  <c r="D250" i="2"/>
  <c r="B41" i="6"/>
  <c r="B227" i="2"/>
  <c r="D22" i="6"/>
  <c r="E22" i="6"/>
  <c r="F22" i="6"/>
  <c r="G22" i="6"/>
  <c r="D23" i="6"/>
  <c r="E23" i="6"/>
  <c r="F23" i="6"/>
  <c r="G23" i="6"/>
  <c r="D24" i="6"/>
  <c r="E24" i="6"/>
  <c r="F24" i="6"/>
  <c r="G24" i="6"/>
  <c r="D25" i="6"/>
  <c r="E25" i="6"/>
  <c r="F25" i="6"/>
  <c r="G25" i="6"/>
  <c r="D26" i="6"/>
  <c r="E26" i="6"/>
  <c r="F26" i="6"/>
  <c r="G26" i="6"/>
  <c r="C26" i="6"/>
  <c r="C25" i="6"/>
  <c r="C24" i="6"/>
  <c r="C23" i="6"/>
  <c r="C22" i="6"/>
  <c r="B56" i="5"/>
  <c r="B57" i="5"/>
  <c r="D14" i="6"/>
  <c r="E14" i="6"/>
  <c r="F14" i="6"/>
  <c r="G14" i="6"/>
  <c r="D15" i="6"/>
  <c r="E15" i="6"/>
  <c r="F15" i="6"/>
  <c r="G15" i="6"/>
  <c r="D16" i="6"/>
  <c r="E16" i="6"/>
  <c r="F16" i="6"/>
  <c r="G16" i="6"/>
  <c r="D17" i="6"/>
  <c r="E17" i="6"/>
  <c r="F17" i="6"/>
  <c r="G17" i="6"/>
  <c r="C17" i="6"/>
  <c r="C16" i="6"/>
  <c r="C15" i="6"/>
  <c r="C14" i="6"/>
  <c r="D34" i="5"/>
  <c r="E34" i="5"/>
  <c r="F34" i="5"/>
  <c r="G34" i="5"/>
  <c r="H34" i="5" s="1"/>
  <c r="I34" i="5" s="1"/>
  <c r="J34" i="5" s="1"/>
  <c r="K34" i="5" s="1"/>
  <c r="L34" i="5" s="1"/>
  <c r="M34" i="5" s="1"/>
  <c r="N34" i="5" s="1"/>
  <c r="O34" i="5" s="1"/>
  <c r="P34" i="5" s="1"/>
  <c r="Q34" i="5" s="1"/>
  <c r="D35" i="5"/>
  <c r="E35" i="5"/>
  <c r="F35" i="5"/>
  <c r="G35" i="5"/>
  <c r="H35" i="5" s="1"/>
  <c r="I35" i="5" s="1"/>
  <c r="J35" i="5" s="1"/>
  <c r="K35" i="5" s="1"/>
  <c r="L35" i="5" s="1"/>
  <c r="M35" i="5" s="1"/>
  <c r="N35" i="5" s="1"/>
  <c r="O35" i="5" s="1"/>
  <c r="P35" i="5" s="1"/>
  <c r="Q35" i="5" s="1"/>
  <c r="D33" i="5"/>
  <c r="E33" i="5"/>
  <c r="F33" i="5"/>
  <c r="G33" i="5"/>
  <c r="D36" i="5"/>
  <c r="E36" i="5"/>
  <c r="F36" i="5"/>
  <c r="G36" i="5"/>
  <c r="H36" i="5" s="1"/>
  <c r="I36" i="5" s="1"/>
  <c r="J36" i="5" s="1"/>
  <c r="K36" i="5" s="1"/>
  <c r="L36" i="5" s="1"/>
  <c r="M36" i="5" s="1"/>
  <c r="N36" i="5" s="1"/>
  <c r="O36" i="5" s="1"/>
  <c r="P36" i="5" s="1"/>
  <c r="Q36" i="5" s="1"/>
  <c r="D37" i="5"/>
  <c r="E37" i="5"/>
  <c r="F37" i="5"/>
  <c r="G37" i="5"/>
  <c r="D38" i="5"/>
  <c r="E38" i="5"/>
  <c r="F38" i="5"/>
  <c r="G38" i="5"/>
  <c r="H38" i="5" s="1"/>
  <c r="I38" i="5" s="1"/>
  <c r="J38" i="5" s="1"/>
  <c r="K38" i="5" s="1"/>
  <c r="L38" i="5" s="1"/>
  <c r="M38" i="5" s="1"/>
  <c r="N38" i="5" s="1"/>
  <c r="O38" i="5" s="1"/>
  <c r="P38" i="5" s="1"/>
  <c r="Q38" i="5" s="1"/>
  <c r="C38" i="5"/>
  <c r="C37" i="5"/>
  <c r="C36" i="5"/>
  <c r="C35" i="5"/>
  <c r="C34" i="5"/>
  <c r="B42" i="5"/>
  <c r="B40" i="5"/>
  <c r="D21" i="5"/>
  <c r="E21" i="5"/>
  <c r="F21" i="5"/>
  <c r="G21" i="5"/>
  <c r="D22" i="5"/>
  <c r="E22" i="5"/>
  <c r="F22" i="5"/>
  <c r="G22" i="5"/>
  <c r="D23" i="5"/>
  <c r="E23" i="5"/>
  <c r="F23" i="5"/>
  <c r="G23" i="5"/>
  <c r="H23" i="5" s="1"/>
  <c r="I23" i="5" s="1"/>
  <c r="J23" i="5" s="1"/>
  <c r="K23" i="5" s="1"/>
  <c r="D26" i="5"/>
  <c r="E26" i="5"/>
  <c r="F26" i="5"/>
  <c r="G26" i="5"/>
  <c r="H26" i="5" s="1"/>
  <c r="I26" i="5" s="1"/>
  <c r="D27" i="5"/>
  <c r="E27" i="5"/>
  <c r="F27" i="5"/>
  <c r="G27" i="5"/>
  <c r="H27" i="5" s="1"/>
  <c r="I27" i="5" s="1"/>
  <c r="J27" i="5" s="1"/>
  <c r="K27" i="5" s="1"/>
  <c r="L27" i="5" s="1"/>
  <c r="M27" i="5" s="1"/>
  <c r="N27" i="5" s="1"/>
  <c r="O27" i="5" s="1"/>
  <c r="P27" i="5" s="1"/>
  <c r="Q27" i="5" s="1"/>
  <c r="C27" i="5"/>
  <c r="C26" i="5"/>
  <c r="C23" i="5"/>
  <c r="C22" i="5"/>
  <c r="C21" i="5"/>
  <c r="B27" i="5"/>
  <c r="B26" i="5"/>
  <c r="B23" i="5"/>
  <c r="B22" i="5"/>
  <c r="B21" i="5"/>
  <c r="B29" i="5"/>
  <c r="B28" i="5"/>
  <c r="B24" i="5"/>
  <c r="B16" i="5"/>
  <c r="B15" i="5"/>
  <c r="D13" i="5"/>
  <c r="E13" i="5"/>
  <c r="F13" i="5"/>
  <c r="G13" i="5"/>
  <c r="H13" i="5" s="1"/>
  <c r="I13" i="5" s="1"/>
  <c r="J13" i="5" s="1"/>
  <c r="K13" i="5" s="1"/>
  <c r="L13" i="5" s="1"/>
  <c r="M13" i="5" s="1"/>
  <c r="N13" i="5" s="1"/>
  <c r="O13" i="5" s="1"/>
  <c r="P13" i="5" s="1"/>
  <c r="Q13" i="5" s="1"/>
  <c r="D14" i="5"/>
  <c r="E14" i="5"/>
  <c r="F14" i="5"/>
  <c r="G14" i="5"/>
  <c r="H14" i="5" s="1"/>
  <c r="I14" i="5" s="1"/>
  <c r="J14" i="5" s="1"/>
  <c r="K14" i="5" s="1"/>
  <c r="L14" i="5" s="1"/>
  <c r="M14" i="5" s="1"/>
  <c r="N14" i="5" s="1"/>
  <c r="O14" i="5" s="1"/>
  <c r="P14" i="5" s="1"/>
  <c r="Q14" i="5" s="1"/>
  <c r="C14" i="5"/>
  <c r="C13" i="5"/>
  <c r="B14" i="5"/>
  <c r="B13" i="5"/>
  <c r="D12" i="5"/>
  <c r="E12" i="5"/>
  <c r="F12" i="5"/>
  <c r="G12" i="5"/>
  <c r="C12" i="5"/>
  <c r="B12" i="5"/>
  <c r="D8" i="5"/>
  <c r="E8" i="5"/>
  <c r="F8" i="5"/>
  <c r="G8" i="5"/>
  <c r="D9" i="5"/>
  <c r="E9" i="5"/>
  <c r="F9" i="5"/>
  <c r="G9" i="5"/>
  <c r="H9" i="5" s="1"/>
  <c r="I9" i="5" s="1"/>
  <c r="J9" i="5" s="1"/>
  <c r="K9" i="5" s="1"/>
  <c r="C9" i="5"/>
  <c r="C8" i="5"/>
  <c r="B10" i="5"/>
  <c r="B9" i="5"/>
  <c r="B8" i="5"/>
  <c r="B7" i="5"/>
  <c r="B6" i="5"/>
  <c r="E211" i="2"/>
  <c r="F211" i="2"/>
  <c r="G211" i="2"/>
  <c r="H211" i="2"/>
  <c r="D211" i="2"/>
  <c r="B211" i="2"/>
  <c r="D9" i="6"/>
  <c r="E9" i="6"/>
  <c r="F9" i="6"/>
  <c r="G9" i="6"/>
  <c r="C9" i="6"/>
  <c r="B202" i="2"/>
  <c r="B198" i="2"/>
  <c r="B196" i="2"/>
  <c r="D8" i="16"/>
  <c r="E8" i="16"/>
  <c r="F8" i="16"/>
  <c r="G8" i="16"/>
  <c r="C8" i="16"/>
  <c r="E198" i="2"/>
  <c r="F198" i="2"/>
  <c r="G198" i="2"/>
  <c r="H198" i="2"/>
  <c r="E202" i="2"/>
  <c r="F202" i="2"/>
  <c r="G202" i="2"/>
  <c r="H202" i="2"/>
  <c r="D202" i="2"/>
  <c r="D198" i="2"/>
  <c r="E196" i="2"/>
  <c r="F196" i="2"/>
  <c r="G196" i="2"/>
  <c r="H196" i="2"/>
  <c r="D196" i="2"/>
  <c r="B201" i="2"/>
  <c r="B197" i="2"/>
  <c r="B195" i="2"/>
  <c r="B9" i="6"/>
  <c r="B8" i="6"/>
  <c r="B5" i="6"/>
  <c r="D7" i="16"/>
  <c r="E7" i="16"/>
  <c r="F7" i="16"/>
  <c r="G7" i="16"/>
  <c r="C7" i="16"/>
  <c r="B7" i="6"/>
  <c r="E265" i="2"/>
  <c r="F265" i="2"/>
  <c r="G265" i="2"/>
  <c r="H265" i="2"/>
  <c r="D265" i="2"/>
  <c r="C7" i="15" s="1"/>
  <c r="B266" i="2"/>
  <c r="D44" i="3"/>
  <c r="E44" i="3"/>
  <c r="F44" i="3"/>
  <c r="G44" i="3"/>
  <c r="C44" i="3"/>
  <c r="C13" i="6" s="1"/>
  <c r="B44" i="3"/>
  <c r="B54" i="15" s="1"/>
  <c r="D47" i="3"/>
  <c r="E47" i="3"/>
  <c r="F47" i="3"/>
  <c r="G47" i="3"/>
  <c r="D51" i="3"/>
  <c r="E51" i="3"/>
  <c r="F51" i="3"/>
  <c r="G51" i="3"/>
  <c r="C51" i="3"/>
  <c r="C47" i="3"/>
  <c r="C6" i="6" s="1"/>
  <c r="B51" i="3"/>
  <c r="B47" i="3"/>
  <c r="E173" i="2"/>
  <c r="F173" i="2"/>
  <c r="G173" i="2"/>
  <c r="H173" i="2"/>
  <c r="D173" i="2"/>
  <c r="B173" i="2"/>
  <c r="H177" i="2"/>
  <c r="G177" i="2"/>
  <c r="F177" i="2"/>
  <c r="E177" i="2"/>
  <c r="D177" i="2"/>
  <c r="B177" i="2"/>
  <c r="B132" i="2"/>
  <c r="B128" i="2"/>
  <c r="B34" i="3"/>
  <c r="E160" i="2"/>
  <c r="E158" i="2" s="1"/>
  <c r="F160" i="2"/>
  <c r="F158" i="2" s="1"/>
  <c r="G160" i="2"/>
  <c r="G158" i="2" s="1"/>
  <c r="H160" i="2"/>
  <c r="H158" i="2" s="1"/>
  <c r="D160" i="2"/>
  <c r="D158" i="2" s="1"/>
  <c r="B31" i="3"/>
  <c r="B58" i="3" s="1"/>
  <c r="E31" i="3"/>
  <c r="E58" i="3" s="1"/>
  <c r="F31" i="3"/>
  <c r="F58" i="3" s="1"/>
  <c r="G31" i="3"/>
  <c r="G58" i="3" s="1"/>
  <c r="C31" i="3"/>
  <c r="C58" i="3" s="1"/>
  <c r="B25" i="3"/>
  <c r="E135" i="2"/>
  <c r="D25" i="12" s="1"/>
  <c r="D26" i="12" s="1"/>
  <c r="F135" i="2"/>
  <c r="E25" i="12" s="1"/>
  <c r="G135" i="2"/>
  <c r="F25" i="12" s="1"/>
  <c r="H135" i="2"/>
  <c r="G25" i="12" s="1"/>
  <c r="C25" i="12"/>
  <c r="D16" i="3"/>
  <c r="E16" i="3"/>
  <c r="F16" i="3"/>
  <c r="G16" i="3"/>
  <c r="D19" i="3"/>
  <c r="E19" i="3"/>
  <c r="F19" i="3"/>
  <c r="G19" i="3"/>
  <c r="C19" i="3"/>
  <c r="C16" i="3"/>
  <c r="B19" i="3"/>
  <c r="B16" i="3"/>
  <c r="D8" i="3"/>
  <c r="E8" i="3"/>
  <c r="F8" i="3"/>
  <c r="G8" i="3"/>
  <c r="C8" i="3"/>
  <c r="C53" i="5" s="1"/>
  <c r="D4" i="3"/>
  <c r="E4" i="3"/>
  <c r="F4" i="3"/>
  <c r="G4" i="3"/>
  <c r="C4" i="3"/>
  <c r="C5" i="3" s="1"/>
  <c r="B4" i="3"/>
  <c r="E137" i="2"/>
  <c r="E147" i="2" s="1"/>
  <c r="E148" i="2" s="1"/>
  <c r="F137" i="2"/>
  <c r="F147" i="2" s="1"/>
  <c r="F148" i="2" s="1"/>
  <c r="G137" i="2"/>
  <c r="G147" i="2" s="1"/>
  <c r="G148" i="2" s="1"/>
  <c r="H137" i="2"/>
  <c r="H147" i="2" s="1"/>
  <c r="H148" i="2" s="1"/>
  <c r="B259" i="2"/>
  <c r="H169" i="2"/>
  <c r="G169" i="2"/>
  <c r="F169" i="2"/>
  <c r="E169" i="2"/>
  <c r="D169" i="2"/>
  <c r="H132" i="2"/>
  <c r="G132" i="2"/>
  <c r="F132" i="2"/>
  <c r="E132" i="2"/>
  <c r="D132" i="2"/>
  <c r="H128" i="2"/>
  <c r="G128" i="2"/>
  <c r="F128" i="2"/>
  <c r="E128" i="2"/>
  <c r="D128" i="2"/>
  <c r="E124" i="2"/>
  <c r="F124" i="2"/>
  <c r="G124" i="2"/>
  <c r="H124" i="2"/>
  <c r="D124" i="2"/>
  <c r="B169" i="2"/>
  <c r="B124" i="2"/>
  <c r="F118" i="2"/>
  <c r="G118" i="2"/>
  <c r="H118" i="2"/>
  <c r="M118" i="2" s="1"/>
  <c r="E118" i="2"/>
  <c r="B123" i="2"/>
  <c r="B8" i="12" s="1"/>
  <c r="I124" i="2" l="1"/>
  <c r="M119" i="2"/>
  <c r="M120" i="2"/>
  <c r="L23" i="5"/>
  <c r="M23" i="5" s="1"/>
  <c r="N23" i="5" s="1"/>
  <c r="O23" i="5" s="1"/>
  <c r="P23" i="5" s="1"/>
  <c r="Q23" i="5" s="1"/>
  <c r="L9" i="5"/>
  <c r="M9" i="5" s="1"/>
  <c r="N9" i="5" s="1"/>
  <c r="O9" i="5" s="1"/>
  <c r="P9" i="5" s="1"/>
  <c r="Q9" i="5" s="1"/>
  <c r="F7" i="7"/>
  <c r="C7" i="7"/>
  <c r="K19" i="7" s="1"/>
  <c r="C43" i="7"/>
  <c r="K55" i="7" s="1"/>
  <c r="F43" i="7"/>
  <c r="F25" i="7"/>
  <c r="C25" i="7"/>
  <c r="L37" i="7" s="1"/>
  <c r="L19" i="7"/>
  <c r="J19" i="7"/>
  <c r="M19" i="7"/>
  <c r="I55" i="7"/>
  <c r="H37" i="5"/>
  <c r="I37" i="5" s="1"/>
  <c r="J37" i="5" s="1"/>
  <c r="K37" i="5" s="1"/>
  <c r="L37" i="5" s="1"/>
  <c r="M37" i="5" s="1"/>
  <c r="N37" i="5" s="1"/>
  <c r="O37" i="5" s="1"/>
  <c r="P37" i="5" s="1"/>
  <c r="Q37" i="5" s="1"/>
  <c r="F52" i="18"/>
  <c r="F16" i="18"/>
  <c r="C52" i="18"/>
  <c r="C16" i="18"/>
  <c r="F34" i="18"/>
  <c r="C34" i="18"/>
  <c r="J33" i="7"/>
  <c r="I59" i="10"/>
  <c r="J51" i="7"/>
  <c r="I59" i="12"/>
  <c r="I19" i="7"/>
  <c r="K29" i="13"/>
  <c r="J23" i="13"/>
  <c r="K23" i="13" s="1"/>
  <c r="N177" i="2"/>
  <c r="Q177" i="2"/>
  <c r="R177" i="2"/>
  <c r="P177" i="2"/>
  <c r="O177" i="2"/>
  <c r="P196" i="2"/>
  <c r="O196" i="2"/>
  <c r="Q196" i="2"/>
  <c r="N196" i="2"/>
  <c r="R196" i="2"/>
  <c r="J15" i="13"/>
  <c r="K15" i="13" s="1"/>
  <c r="L16" i="13"/>
  <c r="R128" i="2"/>
  <c r="Q128" i="2"/>
  <c r="N128" i="2"/>
  <c r="P128" i="2"/>
  <c r="O128" i="2"/>
  <c r="O124" i="2"/>
  <c r="N124" i="2"/>
  <c r="P124" i="2"/>
  <c r="Q124" i="2"/>
  <c r="R124" i="2"/>
  <c r="L17" i="16"/>
  <c r="M17" i="16" s="1"/>
  <c r="N169" i="2"/>
  <c r="P169" i="2"/>
  <c r="O169" i="2"/>
  <c r="R169" i="2"/>
  <c r="Q169" i="2"/>
  <c r="K24" i="13"/>
  <c r="L24" i="13" s="1"/>
  <c r="M24" i="13" s="1"/>
  <c r="J24" i="16"/>
  <c r="J14" i="16"/>
  <c r="K14" i="16" s="1"/>
  <c r="L14" i="16" s="1"/>
  <c r="R198" i="2"/>
  <c r="Q198" i="2"/>
  <c r="P198" i="2"/>
  <c r="O198" i="2"/>
  <c r="N198" i="2"/>
  <c r="O211" i="2"/>
  <c r="N211" i="2"/>
  <c r="P211" i="2"/>
  <c r="Q211" i="2"/>
  <c r="R211" i="2"/>
  <c r="L16" i="16"/>
  <c r="M16" i="16" s="1"/>
  <c r="N16" i="16" s="1"/>
  <c r="L29" i="6"/>
  <c r="P132" i="2"/>
  <c r="Q132" i="2"/>
  <c r="N132" i="2"/>
  <c r="O132" i="2"/>
  <c r="R132" i="2"/>
  <c r="D10" i="3"/>
  <c r="N173" i="2"/>
  <c r="R173" i="2"/>
  <c r="O173" i="2"/>
  <c r="P173" i="2"/>
  <c r="Q173" i="2"/>
  <c r="O202" i="2"/>
  <c r="P202" i="2"/>
  <c r="R202" i="2"/>
  <c r="Q202" i="2"/>
  <c r="N202" i="2"/>
  <c r="N250" i="2"/>
  <c r="Q250" i="2"/>
  <c r="R250" i="2"/>
  <c r="O250" i="2"/>
  <c r="P250" i="2"/>
  <c r="L25" i="16"/>
  <c r="M25" i="16" s="1"/>
  <c r="K15" i="16"/>
  <c r="L15" i="16" s="1"/>
  <c r="K26" i="13"/>
  <c r="L26" i="13" s="1"/>
  <c r="K17" i="13"/>
  <c r="H25" i="6"/>
  <c r="H8" i="16"/>
  <c r="H16" i="6"/>
  <c r="H26" i="6"/>
  <c r="I26" i="6" s="1"/>
  <c r="J26" i="6" s="1"/>
  <c r="I5" i="12"/>
  <c r="J4" i="12"/>
  <c r="K49" i="18" s="1"/>
  <c r="H17" i="6"/>
  <c r="J26" i="16"/>
  <c r="L25" i="13"/>
  <c r="J23" i="16"/>
  <c r="K14" i="13"/>
  <c r="L14" i="13" s="1"/>
  <c r="G10" i="3"/>
  <c r="J4" i="10"/>
  <c r="K31" i="18" s="1"/>
  <c r="I5" i="10"/>
  <c r="K26" i="14"/>
  <c r="J28" i="14"/>
  <c r="F10" i="3"/>
  <c r="H23" i="6"/>
  <c r="I141" i="2" s="1"/>
  <c r="I138" i="2" s="1"/>
  <c r="K26" i="15"/>
  <c r="J28" i="15"/>
  <c r="E10" i="3"/>
  <c r="H14" i="6"/>
  <c r="H24" i="6"/>
  <c r="J29" i="16"/>
  <c r="I28" i="5"/>
  <c r="J26" i="5"/>
  <c r="H15" i="6"/>
  <c r="I15" i="6" s="1"/>
  <c r="M124" i="2"/>
  <c r="K124" i="2"/>
  <c r="L124" i="2"/>
  <c r="J124" i="2"/>
  <c r="M198" i="2"/>
  <c r="I198" i="2"/>
  <c r="L198" i="2"/>
  <c r="K198" i="2"/>
  <c r="J198" i="2"/>
  <c r="J211" i="2"/>
  <c r="K211" i="2"/>
  <c r="M211" i="2"/>
  <c r="L211" i="2"/>
  <c r="I211" i="2"/>
  <c r="K169" i="2"/>
  <c r="M169" i="2"/>
  <c r="L169" i="2"/>
  <c r="I169" i="2"/>
  <c r="J169" i="2"/>
  <c r="K177" i="2"/>
  <c r="L177" i="2"/>
  <c r="J177" i="2"/>
  <c r="M177" i="2"/>
  <c r="I177" i="2"/>
  <c r="M202" i="2"/>
  <c r="L202" i="2"/>
  <c r="J202" i="2"/>
  <c r="I202" i="2"/>
  <c r="K202" i="2"/>
  <c r="I196" i="2"/>
  <c r="M196" i="2"/>
  <c r="K196" i="2"/>
  <c r="J196" i="2"/>
  <c r="L196" i="2"/>
  <c r="I250" i="2"/>
  <c r="K250" i="2"/>
  <c r="L250" i="2"/>
  <c r="J250" i="2"/>
  <c r="M250" i="2"/>
  <c r="M132" i="2"/>
  <c r="K132" i="2"/>
  <c r="L132" i="2"/>
  <c r="J132" i="2"/>
  <c r="I132" i="2"/>
  <c r="I128" i="2"/>
  <c r="K128" i="2"/>
  <c r="J128" i="2"/>
  <c r="M128" i="2"/>
  <c r="L128" i="2"/>
  <c r="K173" i="2"/>
  <c r="J173" i="2"/>
  <c r="L173" i="2"/>
  <c r="M173" i="2"/>
  <c r="I173" i="2"/>
  <c r="C35" i="16"/>
  <c r="C30" i="9"/>
  <c r="C31" i="9" s="1"/>
  <c r="C23" i="9"/>
  <c r="C34" i="12"/>
  <c r="C35" i="12" s="1"/>
  <c r="D159" i="2"/>
  <c r="G34" i="12"/>
  <c r="G35" i="12" s="1"/>
  <c r="H159" i="2"/>
  <c r="F34" i="12"/>
  <c r="F35" i="12" s="1"/>
  <c r="G159" i="2"/>
  <c r="E34" i="12"/>
  <c r="E35" i="12" s="1"/>
  <c r="F159" i="2"/>
  <c r="D34" i="12"/>
  <c r="D35" i="12" s="1"/>
  <c r="E159" i="2"/>
  <c r="D7" i="9"/>
  <c r="E7" i="9"/>
  <c r="F7" i="9"/>
  <c r="G7" i="9"/>
  <c r="H7" i="9"/>
  <c r="L6" i="3"/>
  <c r="D40" i="5"/>
  <c r="F40" i="5"/>
  <c r="E40" i="5"/>
  <c r="G40" i="5"/>
  <c r="F6" i="3"/>
  <c r="C16" i="7"/>
  <c r="E38" i="9"/>
  <c r="D39" i="9"/>
  <c r="G6" i="3"/>
  <c r="E22" i="9"/>
  <c r="D23" i="9"/>
  <c r="C14" i="9"/>
  <c r="C15" i="9" s="1"/>
  <c r="E6" i="3"/>
  <c r="D6" i="3"/>
  <c r="F5" i="3"/>
  <c r="E5" i="3"/>
  <c r="D40" i="6"/>
  <c r="F52" i="7"/>
  <c r="F34" i="7"/>
  <c r="F16" i="7"/>
  <c r="C34" i="7"/>
  <c r="C52" i="7"/>
  <c r="G5" i="3"/>
  <c r="B55" i="14"/>
  <c r="B6" i="16"/>
  <c r="B55" i="15"/>
  <c r="F13" i="13"/>
  <c r="F18" i="13" s="1"/>
  <c r="E7" i="14"/>
  <c r="E7" i="15"/>
  <c r="E7" i="13"/>
  <c r="G8" i="13"/>
  <c r="G13" i="13"/>
  <c r="G18" i="13" s="1"/>
  <c r="G6" i="13"/>
  <c r="E13" i="13"/>
  <c r="E18" i="13" s="1"/>
  <c r="D7" i="14"/>
  <c r="D7" i="15"/>
  <c r="D7" i="13"/>
  <c r="F8" i="13"/>
  <c r="F6" i="13"/>
  <c r="D13" i="13"/>
  <c r="D18" i="13" s="1"/>
  <c r="E8" i="13"/>
  <c r="G35" i="13"/>
  <c r="E6" i="13"/>
  <c r="D8" i="13"/>
  <c r="F35" i="13"/>
  <c r="D6" i="13"/>
  <c r="E35" i="13"/>
  <c r="F7" i="14"/>
  <c r="F7" i="15"/>
  <c r="B52" i="14"/>
  <c r="B40" i="16"/>
  <c r="B52" i="15"/>
  <c r="D35" i="13"/>
  <c r="F7" i="13"/>
  <c r="G7" i="14"/>
  <c r="H7" i="14" s="1"/>
  <c r="I7" i="14" s="1"/>
  <c r="J7" i="14" s="1"/>
  <c r="K7" i="14" s="1"/>
  <c r="L7" i="14" s="1"/>
  <c r="M7" i="14" s="1"/>
  <c r="N7" i="14" s="1"/>
  <c r="O7" i="14" s="1"/>
  <c r="P7" i="14" s="1"/>
  <c r="Q7" i="14" s="1"/>
  <c r="G7" i="15"/>
  <c r="H7" i="15" s="1"/>
  <c r="I7" i="15" s="1"/>
  <c r="J7" i="15" s="1"/>
  <c r="K7" i="15" s="1"/>
  <c r="L7" i="15" s="1"/>
  <c r="M7" i="15" s="1"/>
  <c r="N7" i="15" s="1"/>
  <c r="O7" i="15" s="1"/>
  <c r="P7" i="15" s="1"/>
  <c r="Q7" i="15" s="1"/>
  <c r="G7" i="13"/>
  <c r="B49" i="3"/>
  <c r="B54" i="14"/>
  <c r="G7" i="5"/>
  <c r="H7" i="5" s="1"/>
  <c r="I7" i="5" s="1"/>
  <c r="J7" i="5" s="1"/>
  <c r="K7" i="5" s="1"/>
  <c r="L7" i="5" s="1"/>
  <c r="M7" i="5" s="1"/>
  <c r="N7" i="5" s="1"/>
  <c r="O7" i="5" s="1"/>
  <c r="P7" i="5" s="1"/>
  <c r="Q7" i="5" s="1"/>
  <c r="E7" i="5"/>
  <c r="C7" i="5"/>
  <c r="C7" i="14"/>
  <c r="D7" i="5"/>
  <c r="F7" i="5"/>
  <c r="G57" i="5"/>
  <c r="C57" i="5"/>
  <c r="F57" i="5"/>
  <c r="E57" i="5"/>
  <c r="D7" i="6"/>
  <c r="F8" i="6"/>
  <c r="C35" i="6"/>
  <c r="C35" i="13"/>
  <c r="E8" i="6"/>
  <c r="G35" i="6"/>
  <c r="D8" i="6"/>
  <c r="F35" i="6"/>
  <c r="E35" i="6"/>
  <c r="C7" i="6"/>
  <c r="C7" i="13"/>
  <c r="D35" i="6"/>
  <c r="G7" i="6"/>
  <c r="F7" i="6"/>
  <c r="E7" i="6"/>
  <c r="G8" i="6"/>
  <c r="C8" i="6"/>
  <c r="C8" i="13"/>
  <c r="G26" i="12"/>
  <c r="G28" i="12"/>
  <c r="F26" i="12"/>
  <c r="F28" i="12"/>
  <c r="B6" i="6"/>
  <c r="B6" i="13"/>
  <c r="F13" i="6"/>
  <c r="F18" i="6" s="1"/>
  <c r="D28" i="12"/>
  <c r="D29" i="12" s="1"/>
  <c r="E26" i="12"/>
  <c r="E28" i="12"/>
  <c r="G6" i="6"/>
  <c r="E13" i="6"/>
  <c r="E18" i="6" s="1"/>
  <c r="F6" i="6"/>
  <c r="D13" i="6"/>
  <c r="D18" i="6" s="1"/>
  <c r="E6" i="6"/>
  <c r="D6" i="6"/>
  <c r="B17" i="3"/>
  <c r="B40" i="13"/>
  <c r="C26" i="12"/>
  <c r="C28" i="12"/>
  <c r="G13" i="6"/>
  <c r="G18" i="6" s="1"/>
  <c r="E25" i="10"/>
  <c r="C34" i="10"/>
  <c r="C35" i="10" s="1"/>
  <c r="F34" i="10"/>
  <c r="F35" i="10" s="1"/>
  <c r="D25" i="10"/>
  <c r="G34" i="3"/>
  <c r="G35" i="3" s="1"/>
  <c r="G34" i="10"/>
  <c r="G35" i="10" s="1"/>
  <c r="C25" i="3"/>
  <c r="C26" i="3" s="1"/>
  <c r="C25" i="10"/>
  <c r="E34" i="3"/>
  <c r="E35" i="3" s="1"/>
  <c r="E34" i="10"/>
  <c r="E35" i="10" s="1"/>
  <c r="G25" i="3"/>
  <c r="G26" i="3" s="1"/>
  <c r="G25" i="10"/>
  <c r="D34" i="3"/>
  <c r="D35" i="3" s="1"/>
  <c r="D34" i="10"/>
  <c r="D35" i="10" s="1"/>
  <c r="B8" i="10"/>
  <c r="F25" i="10"/>
  <c r="D53" i="5"/>
  <c r="E53" i="5"/>
  <c r="F53" i="5"/>
  <c r="G53" i="5"/>
  <c r="B8" i="3"/>
  <c r="B53" i="15" s="1"/>
  <c r="G52" i="5"/>
  <c r="F52" i="5"/>
  <c r="E52" i="5"/>
  <c r="D52" i="5"/>
  <c r="C52" i="5"/>
  <c r="B52" i="5"/>
  <c r="C18" i="6"/>
  <c r="D55" i="5"/>
  <c r="C54" i="5"/>
  <c r="G27" i="6"/>
  <c r="F27" i="6"/>
  <c r="E27" i="6"/>
  <c r="D27" i="6"/>
  <c r="B54" i="5"/>
  <c r="C55" i="5"/>
  <c r="C27" i="6"/>
  <c r="B55" i="5"/>
  <c r="G54" i="5"/>
  <c r="G55" i="5"/>
  <c r="F54" i="5"/>
  <c r="F55" i="5"/>
  <c r="E54" i="5"/>
  <c r="D57" i="5"/>
  <c r="E55" i="5"/>
  <c r="D54" i="5"/>
  <c r="C28" i="5"/>
  <c r="E28" i="5"/>
  <c r="G28" i="5"/>
  <c r="E24" i="5"/>
  <c r="D24" i="5"/>
  <c r="G24" i="5"/>
  <c r="F28" i="5"/>
  <c r="D15" i="5"/>
  <c r="D28" i="5"/>
  <c r="F24" i="5"/>
  <c r="C24" i="5"/>
  <c r="G15" i="5"/>
  <c r="C15" i="5"/>
  <c r="F15" i="5"/>
  <c r="E15" i="5"/>
  <c r="B186" i="2"/>
  <c r="C40" i="6"/>
  <c r="G40" i="6"/>
  <c r="B40" i="6"/>
  <c r="F40" i="6"/>
  <c r="E40" i="6"/>
  <c r="H5" i="7"/>
  <c r="D45" i="3"/>
  <c r="G49" i="3"/>
  <c r="E49" i="3"/>
  <c r="C52" i="3"/>
  <c r="C45" i="3"/>
  <c r="C17" i="3"/>
  <c r="C9" i="3"/>
  <c r="C20" i="3"/>
  <c r="C32" i="3"/>
  <c r="D49" i="3"/>
  <c r="E17" i="3"/>
  <c r="D48" i="3"/>
  <c r="D9" i="3"/>
  <c r="D20" i="3"/>
  <c r="F48" i="3"/>
  <c r="F45" i="3"/>
  <c r="C48" i="3"/>
  <c r="E45" i="3"/>
  <c r="G17" i="3"/>
  <c r="F49" i="3"/>
  <c r="F52" i="3"/>
  <c r="D52" i="3"/>
  <c r="F17" i="3"/>
  <c r="G52" i="3"/>
  <c r="F9" i="3"/>
  <c r="D17" i="3"/>
  <c r="G20" i="3"/>
  <c r="E9" i="3"/>
  <c r="E20" i="3"/>
  <c r="E32" i="3"/>
  <c r="G45" i="3"/>
  <c r="G48" i="3"/>
  <c r="C49" i="3"/>
  <c r="G32" i="3"/>
  <c r="F20" i="3"/>
  <c r="E52" i="3"/>
  <c r="G9" i="3"/>
  <c r="F32" i="3"/>
  <c r="E48" i="3"/>
  <c r="B45" i="3"/>
  <c r="B48" i="3"/>
  <c r="B52" i="3"/>
  <c r="B35" i="3"/>
  <c r="B38" i="3"/>
  <c r="C34" i="3"/>
  <c r="C35" i="3" s="1"/>
  <c r="F34" i="3"/>
  <c r="F35" i="3" s="1"/>
  <c r="F25" i="3"/>
  <c r="F26" i="3" s="1"/>
  <c r="D31" i="3"/>
  <c r="B32" i="3"/>
  <c r="E25" i="3"/>
  <c r="E26" i="3" s="1"/>
  <c r="D25" i="3"/>
  <c r="D26" i="3" s="1"/>
  <c r="B29" i="3"/>
  <c r="B5" i="3"/>
  <c r="B9" i="3"/>
  <c r="B26" i="3"/>
  <c r="D5" i="3"/>
  <c r="D12" i="3"/>
  <c r="E12" i="3"/>
  <c r="G12" i="3"/>
  <c r="B13" i="3"/>
  <c r="B20" i="3"/>
  <c r="C12" i="3"/>
  <c r="C13" i="3" s="1"/>
  <c r="B23" i="3"/>
  <c r="F12" i="3"/>
  <c r="L6" i="12" l="1"/>
  <c r="L23" i="15"/>
  <c r="M23" i="15" s="1"/>
  <c r="N23" i="15" s="1"/>
  <c r="O23" i="15" s="1"/>
  <c r="P23" i="15" s="1"/>
  <c r="Q23" i="15" s="1"/>
  <c r="L9" i="15"/>
  <c r="M9" i="15" s="1"/>
  <c r="N9" i="15" s="1"/>
  <c r="O9" i="15" s="1"/>
  <c r="P9" i="15" s="1"/>
  <c r="Q9" i="15" s="1"/>
  <c r="L6" i="10"/>
  <c r="L9" i="14"/>
  <c r="M9" i="14" s="1"/>
  <c r="N9" i="14" s="1"/>
  <c r="O9" i="14" s="1"/>
  <c r="P9" i="14" s="1"/>
  <c r="Q9" i="14" s="1"/>
  <c r="L23" i="14"/>
  <c r="M23" i="14" s="1"/>
  <c r="N23" i="14" s="1"/>
  <c r="O23" i="14" s="1"/>
  <c r="P23" i="14" s="1"/>
  <c r="Q23" i="14" s="1"/>
  <c r="J55" i="7"/>
  <c r="L55" i="7"/>
  <c r="M55" i="7"/>
  <c r="I37" i="7"/>
  <c r="J37" i="7"/>
  <c r="M37" i="7"/>
  <c r="K37" i="7"/>
  <c r="K51" i="7"/>
  <c r="J59" i="12"/>
  <c r="K33" i="7"/>
  <c r="J59" i="10"/>
  <c r="J22" i="14"/>
  <c r="M15" i="16"/>
  <c r="N15" i="16" s="1"/>
  <c r="L29" i="13"/>
  <c r="N25" i="16"/>
  <c r="O25" i="16" s="1"/>
  <c r="M14" i="16"/>
  <c r="N14" i="16" s="1"/>
  <c r="J15" i="6"/>
  <c r="K15" i="6" s="1"/>
  <c r="L15" i="6" s="1"/>
  <c r="Q35" i="16"/>
  <c r="Q35" i="6"/>
  <c r="Q35" i="13"/>
  <c r="M20" i="12"/>
  <c r="M20" i="10"/>
  <c r="O17" i="12"/>
  <c r="O17" i="10"/>
  <c r="I25" i="6"/>
  <c r="J25" i="6" s="1"/>
  <c r="K25" i="6" s="1"/>
  <c r="L25" i="6" s="1"/>
  <c r="P35" i="16"/>
  <c r="P35" i="13"/>
  <c r="P35" i="6"/>
  <c r="P20" i="12"/>
  <c r="P20" i="10"/>
  <c r="K24" i="16"/>
  <c r="M17" i="10"/>
  <c r="M17" i="12"/>
  <c r="K26" i="16"/>
  <c r="L26" i="16" s="1"/>
  <c r="M35" i="16"/>
  <c r="M35" i="6"/>
  <c r="M35" i="13"/>
  <c r="O20" i="10"/>
  <c r="O20" i="12"/>
  <c r="Q9" i="12"/>
  <c r="Q9" i="10"/>
  <c r="P17" i="12"/>
  <c r="P17" i="10"/>
  <c r="L17" i="13"/>
  <c r="M17" i="13" s="1"/>
  <c r="N17" i="13" s="1"/>
  <c r="O17" i="13" s="1"/>
  <c r="O15" i="16"/>
  <c r="P15" i="16" s="1"/>
  <c r="M25" i="13"/>
  <c r="N25" i="13" s="1"/>
  <c r="O25" i="13" s="1"/>
  <c r="P25" i="13" s="1"/>
  <c r="Q25" i="13" s="1"/>
  <c r="M29" i="6"/>
  <c r="N29" i="6" s="1"/>
  <c r="O29" i="6" s="1"/>
  <c r="N17" i="16"/>
  <c r="P9" i="12"/>
  <c r="P9" i="10"/>
  <c r="Q17" i="12"/>
  <c r="Q17" i="10"/>
  <c r="O159" i="2"/>
  <c r="N159" i="2"/>
  <c r="P159" i="2"/>
  <c r="Q159" i="2"/>
  <c r="R159" i="2"/>
  <c r="K29" i="16"/>
  <c r="I17" i="6"/>
  <c r="I8" i="16"/>
  <c r="J8" i="16" s="1"/>
  <c r="N24" i="13"/>
  <c r="M26" i="13"/>
  <c r="O9" i="12"/>
  <c r="O9" i="10"/>
  <c r="H8" i="13"/>
  <c r="I8" i="13" s="1"/>
  <c r="J8" i="13" s="1"/>
  <c r="O16" i="16"/>
  <c r="P16" i="16" s="1"/>
  <c r="Q16" i="16" s="1"/>
  <c r="M9" i="10"/>
  <c r="M9" i="12"/>
  <c r="L15" i="13"/>
  <c r="M15" i="13" s="1"/>
  <c r="O35" i="16"/>
  <c r="O35" i="13"/>
  <c r="O35" i="6"/>
  <c r="Q20" i="12"/>
  <c r="Q20" i="10"/>
  <c r="N9" i="10"/>
  <c r="N9" i="12"/>
  <c r="N35" i="13"/>
  <c r="N35" i="16"/>
  <c r="N35" i="6"/>
  <c r="N20" i="10"/>
  <c r="N20" i="12"/>
  <c r="M14" i="13"/>
  <c r="N17" i="12"/>
  <c r="N17" i="10"/>
  <c r="M16" i="13"/>
  <c r="N16" i="13" s="1"/>
  <c r="O16" i="13" s="1"/>
  <c r="K23" i="16"/>
  <c r="J22" i="15"/>
  <c r="I23" i="6"/>
  <c r="J141" i="2" s="1"/>
  <c r="J138" i="2" s="1"/>
  <c r="H22" i="5"/>
  <c r="L23" i="13"/>
  <c r="M23" i="13" s="1"/>
  <c r="K22" i="14"/>
  <c r="I16" i="6"/>
  <c r="I20" i="12"/>
  <c r="I19" i="12" s="1"/>
  <c r="I20" i="10"/>
  <c r="I19" i="10" s="1"/>
  <c r="H35" i="13"/>
  <c r="H35" i="16"/>
  <c r="H35" i="6"/>
  <c r="K9" i="12"/>
  <c r="K9" i="10"/>
  <c r="K20" i="12"/>
  <c r="K20" i="10"/>
  <c r="H9" i="12"/>
  <c r="H8" i="12" s="1"/>
  <c r="H9" i="10"/>
  <c r="H8" i="10" s="1"/>
  <c r="K17" i="12"/>
  <c r="K17" i="10"/>
  <c r="J20" i="12"/>
  <c r="J19" i="12" s="1"/>
  <c r="J20" i="10"/>
  <c r="J19" i="10" s="1"/>
  <c r="J9" i="10"/>
  <c r="J8" i="10" s="1"/>
  <c r="J9" i="12"/>
  <c r="J8" i="12" s="1"/>
  <c r="K26" i="5"/>
  <c r="J28" i="5"/>
  <c r="H8" i="6"/>
  <c r="I8" i="6" s="1"/>
  <c r="L17" i="12"/>
  <c r="L17" i="10"/>
  <c r="L20" i="12"/>
  <c r="L20" i="10"/>
  <c r="L9" i="10"/>
  <c r="L9" i="12"/>
  <c r="J5" i="12"/>
  <c r="K4" i="12"/>
  <c r="L49" i="18" s="1"/>
  <c r="I17" i="10"/>
  <c r="I16" i="10" s="1"/>
  <c r="I17" i="12"/>
  <c r="I16" i="12" s="1"/>
  <c r="L35" i="13"/>
  <c r="L35" i="16"/>
  <c r="L35" i="6"/>
  <c r="K26" i="6"/>
  <c r="J17" i="10"/>
  <c r="J16" i="10" s="1"/>
  <c r="J17" i="12"/>
  <c r="J16" i="12" s="1"/>
  <c r="I35" i="13"/>
  <c r="I35" i="16"/>
  <c r="I35" i="6"/>
  <c r="J5" i="10"/>
  <c r="K4" i="10"/>
  <c r="L31" i="18" s="1"/>
  <c r="I14" i="6"/>
  <c r="J14" i="6" s="1"/>
  <c r="H17" i="12"/>
  <c r="H16" i="12" s="1"/>
  <c r="H17" i="10"/>
  <c r="H16" i="10" s="1"/>
  <c r="K35" i="6"/>
  <c r="K35" i="13"/>
  <c r="K35" i="16"/>
  <c r="K28" i="14"/>
  <c r="L26" i="14"/>
  <c r="H20" i="12"/>
  <c r="H19" i="12" s="1"/>
  <c r="H20" i="10"/>
  <c r="H19" i="10" s="1"/>
  <c r="J35" i="16"/>
  <c r="J35" i="6"/>
  <c r="J35" i="13"/>
  <c r="I9" i="10"/>
  <c r="I8" i="10" s="1"/>
  <c r="I9" i="12"/>
  <c r="I8" i="12" s="1"/>
  <c r="K28" i="15"/>
  <c r="L26" i="15"/>
  <c r="I24" i="6"/>
  <c r="J159" i="2"/>
  <c r="L159" i="2"/>
  <c r="M159" i="2"/>
  <c r="I159" i="2"/>
  <c r="K159" i="2"/>
  <c r="Q49" i="10"/>
  <c r="Q49" i="12"/>
  <c r="Q49" i="3"/>
  <c r="H49" i="10"/>
  <c r="H49" i="12"/>
  <c r="H49" i="3"/>
  <c r="H52" i="3"/>
  <c r="H52" i="10"/>
  <c r="H52" i="12"/>
  <c r="H45" i="3"/>
  <c r="H45" i="10"/>
  <c r="H45" i="12"/>
  <c r="I137" i="2"/>
  <c r="I136" i="2" s="1"/>
  <c r="I135" i="2" s="1"/>
  <c r="H20" i="3"/>
  <c r="C12" i="9"/>
  <c r="C16" i="9" s="1"/>
  <c r="C53" i="9" s="1"/>
  <c r="C11" i="1" s="1"/>
  <c r="O6" i="3"/>
  <c r="M6" i="3"/>
  <c r="N6" i="3"/>
  <c r="Q6" i="3"/>
  <c r="H6" i="3"/>
  <c r="H4" i="3" s="1"/>
  <c r="I6" i="3"/>
  <c r="P6" i="3"/>
  <c r="J6" i="3"/>
  <c r="K6" i="3"/>
  <c r="H17" i="3"/>
  <c r="H9" i="3"/>
  <c r="F22" i="9"/>
  <c r="E23" i="9"/>
  <c r="F38" i="9"/>
  <c r="E39" i="9"/>
  <c r="G13" i="3"/>
  <c r="G14" i="3"/>
  <c r="D13" i="3"/>
  <c r="D14" i="3"/>
  <c r="E13" i="3"/>
  <c r="E14" i="3"/>
  <c r="F13" i="3"/>
  <c r="F14" i="3"/>
  <c r="D32" i="3"/>
  <c r="D58" i="3"/>
  <c r="B53" i="5"/>
  <c r="B53" i="14"/>
  <c r="D37" i="12"/>
  <c r="C29" i="12"/>
  <c r="C37" i="12"/>
  <c r="E29" i="12"/>
  <c r="E37" i="12"/>
  <c r="F37" i="12"/>
  <c r="F29" i="12"/>
  <c r="G37" i="12"/>
  <c r="G29" i="12"/>
  <c r="F26" i="10"/>
  <c r="F28" i="10"/>
  <c r="G26" i="10"/>
  <c r="G28" i="10"/>
  <c r="E26" i="10"/>
  <c r="E28" i="10"/>
  <c r="C26" i="10"/>
  <c r="C28" i="10"/>
  <c r="D26" i="10"/>
  <c r="D28" i="10"/>
  <c r="D29" i="5"/>
  <c r="D42" i="5" s="1"/>
  <c r="E29" i="5"/>
  <c r="E42" i="5" s="1"/>
  <c r="C29" i="5"/>
  <c r="F29" i="5"/>
  <c r="F42" i="5" s="1"/>
  <c r="G29" i="5"/>
  <c r="G42" i="5" s="1"/>
  <c r="B3" i="3"/>
  <c r="B3" i="6"/>
  <c r="B3" i="5"/>
  <c r="D22" i="3"/>
  <c r="D57" i="3" s="1"/>
  <c r="G22" i="3"/>
  <c r="E22" i="3"/>
  <c r="E57" i="3" s="1"/>
  <c r="E60" i="3" s="1"/>
  <c r="C22" i="3"/>
  <c r="C57" i="3" s="1"/>
  <c r="C60" i="3" s="1"/>
  <c r="F22" i="3"/>
  <c r="F57" i="3" s="1"/>
  <c r="F60" i="3" s="1"/>
  <c r="D60" i="3" l="1"/>
  <c r="H59" i="3"/>
  <c r="I13" i="18"/>
  <c r="L51" i="7"/>
  <c r="K59" i="12"/>
  <c r="L33" i="7"/>
  <c r="K59" i="10"/>
  <c r="G28" i="3"/>
  <c r="G57" i="3"/>
  <c r="G60" i="3" s="1"/>
  <c r="I13" i="7"/>
  <c r="H51" i="3"/>
  <c r="Q15" i="16"/>
  <c r="M26" i="16"/>
  <c r="N26" i="16" s="1"/>
  <c r="O26" i="16" s="1"/>
  <c r="O14" i="16"/>
  <c r="P14" i="16" s="1"/>
  <c r="M25" i="6"/>
  <c r="N25" i="6" s="1"/>
  <c r="O25" i="6" s="1"/>
  <c r="P25" i="6" s="1"/>
  <c r="L29" i="16"/>
  <c r="M29" i="16" s="1"/>
  <c r="N29" i="16" s="1"/>
  <c r="M29" i="13"/>
  <c r="N29" i="13" s="1"/>
  <c r="N23" i="13"/>
  <c r="M22" i="14"/>
  <c r="P25" i="16"/>
  <c r="Q25" i="16" s="1"/>
  <c r="M15" i="6"/>
  <c r="O35" i="12"/>
  <c r="O35" i="10"/>
  <c r="O24" i="13"/>
  <c r="P24" i="13" s="1"/>
  <c r="Q24" i="13" s="1"/>
  <c r="M35" i="10"/>
  <c r="M35" i="12"/>
  <c r="P35" i="12"/>
  <c r="P35" i="10"/>
  <c r="N35" i="10"/>
  <c r="N35" i="12"/>
  <c r="L28" i="15"/>
  <c r="M26" i="15"/>
  <c r="K14" i="6"/>
  <c r="L14" i="6" s="1"/>
  <c r="N14" i="13"/>
  <c r="O14" i="13" s="1"/>
  <c r="J17" i="6"/>
  <c r="K17" i="6" s="1"/>
  <c r="P29" i="6"/>
  <c r="Q29" i="6" s="1"/>
  <c r="L28" i="14"/>
  <c r="M26" i="14"/>
  <c r="J16" i="6"/>
  <c r="N26" i="13"/>
  <c r="O26" i="13" s="1"/>
  <c r="P26" i="13" s="1"/>
  <c r="L24" i="16"/>
  <c r="J8" i="6"/>
  <c r="K8" i="6" s="1"/>
  <c r="L8" i="6" s="1"/>
  <c r="P16" i="13"/>
  <c r="Q16" i="13" s="1"/>
  <c r="O17" i="16"/>
  <c r="P17" i="16" s="1"/>
  <c r="Q17" i="16" s="1"/>
  <c r="L26" i="6"/>
  <c r="K8" i="16"/>
  <c r="L8" i="16" s="1"/>
  <c r="L22" i="14"/>
  <c r="N15" i="13"/>
  <c r="Q35" i="12"/>
  <c r="Q35" i="10"/>
  <c r="P17" i="13"/>
  <c r="Q17" i="13" s="1"/>
  <c r="I4" i="3"/>
  <c r="J13" i="18" s="1"/>
  <c r="J23" i="6"/>
  <c r="K141" i="2" s="1"/>
  <c r="K138" i="2" s="1"/>
  <c r="I22" i="5"/>
  <c r="L23" i="16"/>
  <c r="K22" i="15"/>
  <c r="J10" i="12"/>
  <c r="J12" i="12"/>
  <c r="L35" i="10"/>
  <c r="L35" i="12"/>
  <c r="I10" i="10"/>
  <c r="I12" i="10"/>
  <c r="H10" i="10"/>
  <c r="H8" i="14" s="1"/>
  <c r="H12" i="10"/>
  <c r="H10" i="12"/>
  <c r="H12" i="12"/>
  <c r="K35" i="10"/>
  <c r="K34" i="10" s="1"/>
  <c r="K35" i="12"/>
  <c r="K34" i="12" s="1"/>
  <c r="I35" i="12"/>
  <c r="I34" i="12" s="1"/>
  <c r="I35" i="10"/>
  <c r="I34" i="10" s="1"/>
  <c r="J10" i="10"/>
  <c r="K8" i="13"/>
  <c r="K19" i="12"/>
  <c r="K8" i="12"/>
  <c r="K10" i="12" s="1"/>
  <c r="K16" i="12"/>
  <c r="K5" i="12"/>
  <c r="L4" i="12"/>
  <c r="M49" i="18" s="1"/>
  <c r="J35" i="12"/>
  <c r="J34" i="12" s="1"/>
  <c r="J35" i="10"/>
  <c r="J34" i="10" s="1"/>
  <c r="K5" i="10"/>
  <c r="K8" i="10"/>
  <c r="K10" i="10" s="1"/>
  <c r="K19" i="10"/>
  <c r="K16" i="10"/>
  <c r="L4" i="10"/>
  <c r="M31" i="18" s="1"/>
  <c r="J24" i="6"/>
  <c r="H35" i="12"/>
  <c r="H34" i="12" s="1"/>
  <c r="H35" i="10"/>
  <c r="H34" i="10" s="1"/>
  <c r="I10" i="12"/>
  <c r="I12" i="12"/>
  <c r="J12" i="10"/>
  <c r="K28" i="5"/>
  <c r="L26" i="5"/>
  <c r="I45" i="10"/>
  <c r="I45" i="12"/>
  <c r="I52" i="12"/>
  <c r="I52" i="3"/>
  <c r="I52" i="10"/>
  <c r="H51" i="10"/>
  <c r="H44" i="10"/>
  <c r="I28" i="18" s="1"/>
  <c r="I49" i="10"/>
  <c r="I49" i="12"/>
  <c r="I49" i="3"/>
  <c r="J137" i="2"/>
  <c r="J136" i="2" s="1"/>
  <c r="J135" i="2" s="1"/>
  <c r="H5" i="3"/>
  <c r="H19" i="3"/>
  <c r="H16" i="3"/>
  <c r="H8" i="3"/>
  <c r="H10" i="3" s="1"/>
  <c r="H35" i="3"/>
  <c r="H34" i="3" s="1"/>
  <c r="I20" i="3"/>
  <c r="H52" i="5"/>
  <c r="H40" i="6"/>
  <c r="H7" i="6" s="1"/>
  <c r="H44" i="3"/>
  <c r="I10" i="18" s="1"/>
  <c r="I9" i="3"/>
  <c r="I17" i="3"/>
  <c r="I45" i="3"/>
  <c r="E39" i="12"/>
  <c r="G39" i="12"/>
  <c r="G38" i="9"/>
  <c r="F39" i="9"/>
  <c r="G22" i="9"/>
  <c r="F23" i="9"/>
  <c r="D39" i="12"/>
  <c r="F39" i="12"/>
  <c r="G23" i="3"/>
  <c r="G43" i="3"/>
  <c r="G53" i="3" s="1"/>
  <c r="F43" i="3"/>
  <c r="F53" i="3" s="1"/>
  <c r="D23" i="3"/>
  <c r="D43" i="3"/>
  <c r="D53" i="3" s="1"/>
  <c r="C43" i="3"/>
  <c r="C53" i="3" s="1"/>
  <c r="E43" i="3"/>
  <c r="E53" i="3" s="1"/>
  <c r="H40" i="13"/>
  <c r="H7" i="13" s="1"/>
  <c r="D38" i="12"/>
  <c r="D56" i="15"/>
  <c r="D5" i="16"/>
  <c r="D10" i="16" s="1"/>
  <c r="D31" i="16" s="1"/>
  <c r="D41" i="16"/>
  <c r="G38" i="12"/>
  <c r="G41" i="16"/>
  <c r="G56" i="15"/>
  <c r="G5" i="16"/>
  <c r="G10" i="16" s="1"/>
  <c r="G31" i="16" s="1"/>
  <c r="F38" i="12"/>
  <c r="F56" i="15"/>
  <c r="F41" i="16"/>
  <c r="F5" i="16"/>
  <c r="F10" i="16" s="1"/>
  <c r="F31" i="16" s="1"/>
  <c r="C38" i="12"/>
  <c r="C56" i="15"/>
  <c r="C41" i="16"/>
  <c r="C5" i="16"/>
  <c r="E38" i="12"/>
  <c r="E56" i="15"/>
  <c r="E5" i="16"/>
  <c r="E10" i="16" s="1"/>
  <c r="E31" i="16" s="1"/>
  <c r="E41" i="16"/>
  <c r="H52" i="14"/>
  <c r="G37" i="10"/>
  <c r="G29" i="10"/>
  <c r="E29" i="10"/>
  <c r="E37" i="10"/>
  <c r="D37" i="10"/>
  <c r="D29" i="10"/>
  <c r="C29" i="10"/>
  <c r="C37" i="10"/>
  <c r="F37" i="10"/>
  <c r="F29" i="10"/>
  <c r="C23" i="3"/>
  <c r="E23" i="3"/>
  <c r="F23" i="3"/>
  <c r="D28" i="3"/>
  <c r="E28" i="3"/>
  <c r="F28" i="3"/>
  <c r="C28" i="3"/>
  <c r="L59" i="12" l="1"/>
  <c r="L59" i="10"/>
  <c r="I59" i="3"/>
  <c r="I28" i="7"/>
  <c r="M4" i="12"/>
  <c r="N51" i="7" s="1"/>
  <c r="M51" i="7"/>
  <c r="M4" i="10"/>
  <c r="N33" i="7" s="1"/>
  <c r="M33" i="7"/>
  <c r="J4" i="3"/>
  <c r="K13" i="18" s="1"/>
  <c r="J13" i="7"/>
  <c r="H47" i="10"/>
  <c r="I29" i="18" s="1"/>
  <c r="O29" i="13"/>
  <c r="P29" i="13" s="1"/>
  <c r="Q29" i="13" s="1"/>
  <c r="Q14" i="16"/>
  <c r="H21" i="15"/>
  <c r="I21" i="15" s="1"/>
  <c r="J21" i="15" s="1"/>
  <c r="K21" i="15" s="1"/>
  <c r="H8" i="15"/>
  <c r="I8" i="15" s="1"/>
  <c r="J8" i="15" s="1"/>
  <c r="K8" i="15" s="1"/>
  <c r="P14" i="13"/>
  <c r="M8" i="6"/>
  <c r="N8" i="6" s="1"/>
  <c r="O15" i="13"/>
  <c r="P15" i="13" s="1"/>
  <c r="Q15" i="13" s="1"/>
  <c r="O29" i="16"/>
  <c r="P26" i="16"/>
  <c r="Q26" i="16" s="1"/>
  <c r="Q25" i="6"/>
  <c r="L28" i="5"/>
  <c r="M26" i="5"/>
  <c r="L8" i="13"/>
  <c r="Q26" i="13"/>
  <c r="M14" i="6"/>
  <c r="N14" i="6" s="1"/>
  <c r="N22" i="14"/>
  <c r="O23" i="13"/>
  <c r="N26" i="15"/>
  <c r="M28" i="15"/>
  <c r="K24" i="6"/>
  <c r="L22" i="15"/>
  <c r="M23" i="16"/>
  <c r="K16" i="6"/>
  <c r="L17" i="6"/>
  <c r="M17" i="6" s="1"/>
  <c r="M26" i="6"/>
  <c r="N26" i="6" s="1"/>
  <c r="O26" i="6" s="1"/>
  <c r="M8" i="16"/>
  <c r="N8" i="16" s="1"/>
  <c r="M28" i="14"/>
  <c r="N26" i="14"/>
  <c r="Q14" i="13"/>
  <c r="N15" i="6"/>
  <c r="O15" i="6" s="1"/>
  <c r="P15" i="6" s="1"/>
  <c r="Q15" i="6" s="1"/>
  <c r="M24" i="16"/>
  <c r="N4" i="10"/>
  <c r="O33" i="7" s="1"/>
  <c r="K23" i="6"/>
  <c r="J22" i="5"/>
  <c r="K12" i="10"/>
  <c r="K13" i="10" s="1"/>
  <c r="K12" i="12"/>
  <c r="I13" i="10"/>
  <c r="I22" i="10"/>
  <c r="I23" i="10" s="1"/>
  <c r="I14" i="10"/>
  <c r="H47" i="3"/>
  <c r="L8" i="10"/>
  <c r="L10" i="10" s="1"/>
  <c r="L19" i="10"/>
  <c r="L34" i="10"/>
  <c r="L16" i="10"/>
  <c r="L5" i="10"/>
  <c r="J13" i="10"/>
  <c r="J22" i="10"/>
  <c r="J23" i="10" s="1"/>
  <c r="J14" i="10"/>
  <c r="I22" i="12"/>
  <c r="I23" i="12" s="1"/>
  <c r="I13" i="12"/>
  <c r="I14" i="12"/>
  <c r="L16" i="12"/>
  <c r="L5" i="12"/>
  <c r="L19" i="12"/>
  <c r="L8" i="12"/>
  <c r="L10" i="12" s="1"/>
  <c r="L34" i="12"/>
  <c r="H22" i="12"/>
  <c r="H23" i="12" s="1"/>
  <c r="H13" i="12"/>
  <c r="H14" i="12"/>
  <c r="J13" i="12"/>
  <c r="J22" i="12"/>
  <c r="J23" i="12" s="1"/>
  <c r="J14" i="12"/>
  <c r="H13" i="10"/>
  <c r="H22" i="10"/>
  <c r="H23" i="10" s="1"/>
  <c r="H14" i="10"/>
  <c r="H8" i="5"/>
  <c r="H21" i="5"/>
  <c r="H21" i="14"/>
  <c r="I21" i="14" s="1"/>
  <c r="I8" i="14"/>
  <c r="J8" i="14" s="1"/>
  <c r="K8" i="14" s="1"/>
  <c r="H53" i="5"/>
  <c r="I51" i="3"/>
  <c r="I51" i="10"/>
  <c r="I44" i="10"/>
  <c r="J28" i="18" s="1"/>
  <c r="H51" i="12"/>
  <c r="H44" i="12"/>
  <c r="I46" i="18" s="1"/>
  <c r="J49" i="12"/>
  <c r="J49" i="10"/>
  <c r="J49" i="3"/>
  <c r="J45" i="10"/>
  <c r="J45" i="12"/>
  <c r="J52" i="3"/>
  <c r="J52" i="12"/>
  <c r="J52" i="10"/>
  <c r="K137" i="2"/>
  <c r="K136" i="2" s="1"/>
  <c r="K135" i="2" s="1"/>
  <c r="H12" i="3"/>
  <c r="I19" i="3"/>
  <c r="I5" i="3"/>
  <c r="I16" i="3"/>
  <c r="I8" i="3"/>
  <c r="I10" i="3" s="1"/>
  <c r="I35" i="3"/>
  <c r="I34" i="3" s="1"/>
  <c r="I40" i="6"/>
  <c r="I7" i="6" s="1"/>
  <c r="J20" i="3"/>
  <c r="I52" i="5"/>
  <c r="H52" i="15"/>
  <c r="I44" i="3"/>
  <c r="J10" i="18" s="1"/>
  <c r="H40" i="16"/>
  <c r="H7" i="16" s="1"/>
  <c r="J9" i="3"/>
  <c r="J17" i="3"/>
  <c r="D39" i="10"/>
  <c r="F39" i="10"/>
  <c r="J45" i="3"/>
  <c r="H22" i="9"/>
  <c r="H23" i="9" s="1"/>
  <c r="G23" i="9"/>
  <c r="H38" i="9"/>
  <c r="H39" i="9" s="1"/>
  <c r="G39" i="9"/>
  <c r="E39" i="10"/>
  <c r="G39" i="10"/>
  <c r="H53" i="14"/>
  <c r="H54" i="14"/>
  <c r="E56" i="14"/>
  <c r="G56" i="14"/>
  <c r="C56" i="14"/>
  <c r="C10" i="16"/>
  <c r="C31" i="16" s="1"/>
  <c r="C34" i="16" s="1"/>
  <c r="C36" i="16" s="1"/>
  <c r="D34" i="16" s="1"/>
  <c r="D36" i="16" s="1"/>
  <c r="E34" i="16" s="1"/>
  <c r="E36" i="16" s="1"/>
  <c r="F34" i="16" s="1"/>
  <c r="F36" i="16" s="1"/>
  <c r="G34" i="16" s="1"/>
  <c r="G36" i="16" s="1"/>
  <c r="H34" i="16" s="1"/>
  <c r="F56" i="14"/>
  <c r="D56" i="14"/>
  <c r="I40" i="13"/>
  <c r="I7" i="13" s="1"/>
  <c r="I52" i="14"/>
  <c r="D38" i="10"/>
  <c r="D41" i="13"/>
  <c r="F38" i="10"/>
  <c r="F41" i="13"/>
  <c r="C38" i="10"/>
  <c r="C41" i="13"/>
  <c r="C5" i="13"/>
  <c r="C10" i="13" s="1"/>
  <c r="C31" i="13" s="1"/>
  <c r="C34" i="13" s="1"/>
  <c r="C36" i="13" s="1"/>
  <c r="C6" i="14" s="1"/>
  <c r="G38" i="10"/>
  <c r="G41" i="13"/>
  <c r="E38" i="10"/>
  <c r="E41" i="13"/>
  <c r="E37" i="3"/>
  <c r="E29" i="3"/>
  <c r="D37" i="3"/>
  <c r="D29" i="3"/>
  <c r="C37" i="3"/>
  <c r="C29" i="3"/>
  <c r="G37" i="3"/>
  <c r="G29" i="3"/>
  <c r="F37" i="3"/>
  <c r="F29" i="3"/>
  <c r="E155" i="2"/>
  <c r="H155" i="2"/>
  <c r="G155" i="2"/>
  <c r="F155" i="2"/>
  <c r="D155" i="2"/>
  <c r="D25" i="8" l="1"/>
  <c r="D26" i="8"/>
  <c r="D24" i="8"/>
  <c r="M8" i="12"/>
  <c r="M12" i="12" s="1"/>
  <c r="M13" i="12" s="1"/>
  <c r="M59" i="12"/>
  <c r="N4" i="12"/>
  <c r="O51" i="7" s="1"/>
  <c r="N59" i="10"/>
  <c r="M59" i="10"/>
  <c r="M16" i="12"/>
  <c r="M5" i="10"/>
  <c r="M34" i="12"/>
  <c r="J59" i="3"/>
  <c r="J28" i="7"/>
  <c r="M19" i="10"/>
  <c r="H6" i="6"/>
  <c r="I11" i="18"/>
  <c r="M19" i="12"/>
  <c r="M34" i="10"/>
  <c r="I46" i="7"/>
  <c r="J10" i="7"/>
  <c r="M8" i="10"/>
  <c r="M12" i="10" s="1"/>
  <c r="M5" i="12"/>
  <c r="M16" i="10"/>
  <c r="I29" i="7"/>
  <c r="H6" i="13"/>
  <c r="K4" i="3"/>
  <c r="L13" i="18" s="1"/>
  <c r="K13" i="7"/>
  <c r="H48" i="10"/>
  <c r="I47" i="10"/>
  <c r="J29" i="18" s="1"/>
  <c r="O8" i="6"/>
  <c r="P8" i="6" s="1"/>
  <c r="L8" i="14"/>
  <c r="L21" i="15"/>
  <c r="O8" i="16"/>
  <c r="P8" i="16" s="1"/>
  <c r="Q8" i="16" s="1"/>
  <c r="K14" i="10"/>
  <c r="L12" i="10"/>
  <c r="L13" i="10" s="1"/>
  <c r="K22" i="10"/>
  <c r="K23" i="10" s="1"/>
  <c r="L8" i="15"/>
  <c r="P29" i="16"/>
  <c r="Q29" i="16" s="1"/>
  <c r="O26" i="15"/>
  <c r="N28" i="15"/>
  <c r="Q8" i="6"/>
  <c r="L141" i="2"/>
  <c r="L138" i="2" s="1"/>
  <c r="L137" i="2" s="1"/>
  <c r="L136" i="2" s="1"/>
  <c r="L135" i="2" s="1"/>
  <c r="N23" i="16"/>
  <c r="M22" i="15"/>
  <c r="O14" i="6"/>
  <c r="P14" i="6" s="1"/>
  <c r="Q14" i="6" s="1"/>
  <c r="N24" i="16"/>
  <c r="O24" i="16" s="1"/>
  <c r="L16" i="6"/>
  <c r="P23" i="13"/>
  <c r="P22" i="14" s="1"/>
  <c r="O22" i="14"/>
  <c r="M28" i="5"/>
  <c r="N26" i="5"/>
  <c r="O26" i="14"/>
  <c r="N28" i="14"/>
  <c r="N17" i="6"/>
  <c r="O17" i="6" s="1"/>
  <c r="P17" i="6" s="1"/>
  <c r="Q17" i="6" s="1"/>
  <c r="L24" i="6"/>
  <c r="M24" i="6" s="1"/>
  <c r="N24" i="6" s="1"/>
  <c r="O24" i="6" s="1"/>
  <c r="M8" i="13"/>
  <c r="N8" i="13" s="1"/>
  <c r="O8" i="13" s="1"/>
  <c r="P8" i="13" s="1"/>
  <c r="P26" i="6"/>
  <c r="Q26" i="6" s="1"/>
  <c r="O4" i="12"/>
  <c r="O4" i="10"/>
  <c r="N34" i="10"/>
  <c r="N8" i="10"/>
  <c r="N16" i="10"/>
  <c r="N5" i="10"/>
  <c r="N19" i="10"/>
  <c r="M10" i="12"/>
  <c r="L23" i="6"/>
  <c r="K22" i="5"/>
  <c r="L12" i="12"/>
  <c r="L14" i="12" s="1"/>
  <c r="J21" i="14"/>
  <c r="I21" i="5"/>
  <c r="I8" i="5"/>
  <c r="K13" i="12"/>
  <c r="K22" i="12"/>
  <c r="K23" i="12" s="1"/>
  <c r="K14" i="12"/>
  <c r="H13" i="3"/>
  <c r="H14" i="3"/>
  <c r="H43" i="10"/>
  <c r="H53" i="10" s="1"/>
  <c r="I24" i="18" s="1"/>
  <c r="I32" i="18" s="1"/>
  <c r="H53" i="15"/>
  <c r="H47" i="12"/>
  <c r="I47" i="18" s="1"/>
  <c r="H22" i="3"/>
  <c r="J51" i="3"/>
  <c r="K45" i="12"/>
  <c r="K45" i="10"/>
  <c r="K52" i="12"/>
  <c r="K52" i="10"/>
  <c r="K52" i="3"/>
  <c r="J44" i="10"/>
  <c r="K28" i="18" s="1"/>
  <c r="J51" i="10"/>
  <c r="K49" i="3"/>
  <c r="K49" i="12"/>
  <c r="K49" i="10"/>
  <c r="I44" i="12"/>
  <c r="J46" i="18" s="1"/>
  <c r="I51" i="12"/>
  <c r="J35" i="3"/>
  <c r="J34" i="3" s="1"/>
  <c r="J5" i="3"/>
  <c r="J19" i="3"/>
  <c r="J8" i="3"/>
  <c r="J10" i="3" s="1"/>
  <c r="J16" i="3"/>
  <c r="I52" i="15"/>
  <c r="I40" i="16"/>
  <c r="I7" i="16" s="1"/>
  <c r="K20" i="3"/>
  <c r="I53" i="5"/>
  <c r="H54" i="15"/>
  <c r="J44" i="3"/>
  <c r="K10" i="18" s="1"/>
  <c r="J52" i="5"/>
  <c r="J40" i="6"/>
  <c r="J7" i="6" s="1"/>
  <c r="I47" i="3"/>
  <c r="J11" i="18" s="1"/>
  <c r="I54" i="5"/>
  <c r="I12" i="3"/>
  <c r="K17" i="3"/>
  <c r="K9" i="3"/>
  <c r="I53" i="14"/>
  <c r="K45" i="3"/>
  <c r="C44" i="9"/>
  <c r="C48" i="9" s="1"/>
  <c r="C55" i="9" s="1"/>
  <c r="F11" i="1" s="1"/>
  <c r="J52" i="14"/>
  <c r="C28" i="9"/>
  <c r="C32" i="9" s="1"/>
  <c r="C54" i="9" s="1"/>
  <c r="D11" i="1" s="1"/>
  <c r="J40" i="13"/>
  <c r="J7" i="13" s="1"/>
  <c r="E39" i="3"/>
  <c r="G39" i="3"/>
  <c r="D39" i="3"/>
  <c r="F39" i="3"/>
  <c r="H55" i="14"/>
  <c r="H12" i="14" s="1"/>
  <c r="C6" i="15"/>
  <c r="E5" i="13"/>
  <c r="E10" i="13" s="1"/>
  <c r="E31" i="13" s="1"/>
  <c r="I54" i="14"/>
  <c r="G5" i="13"/>
  <c r="G10" i="13" s="1"/>
  <c r="G31" i="13" s="1"/>
  <c r="F5" i="13"/>
  <c r="F10" i="13" s="1"/>
  <c r="F31" i="13" s="1"/>
  <c r="D5" i="13"/>
  <c r="D10" i="13" s="1"/>
  <c r="D31" i="13" s="1"/>
  <c r="D34" i="13"/>
  <c r="G56" i="5"/>
  <c r="G41" i="6"/>
  <c r="H227" i="2"/>
  <c r="C56" i="5"/>
  <c r="C41" i="6"/>
  <c r="D227" i="2"/>
  <c r="E56" i="5"/>
  <c r="E41" i="6"/>
  <c r="F227" i="2"/>
  <c r="F56" i="5"/>
  <c r="F41" i="6"/>
  <c r="G227" i="2"/>
  <c r="D56" i="5"/>
  <c r="D41" i="6"/>
  <c r="E227" i="2"/>
  <c r="C33" i="5"/>
  <c r="C40" i="5" s="1"/>
  <c r="G38" i="3"/>
  <c r="G5" i="6"/>
  <c r="G10" i="6" s="1"/>
  <c r="G31" i="6" s="1"/>
  <c r="E38" i="3"/>
  <c r="E5" i="6"/>
  <c r="E10" i="6" s="1"/>
  <c r="E31" i="6" s="1"/>
  <c r="F38" i="3"/>
  <c r="F5" i="6"/>
  <c r="F10" i="6" s="1"/>
  <c r="F31" i="6" s="1"/>
  <c r="D38" i="3"/>
  <c r="D5" i="6"/>
  <c r="D10" i="6" s="1"/>
  <c r="D31" i="6" s="1"/>
  <c r="C38" i="3"/>
  <c r="C5" i="6"/>
  <c r="C10" i="6" s="1"/>
  <c r="C31" i="6" s="1"/>
  <c r="D246" i="2" s="1"/>
  <c r="C34" i="6" l="1"/>
  <c r="C36" i="6" s="1"/>
  <c r="C6" i="5" s="1"/>
  <c r="C48" i="5" s="1"/>
  <c r="E11" i="1"/>
  <c r="M22" i="12"/>
  <c r="M23" i="12" s="1"/>
  <c r="M22" i="10"/>
  <c r="M23" i="10" s="1"/>
  <c r="N19" i="12"/>
  <c r="N16" i="12"/>
  <c r="N34" i="12"/>
  <c r="N8" i="12"/>
  <c r="N10" i="12" s="1"/>
  <c r="N5" i="12"/>
  <c r="O59" i="12"/>
  <c r="O59" i="10"/>
  <c r="M14" i="10"/>
  <c r="N59" i="12"/>
  <c r="N10" i="10"/>
  <c r="M10" i="10"/>
  <c r="K10" i="7"/>
  <c r="K28" i="7"/>
  <c r="M13" i="10"/>
  <c r="I24" i="7"/>
  <c r="J46" i="7"/>
  <c r="I47" i="7"/>
  <c r="K59" i="3"/>
  <c r="J11" i="7"/>
  <c r="J29" i="7"/>
  <c r="H23" i="3"/>
  <c r="H57" i="3"/>
  <c r="L4" i="3"/>
  <c r="M13" i="18" s="1"/>
  <c r="L13" i="7"/>
  <c r="I48" i="10"/>
  <c r="L22" i="10"/>
  <c r="L23" i="10" s="1"/>
  <c r="I6" i="13"/>
  <c r="J54" i="5"/>
  <c r="J47" i="10"/>
  <c r="K29" i="18" s="1"/>
  <c r="I54" i="15"/>
  <c r="I6" i="6"/>
  <c r="L14" i="10"/>
  <c r="M21" i="15"/>
  <c r="N21" i="15" s="1"/>
  <c r="M8" i="14"/>
  <c r="M8" i="15"/>
  <c r="N8" i="15" s="1"/>
  <c r="P26" i="14"/>
  <c r="O28" i="14"/>
  <c r="P24" i="16"/>
  <c r="Q24" i="16" s="1"/>
  <c r="O28" i="15"/>
  <c r="P26" i="15"/>
  <c r="O26" i="5"/>
  <c r="N28" i="5"/>
  <c r="M16" i="6"/>
  <c r="N16" i="6" s="1"/>
  <c r="R227" i="2"/>
  <c r="Q227" i="2"/>
  <c r="N227" i="2"/>
  <c r="P227" i="2"/>
  <c r="O227" i="2"/>
  <c r="P24" i="6"/>
  <c r="Q24" i="6" s="1"/>
  <c r="Q8" i="13"/>
  <c r="N22" i="15"/>
  <c r="O23" i="16"/>
  <c r="L22" i="5"/>
  <c r="M23" i="6"/>
  <c r="Q23" i="13"/>
  <c r="Q22" i="14" s="1"/>
  <c r="L22" i="12"/>
  <c r="L23" i="12" s="1"/>
  <c r="M14" i="12"/>
  <c r="L13" i="12"/>
  <c r="N12" i="10"/>
  <c r="O34" i="10"/>
  <c r="O16" i="10"/>
  <c r="O5" i="10"/>
  <c r="P4" i="10"/>
  <c r="O19" i="10"/>
  <c r="O8" i="10"/>
  <c r="O10" i="10" s="1"/>
  <c r="O34" i="12"/>
  <c r="O8" i="12"/>
  <c r="O10" i="12" s="1"/>
  <c r="O16" i="12"/>
  <c r="O5" i="12"/>
  <c r="O19" i="12"/>
  <c r="P4" i="12"/>
  <c r="H13" i="13"/>
  <c r="H18" i="13" s="1"/>
  <c r="J8" i="5"/>
  <c r="J21" i="5"/>
  <c r="I13" i="3"/>
  <c r="I14" i="3"/>
  <c r="H48" i="12"/>
  <c r="H6" i="16"/>
  <c r="K21" i="14"/>
  <c r="K227" i="2"/>
  <c r="M227" i="2"/>
  <c r="J227" i="2"/>
  <c r="I227" i="2"/>
  <c r="L227" i="2"/>
  <c r="M141" i="2"/>
  <c r="M138" i="2" s="1"/>
  <c r="M137" i="2" s="1"/>
  <c r="M136" i="2" s="1"/>
  <c r="M135" i="2" s="1"/>
  <c r="H57" i="10"/>
  <c r="H43" i="3"/>
  <c r="J53" i="14"/>
  <c r="K51" i="3"/>
  <c r="L49" i="10"/>
  <c r="L49" i="3"/>
  <c r="L49" i="12"/>
  <c r="K51" i="10"/>
  <c r="K44" i="10"/>
  <c r="L28" i="18" s="1"/>
  <c r="H15" i="14"/>
  <c r="L52" i="12"/>
  <c r="L52" i="10"/>
  <c r="L52" i="3"/>
  <c r="J40" i="16"/>
  <c r="J7" i="16" s="1"/>
  <c r="L45" i="12"/>
  <c r="L45" i="10"/>
  <c r="I47" i="12"/>
  <c r="J47" i="18" s="1"/>
  <c r="J44" i="12"/>
  <c r="K46" i="18" s="1"/>
  <c r="J51" i="12"/>
  <c r="J52" i="15"/>
  <c r="I48" i="3"/>
  <c r="K52" i="5"/>
  <c r="I53" i="15"/>
  <c r="K40" i="6"/>
  <c r="K7" i="6" s="1"/>
  <c r="K44" i="3"/>
  <c r="L10" i="18" s="1"/>
  <c r="H55" i="15"/>
  <c r="H12" i="15" s="1"/>
  <c r="J53" i="5"/>
  <c r="J12" i="3"/>
  <c r="K19" i="3"/>
  <c r="K8" i="3"/>
  <c r="K10" i="3" s="1"/>
  <c r="K5" i="3"/>
  <c r="K16" i="3"/>
  <c r="K35" i="3"/>
  <c r="K34" i="3" s="1"/>
  <c r="L20" i="3"/>
  <c r="J47" i="3"/>
  <c r="K11" i="18" s="1"/>
  <c r="I55" i="5"/>
  <c r="I22" i="3"/>
  <c r="L9" i="3"/>
  <c r="L17" i="3"/>
  <c r="L45" i="3"/>
  <c r="K52" i="14"/>
  <c r="J54" i="14"/>
  <c r="K40" i="13"/>
  <c r="K7" i="13" s="1"/>
  <c r="I55" i="14"/>
  <c r="D36" i="13"/>
  <c r="D6" i="14" s="1"/>
  <c r="C10" i="15"/>
  <c r="C48" i="15"/>
  <c r="D6" i="15"/>
  <c r="C10" i="14"/>
  <c r="C48" i="14"/>
  <c r="C42" i="5"/>
  <c r="D34" i="6" l="1"/>
  <c r="D36" i="6" s="1"/>
  <c r="E34" i="6" s="1"/>
  <c r="N12" i="12"/>
  <c r="N13" i="12" s="1"/>
  <c r="P59" i="10"/>
  <c r="O21" i="15"/>
  <c r="N14" i="12"/>
  <c r="P59" i="12"/>
  <c r="N8" i="14"/>
  <c r="O8" i="14" s="1"/>
  <c r="L10" i="7"/>
  <c r="L28" i="7"/>
  <c r="K46" i="7"/>
  <c r="J47" i="7"/>
  <c r="L59" i="3"/>
  <c r="K11" i="7"/>
  <c r="K29" i="7"/>
  <c r="L40" i="6"/>
  <c r="L7" i="6" s="1"/>
  <c r="I23" i="3"/>
  <c r="I57" i="3"/>
  <c r="M4" i="3"/>
  <c r="M13" i="7"/>
  <c r="J6" i="13"/>
  <c r="J48" i="10"/>
  <c r="J6" i="6"/>
  <c r="I6" i="16"/>
  <c r="K47" i="10"/>
  <c r="O16" i="6"/>
  <c r="P16" i="6" s="1"/>
  <c r="O8" i="15"/>
  <c r="P23" i="16"/>
  <c r="P22" i="15" s="1"/>
  <c r="O22" i="15"/>
  <c r="Q26" i="15"/>
  <c r="Q28" i="15" s="1"/>
  <c r="P28" i="15"/>
  <c r="P26" i="5"/>
  <c r="O28" i="5"/>
  <c r="N141" i="2"/>
  <c r="N138" i="2" s="1"/>
  <c r="N137" i="2" s="1"/>
  <c r="N136" i="2" s="1"/>
  <c r="N135" i="2" s="1"/>
  <c r="M22" i="5"/>
  <c r="N23" i="6"/>
  <c r="P28" i="14"/>
  <c r="Q26" i="14"/>
  <c r="Q28" i="14" s="1"/>
  <c r="N13" i="10"/>
  <c r="N22" i="10"/>
  <c r="N23" i="10" s="1"/>
  <c r="N14" i="10"/>
  <c r="O12" i="10"/>
  <c r="P34" i="12"/>
  <c r="P16" i="12"/>
  <c r="Q4" i="12"/>
  <c r="P5" i="12"/>
  <c r="P8" i="12"/>
  <c r="P10" i="12" s="1"/>
  <c r="P21" i="15" s="1"/>
  <c r="P19" i="12"/>
  <c r="O12" i="12"/>
  <c r="P5" i="10"/>
  <c r="P8" i="10"/>
  <c r="P10" i="10" s="1"/>
  <c r="P16" i="10"/>
  <c r="Q4" i="10"/>
  <c r="P34" i="10"/>
  <c r="P19" i="10"/>
  <c r="H13" i="16"/>
  <c r="H18" i="16" s="1"/>
  <c r="J22" i="3"/>
  <c r="J13" i="3"/>
  <c r="J14" i="3"/>
  <c r="K21" i="5"/>
  <c r="K8" i="5"/>
  <c r="I12" i="14"/>
  <c r="I13" i="13" s="1"/>
  <c r="I18" i="13" s="1"/>
  <c r="L21" i="14"/>
  <c r="M21" i="14" s="1"/>
  <c r="I57" i="12"/>
  <c r="L52" i="5"/>
  <c r="L44" i="3"/>
  <c r="M10" i="18" s="1"/>
  <c r="L51" i="3"/>
  <c r="K12" i="3"/>
  <c r="K47" i="3"/>
  <c r="L11" i="18" s="1"/>
  <c r="K53" i="5"/>
  <c r="K54" i="5"/>
  <c r="M52" i="12"/>
  <c r="M52" i="3"/>
  <c r="M52" i="10"/>
  <c r="H43" i="12"/>
  <c r="H53" i="12" s="1"/>
  <c r="I42" i="18" s="1"/>
  <c r="I50" i="18" s="1"/>
  <c r="H57" i="12"/>
  <c r="I55" i="15"/>
  <c r="L51" i="10"/>
  <c r="L44" i="10"/>
  <c r="M28" i="18" s="1"/>
  <c r="M49" i="12"/>
  <c r="M49" i="3"/>
  <c r="M49" i="10"/>
  <c r="I57" i="10"/>
  <c r="I43" i="10"/>
  <c r="I53" i="10" s="1"/>
  <c r="J24" i="18" s="1"/>
  <c r="J32" i="18" s="1"/>
  <c r="J57" i="10"/>
  <c r="J43" i="10"/>
  <c r="J53" i="10" s="1"/>
  <c r="K24" i="18" s="1"/>
  <c r="K32" i="18" s="1"/>
  <c r="M45" i="10"/>
  <c r="M45" i="12"/>
  <c r="J47" i="12"/>
  <c r="K47" i="18" s="1"/>
  <c r="J54" i="15"/>
  <c r="K51" i="12"/>
  <c r="K44" i="12"/>
  <c r="L46" i="18" s="1"/>
  <c r="K52" i="15"/>
  <c r="K40" i="16"/>
  <c r="K7" i="16" s="1"/>
  <c r="J53" i="15"/>
  <c r="I48" i="12"/>
  <c r="H15" i="15"/>
  <c r="J48" i="3"/>
  <c r="J55" i="5"/>
  <c r="L35" i="3"/>
  <c r="L34" i="3" s="1"/>
  <c r="L16" i="3"/>
  <c r="L8" i="3"/>
  <c r="L10" i="3" s="1"/>
  <c r="L5" i="3"/>
  <c r="L19" i="3"/>
  <c r="M20" i="3"/>
  <c r="I43" i="3"/>
  <c r="E246" i="2"/>
  <c r="E145" i="2" s="1"/>
  <c r="D145" i="2"/>
  <c r="M17" i="3"/>
  <c r="M9" i="3"/>
  <c r="K53" i="14"/>
  <c r="M45" i="3"/>
  <c r="J55" i="14"/>
  <c r="L40" i="13"/>
  <c r="L7" i="13" s="1"/>
  <c r="L52" i="14"/>
  <c r="K54" i="14"/>
  <c r="E34" i="13"/>
  <c r="E36" i="13" s="1"/>
  <c r="E6" i="14" s="1"/>
  <c r="E6" i="15"/>
  <c r="D10" i="15"/>
  <c r="D48" i="15"/>
  <c r="C16" i="15"/>
  <c r="C43" i="15" s="1"/>
  <c r="C47" i="15"/>
  <c r="D10" i="14"/>
  <c r="D48" i="14"/>
  <c r="C47" i="14"/>
  <c r="C16" i="14"/>
  <c r="C43" i="14" s="1"/>
  <c r="D6" i="5"/>
  <c r="C10" i="5"/>
  <c r="N22" i="12" l="1"/>
  <c r="N23" i="12" s="1"/>
  <c r="K48" i="10"/>
  <c r="L29" i="18"/>
  <c r="N13" i="7"/>
  <c r="Q59" i="12"/>
  <c r="Q59" i="10"/>
  <c r="K55" i="14"/>
  <c r="P8" i="14"/>
  <c r="I42" i="7"/>
  <c r="M10" i="7"/>
  <c r="J24" i="7"/>
  <c r="L11" i="7"/>
  <c r="K47" i="7"/>
  <c r="L46" i="7"/>
  <c r="M28" i="7"/>
  <c r="K24" i="7"/>
  <c r="L29" i="7"/>
  <c r="J23" i="3"/>
  <c r="J57" i="3"/>
  <c r="N4" i="3"/>
  <c r="O13" i="7" s="1"/>
  <c r="M59" i="3"/>
  <c r="M40" i="6"/>
  <c r="M7" i="6" s="1"/>
  <c r="L47" i="10"/>
  <c r="M29" i="18" s="1"/>
  <c r="K6" i="13"/>
  <c r="L47" i="3"/>
  <c r="J6" i="16"/>
  <c r="Q16" i="6"/>
  <c r="P8" i="15"/>
  <c r="P12" i="12"/>
  <c r="P13" i="12" s="1"/>
  <c r="Q26" i="5"/>
  <c r="Q28" i="5" s="1"/>
  <c r="P28" i="5"/>
  <c r="J43" i="3"/>
  <c r="Q23" i="16"/>
  <c r="Q22" i="15" s="1"/>
  <c r="O141" i="2"/>
  <c r="O138" i="2" s="1"/>
  <c r="O137" i="2" s="1"/>
  <c r="O136" i="2" s="1"/>
  <c r="O135" i="2" s="1"/>
  <c r="N22" i="5"/>
  <c r="O23" i="6"/>
  <c r="Q19" i="12"/>
  <c r="Q16" i="12"/>
  <c r="Q5" i="12"/>
  <c r="Q34" i="12"/>
  <c r="Q8" i="12"/>
  <c r="Q10" i="12" s="1"/>
  <c r="Q21" i="15" s="1"/>
  <c r="Q34" i="10"/>
  <c r="Q5" i="10"/>
  <c r="Q16" i="10"/>
  <c r="Q8" i="10"/>
  <c r="Q10" i="10" s="1"/>
  <c r="Q19" i="10"/>
  <c r="N21" i="14"/>
  <c r="M24" i="14"/>
  <c r="M29" i="14" s="1"/>
  <c r="O22" i="12"/>
  <c r="O23" i="12" s="1"/>
  <c r="O13" i="12"/>
  <c r="O14" i="12"/>
  <c r="O22" i="10"/>
  <c r="O23" i="10" s="1"/>
  <c r="O13" i="10"/>
  <c r="O14" i="10"/>
  <c r="P12" i="10"/>
  <c r="P14" i="12"/>
  <c r="L8" i="5"/>
  <c r="I15" i="14"/>
  <c r="J12" i="14"/>
  <c r="L21" i="5"/>
  <c r="K48" i="3"/>
  <c r="K6" i="6"/>
  <c r="K13" i="3"/>
  <c r="K14" i="3"/>
  <c r="I12" i="15"/>
  <c r="I43" i="12"/>
  <c r="I53" i="12" s="1"/>
  <c r="J42" i="18" s="1"/>
  <c r="J50" i="18" s="1"/>
  <c r="L54" i="5"/>
  <c r="K55" i="5"/>
  <c r="K22" i="3"/>
  <c r="L12" i="3"/>
  <c r="L53" i="5"/>
  <c r="M52" i="5"/>
  <c r="L54" i="14"/>
  <c r="M44" i="3"/>
  <c r="M51" i="3"/>
  <c r="M51" i="10"/>
  <c r="M44" i="10"/>
  <c r="N52" i="14"/>
  <c r="N49" i="12"/>
  <c r="N49" i="10"/>
  <c r="N49" i="3"/>
  <c r="N52" i="10"/>
  <c r="N52" i="3"/>
  <c r="N52" i="12"/>
  <c r="N45" i="12"/>
  <c r="N45" i="10"/>
  <c r="L51" i="12"/>
  <c r="L44" i="12"/>
  <c r="M46" i="18" s="1"/>
  <c r="L52" i="15"/>
  <c r="L40" i="16"/>
  <c r="L7" i="16" s="1"/>
  <c r="K53" i="15"/>
  <c r="J48" i="12"/>
  <c r="J55" i="15"/>
  <c r="K47" i="12"/>
  <c r="L47" i="18" s="1"/>
  <c r="K54" i="15"/>
  <c r="M16" i="3"/>
  <c r="M8" i="3"/>
  <c r="M5" i="3"/>
  <c r="M19" i="3"/>
  <c r="M35" i="3"/>
  <c r="M34" i="3" s="1"/>
  <c r="N20" i="3"/>
  <c r="F246" i="2"/>
  <c r="F145" i="2" s="1"/>
  <c r="N9" i="3"/>
  <c r="N17" i="3"/>
  <c r="N45" i="3"/>
  <c r="M40" i="13"/>
  <c r="M7" i="13" s="1"/>
  <c r="L53" i="14"/>
  <c r="M52" i="14"/>
  <c r="F34" i="13"/>
  <c r="F36" i="13" s="1"/>
  <c r="F6" i="14" s="1"/>
  <c r="E10" i="15"/>
  <c r="E48" i="15"/>
  <c r="F6" i="15"/>
  <c r="D16" i="15"/>
  <c r="D43" i="15" s="1"/>
  <c r="D47" i="15"/>
  <c r="D16" i="14"/>
  <c r="D43" i="14" s="1"/>
  <c r="D47" i="14"/>
  <c r="E10" i="14"/>
  <c r="E48" i="14"/>
  <c r="C16" i="5"/>
  <c r="C43" i="5" s="1"/>
  <c r="C47" i="5"/>
  <c r="D10" i="5"/>
  <c r="D48" i="5"/>
  <c r="E36" i="6"/>
  <c r="L55" i="5" l="1"/>
  <c r="M11" i="18"/>
  <c r="N10" i="7"/>
  <c r="N28" i="7"/>
  <c r="Q8" i="14"/>
  <c r="N40" i="6"/>
  <c r="N7" i="6" s="1"/>
  <c r="J42" i="7"/>
  <c r="M11" i="7"/>
  <c r="M46" i="7"/>
  <c r="M29" i="7"/>
  <c r="L47" i="7"/>
  <c r="K23" i="3"/>
  <c r="K57" i="3"/>
  <c r="O4" i="3"/>
  <c r="N59" i="3"/>
  <c r="L6" i="13"/>
  <c r="L6" i="6"/>
  <c r="L48" i="3"/>
  <c r="K6" i="16"/>
  <c r="L48" i="10"/>
  <c r="P22" i="12"/>
  <c r="P23" i="12" s="1"/>
  <c r="Q12" i="10"/>
  <c r="Q13" i="10" s="1"/>
  <c r="Q8" i="15"/>
  <c r="P141" i="2"/>
  <c r="P138" i="2" s="1"/>
  <c r="P137" i="2" s="1"/>
  <c r="P136" i="2" s="1"/>
  <c r="P135" i="2" s="1"/>
  <c r="O22" i="5"/>
  <c r="P23" i="6"/>
  <c r="P14" i="10"/>
  <c r="P22" i="10"/>
  <c r="P23" i="10" s="1"/>
  <c r="P13" i="10"/>
  <c r="Q12" i="12"/>
  <c r="O21" i="14"/>
  <c r="N24" i="14"/>
  <c r="N29" i="14" s="1"/>
  <c r="M10" i="3"/>
  <c r="M47" i="3"/>
  <c r="J15" i="14"/>
  <c r="K12" i="14"/>
  <c r="L13" i="3"/>
  <c r="L14" i="3"/>
  <c r="J12" i="15"/>
  <c r="I15" i="15"/>
  <c r="I13" i="16"/>
  <c r="I18" i="16" s="1"/>
  <c r="J13" i="13"/>
  <c r="J18" i="13" s="1"/>
  <c r="L22" i="3"/>
  <c r="K43" i="3"/>
  <c r="M47" i="10"/>
  <c r="M54" i="5"/>
  <c r="N44" i="3"/>
  <c r="N52" i="5"/>
  <c r="K43" i="10"/>
  <c r="K53" i="10" s="1"/>
  <c r="L24" i="18" s="1"/>
  <c r="L32" i="18" s="1"/>
  <c r="K57" i="10"/>
  <c r="O45" i="12"/>
  <c r="O45" i="10"/>
  <c r="N51" i="3"/>
  <c r="O52" i="3"/>
  <c r="O52" i="12"/>
  <c r="O52" i="10"/>
  <c r="O49" i="10"/>
  <c r="O49" i="3"/>
  <c r="O49" i="12"/>
  <c r="M12" i="3"/>
  <c r="M14" i="3" s="1"/>
  <c r="M53" i="5"/>
  <c r="N51" i="10"/>
  <c r="N44" i="10"/>
  <c r="M54" i="14"/>
  <c r="L53" i="15"/>
  <c r="K48" i="12"/>
  <c r="K55" i="15"/>
  <c r="J57" i="12"/>
  <c r="J43" i="12"/>
  <c r="J53" i="12" s="1"/>
  <c r="K42" i="18" s="1"/>
  <c r="K50" i="18" s="1"/>
  <c r="L47" i="12"/>
  <c r="M47" i="18" s="1"/>
  <c r="L54" i="15"/>
  <c r="M51" i="12"/>
  <c r="M44" i="12"/>
  <c r="M52" i="15"/>
  <c r="M40" i="16"/>
  <c r="M7" i="16" s="1"/>
  <c r="G246" i="2"/>
  <c r="G145" i="2" s="1"/>
  <c r="N35" i="3"/>
  <c r="N34" i="3" s="1"/>
  <c r="N8" i="3"/>
  <c r="N16" i="3"/>
  <c r="N5" i="3"/>
  <c r="N19" i="3"/>
  <c r="O20" i="3"/>
  <c r="O17" i="3"/>
  <c r="O9" i="3"/>
  <c r="O45" i="3"/>
  <c r="N40" i="13"/>
  <c r="N7" i="13" s="1"/>
  <c r="M53" i="14"/>
  <c r="L55" i="14"/>
  <c r="G34" i="13"/>
  <c r="G36" i="13" s="1"/>
  <c r="F10" i="15"/>
  <c r="F48" i="15"/>
  <c r="E47" i="15"/>
  <c r="E16" i="15"/>
  <c r="E43" i="15" s="1"/>
  <c r="G6" i="15"/>
  <c r="E16" i="14"/>
  <c r="E43" i="14" s="1"/>
  <c r="E47" i="14"/>
  <c r="F10" i="14"/>
  <c r="F48" i="14"/>
  <c r="E6" i="5"/>
  <c r="E10" i="5" s="1"/>
  <c r="H28" i="5"/>
  <c r="D16" i="5"/>
  <c r="D43" i="5" s="1"/>
  <c r="D47" i="5"/>
  <c r="F34" i="6"/>
  <c r="F36" i="6" s="1"/>
  <c r="O10" i="7" l="1"/>
  <c r="N29" i="7"/>
  <c r="N11" i="7"/>
  <c r="N46" i="7"/>
  <c r="O28" i="7"/>
  <c r="M47" i="7"/>
  <c r="K42" i="7"/>
  <c r="L24" i="7"/>
  <c r="L23" i="3"/>
  <c r="L57" i="3"/>
  <c r="P4" i="3"/>
  <c r="O59" i="3"/>
  <c r="L6" i="16"/>
  <c r="Q14" i="10"/>
  <c r="Q22" i="10"/>
  <c r="Q23" i="10" s="1"/>
  <c r="M55" i="5"/>
  <c r="Q141" i="2"/>
  <c r="Q138" i="2" s="1"/>
  <c r="Q137" i="2" s="1"/>
  <c r="Q136" i="2" s="1"/>
  <c r="Q135" i="2" s="1"/>
  <c r="P22" i="5"/>
  <c r="Q23" i="6"/>
  <c r="L43" i="3"/>
  <c r="O24" i="14"/>
  <c r="O29" i="14" s="1"/>
  <c r="P21" i="14"/>
  <c r="Q14" i="12"/>
  <c r="Q13" i="12"/>
  <c r="Q22" i="12"/>
  <c r="Q23" i="12" s="1"/>
  <c r="N10" i="3"/>
  <c r="N47" i="3"/>
  <c r="O11" i="7" s="1"/>
  <c r="M48" i="3"/>
  <c r="M6" i="6"/>
  <c r="M48" i="10"/>
  <c r="M6" i="13"/>
  <c r="M21" i="5"/>
  <c r="M8" i="5"/>
  <c r="M22" i="3"/>
  <c r="M13" i="3"/>
  <c r="J15" i="15"/>
  <c r="K12" i="15"/>
  <c r="J13" i="16"/>
  <c r="J18" i="16" s="1"/>
  <c r="K15" i="14"/>
  <c r="L12" i="14"/>
  <c r="L15" i="14" s="1"/>
  <c r="G6" i="14"/>
  <c r="G48" i="14" s="1"/>
  <c r="H34" i="13"/>
  <c r="K13" i="13"/>
  <c r="K18" i="13" s="1"/>
  <c r="N54" i="5"/>
  <c r="L43" i="10"/>
  <c r="L53" i="10" s="1"/>
  <c r="M24" i="18" s="1"/>
  <c r="M32" i="18" s="1"/>
  <c r="N47" i="10"/>
  <c r="L57" i="10"/>
  <c r="N12" i="3"/>
  <c r="N14" i="3" s="1"/>
  <c r="N53" i="5"/>
  <c r="N54" i="14"/>
  <c r="L57" i="12"/>
  <c r="P52" i="3"/>
  <c r="P52" i="12"/>
  <c r="P52" i="10"/>
  <c r="O51" i="10"/>
  <c r="O44" i="10"/>
  <c r="P45" i="10"/>
  <c r="P45" i="12"/>
  <c r="P49" i="3"/>
  <c r="P49" i="10"/>
  <c r="P49" i="12"/>
  <c r="H246" i="2"/>
  <c r="H145" i="2" s="1"/>
  <c r="L145" i="2" s="1"/>
  <c r="O51" i="3"/>
  <c r="M57" i="10"/>
  <c r="M43" i="10"/>
  <c r="M53" i="10" s="1"/>
  <c r="L48" i="12"/>
  <c r="L55" i="15"/>
  <c r="N44" i="12"/>
  <c r="N51" i="12"/>
  <c r="N40" i="16"/>
  <c r="N7" i="16" s="1"/>
  <c r="N52" i="15"/>
  <c r="M53" i="15"/>
  <c r="K57" i="12"/>
  <c r="K43" i="12"/>
  <c r="K53" i="12" s="1"/>
  <c r="L42" i="18" s="1"/>
  <c r="L50" i="18" s="1"/>
  <c r="M47" i="12"/>
  <c r="M54" i="15"/>
  <c r="O19" i="3"/>
  <c r="O8" i="3"/>
  <c r="O5" i="3"/>
  <c r="O16" i="3"/>
  <c r="O52" i="5"/>
  <c r="O35" i="3"/>
  <c r="O34" i="3" s="1"/>
  <c r="O44" i="3"/>
  <c r="P20" i="3"/>
  <c r="O40" i="6"/>
  <c r="O7" i="6" s="1"/>
  <c r="P9" i="3"/>
  <c r="P17" i="3"/>
  <c r="N53" i="14"/>
  <c r="O40" i="13"/>
  <c r="O7" i="13" s="1"/>
  <c r="P45" i="3"/>
  <c r="O52" i="14"/>
  <c r="M55" i="14"/>
  <c r="G10" i="15"/>
  <c r="G48" i="15"/>
  <c r="F16" i="15"/>
  <c r="F43" i="15" s="1"/>
  <c r="F47" i="15"/>
  <c r="F16" i="14"/>
  <c r="F43" i="14" s="1"/>
  <c r="F47" i="14"/>
  <c r="E48" i="5"/>
  <c r="E16" i="5"/>
  <c r="E43" i="5" s="1"/>
  <c r="E47" i="5"/>
  <c r="G34" i="6"/>
  <c r="G36" i="6" s="1"/>
  <c r="H34" i="6" s="1"/>
  <c r="F6" i="5"/>
  <c r="O29" i="7" l="1"/>
  <c r="N47" i="7"/>
  <c r="O46" i="7"/>
  <c r="N24" i="7"/>
  <c r="N55" i="5"/>
  <c r="L42" i="7"/>
  <c r="M24" i="7"/>
  <c r="M23" i="3"/>
  <c r="M57" i="3"/>
  <c r="Q4" i="3"/>
  <c r="Q40" i="6" s="1"/>
  <c r="Q7" i="6" s="1"/>
  <c r="P59" i="3"/>
  <c r="M12" i="14"/>
  <c r="M15" i="14" s="1"/>
  <c r="R145" i="2"/>
  <c r="N145" i="2"/>
  <c r="P145" i="2"/>
  <c r="R141" i="2"/>
  <c r="R138" i="2" s="1"/>
  <c r="R137" i="2" s="1"/>
  <c r="R136" i="2" s="1"/>
  <c r="R135" i="2" s="1"/>
  <c r="Q22" i="5"/>
  <c r="O145" i="2"/>
  <c r="G10" i="14"/>
  <c r="G47" i="14" s="1"/>
  <c r="Q145" i="2"/>
  <c r="M43" i="3"/>
  <c r="N8" i="5"/>
  <c r="Q21" i="14"/>
  <c r="Q24" i="14" s="1"/>
  <c r="Q29" i="14" s="1"/>
  <c r="P24" i="14"/>
  <c r="P29" i="14" s="1"/>
  <c r="M24" i="15"/>
  <c r="M29" i="15" s="1"/>
  <c r="N48" i="10"/>
  <c r="N6" i="13"/>
  <c r="N48" i="3"/>
  <c r="N6" i="6"/>
  <c r="M6" i="16"/>
  <c r="O47" i="3"/>
  <c r="O10" i="3"/>
  <c r="N21" i="5"/>
  <c r="M24" i="5"/>
  <c r="M29" i="5" s="1"/>
  <c r="N22" i="3"/>
  <c r="N13" i="3"/>
  <c r="L12" i="15"/>
  <c r="L15" i="15" s="1"/>
  <c r="K15" i="15"/>
  <c r="K13" i="16"/>
  <c r="K18" i="16" s="1"/>
  <c r="L13" i="13"/>
  <c r="L18" i="13" s="1"/>
  <c r="J145" i="2"/>
  <c r="I145" i="2"/>
  <c r="M145" i="2"/>
  <c r="K145" i="2"/>
  <c r="O47" i="10"/>
  <c r="L43" i="12"/>
  <c r="L53" i="12" s="1"/>
  <c r="M42" i="18" s="1"/>
  <c r="M50" i="18" s="1"/>
  <c r="O54" i="14"/>
  <c r="O12" i="3"/>
  <c r="Q9" i="3"/>
  <c r="N57" i="10"/>
  <c r="N43" i="10"/>
  <c r="N53" i="10" s="1"/>
  <c r="Q20" i="3"/>
  <c r="P51" i="10"/>
  <c r="P44" i="10"/>
  <c r="Q52" i="10"/>
  <c r="Q52" i="12"/>
  <c r="Q52" i="3"/>
  <c r="Q45" i="10"/>
  <c r="Q45" i="12"/>
  <c r="O53" i="14"/>
  <c r="P40" i="6"/>
  <c r="P7" i="6" s="1"/>
  <c r="P51" i="3"/>
  <c r="O53" i="5"/>
  <c r="Q17" i="3"/>
  <c r="N53" i="15"/>
  <c r="N47" i="12"/>
  <c r="N54" i="15"/>
  <c r="O44" i="12"/>
  <c r="O51" i="12"/>
  <c r="O40" i="16"/>
  <c r="O7" i="16" s="1"/>
  <c r="O52" i="15"/>
  <c r="M48" i="12"/>
  <c r="M55" i="15"/>
  <c r="P19" i="3"/>
  <c r="P16" i="3"/>
  <c r="P8" i="3"/>
  <c r="P5" i="3"/>
  <c r="P52" i="5"/>
  <c r="P44" i="3"/>
  <c r="P35" i="3"/>
  <c r="P34" i="3" s="1"/>
  <c r="O54" i="5"/>
  <c r="P40" i="13"/>
  <c r="P7" i="13" s="1"/>
  <c r="P52" i="14"/>
  <c r="Q45" i="3"/>
  <c r="N55" i="14"/>
  <c r="G16" i="15"/>
  <c r="G43" i="15" s="1"/>
  <c r="G47" i="15"/>
  <c r="F10" i="5"/>
  <c r="F48" i="5"/>
  <c r="G6" i="5"/>
  <c r="O24" i="7" l="1"/>
  <c r="O47" i="7"/>
  <c r="O55" i="5"/>
  <c r="Q59" i="3"/>
  <c r="M42" i="7"/>
  <c r="N23" i="3"/>
  <c r="N57" i="3"/>
  <c r="G16" i="14"/>
  <c r="G43" i="14" s="1"/>
  <c r="M13" i="13"/>
  <c r="M18" i="13" s="1"/>
  <c r="N12" i="14"/>
  <c r="N13" i="13" s="1"/>
  <c r="N18" i="13" s="1"/>
  <c r="N43" i="3"/>
  <c r="O8" i="5"/>
  <c r="L13" i="16"/>
  <c r="L18" i="16" s="1"/>
  <c r="M12" i="15"/>
  <c r="M13" i="16" s="1"/>
  <c r="M18" i="16" s="1"/>
  <c r="N6" i="16"/>
  <c r="O13" i="3"/>
  <c r="O14" i="3"/>
  <c r="N24" i="15"/>
  <c r="N29" i="15" s="1"/>
  <c r="O21" i="5"/>
  <c r="N24" i="5"/>
  <c r="N29" i="5" s="1"/>
  <c r="O48" i="3"/>
  <c r="O6" i="6"/>
  <c r="P54" i="5"/>
  <c r="P10" i="3"/>
  <c r="O48" i="10"/>
  <c r="O6" i="13"/>
  <c r="P47" i="10"/>
  <c r="P47" i="3"/>
  <c r="P53" i="14"/>
  <c r="O57" i="10"/>
  <c r="O22" i="3"/>
  <c r="P12" i="3"/>
  <c r="P14" i="3" s="1"/>
  <c r="P53" i="5"/>
  <c r="Q52" i="5"/>
  <c r="Q44" i="3"/>
  <c r="Q35" i="3"/>
  <c r="Q34" i="3" s="1"/>
  <c r="Q44" i="10"/>
  <c r="Q51" i="10"/>
  <c r="Q51" i="3"/>
  <c r="O47" i="12"/>
  <c r="O54" i="15"/>
  <c r="N48" i="12"/>
  <c r="N55" i="15"/>
  <c r="P44" i="12"/>
  <c r="P51" i="12"/>
  <c r="P52" i="15"/>
  <c r="P40" i="16"/>
  <c r="P7" i="16" s="1"/>
  <c r="O53" i="15"/>
  <c r="M57" i="12"/>
  <c r="M43" i="12"/>
  <c r="M53" i="12" s="1"/>
  <c r="Q19" i="3"/>
  <c r="Q16" i="3"/>
  <c r="Q8" i="3"/>
  <c r="Q5" i="3"/>
  <c r="P54" i="14"/>
  <c r="Q52" i="14"/>
  <c r="Q40" i="13"/>
  <c r="Q7" i="13" s="1"/>
  <c r="O55" i="14"/>
  <c r="F16" i="5"/>
  <c r="F43" i="5" s="1"/>
  <c r="F47" i="5"/>
  <c r="G10" i="5"/>
  <c r="G48" i="5"/>
  <c r="E25" i="19" l="1"/>
  <c r="G25" i="19" s="1"/>
  <c r="E26" i="19"/>
  <c r="G26" i="19" s="1"/>
  <c r="E27" i="19"/>
  <c r="G27" i="19" s="1"/>
  <c r="E21" i="19"/>
  <c r="G21" i="19" s="1"/>
  <c r="E22" i="19"/>
  <c r="G22" i="19" s="1"/>
  <c r="E20" i="19"/>
  <c r="G20" i="19" s="1"/>
  <c r="F51" i="18"/>
  <c r="F15" i="18"/>
  <c r="C33" i="18"/>
  <c r="C51" i="18"/>
  <c r="C15" i="18"/>
  <c r="F33" i="18"/>
  <c r="N42" i="7"/>
  <c r="O23" i="3"/>
  <c r="O57" i="3"/>
  <c r="N15" i="14"/>
  <c r="P8" i="5"/>
  <c r="O12" i="14"/>
  <c r="O15" i="14" s="1"/>
  <c r="M15" i="15"/>
  <c r="N12" i="15"/>
  <c r="N15" i="15" s="1"/>
  <c r="Q10" i="3"/>
  <c r="P48" i="3"/>
  <c r="P6" i="6"/>
  <c r="P21" i="5"/>
  <c r="O24" i="5"/>
  <c r="O29" i="5" s="1"/>
  <c r="Q47" i="3"/>
  <c r="P55" i="14"/>
  <c r="P6" i="13"/>
  <c r="O24" i="15"/>
  <c r="O29" i="15" s="1"/>
  <c r="O6" i="16"/>
  <c r="P22" i="3"/>
  <c r="P57" i="3" s="1"/>
  <c r="P13" i="3"/>
  <c r="P55" i="5"/>
  <c r="O43" i="10"/>
  <c r="O53" i="10" s="1"/>
  <c r="Q54" i="5"/>
  <c r="Q47" i="10"/>
  <c r="P48" i="10"/>
  <c r="O43" i="3"/>
  <c r="Q12" i="3"/>
  <c r="Q14" i="3" s="1"/>
  <c r="P43" i="10"/>
  <c r="P53" i="10" s="1"/>
  <c r="Q53" i="5"/>
  <c r="Q44" i="12"/>
  <c r="Q51" i="12"/>
  <c r="Q40" i="16"/>
  <c r="Q7" i="16" s="1"/>
  <c r="Q52" i="15"/>
  <c r="N57" i="12"/>
  <c r="N43" i="12"/>
  <c r="N53" i="12" s="1"/>
  <c r="P53" i="15"/>
  <c r="P47" i="12"/>
  <c r="P54" i="15"/>
  <c r="O48" i="12"/>
  <c r="O55" i="15"/>
  <c r="Q54" i="14"/>
  <c r="Q53" i="14"/>
  <c r="C15" i="7"/>
  <c r="E17" i="8"/>
  <c r="F17" i="8" s="1"/>
  <c r="H17" i="8" s="1"/>
  <c r="E26" i="8"/>
  <c r="E16" i="8"/>
  <c r="F16" i="8" s="1"/>
  <c r="H16" i="8" s="1"/>
  <c r="E25" i="8"/>
  <c r="E24" i="8"/>
  <c r="E22" i="8"/>
  <c r="E21" i="8"/>
  <c r="E20" i="8"/>
  <c r="E18" i="8"/>
  <c r="F33" i="7"/>
  <c r="F51" i="7"/>
  <c r="F15" i="7"/>
  <c r="C51" i="7"/>
  <c r="C33" i="7"/>
  <c r="G16" i="5"/>
  <c r="G43" i="5" s="1"/>
  <c r="G47" i="5"/>
  <c r="C34" i="19" l="1"/>
  <c r="F12" i="1" s="1"/>
  <c r="C32" i="19"/>
  <c r="C12" i="1" s="1"/>
  <c r="C33" i="19"/>
  <c r="D12" i="1" s="1"/>
  <c r="O42" i="7"/>
  <c r="Q55" i="5"/>
  <c r="O13" i="13"/>
  <c r="O18" i="13" s="1"/>
  <c r="P12" i="14"/>
  <c r="P15" i="14" s="1"/>
  <c r="Q8" i="5"/>
  <c r="O12" i="15"/>
  <c r="O15" i="15" s="1"/>
  <c r="N13" i="16"/>
  <c r="N18" i="16" s="1"/>
  <c r="Q21" i="5"/>
  <c r="Q24" i="5" s="1"/>
  <c r="Q29" i="5" s="1"/>
  <c r="P24" i="5"/>
  <c r="P29" i="5" s="1"/>
  <c r="P6" i="16"/>
  <c r="Q48" i="10"/>
  <c r="Q6" i="13"/>
  <c r="Q48" i="3"/>
  <c r="Q6" i="6"/>
  <c r="P43" i="3"/>
  <c r="P23" i="3"/>
  <c r="Q24" i="15"/>
  <c r="Q29" i="15" s="1"/>
  <c r="P24" i="15"/>
  <c r="P29" i="15" s="1"/>
  <c r="Q22" i="3"/>
  <c r="Q13" i="3"/>
  <c r="Q55" i="14"/>
  <c r="Q57" i="10"/>
  <c r="P57" i="10"/>
  <c r="P48" i="12"/>
  <c r="P55" i="15"/>
  <c r="O57" i="12"/>
  <c r="O43" i="12"/>
  <c r="O53" i="12" s="1"/>
  <c r="Q47" i="12"/>
  <c r="Q54" i="15"/>
  <c r="Q53" i="15"/>
  <c r="F18" i="8"/>
  <c r="H18" i="8" s="1"/>
  <c r="F21" i="8"/>
  <c r="H21" i="8" s="1"/>
  <c r="F20" i="8"/>
  <c r="H20" i="8" s="1"/>
  <c r="F26" i="8"/>
  <c r="H26" i="8" s="1"/>
  <c r="F22" i="8"/>
  <c r="H22" i="8" s="1"/>
  <c r="F24" i="8"/>
  <c r="H24" i="8" s="1"/>
  <c r="F25" i="8"/>
  <c r="H25" i="8" s="1"/>
  <c r="E12" i="1" l="1"/>
  <c r="P13" i="13"/>
  <c r="P18" i="13" s="1"/>
  <c r="O13" i="16"/>
  <c r="O18" i="16" s="1"/>
  <c r="Q12" i="14"/>
  <c r="Q15" i="14" s="1"/>
  <c r="Q23" i="3"/>
  <c r="Q57" i="3"/>
  <c r="P12" i="15"/>
  <c r="P15" i="15" s="1"/>
  <c r="Q43" i="3"/>
  <c r="Q6" i="16"/>
  <c r="Q43" i="10"/>
  <c r="Q53" i="10" s="1"/>
  <c r="Q43" i="12"/>
  <c r="Q53" i="12" s="1"/>
  <c r="P43" i="12"/>
  <c r="P53" i="12" s="1"/>
  <c r="P57" i="12"/>
  <c r="Q48" i="12"/>
  <c r="Q55" i="15"/>
  <c r="C31" i="8"/>
  <c r="D13" i="1" s="1"/>
  <c r="C30" i="8"/>
  <c r="C13" i="1" s="1"/>
  <c r="C32" i="8"/>
  <c r="F13" i="1" s="1"/>
  <c r="E13" i="1" l="1"/>
  <c r="Q13" i="13"/>
  <c r="Q18" i="13" s="1"/>
  <c r="F42" i="18" a="1"/>
  <c r="F42" i="18" s="1"/>
  <c r="F45" i="18" s="1"/>
  <c r="F47" i="18" s="1"/>
  <c r="F24" i="7" a="1"/>
  <c r="F24" i="7" s="1"/>
  <c r="F27" i="7" s="1"/>
  <c r="F29" i="7" s="1"/>
  <c r="P13" i="16"/>
  <c r="P18" i="16" s="1"/>
  <c r="Q12" i="15"/>
  <c r="Q15" i="15" s="1"/>
  <c r="Q57" i="12"/>
  <c r="F42" i="7" a="1"/>
  <c r="F42" i="7" s="1"/>
  <c r="F45" i="7" s="1"/>
  <c r="F47" i="7" s="1"/>
  <c r="Q13" i="16" l="1"/>
  <c r="Q18" i="16" s="1"/>
  <c r="F24" i="18" a="1"/>
  <c r="F24" i="18" s="1"/>
  <c r="F27" i="18" s="1"/>
  <c r="F29" i="18" s="1"/>
  <c r="H54" i="5"/>
  <c r="H48" i="3"/>
  <c r="I10" i="7"/>
  <c r="I11" i="7" l="1"/>
  <c r="H55" i="5"/>
  <c r="H12" i="5" s="1"/>
  <c r="I12" i="5" l="1"/>
  <c r="I13" i="6" s="1"/>
  <c r="I18" i="6" s="1"/>
  <c r="H15" i="5"/>
  <c r="H13" i="6"/>
  <c r="H18" i="6" s="1"/>
  <c r="I15" i="5" l="1"/>
  <c r="J12" i="5"/>
  <c r="J15" i="5" l="1"/>
  <c r="K12" i="5"/>
  <c r="K13" i="6" s="1"/>
  <c r="K18" i="6" s="1"/>
  <c r="J13" i="6"/>
  <c r="J18" i="6" s="1"/>
  <c r="L12" i="5" l="1"/>
  <c r="L13" i="6" s="1"/>
  <c r="L18" i="6" s="1"/>
  <c r="K15" i="5"/>
  <c r="L15" i="5" l="1"/>
  <c r="M12" i="5"/>
  <c r="N12" i="5" l="1"/>
  <c r="M13" i="6"/>
  <c r="M18" i="6" s="1"/>
  <c r="M15" i="5"/>
  <c r="O12" i="5" l="1"/>
  <c r="N15" i="5"/>
  <c r="N13" i="6"/>
  <c r="N18" i="6" s="1"/>
  <c r="D137" i="2"/>
  <c r="H53" i="3"/>
  <c r="N53" i="3"/>
  <c r="P53" i="3"/>
  <c r="I53" i="3"/>
  <c r="J6" i="18" s="1"/>
  <c r="J14" i="18" s="1"/>
  <c r="M53" i="3"/>
  <c r="O53" i="3"/>
  <c r="K53" i="3"/>
  <c r="L6" i="18" s="1"/>
  <c r="L14" i="18" s="1"/>
  <c r="Q53" i="3"/>
  <c r="L53" i="3"/>
  <c r="M6" i="18" s="1"/>
  <c r="M14" i="18" s="1"/>
  <c r="J53" i="3"/>
  <c r="K6" i="18" s="1"/>
  <c r="K14" i="18" s="1"/>
  <c r="N6" i="7" l="1"/>
  <c r="O6" i="7"/>
  <c r="J6" i="7"/>
  <c r="I6" i="7"/>
  <c r="I6" i="18"/>
  <c r="I14" i="18" s="1"/>
  <c r="L6" i="7"/>
  <c r="K6" i="7"/>
  <c r="M6" i="7"/>
  <c r="P12" i="5"/>
  <c r="O15" i="5"/>
  <c r="O13" i="6"/>
  <c r="O18" i="6" s="1"/>
  <c r="D147" i="2"/>
  <c r="D148" i="2" s="1"/>
  <c r="F6" i="18" l="1" a="1"/>
  <c r="F6" i="18" s="1"/>
  <c r="F9" i="18" s="1"/>
  <c r="F11" i="18" s="1"/>
  <c r="F6" i="7" a="1"/>
  <c r="F6" i="7" s="1"/>
  <c r="F9" i="7" s="1"/>
  <c r="F11" i="7" s="1"/>
  <c r="Q148" i="2"/>
  <c r="P148" i="2"/>
  <c r="R148" i="2"/>
  <c r="O148" i="2"/>
  <c r="N148" i="2"/>
  <c r="P13" i="6"/>
  <c r="P18" i="6" s="1"/>
  <c r="P15" i="5"/>
  <c r="Q12" i="5"/>
  <c r="L148" i="2"/>
  <c r="J148" i="2"/>
  <c r="I148" i="2"/>
  <c r="K148" i="2"/>
  <c r="M148" i="2"/>
  <c r="Q25" i="3" l="1"/>
  <c r="H25" i="3"/>
  <c r="I15" i="18" s="1"/>
  <c r="M25" i="3"/>
  <c r="M26" i="3" s="1"/>
  <c r="J25" i="3"/>
  <c r="K15" i="18" s="1"/>
  <c r="K25" i="3"/>
  <c r="L15" i="18" s="1"/>
  <c r="Q15" i="5"/>
  <c r="Q13" i="6"/>
  <c r="Q18" i="6" s="1"/>
  <c r="P25" i="3"/>
  <c r="H25" i="10"/>
  <c r="I33" i="18" s="1"/>
  <c r="H25" i="12"/>
  <c r="I51" i="18" s="1"/>
  <c r="I25" i="12"/>
  <c r="J51" i="18" s="1"/>
  <c r="I25" i="10"/>
  <c r="J33" i="18" s="1"/>
  <c r="J25" i="10"/>
  <c r="K33" i="18" s="1"/>
  <c r="J25" i="12"/>
  <c r="K51" i="18" s="1"/>
  <c r="K25" i="12"/>
  <c r="L51" i="18" s="1"/>
  <c r="K25" i="10"/>
  <c r="L33" i="18" s="1"/>
  <c r="M25" i="12"/>
  <c r="L25" i="10"/>
  <c r="M33" i="18" s="1"/>
  <c r="L25" i="12"/>
  <c r="M51" i="18" s="1"/>
  <c r="O25" i="10"/>
  <c r="O25" i="12"/>
  <c r="M25" i="10"/>
  <c r="N25" i="10"/>
  <c r="N25" i="12"/>
  <c r="Q25" i="10"/>
  <c r="Q25" i="12"/>
  <c r="P25" i="12"/>
  <c r="P25" i="10"/>
  <c r="O25" i="3"/>
  <c r="N25" i="3"/>
  <c r="L25" i="3"/>
  <c r="M15" i="18" s="1"/>
  <c r="I25" i="3"/>
  <c r="J15" i="18" s="1"/>
  <c r="M28" i="3" l="1"/>
  <c r="M29" i="3" s="1"/>
  <c r="Q28" i="3"/>
  <c r="Q31" i="3" s="1"/>
  <c r="Q26" i="3"/>
  <c r="H26" i="3"/>
  <c r="O28" i="3"/>
  <c r="O29" i="3" s="1"/>
  <c r="P28" i="3"/>
  <c r="P29" i="3" s="1"/>
  <c r="N26" i="3"/>
  <c r="J26" i="3"/>
  <c r="P26" i="3"/>
  <c r="J28" i="3"/>
  <c r="J29" i="3" s="1"/>
  <c r="I26" i="3"/>
  <c r="L28" i="3"/>
  <c r="K26" i="3"/>
  <c r="K28" i="3"/>
  <c r="O26" i="3"/>
  <c r="N28" i="3"/>
  <c r="N28" i="12"/>
  <c r="N26" i="12"/>
  <c r="K26" i="10"/>
  <c r="K28" i="10"/>
  <c r="N26" i="10"/>
  <c r="N28" i="10"/>
  <c r="K26" i="12"/>
  <c r="K28" i="12"/>
  <c r="M28" i="10"/>
  <c r="M26" i="10"/>
  <c r="J26" i="12"/>
  <c r="J28" i="12"/>
  <c r="O26" i="12"/>
  <c r="O28" i="12"/>
  <c r="J26" i="10"/>
  <c r="J28" i="10"/>
  <c r="H28" i="3"/>
  <c r="P26" i="10"/>
  <c r="P28" i="10"/>
  <c r="O26" i="10"/>
  <c r="O28" i="10"/>
  <c r="I26" i="10"/>
  <c r="I28" i="10"/>
  <c r="P26" i="12"/>
  <c r="P28" i="12"/>
  <c r="L26" i="12"/>
  <c r="L28" i="12"/>
  <c r="I26" i="12"/>
  <c r="I28" i="12"/>
  <c r="Q26" i="12"/>
  <c r="Q28" i="12"/>
  <c r="L26" i="10"/>
  <c r="L28" i="10"/>
  <c r="H26" i="12"/>
  <c r="H28" i="12"/>
  <c r="Q26" i="10"/>
  <c r="Q28" i="10"/>
  <c r="M26" i="12"/>
  <c r="M28" i="12"/>
  <c r="H26" i="10"/>
  <c r="H28" i="10"/>
  <c r="L26" i="3"/>
  <c r="I28" i="3"/>
  <c r="M31" i="3" l="1"/>
  <c r="M37" i="3" s="1"/>
  <c r="Q29" i="3"/>
  <c r="O31" i="3"/>
  <c r="O32" i="3" s="1"/>
  <c r="P31" i="3"/>
  <c r="P37" i="3" s="1"/>
  <c r="J31" i="3"/>
  <c r="J37" i="3" s="1"/>
  <c r="J38" i="3" s="1"/>
  <c r="L31" i="3"/>
  <c r="L37" i="3" s="1"/>
  <c r="H31" i="3"/>
  <c r="H37" i="3" s="1"/>
  <c r="K29" i="3"/>
  <c r="K31" i="3"/>
  <c r="K37" i="3" s="1"/>
  <c r="K56" i="5" s="1"/>
  <c r="I29" i="3"/>
  <c r="I31" i="3"/>
  <c r="I37" i="3" s="1"/>
  <c r="I5" i="6" s="1"/>
  <c r="I10" i="6" s="1"/>
  <c r="N29" i="3"/>
  <c r="N31" i="3"/>
  <c r="N37" i="3" s="1"/>
  <c r="L29" i="3"/>
  <c r="H29" i="3"/>
  <c r="J29" i="10"/>
  <c r="J31" i="10"/>
  <c r="J32" i="10" s="1"/>
  <c r="K29" i="12"/>
  <c r="K31" i="12"/>
  <c r="K32" i="12" s="1"/>
  <c r="M31" i="12"/>
  <c r="M32" i="12" s="1"/>
  <c r="M29" i="12"/>
  <c r="Q31" i="12"/>
  <c r="Q32" i="12" s="1"/>
  <c r="Q29" i="12"/>
  <c r="I29" i="10"/>
  <c r="I31" i="10"/>
  <c r="I32" i="10" s="1"/>
  <c r="Q31" i="10"/>
  <c r="Q32" i="10" s="1"/>
  <c r="Q29" i="10"/>
  <c r="O29" i="12"/>
  <c r="O31" i="12"/>
  <c r="O32" i="12" s="1"/>
  <c r="N29" i="10"/>
  <c r="N31" i="10"/>
  <c r="N32" i="10" s="1"/>
  <c r="J31" i="12"/>
  <c r="J32" i="12" s="1"/>
  <c r="J29" i="12"/>
  <c r="K29" i="10"/>
  <c r="K31" i="10"/>
  <c r="K32" i="10" s="1"/>
  <c r="I31" i="12"/>
  <c r="I32" i="12" s="1"/>
  <c r="I29" i="12"/>
  <c r="H31" i="12"/>
  <c r="H32" i="12" s="1"/>
  <c r="H29" i="12"/>
  <c r="L31" i="12"/>
  <c r="L32" i="12" s="1"/>
  <c r="L29" i="12"/>
  <c r="P29" i="10"/>
  <c r="P31" i="10"/>
  <c r="H31" i="10"/>
  <c r="H32" i="10" s="1"/>
  <c r="H29" i="10"/>
  <c r="O29" i="10"/>
  <c r="O31" i="10"/>
  <c r="L29" i="10"/>
  <c r="L31" i="10"/>
  <c r="L32" i="10" s="1"/>
  <c r="P29" i="12"/>
  <c r="P31" i="12"/>
  <c r="P58" i="12" s="1"/>
  <c r="P60" i="12" s="1"/>
  <c r="M29" i="10"/>
  <c r="M31" i="10"/>
  <c r="M32" i="10" s="1"/>
  <c r="N29" i="12"/>
  <c r="N31" i="12"/>
  <c r="N32" i="12" s="1"/>
  <c r="Q37" i="3"/>
  <c r="Q32" i="3"/>
  <c r="Q58" i="3"/>
  <c r="Q60" i="3" s="1"/>
  <c r="O37" i="3" l="1"/>
  <c r="O58" i="3"/>
  <c r="O60" i="3" s="1"/>
  <c r="P58" i="3"/>
  <c r="P60" i="3" s="1"/>
  <c r="P32" i="3"/>
  <c r="M32" i="3"/>
  <c r="M58" i="3"/>
  <c r="M60" i="3" s="1"/>
  <c r="N8" i="7"/>
  <c r="L58" i="3"/>
  <c r="L60" i="3" s="1"/>
  <c r="M8" i="18" s="1"/>
  <c r="L32" i="3"/>
  <c r="J56" i="5"/>
  <c r="J58" i="3"/>
  <c r="J60" i="3" s="1"/>
  <c r="K8" i="18" s="1"/>
  <c r="J32" i="3"/>
  <c r="J5" i="6"/>
  <c r="J10" i="6" s="1"/>
  <c r="J41" i="6"/>
  <c r="J22" i="6" s="1"/>
  <c r="J27" i="6" s="1"/>
  <c r="H58" i="3"/>
  <c r="H60" i="3" s="1"/>
  <c r="I8" i="18" s="1"/>
  <c r="H32" i="3"/>
  <c r="H39" i="3"/>
  <c r="H56" i="5"/>
  <c r="H5" i="6"/>
  <c r="H10" i="6" s="1"/>
  <c r="H41" i="6"/>
  <c r="H22" i="6" s="1"/>
  <c r="H27" i="6" s="1"/>
  <c r="H38" i="3"/>
  <c r="L56" i="5"/>
  <c r="L41" i="6"/>
  <c r="L22" i="6" s="1"/>
  <c r="L27" i="6" s="1"/>
  <c r="L5" i="6"/>
  <c r="L10" i="6" s="1"/>
  <c r="L38" i="3"/>
  <c r="I56" i="5"/>
  <c r="I38" i="3"/>
  <c r="I39" i="3"/>
  <c r="I32" i="3"/>
  <c r="I58" i="3"/>
  <c r="I60" i="3" s="1"/>
  <c r="J8" i="18" s="1"/>
  <c r="J39" i="3"/>
  <c r="Q58" i="12"/>
  <c r="Q60" i="12" s="1"/>
  <c r="H58" i="12"/>
  <c r="H60" i="12" s="1"/>
  <c r="I44" i="18" s="1"/>
  <c r="I58" i="10"/>
  <c r="I60" i="10" s="1"/>
  <c r="J26" i="18" s="1"/>
  <c r="I41" i="6"/>
  <c r="I22" i="6" s="1"/>
  <c r="I27" i="6" s="1"/>
  <c r="I31" i="6" s="1"/>
  <c r="N32" i="3"/>
  <c r="N58" i="3"/>
  <c r="N60" i="3" s="1"/>
  <c r="K41" i="6"/>
  <c r="K22" i="6" s="1"/>
  <c r="K27" i="6" s="1"/>
  <c r="J58" i="10"/>
  <c r="J60" i="10" s="1"/>
  <c r="K26" i="18" s="1"/>
  <c r="K58" i="3"/>
  <c r="K60" i="3" s="1"/>
  <c r="L8" i="18" s="1"/>
  <c r="L39" i="3"/>
  <c r="K32" i="3"/>
  <c r="K39" i="3"/>
  <c r="K5" i="6"/>
  <c r="K10" i="6" s="1"/>
  <c r="K38" i="3"/>
  <c r="K58" i="12"/>
  <c r="K60" i="12" s="1"/>
  <c r="L44" i="18" s="1"/>
  <c r="I58" i="12"/>
  <c r="I60" i="12" s="1"/>
  <c r="J44" i="18" s="1"/>
  <c r="O58" i="12"/>
  <c r="O60" i="12" s="1"/>
  <c r="O37" i="12"/>
  <c r="O41" i="16" s="1"/>
  <c r="O22" i="16" s="1"/>
  <c r="O27" i="16" s="1"/>
  <c r="J37" i="10"/>
  <c r="J56" i="14" s="1"/>
  <c r="K58" i="10"/>
  <c r="K60" i="10" s="1"/>
  <c r="L26" i="18" s="1"/>
  <c r="J37" i="12"/>
  <c r="J56" i="15" s="1"/>
  <c r="Q37" i="10"/>
  <c r="Q38" i="10" s="1"/>
  <c r="J58" i="12"/>
  <c r="J60" i="12" s="1"/>
  <c r="K44" i="18" s="1"/>
  <c r="M58" i="10"/>
  <c r="M60" i="10" s="1"/>
  <c r="Q58" i="10"/>
  <c r="Q60" i="10" s="1"/>
  <c r="H37" i="10"/>
  <c r="H56" i="14" s="1"/>
  <c r="M58" i="12"/>
  <c r="M60" i="12" s="1"/>
  <c r="H58" i="10"/>
  <c r="H60" i="10" s="1"/>
  <c r="I26" i="18" s="1"/>
  <c r="L58" i="12"/>
  <c r="L60" i="12" s="1"/>
  <c r="M44" i="18" s="1"/>
  <c r="P5" i="6"/>
  <c r="P10" i="6" s="1"/>
  <c r="P39" i="3"/>
  <c r="M39" i="3"/>
  <c r="M5" i="6"/>
  <c r="M10" i="6" s="1"/>
  <c r="N41" i="6"/>
  <c r="N22" i="6" s="1"/>
  <c r="N27" i="6" s="1"/>
  <c r="N39" i="3"/>
  <c r="N5" i="6"/>
  <c r="N10" i="6" s="1"/>
  <c r="O38" i="3"/>
  <c r="O39" i="3"/>
  <c r="O5" i="6"/>
  <c r="O10" i="6" s="1"/>
  <c r="Q5" i="6"/>
  <c r="Q10" i="6" s="1"/>
  <c r="Q39" i="3"/>
  <c r="M37" i="10"/>
  <c r="M41" i="13" s="1"/>
  <c r="M22" i="13" s="1"/>
  <c r="M27" i="13" s="1"/>
  <c r="M37" i="12"/>
  <c r="M56" i="15" s="1"/>
  <c r="N58" i="10"/>
  <c r="N60" i="10" s="1"/>
  <c r="P32" i="12"/>
  <c r="P32" i="10"/>
  <c r="L58" i="10"/>
  <c r="L60" i="10" s="1"/>
  <c r="M26" i="18" s="1"/>
  <c r="O32" i="10"/>
  <c r="L37" i="12"/>
  <c r="L38" i="12" s="1"/>
  <c r="L37" i="10"/>
  <c r="L41" i="13" s="1"/>
  <c r="L22" i="13" s="1"/>
  <c r="L27" i="13" s="1"/>
  <c r="I37" i="12"/>
  <c r="I5" i="16" s="1"/>
  <c r="I10" i="16" s="1"/>
  <c r="I37" i="10"/>
  <c r="I38" i="10" s="1"/>
  <c r="I24" i="15"/>
  <c r="I29" i="15" s="1"/>
  <c r="P37" i="12"/>
  <c r="P41" i="16" s="1"/>
  <c r="P22" i="16" s="1"/>
  <c r="P27" i="16" s="1"/>
  <c r="P37" i="10"/>
  <c r="P41" i="13" s="1"/>
  <c r="P22" i="13" s="1"/>
  <c r="P27" i="13" s="1"/>
  <c r="H24" i="5"/>
  <c r="N37" i="12"/>
  <c r="Q37" i="12"/>
  <c r="Q41" i="16" s="1"/>
  <c r="Q22" i="16" s="1"/>
  <c r="Q27" i="16" s="1"/>
  <c r="K37" i="12"/>
  <c r="N58" i="12"/>
  <c r="N60" i="12" s="1"/>
  <c r="P58" i="10"/>
  <c r="P60" i="10" s="1"/>
  <c r="O58" i="10"/>
  <c r="O60" i="10" s="1"/>
  <c r="O37" i="10"/>
  <c r="H37" i="12"/>
  <c r="K37" i="10"/>
  <c r="N37" i="10"/>
  <c r="N41" i="13" s="1"/>
  <c r="N22" i="13" s="1"/>
  <c r="N27" i="13" s="1"/>
  <c r="O41" i="6"/>
  <c r="O22" i="6" s="1"/>
  <c r="O27" i="6" s="1"/>
  <c r="O56" i="5"/>
  <c r="P38" i="3"/>
  <c r="N38" i="3"/>
  <c r="N56" i="5"/>
  <c r="P41" i="6"/>
  <c r="P56" i="5"/>
  <c r="Q38" i="3"/>
  <c r="Q41" i="6"/>
  <c r="Q56" i="5"/>
  <c r="M56" i="5"/>
  <c r="M41" i="6"/>
  <c r="M22" i="6" s="1"/>
  <c r="M27" i="6" s="1"/>
  <c r="M38" i="3"/>
  <c r="H28" i="15"/>
  <c r="H57" i="5" l="1"/>
  <c r="H33" i="5" s="1"/>
  <c r="H40" i="5" s="1"/>
  <c r="M8" i="7"/>
  <c r="N44" i="7"/>
  <c r="N26" i="7"/>
  <c r="O44" i="7"/>
  <c r="H31" i="6"/>
  <c r="H36" i="6" s="1"/>
  <c r="H6" i="5" s="1"/>
  <c r="H10" i="5" s="1"/>
  <c r="O8" i="7"/>
  <c r="O26" i="7"/>
  <c r="K8" i="7"/>
  <c r="J57" i="5"/>
  <c r="J31" i="6"/>
  <c r="K44" i="7"/>
  <c r="L57" i="5"/>
  <c r="M44" i="7"/>
  <c r="I26" i="7"/>
  <c r="J26" i="7"/>
  <c r="I44" i="7"/>
  <c r="M26" i="7"/>
  <c r="L44" i="7"/>
  <c r="L26" i="7"/>
  <c r="J44" i="7"/>
  <c r="K26" i="7"/>
  <c r="L8" i="7"/>
  <c r="I8" i="7"/>
  <c r="J8" i="7"/>
  <c r="L31" i="6"/>
  <c r="H39" i="10"/>
  <c r="I57" i="5"/>
  <c r="K57" i="5"/>
  <c r="O56" i="15"/>
  <c r="J38" i="12"/>
  <c r="Q56" i="14"/>
  <c r="Q41" i="13"/>
  <c r="Q22" i="13" s="1"/>
  <c r="Q27" i="13" s="1"/>
  <c r="J41" i="16"/>
  <c r="J22" i="16" s="1"/>
  <c r="J27" i="16" s="1"/>
  <c r="H41" i="13"/>
  <c r="H22" i="13" s="1"/>
  <c r="H57" i="14" s="1"/>
  <c r="H33" i="14" s="1"/>
  <c r="H40" i="14" s="1"/>
  <c r="H5" i="13"/>
  <c r="H10" i="13" s="1"/>
  <c r="I56" i="14"/>
  <c r="I5" i="13"/>
  <c r="I10" i="13" s="1"/>
  <c r="I41" i="13"/>
  <c r="I22" i="13" s="1"/>
  <c r="I27" i="13" s="1"/>
  <c r="L5" i="16"/>
  <c r="L10" i="16" s="1"/>
  <c r="H38" i="10"/>
  <c r="K31" i="6"/>
  <c r="J41" i="13"/>
  <c r="J22" i="13" s="1"/>
  <c r="J27" i="13" s="1"/>
  <c r="P56" i="14"/>
  <c r="J38" i="10"/>
  <c r="J5" i="13"/>
  <c r="J10" i="13" s="1"/>
  <c r="M56" i="14"/>
  <c r="J39" i="10"/>
  <c r="O5" i="16"/>
  <c r="O10" i="16" s="1"/>
  <c r="O31" i="16" s="1"/>
  <c r="J5" i="16"/>
  <c r="J10" i="16" s="1"/>
  <c r="L39" i="12"/>
  <c r="O57" i="15"/>
  <c r="O39" i="12"/>
  <c r="O38" i="12"/>
  <c r="Q5" i="13"/>
  <c r="Q10" i="13" s="1"/>
  <c r="J39" i="12"/>
  <c r="I39" i="10"/>
  <c r="I38" i="12"/>
  <c r="K41" i="16"/>
  <c r="K22" i="16" s="1"/>
  <c r="K27" i="16" s="1"/>
  <c r="L57" i="14"/>
  <c r="K56" i="15"/>
  <c r="P56" i="15"/>
  <c r="L56" i="14"/>
  <c r="L5" i="13"/>
  <c r="L10" i="13" s="1"/>
  <c r="L31" i="13" s="1"/>
  <c r="O38" i="10"/>
  <c r="O5" i="13"/>
  <c r="O10" i="13" s="1"/>
  <c r="O39" i="10"/>
  <c r="M31" i="6"/>
  <c r="P38" i="10"/>
  <c r="P5" i="13"/>
  <c r="P10" i="13" s="1"/>
  <c r="P31" i="13" s="1"/>
  <c r="P39" i="10"/>
  <c r="M38" i="12"/>
  <c r="M5" i="16"/>
  <c r="M10" i="16" s="1"/>
  <c r="M39" i="12"/>
  <c r="M41" i="16"/>
  <c r="M22" i="16" s="1"/>
  <c r="O31" i="6"/>
  <c r="P38" i="12"/>
  <c r="P39" i="12"/>
  <c r="P5" i="16"/>
  <c r="P10" i="16" s="1"/>
  <c r="P31" i="16" s="1"/>
  <c r="M38" i="10"/>
  <c r="M5" i="13"/>
  <c r="M10" i="13" s="1"/>
  <c r="M31" i="13" s="1"/>
  <c r="M39" i="10"/>
  <c r="N38" i="10"/>
  <c r="N5" i="13"/>
  <c r="N10" i="13" s="1"/>
  <c r="N31" i="13" s="1"/>
  <c r="N39" i="10"/>
  <c r="P22" i="6"/>
  <c r="P27" i="6" s="1"/>
  <c r="P31" i="6" s="1"/>
  <c r="Q22" i="6"/>
  <c r="Q27" i="6" s="1"/>
  <c r="Q31" i="6" s="1"/>
  <c r="N57" i="5"/>
  <c r="N31" i="6"/>
  <c r="Q39" i="10"/>
  <c r="O57" i="5"/>
  <c r="N56" i="14"/>
  <c r="Q38" i="12"/>
  <c r="Q5" i="16"/>
  <c r="Q10" i="16" s="1"/>
  <c r="Q31" i="16" s="1"/>
  <c r="Q39" i="12"/>
  <c r="Q56" i="15"/>
  <c r="N5" i="16"/>
  <c r="N10" i="16" s="1"/>
  <c r="N39" i="12"/>
  <c r="L41" i="16"/>
  <c r="L22" i="16" s="1"/>
  <c r="L56" i="15"/>
  <c r="L38" i="10"/>
  <c r="I56" i="15"/>
  <c r="I41" i="16"/>
  <c r="I22" i="16" s="1"/>
  <c r="H5" i="16"/>
  <c r="H10" i="16" s="1"/>
  <c r="H39" i="12"/>
  <c r="H38" i="12"/>
  <c r="H41" i="16"/>
  <c r="H22" i="16" s="1"/>
  <c r="H56" i="15"/>
  <c r="I24" i="5"/>
  <c r="I29" i="5" s="1"/>
  <c r="K5" i="16"/>
  <c r="K10" i="16" s="1"/>
  <c r="K39" i="12"/>
  <c r="K38" i="12"/>
  <c r="N38" i="12"/>
  <c r="N56" i="15"/>
  <c r="N41" i="16"/>
  <c r="N22" i="16" s="1"/>
  <c r="I24" i="14"/>
  <c r="I29" i="14" s="1"/>
  <c r="O56" i="14"/>
  <c r="O41" i="13"/>
  <c r="O22" i="13" s="1"/>
  <c r="O27" i="13" s="1"/>
  <c r="K5" i="13"/>
  <c r="K10" i="13" s="1"/>
  <c r="K38" i="10"/>
  <c r="K39" i="10"/>
  <c r="K41" i="13"/>
  <c r="K22" i="13" s="1"/>
  <c r="K56" i="14"/>
  <c r="I39" i="12"/>
  <c r="L39" i="10"/>
  <c r="J24" i="15"/>
  <c r="J29" i="15" s="1"/>
  <c r="M57" i="14"/>
  <c r="N57" i="14"/>
  <c r="Q57" i="15"/>
  <c r="H29" i="5"/>
  <c r="M57" i="5"/>
  <c r="P57" i="15"/>
  <c r="H28" i="14"/>
  <c r="H24" i="15"/>
  <c r="H29" i="15" s="1"/>
  <c r="H24" i="14"/>
  <c r="P57" i="14"/>
  <c r="I34" i="6" l="1"/>
  <c r="I36" i="6" s="1"/>
  <c r="J34" i="6" s="1"/>
  <c r="J36" i="6" s="1"/>
  <c r="I33" i="5"/>
  <c r="J33" i="5" s="1"/>
  <c r="J40" i="5" s="1"/>
  <c r="I57" i="14"/>
  <c r="I33" i="14" s="1"/>
  <c r="I40" i="14" s="1"/>
  <c r="I42" i="14" s="1"/>
  <c r="Q57" i="14"/>
  <c r="J31" i="16"/>
  <c r="J31" i="13"/>
  <c r="I31" i="13"/>
  <c r="Q31" i="13"/>
  <c r="J57" i="15"/>
  <c r="H27" i="13"/>
  <c r="H31" i="13" s="1"/>
  <c r="H36" i="13" s="1"/>
  <c r="I34" i="13" s="1"/>
  <c r="J57" i="14"/>
  <c r="K57" i="15"/>
  <c r="K31" i="16"/>
  <c r="O57" i="14"/>
  <c r="N27" i="16"/>
  <c r="N31" i="16" s="1"/>
  <c r="N57" i="15"/>
  <c r="Q57" i="5"/>
  <c r="M27" i="16"/>
  <c r="M31" i="16" s="1"/>
  <c r="M57" i="15"/>
  <c r="P57" i="5"/>
  <c r="O31" i="13"/>
  <c r="L27" i="16"/>
  <c r="L31" i="16" s="1"/>
  <c r="L57" i="15"/>
  <c r="I27" i="16"/>
  <c r="I31" i="16" s="1"/>
  <c r="I57" i="15"/>
  <c r="L24" i="15"/>
  <c r="L29" i="15" s="1"/>
  <c r="K24" i="15"/>
  <c r="K29" i="15" s="1"/>
  <c r="H57" i="15"/>
  <c r="H33" i="15" s="1"/>
  <c r="H27" i="16"/>
  <c r="H31" i="16" s="1"/>
  <c r="H36" i="16" s="1"/>
  <c r="K27" i="13"/>
  <c r="K31" i="13" s="1"/>
  <c r="K57" i="14"/>
  <c r="J24" i="14"/>
  <c r="J29" i="14" s="1"/>
  <c r="J24" i="5"/>
  <c r="J29" i="5" s="1"/>
  <c r="H48" i="5"/>
  <c r="H42" i="5"/>
  <c r="H29" i="14"/>
  <c r="H42" i="14" s="1"/>
  <c r="H16" i="5"/>
  <c r="H47" i="5"/>
  <c r="I40" i="5" l="1"/>
  <c r="I42" i="5" s="1"/>
  <c r="K33" i="5"/>
  <c r="L33" i="5" s="1"/>
  <c r="I6" i="5"/>
  <c r="I10" i="5" s="1"/>
  <c r="I16" i="5" s="1"/>
  <c r="I12" i="7"/>
  <c r="I17" i="7" s="1"/>
  <c r="I12" i="18"/>
  <c r="I17" i="18" s="1"/>
  <c r="J33" i="14"/>
  <c r="K33" i="14" s="1"/>
  <c r="I36" i="13"/>
  <c r="J34" i="13" s="1"/>
  <c r="J36" i="13" s="1"/>
  <c r="K34" i="13" s="1"/>
  <c r="K36" i="13" s="1"/>
  <c r="H6" i="14"/>
  <c r="I33" i="15"/>
  <c r="H40" i="15"/>
  <c r="H42" i="15" s="1"/>
  <c r="L24" i="5"/>
  <c r="L29" i="5" s="1"/>
  <c r="K24" i="5"/>
  <c r="K29" i="5" s="1"/>
  <c r="H6" i="15"/>
  <c r="I34" i="16"/>
  <c r="I36" i="16" s="1"/>
  <c r="L24" i="14"/>
  <c r="L29" i="14" s="1"/>
  <c r="K24" i="14"/>
  <c r="K29" i="14" s="1"/>
  <c r="J42" i="5"/>
  <c r="K34" i="6"/>
  <c r="K36" i="6" s="1"/>
  <c r="J6" i="5"/>
  <c r="J10" i="5" s="1"/>
  <c r="J16" i="5" s="1"/>
  <c r="H43" i="5"/>
  <c r="K40" i="5" l="1"/>
  <c r="K42" i="5" s="1"/>
  <c r="I43" i="5"/>
  <c r="I48" i="5"/>
  <c r="J40" i="14"/>
  <c r="J42" i="14" s="1"/>
  <c r="I20" i="18"/>
  <c r="I20" i="7"/>
  <c r="J6" i="14"/>
  <c r="J10" i="14" s="1"/>
  <c r="J16" i="14" s="1"/>
  <c r="I6" i="14"/>
  <c r="I10" i="14" s="1"/>
  <c r="I16" i="14" s="1"/>
  <c r="I43" i="14" s="1"/>
  <c r="H48" i="14"/>
  <c r="H10" i="14"/>
  <c r="L40" i="5"/>
  <c r="L42" i="5" s="1"/>
  <c r="M33" i="5"/>
  <c r="J43" i="5"/>
  <c r="J34" i="16"/>
  <c r="J36" i="16" s="1"/>
  <c r="I6" i="15"/>
  <c r="H10" i="15"/>
  <c r="H48" i="15"/>
  <c r="L33" i="14"/>
  <c r="K40" i="14"/>
  <c r="K42" i="14" s="1"/>
  <c r="J33" i="15"/>
  <c r="I40" i="15"/>
  <c r="I42" i="15" s="1"/>
  <c r="L34" i="13"/>
  <c r="L36" i="13" s="1"/>
  <c r="K6" i="14"/>
  <c r="K10" i="14" s="1"/>
  <c r="K16" i="14" s="1"/>
  <c r="L34" i="6"/>
  <c r="L36" i="6" s="1"/>
  <c r="K6" i="5"/>
  <c r="K10" i="5" s="1"/>
  <c r="K16" i="5" s="1"/>
  <c r="I47" i="5"/>
  <c r="J12" i="18" s="1"/>
  <c r="J17" i="18" s="1"/>
  <c r="J20" i="18" s="1"/>
  <c r="J48" i="5"/>
  <c r="J43" i="14" l="1"/>
  <c r="J12" i="7"/>
  <c r="J17" i="7" s="1"/>
  <c r="I48" i="14"/>
  <c r="H16" i="14"/>
  <c r="H43" i="14" s="1"/>
  <c r="H47" i="14"/>
  <c r="I30" i="18" s="1"/>
  <c r="I35" i="18" s="1"/>
  <c r="I38" i="18" s="1"/>
  <c r="L6" i="5"/>
  <c r="L10" i="5" s="1"/>
  <c r="L16" i="5" s="1"/>
  <c r="L43" i="5" s="1"/>
  <c r="M34" i="6"/>
  <c r="M36" i="6" s="1"/>
  <c r="N33" i="5"/>
  <c r="M40" i="5"/>
  <c r="M42" i="5" s="1"/>
  <c r="L6" i="14"/>
  <c r="L10" i="14" s="1"/>
  <c r="L16" i="14" s="1"/>
  <c r="M34" i="13"/>
  <c r="M36" i="13" s="1"/>
  <c r="L40" i="14"/>
  <c r="L42" i="14" s="1"/>
  <c r="M33" i="14"/>
  <c r="H16" i="15"/>
  <c r="H43" i="15" s="1"/>
  <c r="H47" i="15"/>
  <c r="I48" i="18" s="1"/>
  <c r="I53" i="18" s="1"/>
  <c r="I56" i="18" s="1"/>
  <c r="K33" i="15"/>
  <c r="J40" i="15"/>
  <c r="J42" i="15" s="1"/>
  <c r="I10" i="15"/>
  <c r="I48" i="15"/>
  <c r="K34" i="16"/>
  <c r="K36" i="16" s="1"/>
  <c r="J6" i="15"/>
  <c r="K43" i="5"/>
  <c r="K43" i="14"/>
  <c r="K47" i="5"/>
  <c r="J48" i="14"/>
  <c r="I47" i="14"/>
  <c r="J47" i="5"/>
  <c r="K12" i="18" s="1"/>
  <c r="K17" i="18" s="1"/>
  <c r="K20" i="18" s="1"/>
  <c r="K48" i="5"/>
  <c r="L12" i="18" l="1"/>
  <c r="L17" i="18" s="1"/>
  <c r="L20" i="18" s="1"/>
  <c r="J30" i="18"/>
  <c r="J35" i="18" s="1"/>
  <c r="J38" i="18" s="1"/>
  <c r="I32" i="7"/>
  <c r="I35" i="7" s="1"/>
  <c r="L12" i="7"/>
  <c r="L17" i="7" s="1"/>
  <c r="K12" i="7"/>
  <c r="K17" i="7" s="1"/>
  <c r="J32" i="7"/>
  <c r="J35" i="7" s="1"/>
  <c r="I50" i="7"/>
  <c r="I53" i="7" s="1"/>
  <c r="L43" i="14"/>
  <c r="N34" i="13"/>
  <c r="N36" i="13" s="1"/>
  <c r="M6" i="14"/>
  <c r="M10" i="14" s="1"/>
  <c r="M16" i="14" s="1"/>
  <c r="N33" i="14"/>
  <c r="M40" i="14"/>
  <c r="M42" i="14" s="1"/>
  <c r="O33" i="5"/>
  <c r="N40" i="5"/>
  <c r="N42" i="5" s="1"/>
  <c r="M6" i="5"/>
  <c r="M10" i="5" s="1"/>
  <c r="M16" i="5" s="1"/>
  <c r="M43" i="5" s="1"/>
  <c r="N34" i="6"/>
  <c r="N36" i="6" s="1"/>
  <c r="J10" i="15"/>
  <c r="J48" i="15"/>
  <c r="I16" i="15"/>
  <c r="I43" i="15" s="1"/>
  <c r="I47" i="15"/>
  <c r="J48" i="18" s="1"/>
  <c r="J53" i="18" s="1"/>
  <c r="J56" i="18" s="1"/>
  <c r="L33" i="15"/>
  <c r="K40" i="15"/>
  <c r="K42" i="15" s="1"/>
  <c r="K6" i="15"/>
  <c r="L34" i="16"/>
  <c r="L36" i="16" s="1"/>
  <c r="L48" i="5"/>
  <c r="L47" i="5"/>
  <c r="M12" i="18" s="1"/>
  <c r="M17" i="18" s="1"/>
  <c r="M20" i="18" s="1"/>
  <c r="K48" i="14"/>
  <c r="J47" i="14"/>
  <c r="K30" i="18" s="1"/>
  <c r="K35" i="18" s="1"/>
  <c r="K38" i="18" s="1"/>
  <c r="J38" i="7" l="1"/>
  <c r="J20" i="7"/>
  <c r="M12" i="7"/>
  <c r="M17" i="7" s="1"/>
  <c r="C6" i="7" s="1" a="1"/>
  <c r="C6" i="7" s="1"/>
  <c r="J50" i="7"/>
  <c r="J53" i="7" s="1"/>
  <c r="I56" i="7"/>
  <c r="K32" i="7"/>
  <c r="K35" i="7" s="1"/>
  <c r="I38" i="7"/>
  <c r="N6" i="5"/>
  <c r="N10" i="5" s="1"/>
  <c r="N16" i="5" s="1"/>
  <c r="N43" i="5" s="1"/>
  <c r="O34" i="6"/>
  <c r="O36" i="6" s="1"/>
  <c r="L40" i="15"/>
  <c r="L42" i="15" s="1"/>
  <c r="M33" i="15"/>
  <c r="O40" i="5"/>
  <c r="O42" i="5" s="1"/>
  <c r="P33" i="5"/>
  <c r="L6" i="15"/>
  <c r="L10" i="15" s="1"/>
  <c r="L16" i="15" s="1"/>
  <c r="M34" i="16"/>
  <c r="M36" i="16" s="1"/>
  <c r="N40" i="14"/>
  <c r="N42" i="14" s="1"/>
  <c r="O33" i="14"/>
  <c r="M43" i="14"/>
  <c r="N6" i="14"/>
  <c r="N10" i="14" s="1"/>
  <c r="N16" i="14" s="1"/>
  <c r="O34" i="13"/>
  <c r="O36" i="13" s="1"/>
  <c r="K10" i="15"/>
  <c r="K48" i="15"/>
  <c r="J16" i="15"/>
  <c r="J43" i="15" s="1"/>
  <c r="J47" i="15"/>
  <c r="K48" i="18" s="1"/>
  <c r="K53" i="18" s="1"/>
  <c r="K56" i="18" s="1"/>
  <c r="M48" i="5"/>
  <c r="K47" i="14"/>
  <c r="L30" i="18" s="1"/>
  <c r="L35" i="18" s="1"/>
  <c r="L38" i="18" s="1"/>
  <c r="L48" i="14"/>
  <c r="M47" i="5"/>
  <c r="N12" i="7" l="1"/>
  <c r="N20" i="7" s="1"/>
  <c r="K20" i="7"/>
  <c r="K50" i="7"/>
  <c r="K53" i="7" s="1"/>
  <c r="L20" i="7"/>
  <c r="L32" i="7"/>
  <c r="L35" i="7" s="1"/>
  <c r="J56" i="7"/>
  <c r="K38" i="7"/>
  <c r="L43" i="15"/>
  <c r="Q33" i="5"/>
  <c r="Q40" i="5" s="1"/>
  <c r="Q42" i="5" s="1"/>
  <c r="P40" i="5"/>
  <c r="P42" i="5" s="1"/>
  <c r="M6" i="15"/>
  <c r="N34" i="16"/>
  <c r="N36" i="16" s="1"/>
  <c r="O6" i="14"/>
  <c r="O10" i="14" s="1"/>
  <c r="O16" i="14" s="1"/>
  <c r="P34" i="13"/>
  <c r="P36" i="13" s="1"/>
  <c r="L48" i="15"/>
  <c r="M40" i="15"/>
  <c r="M42" i="15" s="1"/>
  <c r="N33" i="15"/>
  <c r="P33" i="14"/>
  <c r="O40" i="14"/>
  <c r="O42" i="14" s="1"/>
  <c r="P34" i="6"/>
  <c r="P36" i="6" s="1"/>
  <c r="O6" i="5"/>
  <c r="O10" i="5" s="1"/>
  <c r="O16" i="5" s="1"/>
  <c r="O43" i="5" s="1"/>
  <c r="L47" i="15"/>
  <c r="N43" i="14"/>
  <c r="K16" i="15"/>
  <c r="K43" i="15" s="1"/>
  <c r="K47" i="15"/>
  <c r="L48" i="18" s="1"/>
  <c r="L53" i="18" s="1"/>
  <c r="L56" i="18" s="1"/>
  <c r="N47" i="5"/>
  <c r="N48" i="5"/>
  <c r="L47" i="14"/>
  <c r="M30" i="18" s="1"/>
  <c r="M35" i="18" s="1"/>
  <c r="M38" i="18" s="1"/>
  <c r="M48" i="14"/>
  <c r="M48" i="18" l="1"/>
  <c r="M53" i="18" s="1"/>
  <c r="M56" i="18" s="1"/>
  <c r="O12" i="7"/>
  <c r="O20" i="7" s="1"/>
  <c r="L50" i="7"/>
  <c r="L53" i="7" s="1"/>
  <c r="M32" i="7"/>
  <c r="M35" i="7" s="1"/>
  <c r="M50" i="7"/>
  <c r="M53" i="7" s="1"/>
  <c r="M20" i="7"/>
  <c r="L38" i="7"/>
  <c r="K56" i="7"/>
  <c r="P6" i="14"/>
  <c r="P10" i="14" s="1"/>
  <c r="P16" i="14" s="1"/>
  <c r="Q34" i="13"/>
  <c r="Q36" i="13" s="1"/>
  <c r="Q6" i="14" s="1"/>
  <c r="Q10" i="14" s="1"/>
  <c r="Q16" i="14" s="1"/>
  <c r="O43" i="14"/>
  <c r="N6" i="15"/>
  <c r="O34" i="16"/>
  <c r="O36" i="16" s="1"/>
  <c r="Q34" i="6"/>
  <c r="Q36" i="6" s="1"/>
  <c r="Q6" i="5" s="1"/>
  <c r="Q10" i="5" s="1"/>
  <c r="Q16" i="5" s="1"/>
  <c r="Q43" i="5" s="1"/>
  <c r="P6" i="5"/>
  <c r="P10" i="5" s="1"/>
  <c r="P16" i="5" s="1"/>
  <c r="P43" i="5" s="1"/>
  <c r="Q33" i="14"/>
  <c r="Q40" i="14" s="1"/>
  <c r="Q42" i="14" s="1"/>
  <c r="P40" i="14"/>
  <c r="P42" i="14" s="1"/>
  <c r="M10" i="15"/>
  <c r="M48" i="15"/>
  <c r="O33" i="15"/>
  <c r="N40" i="15"/>
  <c r="N42" i="15" s="1"/>
  <c r="O48" i="5"/>
  <c r="M47" i="14"/>
  <c r="N48" i="14"/>
  <c r="O47" i="5"/>
  <c r="N32" i="7" l="1"/>
  <c r="N38" i="7" s="1"/>
  <c r="M38" i="7"/>
  <c r="L56" i="7"/>
  <c r="M56" i="7"/>
  <c r="P34" i="16"/>
  <c r="P36" i="16" s="1"/>
  <c r="O6" i="15"/>
  <c r="N10" i="15"/>
  <c r="N48" i="15"/>
  <c r="P33" i="15"/>
  <c r="O40" i="15"/>
  <c r="O42" i="15" s="1"/>
  <c r="Q43" i="14"/>
  <c r="M16" i="15"/>
  <c r="M43" i="15" s="1"/>
  <c r="M47" i="15"/>
  <c r="P43" i="14"/>
  <c r="O48" i="14"/>
  <c r="N47" i="14"/>
  <c r="P47" i="5"/>
  <c r="Q48" i="5"/>
  <c r="P48" i="5"/>
  <c r="N50" i="7" l="1"/>
  <c r="N56" i="7" s="1"/>
  <c r="O32" i="7"/>
  <c r="O38" i="7" s="1"/>
  <c r="Q33" i="15"/>
  <c r="Q40" i="15" s="1"/>
  <c r="Q42" i="15" s="1"/>
  <c r="P40" i="15"/>
  <c r="P42" i="15" s="1"/>
  <c r="N16" i="15"/>
  <c r="N43" i="15" s="1"/>
  <c r="N47" i="15"/>
  <c r="O10" i="15"/>
  <c r="O48" i="15"/>
  <c r="P6" i="15"/>
  <c r="Q34" i="16"/>
  <c r="Q36" i="16" s="1"/>
  <c r="Q6" i="15" s="1"/>
  <c r="Q48" i="14"/>
  <c r="Q47" i="5"/>
  <c r="C6" i="18" s="1" a="1"/>
  <c r="C6" i="18" s="1"/>
  <c r="O47" i="14"/>
  <c r="Q47" i="14"/>
  <c r="P48" i="14"/>
  <c r="C9" i="18" l="1"/>
  <c r="C11" i="18" s="1"/>
  <c r="O50" i="7"/>
  <c r="O56" i="7" s="1"/>
  <c r="C12" i="18"/>
  <c r="O16" i="15"/>
  <c r="O43" i="15" s="1"/>
  <c r="O47" i="15"/>
  <c r="Q10" i="15"/>
  <c r="Q48" i="15"/>
  <c r="P10" i="15"/>
  <c r="P48" i="15"/>
  <c r="C9" i="7"/>
  <c r="C11" i="7" s="1"/>
  <c r="P47" i="14"/>
  <c r="C13" i="18" l="1"/>
  <c r="C17" i="18" s="1"/>
  <c r="C20" i="18" s="1"/>
  <c r="C61" i="18" s="1"/>
  <c r="F12" i="18"/>
  <c r="F13" i="18" s="1"/>
  <c r="F17" i="18" s="1"/>
  <c r="F20" i="18" s="1"/>
  <c r="F61" i="18" s="1"/>
  <c r="C24" i="18" a="1"/>
  <c r="C24" i="18" s="1"/>
  <c r="C27" i="18" s="1"/>
  <c r="C29" i="18" s="1"/>
  <c r="P16" i="15"/>
  <c r="P43" i="15" s="1"/>
  <c r="P47" i="15"/>
  <c r="Q16" i="15"/>
  <c r="Q43" i="15" s="1"/>
  <c r="Q47" i="15"/>
  <c r="C12" i="7"/>
  <c r="C13" i="7" s="1"/>
  <c r="C17" i="7" s="1"/>
  <c r="C20" i="7" s="1"/>
  <c r="C61" i="7" s="1"/>
  <c r="F12" i="7"/>
  <c r="F13" i="7" s="1"/>
  <c r="F17" i="7" s="1"/>
  <c r="F20" i="7" s="1"/>
  <c r="F61" i="7" s="1"/>
  <c r="C68" i="7" l="1"/>
  <c r="C15" i="1" s="1"/>
  <c r="C68" i="18"/>
  <c r="C14" i="1" s="1"/>
  <c r="F30" i="18"/>
  <c r="F31" i="18" s="1"/>
  <c r="F35" i="18" s="1"/>
  <c r="F38" i="18" s="1"/>
  <c r="F62" i="18" s="1"/>
  <c r="C42" i="18" a="1"/>
  <c r="C42" i="18" s="1"/>
  <c r="C45" i="18" s="1"/>
  <c r="C47" i="18" s="1"/>
  <c r="C42" i="7" a="1"/>
  <c r="C42" i="7" s="1"/>
  <c r="C45" i="7" s="1"/>
  <c r="C47" i="7" s="1"/>
  <c r="C48" i="7"/>
  <c r="C24" i="7" a="1"/>
  <c r="C24" i="7" s="1"/>
  <c r="C27" i="7" s="1"/>
  <c r="C29" i="7" s="1"/>
  <c r="F30" i="7"/>
  <c r="F31" i="7" s="1"/>
  <c r="F35" i="7" s="1"/>
  <c r="F38" i="7" s="1"/>
  <c r="F62" i="7" s="1"/>
  <c r="C30" i="7"/>
  <c r="C17" i="1" l="1"/>
  <c r="C30" i="18"/>
  <c r="C31" i="18" s="1"/>
  <c r="C35" i="18" s="1"/>
  <c r="C38" i="18" s="1"/>
  <c r="C62" i="18" s="1"/>
  <c r="C48" i="18"/>
  <c r="C49" i="18" s="1"/>
  <c r="C53" i="18" s="1"/>
  <c r="C56" i="18" s="1"/>
  <c r="C63" i="18" s="1"/>
  <c r="C49" i="7"/>
  <c r="C53" i="7" s="1"/>
  <c r="C56" i="7" s="1"/>
  <c r="C63" i="7" s="1"/>
  <c r="F48" i="7"/>
  <c r="F49" i="7" s="1"/>
  <c r="F53" i="7" s="1"/>
  <c r="F56" i="7" s="1"/>
  <c r="F63" i="7" s="1"/>
  <c r="C31" i="7"/>
  <c r="C35" i="7" s="1"/>
  <c r="C38" i="7" s="1"/>
  <c r="C62" i="7" s="1"/>
  <c r="C69" i="7" s="1"/>
  <c r="D15" i="1" s="1"/>
  <c r="C70" i="7" l="1"/>
  <c r="F15" i="1" s="1"/>
  <c r="E15" i="1" s="1"/>
  <c r="C69" i="18"/>
  <c r="D14" i="1" s="1"/>
  <c r="D17" i="1" s="1"/>
  <c r="F48" i="18"/>
  <c r="F49" i="18" s="1"/>
  <c r="F53" i="18" s="1"/>
  <c r="F56" i="18" s="1"/>
  <c r="F63" i="18" s="1"/>
  <c r="C70" i="18" s="1"/>
  <c r="F14" i="1" s="1"/>
  <c r="F17" i="1" l="1"/>
  <c r="F21" i="1" s="1"/>
  <c r="F22" i="1" s="1"/>
  <c r="E14" i="1"/>
  <c r="E21" i="1"/>
  <c r="E22" i="1" s="1"/>
  <c r="D27" i="1"/>
  <c r="D21" i="1"/>
  <c r="D22" i="1" s="1"/>
  <c r="I17" i="1"/>
  <c r="E23" i="1" l="1"/>
  <c r="C27" i="1"/>
  <c r="E27" i="1"/>
  <c r="F27" i="1"/>
  <c r="D23" i="1"/>
  <c r="F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Ethan Neff</author>
  </authors>
  <commentList>
    <comment ref="I10" authorId="0" shapeId="0" xr:uid="{AFFFBF3E-76D3-4662-80A1-D45FA7682A4D}">
      <text>
        <r>
          <rPr>
            <b/>
            <sz val="12"/>
            <color indexed="81"/>
            <rFont val="Tahoma"/>
            <family val="2"/>
          </rPr>
          <t>Ethan Neff:</t>
        </r>
        <r>
          <rPr>
            <sz val="12"/>
            <color indexed="81"/>
            <rFont val="Tahoma"/>
            <family val="2"/>
          </rPr>
          <t xml:space="preserve">
Use your best Financial Analyst judgement in how confident you are in each valuated analysis. If the numbers appear reasonable, weight higher. If the numbers appear unreasonable, weight lower.
Not every company issues dividends, because of this, weight the other 4 valuated analyses higher. If your company issues dividends, this is a good analysis to include in oyur fundamental analysis.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Ethan Neff</author>
  </authors>
  <commentList>
    <comment ref="C22" authorId="0" shapeId="0" xr:uid="{4260A615-BED9-47F8-8E26-7F30444859AA}">
      <text>
        <r>
          <rPr>
            <b/>
            <sz val="11"/>
            <color rgb="FF000000"/>
            <rFont val="Tahoma"/>
            <family val="2"/>
          </rPr>
          <t>Ethan Neff:</t>
        </r>
        <r>
          <rPr>
            <sz val="11"/>
            <color rgb="FF000000"/>
            <rFont val="Tahoma"/>
            <family val="2"/>
          </rPr>
          <t xml:space="preserve">
</t>
        </r>
        <r>
          <rPr>
            <sz val="11"/>
            <color rgb="FF000000"/>
            <rFont val="Tahoma"/>
            <family val="2"/>
          </rPr>
          <t>Can base off of Bloomberg</t>
        </r>
      </text>
    </comment>
    <comment ref="I124" authorId="0" shapeId="0" xr:uid="{C4450E79-152B-4330-8EEC-555443752325}">
      <text>
        <r>
          <rPr>
            <b/>
            <sz val="9"/>
            <color indexed="81"/>
            <rFont val="Tahoma"/>
            <family val="2"/>
          </rPr>
          <t>Ethan Neff:</t>
        </r>
        <r>
          <rPr>
            <sz val="9"/>
            <color indexed="81"/>
            <rFont val="Tahoma"/>
            <family val="2"/>
          </rPr>
          <t xml:space="preserve">
5 Year Average Straight Line</t>
        </r>
      </text>
    </comment>
    <comment ref="I128" authorId="0" shapeId="0" xr:uid="{B9D3112A-B4A4-4583-9A8C-FEC62FD46C0C}">
      <text>
        <r>
          <rPr>
            <b/>
            <sz val="9"/>
            <color indexed="81"/>
            <rFont val="Tahoma"/>
            <family val="2"/>
          </rPr>
          <t>Ethan Neff:</t>
        </r>
        <r>
          <rPr>
            <sz val="9"/>
            <color indexed="81"/>
            <rFont val="Tahoma"/>
            <family val="2"/>
          </rPr>
          <t xml:space="preserve">
5 Year Average Straight Line</t>
        </r>
      </text>
    </comment>
    <comment ref="I132" authorId="0" shapeId="0" xr:uid="{A2FFD450-504B-45CF-A99F-77A728D812CD}">
      <text>
        <r>
          <rPr>
            <b/>
            <sz val="9"/>
            <color indexed="81"/>
            <rFont val="Tahoma"/>
            <family val="2"/>
          </rPr>
          <t>Ethan Neff:</t>
        </r>
        <r>
          <rPr>
            <sz val="9"/>
            <color indexed="81"/>
            <rFont val="Tahoma"/>
            <family val="2"/>
          </rPr>
          <t xml:space="preserve">
5 Year Average Straight Line</t>
        </r>
      </text>
    </comment>
    <comment ref="I139" authorId="0" shapeId="0" xr:uid="{D912ABE5-68BA-421B-9174-049D4DE94246}">
      <text>
        <r>
          <rPr>
            <b/>
            <sz val="9"/>
            <color indexed="81"/>
            <rFont val="Tahoma"/>
            <family val="2"/>
          </rPr>
          <t>Ethan Neff:</t>
        </r>
        <r>
          <rPr>
            <sz val="9"/>
            <color indexed="81"/>
            <rFont val="Tahoma"/>
            <family val="2"/>
          </rPr>
          <t xml:space="preserve">
5 Year Average Straight Line</t>
        </r>
      </text>
    </comment>
    <comment ref="I142" authorId="0" shapeId="0" xr:uid="{63316F46-83A8-40E2-B2FB-B20AC6A13B0A}">
      <text>
        <r>
          <rPr>
            <b/>
            <sz val="9"/>
            <color indexed="81"/>
            <rFont val="Tahoma"/>
            <family val="2"/>
          </rPr>
          <t>Ethan Neff:</t>
        </r>
        <r>
          <rPr>
            <sz val="9"/>
            <color indexed="81"/>
            <rFont val="Tahoma"/>
            <family val="2"/>
          </rPr>
          <t xml:space="preserve">
5 Year Average Straight Line</t>
        </r>
      </text>
    </comment>
    <comment ref="I143" authorId="0" shapeId="0" xr:uid="{33F3D4D1-7517-4CC7-A214-40D6565D0C7B}">
      <text>
        <r>
          <rPr>
            <b/>
            <sz val="11"/>
            <color indexed="81"/>
            <rFont val="Tahoma"/>
            <family val="2"/>
          </rPr>
          <t>Ethan Neff:</t>
        </r>
        <r>
          <rPr>
            <sz val="11"/>
            <color indexed="81"/>
            <rFont val="Tahoma"/>
            <family val="2"/>
          </rPr>
          <t xml:space="preserve">
Straight Line Long-Term Debt</t>
        </r>
      </text>
    </comment>
    <comment ref="I145" authorId="0" shapeId="0" xr:uid="{EBFA5D0A-12E3-40EE-8011-3C95CCF0146D}">
      <text>
        <r>
          <rPr>
            <b/>
            <sz val="9"/>
            <color indexed="81"/>
            <rFont val="Tahoma"/>
            <family val="2"/>
          </rPr>
          <t>Ethan Neff:</t>
        </r>
        <r>
          <rPr>
            <sz val="9"/>
            <color indexed="81"/>
            <rFont val="Tahoma"/>
            <family val="2"/>
          </rPr>
          <t xml:space="preserve">
5 Year Average Straight Line</t>
        </r>
      </text>
    </comment>
    <comment ref="I148" authorId="0" shapeId="0" xr:uid="{9D2369C2-524C-4EA4-8E69-158FA72CE321}">
      <text>
        <r>
          <rPr>
            <b/>
            <sz val="9"/>
            <color indexed="81"/>
            <rFont val="Tahoma"/>
            <family val="2"/>
          </rPr>
          <t>Ethan Neff:</t>
        </r>
        <r>
          <rPr>
            <sz val="9"/>
            <color indexed="81"/>
            <rFont val="Tahoma"/>
            <family val="2"/>
          </rPr>
          <t xml:space="preserve">
5 Year Average Straight Line</t>
        </r>
      </text>
    </comment>
    <comment ref="I150" authorId="0" shapeId="0" xr:uid="{9C46256C-48C0-48ED-9748-DF1A91588438}">
      <text>
        <r>
          <rPr>
            <b/>
            <sz val="9"/>
            <color indexed="81"/>
            <rFont val="Tahoma"/>
            <family val="2"/>
          </rPr>
          <t>Ethan Neff:</t>
        </r>
        <r>
          <rPr>
            <sz val="9"/>
            <color indexed="81"/>
            <rFont val="Tahoma"/>
            <family val="2"/>
          </rPr>
          <t xml:space="preserve">
5 Year Average Straight Line</t>
        </r>
      </text>
    </comment>
    <comment ref="I155" authorId="0" shapeId="0" xr:uid="{EDFA9EA3-62B2-492F-90F8-2AE7A087139E}">
      <text>
        <r>
          <rPr>
            <b/>
            <sz val="9"/>
            <color indexed="81"/>
            <rFont val="Tahoma"/>
            <family val="2"/>
          </rPr>
          <t>Ethan Neff:</t>
        </r>
        <r>
          <rPr>
            <sz val="9"/>
            <color indexed="81"/>
            <rFont val="Tahoma"/>
            <family val="2"/>
          </rPr>
          <t xml:space="preserve">
Assume US Federal Statutory Tax Rate</t>
        </r>
      </text>
    </comment>
    <comment ref="I159" authorId="0" shapeId="0" xr:uid="{1D75E61C-1E68-45BD-84C9-352FA0B48D93}">
      <text>
        <r>
          <rPr>
            <b/>
            <sz val="9"/>
            <color indexed="81"/>
            <rFont val="Tahoma"/>
            <family val="2"/>
          </rPr>
          <t>Ethan Neff:</t>
        </r>
        <r>
          <rPr>
            <sz val="9"/>
            <color indexed="81"/>
            <rFont val="Tahoma"/>
            <family val="2"/>
          </rPr>
          <t xml:space="preserve">
5 Year Average Straight Line</t>
        </r>
      </text>
    </comment>
    <comment ref="I169" authorId="0" shapeId="0" xr:uid="{FC93B8EC-9649-43DD-B77B-D807ABC92A47}">
      <text>
        <r>
          <rPr>
            <b/>
            <sz val="9"/>
            <color indexed="81"/>
            <rFont val="Tahoma"/>
            <family val="2"/>
          </rPr>
          <t>Ethan Neff:</t>
        </r>
        <r>
          <rPr>
            <sz val="9"/>
            <color indexed="81"/>
            <rFont val="Tahoma"/>
            <family val="2"/>
          </rPr>
          <t xml:space="preserve">
5 Year Average Straight Line</t>
        </r>
      </text>
    </comment>
    <comment ref="I173" authorId="0" shapeId="0" xr:uid="{F3A50AF4-0802-40E9-80C0-16C45C41E14B}">
      <text>
        <r>
          <rPr>
            <b/>
            <sz val="9"/>
            <color indexed="81"/>
            <rFont val="Tahoma"/>
            <family val="2"/>
          </rPr>
          <t>Ethan Neff:</t>
        </r>
        <r>
          <rPr>
            <sz val="9"/>
            <color indexed="81"/>
            <rFont val="Tahoma"/>
            <family val="2"/>
          </rPr>
          <t xml:space="preserve">
5 Year Average Straight Line</t>
        </r>
      </text>
    </comment>
    <comment ref="I177" authorId="0" shapeId="0" xr:uid="{C61C4657-AAC6-4222-A8CC-040B8F724E96}">
      <text>
        <r>
          <rPr>
            <b/>
            <sz val="9"/>
            <color indexed="81"/>
            <rFont val="Tahoma"/>
            <family val="2"/>
          </rPr>
          <t>Ethan Neff:</t>
        </r>
        <r>
          <rPr>
            <sz val="9"/>
            <color indexed="81"/>
            <rFont val="Tahoma"/>
            <family val="2"/>
          </rPr>
          <t xml:space="preserve">
5 Year Average Straight Line</t>
        </r>
      </text>
    </comment>
    <comment ref="I189" authorId="0" shapeId="0" xr:uid="{D2C3076A-203F-4B4D-9327-62ED3212FBEA}">
      <text>
        <r>
          <rPr>
            <b/>
            <sz val="9"/>
            <color indexed="81"/>
            <rFont val="Tahoma"/>
            <family val="2"/>
          </rPr>
          <t>Ethan Neff:</t>
        </r>
        <r>
          <rPr>
            <sz val="9"/>
            <color indexed="81"/>
            <rFont val="Tahoma"/>
            <family val="2"/>
          </rPr>
          <t xml:space="preserve">
5 Year Average Straight Line</t>
        </r>
      </text>
    </comment>
    <comment ref="I196" authorId="0" shapeId="0" xr:uid="{198762B8-77DE-486A-B7BE-B3FACA839730}">
      <text>
        <r>
          <rPr>
            <b/>
            <sz val="9"/>
            <color indexed="81"/>
            <rFont val="Tahoma"/>
            <family val="2"/>
          </rPr>
          <t>Ethan Neff:</t>
        </r>
        <r>
          <rPr>
            <sz val="9"/>
            <color indexed="81"/>
            <rFont val="Tahoma"/>
            <family val="2"/>
          </rPr>
          <t xml:space="preserve">
5 Year Average Straight Line</t>
        </r>
      </text>
    </comment>
    <comment ref="I198" authorId="0" shapeId="0" xr:uid="{83403EA5-0785-4B8A-B2E9-3A65D00BA4B5}">
      <text>
        <r>
          <rPr>
            <b/>
            <sz val="9"/>
            <color indexed="81"/>
            <rFont val="Tahoma"/>
            <family val="2"/>
          </rPr>
          <t>Ethan Neff:</t>
        </r>
        <r>
          <rPr>
            <sz val="9"/>
            <color indexed="81"/>
            <rFont val="Tahoma"/>
            <family val="2"/>
          </rPr>
          <t xml:space="preserve">
5 Year Average Straight Line</t>
        </r>
      </text>
    </comment>
    <comment ref="I200" authorId="0" shapeId="0" xr:uid="{1CB54634-0845-4BC1-8D17-E9D74639C7DF}">
      <text>
        <r>
          <rPr>
            <b/>
            <sz val="9"/>
            <color indexed="81"/>
            <rFont val="Tahoma"/>
            <family val="2"/>
          </rPr>
          <t>Ethan Neff:</t>
        </r>
        <r>
          <rPr>
            <sz val="9"/>
            <color indexed="81"/>
            <rFont val="Tahoma"/>
            <family val="2"/>
          </rPr>
          <t xml:space="preserve">
5 Year Average Straight Line</t>
        </r>
      </text>
    </comment>
    <comment ref="I202" authorId="0" shapeId="0" xr:uid="{4722D540-DCEE-4AFB-8FED-62AF43C3755C}">
      <text>
        <r>
          <rPr>
            <b/>
            <sz val="9"/>
            <color indexed="81"/>
            <rFont val="Tahoma"/>
            <family val="2"/>
          </rPr>
          <t>Ethan Neff:</t>
        </r>
        <r>
          <rPr>
            <sz val="9"/>
            <color indexed="81"/>
            <rFont val="Tahoma"/>
            <family val="2"/>
          </rPr>
          <t xml:space="preserve">
5 Year Average Straight Line</t>
        </r>
      </text>
    </comment>
    <comment ref="I211" authorId="0" shapeId="0" xr:uid="{1BB4C77A-1EF5-42A1-8C7E-9F2F5EFAE78E}">
      <text>
        <r>
          <rPr>
            <b/>
            <sz val="9"/>
            <color indexed="81"/>
            <rFont val="Tahoma"/>
            <family val="2"/>
          </rPr>
          <t>Ethan Neff:</t>
        </r>
        <r>
          <rPr>
            <sz val="9"/>
            <color indexed="81"/>
            <rFont val="Tahoma"/>
            <family val="2"/>
          </rPr>
          <t xml:space="preserve">
5 Year Average Straight Line</t>
        </r>
      </text>
    </comment>
    <comment ref="I227" authorId="0" shapeId="0" xr:uid="{D429A8D0-9C90-43E5-AB6F-86FB6B6F0E2F}">
      <text>
        <r>
          <rPr>
            <b/>
            <sz val="9"/>
            <color indexed="81"/>
            <rFont val="Tahoma"/>
            <family val="2"/>
          </rPr>
          <t>Ethan Neff:</t>
        </r>
        <r>
          <rPr>
            <sz val="9"/>
            <color indexed="81"/>
            <rFont val="Tahoma"/>
            <family val="2"/>
          </rPr>
          <t xml:space="preserve">
5 Year Average Straight Line</t>
        </r>
      </text>
    </comment>
    <comment ref="I250" authorId="0" shapeId="0" xr:uid="{849DA708-01C1-46F2-8967-30140B8E57F5}">
      <text>
        <r>
          <rPr>
            <b/>
            <sz val="9"/>
            <color indexed="81"/>
            <rFont val="Tahoma"/>
            <family val="2"/>
          </rPr>
          <t>Ethan Neff:</t>
        </r>
        <r>
          <rPr>
            <sz val="9"/>
            <color indexed="81"/>
            <rFont val="Tahoma"/>
            <family val="2"/>
          </rPr>
          <t xml:space="preserve">
5 Year Average Straight Line</t>
        </r>
      </text>
    </comment>
    <comment ref="I262" authorId="0" shapeId="0" xr:uid="{540CA6BE-B6D5-43F6-AA44-D5420FB679B3}">
      <text>
        <r>
          <rPr>
            <b/>
            <sz val="9"/>
            <color indexed="81"/>
            <rFont val="Tahoma"/>
            <family val="2"/>
          </rPr>
          <t>Ethan Neff:</t>
        </r>
        <r>
          <rPr>
            <sz val="9"/>
            <color indexed="81"/>
            <rFont val="Tahoma"/>
            <family val="2"/>
          </rPr>
          <t xml:space="preserve">
5 Year Average Straight Line</t>
        </r>
      </text>
    </comment>
    <comment ref="I303" authorId="0" shapeId="0" xr:uid="{E67FF5A8-C111-49EB-8C29-3436EC7D58CC}">
      <text>
        <r>
          <rPr>
            <b/>
            <sz val="9"/>
            <color indexed="81"/>
            <rFont val="Tahoma"/>
            <family val="2"/>
          </rPr>
          <t>Ethan Neff:</t>
        </r>
        <r>
          <rPr>
            <sz val="9"/>
            <color indexed="81"/>
            <rFont val="Tahoma"/>
            <family val="2"/>
          </rPr>
          <t xml:space="preserve">
5 Year Rolling Average per Bloomberg XLTP XDCF template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Ethan Neff</author>
  </authors>
  <commentList>
    <comment ref="H4" authorId="0" shapeId="0" xr:uid="{625DB116-5A82-4F75-A43F-C5F23203D77D}">
      <text>
        <r>
          <rPr>
            <b/>
            <sz val="11"/>
            <color indexed="81"/>
            <rFont val="Tahoma"/>
            <family val="2"/>
          </rPr>
          <t>Ethan Neff:</t>
        </r>
        <r>
          <rPr>
            <sz val="11"/>
            <color indexed="81"/>
            <rFont val="Tahoma"/>
            <family val="2"/>
          </rPr>
          <t xml:space="preserve">
Need to add in stuff for cost of st/lt debt borrowing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Ethan Neff</author>
  </authors>
  <commentList>
    <comment ref="B10" authorId="0" shapeId="0" xr:uid="{79B7C9AD-65C8-4356-90D4-7A6C832C549B}">
      <text>
        <r>
          <rPr>
            <b/>
            <sz val="12"/>
            <color indexed="81"/>
            <rFont val="Tahoma"/>
            <family val="2"/>
          </rPr>
          <t>Ethan Neff:</t>
        </r>
        <r>
          <rPr>
            <sz val="12"/>
            <color indexed="81"/>
            <rFont val="Tahoma"/>
            <family val="2"/>
          </rPr>
          <t xml:space="preserve">
Set Stage 2 = Perpetuity Growth Rate</t>
        </r>
      </text>
    </comment>
    <comment ref="B26" authorId="0" shapeId="0" xr:uid="{A484008E-D22A-47B4-B686-D40933A8FCC6}">
      <text>
        <r>
          <rPr>
            <b/>
            <sz val="12"/>
            <color indexed="81"/>
            <rFont val="Tahoma"/>
            <family val="2"/>
          </rPr>
          <t>Ethan Neff:</t>
        </r>
        <r>
          <rPr>
            <sz val="12"/>
            <color indexed="81"/>
            <rFont val="Tahoma"/>
            <family val="2"/>
          </rPr>
          <t xml:space="preserve">
Set Stage 2 = Perpetuity Growth Rate</t>
        </r>
      </text>
    </comment>
    <comment ref="B42" authorId="0" shapeId="0" xr:uid="{511776FF-F5D2-400E-AFAF-8022D0B71AC4}">
      <text>
        <r>
          <rPr>
            <b/>
            <sz val="12"/>
            <color indexed="81"/>
            <rFont val="Tahoma"/>
            <family val="2"/>
          </rPr>
          <t>Ethan Neff:</t>
        </r>
        <r>
          <rPr>
            <sz val="12"/>
            <color indexed="81"/>
            <rFont val="Tahoma"/>
            <family val="2"/>
          </rPr>
          <t xml:space="preserve">
Set Stage 2 = Perpetuity Growth Rate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Ethan Neff</author>
  </authors>
  <commentList>
    <comment ref="H8" authorId="0" shapeId="0" xr:uid="{0CD490C7-235C-43B6-A057-998DDE297C32}">
      <text>
        <r>
          <rPr>
            <b/>
            <sz val="9"/>
            <color indexed="81"/>
            <rFont val="Tahoma"/>
            <family val="2"/>
          </rPr>
          <t>Ethan Neff:</t>
        </r>
        <r>
          <rPr>
            <sz val="9"/>
            <color indexed="81"/>
            <rFont val="Tahoma"/>
            <family val="2"/>
          </rPr>
          <t xml:space="preserve">
5 Year Historcial Rolling Average</t>
        </r>
      </text>
    </comment>
    <comment ref="H14" authorId="0" shapeId="0" xr:uid="{7228C22A-7FB6-487E-89FD-67CC7817AD97}">
      <text>
        <r>
          <rPr>
            <b/>
            <sz val="9"/>
            <color indexed="81"/>
            <rFont val="Tahoma"/>
            <family val="2"/>
          </rPr>
          <t>Ethan Neff:</t>
        </r>
        <r>
          <rPr>
            <sz val="9"/>
            <color indexed="81"/>
            <rFont val="Tahoma"/>
            <family val="2"/>
          </rPr>
          <t xml:space="preserve">
5 Year Historcial Rolling Average</t>
        </r>
      </text>
    </comment>
    <comment ref="H15" authorId="0" shapeId="0" xr:uid="{B117594E-9FE8-4041-B38F-625B4233CEB1}">
      <text>
        <r>
          <rPr>
            <b/>
            <sz val="9"/>
            <color indexed="81"/>
            <rFont val="Tahoma"/>
            <family val="2"/>
          </rPr>
          <t>Ethan Neff:</t>
        </r>
        <r>
          <rPr>
            <sz val="9"/>
            <color indexed="81"/>
            <rFont val="Tahoma"/>
            <family val="2"/>
          </rPr>
          <t xml:space="preserve">
5 Year Historcial Rolling Average</t>
        </r>
      </text>
    </comment>
    <comment ref="H16" authorId="0" shapeId="0" xr:uid="{AC67834E-A88E-4AC9-8AD3-C18FC4B9C719}">
      <text>
        <r>
          <rPr>
            <b/>
            <sz val="9"/>
            <color indexed="81"/>
            <rFont val="Tahoma"/>
            <family val="2"/>
          </rPr>
          <t>Ethan Neff:</t>
        </r>
        <r>
          <rPr>
            <sz val="9"/>
            <color indexed="81"/>
            <rFont val="Tahoma"/>
            <family val="2"/>
          </rPr>
          <t xml:space="preserve">
5 Year Historcial Rolling Average</t>
        </r>
      </text>
    </comment>
    <comment ref="H17" authorId="0" shapeId="0" xr:uid="{84353177-D528-4280-B483-614C1D92B781}">
      <text>
        <r>
          <rPr>
            <b/>
            <sz val="9"/>
            <color indexed="81"/>
            <rFont val="Tahoma"/>
            <family val="2"/>
          </rPr>
          <t>Ethan Neff:</t>
        </r>
        <r>
          <rPr>
            <sz val="9"/>
            <color indexed="81"/>
            <rFont val="Tahoma"/>
            <family val="2"/>
          </rPr>
          <t xml:space="preserve">
5 Year Historcial Rolling Average</t>
        </r>
      </text>
    </comment>
    <comment ref="H23" authorId="0" shapeId="0" xr:uid="{13C57735-1050-437D-BC01-E7B6F72465AB}">
      <text>
        <r>
          <rPr>
            <b/>
            <sz val="9"/>
            <color indexed="81"/>
            <rFont val="Tahoma"/>
            <family val="2"/>
          </rPr>
          <t>Ethan Neff:</t>
        </r>
        <r>
          <rPr>
            <sz val="9"/>
            <color indexed="81"/>
            <rFont val="Tahoma"/>
            <family val="2"/>
          </rPr>
          <t xml:space="preserve">
Rolling 5 yr average
</t>
        </r>
      </text>
    </comment>
    <comment ref="H24" authorId="0" shapeId="0" xr:uid="{FA0C8D40-EF3D-45DE-8D20-2E23F595EB6D}">
      <text>
        <r>
          <rPr>
            <b/>
            <sz val="9"/>
            <color indexed="81"/>
            <rFont val="Tahoma"/>
            <family val="2"/>
          </rPr>
          <t>Ethan Neff:</t>
        </r>
        <r>
          <rPr>
            <sz val="9"/>
            <color indexed="81"/>
            <rFont val="Tahoma"/>
            <family val="2"/>
          </rPr>
          <t xml:space="preserve">
Rolling 5 yr average
</t>
        </r>
      </text>
    </comment>
    <comment ref="H25" authorId="0" shapeId="0" xr:uid="{AFFB49B8-973C-4A2E-AECC-7FC9C85F5B96}">
      <text>
        <r>
          <rPr>
            <b/>
            <sz val="9"/>
            <color indexed="81"/>
            <rFont val="Tahoma"/>
            <family val="2"/>
          </rPr>
          <t>Ethan Neff:</t>
        </r>
        <r>
          <rPr>
            <sz val="9"/>
            <color indexed="81"/>
            <rFont val="Tahoma"/>
            <family val="2"/>
          </rPr>
          <t xml:space="preserve">
Rolling 5 yr average
</t>
        </r>
      </text>
    </comment>
    <comment ref="H26" authorId="0" shapeId="0" xr:uid="{E0B55C8A-82E0-4EE9-A668-F8ACBBC9201F}">
      <text>
        <r>
          <rPr>
            <b/>
            <sz val="9"/>
            <color indexed="81"/>
            <rFont val="Tahoma"/>
            <family val="2"/>
          </rPr>
          <t>Ethan Neff:</t>
        </r>
        <r>
          <rPr>
            <sz val="9"/>
            <color indexed="81"/>
            <rFont val="Tahoma"/>
            <family val="2"/>
          </rPr>
          <t xml:space="preserve">
Rolling 5 yr average
</t>
        </r>
      </text>
    </comment>
    <comment ref="H29" authorId="0" shapeId="0" xr:uid="{FAEC9DBA-7B79-4202-850B-21ADA901B779}">
      <text>
        <r>
          <rPr>
            <b/>
            <sz val="9"/>
            <color indexed="81"/>
            <rFont val="Tahoma"/>
            <family val="2"/>
          </rPr>
          <t>Ethan Neff:</t>
        </r>
        <r>
          <rPr>
            <sz val="9"/>
            <color indexed="81"/>
            <rFont val="Tahoma"/>
            <family val="2"/>
          </rPr>
          <t xml:space="preserve">
Rolling 5 yr average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Ethan Neff</author>
  </authors>
  <commentList>
    <comment ref="H8" authorId="0" shapeId="0" xr:uid="{95A5824C-C0C0-4CA7-B693-9229DF675579}">
      <text>
        <r>
          <rPr>
            <b/>
            <sz val="9"/>
            <color indexed="81"/>
            <rFont val="Tahoma"/>
            <family val="2"/>
          </rPr>
          <t>Ethan Neff:</t>
        </r>
        <r>
          <rPr>
            <sz val="9"/>
            <color indexed="81"/>
            <rFont val="Tahoma"/>
            <family val="2"/>
          </rPr>
          <t xml:space="preserve">
5 Year Historcial Rolling Average</t>
        </r>
      </text>
    </comment>
    <comment ref="H14" authorId="0" shapeId="0" xr:uid="{DAF93A34-CB44-457D-8F2E-75A0E081FE9D}">
      <text>
        <r>
          <rPr>
            <b/>
            <sz val="9"/>
            <color indexed="81"/>
            <rFont val="Tahoma"/>
            <family val="2"/>
          </rPr>
          <t>Ethan Neff:</t>
        </r>
        <r>
          <rPr>
            <sz val="9"/>
            <color indexed="81"/>
            <rFont val="Tahoma"/>
            <family val="2"/>
          </rPr>
          <t xml:space="preserve">
5 Year Historcial Rolling Average</t>
        </r>
      </text>
    </comment>
    <comment ref="H15" authorId="0" shapeId="0" xr:uid="{533BCD20-13B3-46BE-94E7-DECC0C6E75A9}">
      <text>
        <r>
          <rPr>
            <b/>
            <sz val="9"/>
            <color indexed="81"/>
            <rFont val="Tahoma"/>
            <family val="2"/>
          </rPr>
          <t>Ethan Neff:</t>
        </r>
        <r>
          <rPr>
            <sz val="9"/>
            <color indexed="81"/>
            <rFont val="Tahoma"/>
            <family val="2"/>
          </rPr>
          <t xml:space="preserve">
5 Year Historcial Rolling Average</t>
        </r>
      </text>
    </comment>
    <comment ref="H16" authorId="0" shapeId="0" xr:uid="{C6F74EF7-9CAC-4F12-9C3F-0D1192E26FDC}">
      <text>
        <r>
          <rPr>
            <b/>
            <sz val="9"/>
            <color indexed="81"/>
            <rFont val="Tahoma"/>
            <family val="2"/>
          </rPr>
          <t>Ethan Neff:</t>
        </r>
        <r>
          <rPr>
            <sz val="9"/>
            <color indexed="81"/>
            <rFont val="Tahoma"/>
            <family val="2"/>
          </rPr>
          <t xml:space="preserve">
5 Year Historcial Rolling Average</t>
        </r>
      </text>
    </comment>
    <comment ref="H17" authorId="0" shapeId="0" xr:uid="{7C994B1C-2279-4E84-96E7-AF045644F264}">
      <text>
        <r>
          <rPr>
            <b/>
            <sz val="9"/>
            <color indexed="81"/>
            <rFont val="Tahoma"/>
            <family val="2"/>
          </rPr>
          <t>Ethan Neff:</t>
        </r>
        <r>
          <rPr>
            <sz val="9"/>
            <color indexed="81"/>
            <rFont val="Tahoma"/>
            <family val="2"/>
          </rPr>
          <t xml:space="preserve">
5 Year Historcial Rolling Average</t>
        </r>
      </text>
    </comment>
    <comment ref="H23" authorId="0" shapeId="0" xr:uid="{E3B527D6-AA94-48CF-BE54-196AA29E359A}">
      <text>
        <r>
          <rPr>
            <b/>
            <sz val="9"/>
            <color indexed="81"/>
            <rFont val="Tahoma"/>
            <family val="2"/>
          </rPr>
          <t>Ethan Neff:</t>
        </r>
        <r>
          <rPr>
            <sz val="9"/>
            <color indexed="81"/>
            <rFont val="Tahoma"/>
            <family val="2"/>
          </rPr>
          <t xml:space="preserve">
Rolling 5 yr average
</t>
        </r>
      </text>
    </comment>
    <comment ref="H24" authorId="0" shapeId="0" xr:uid="{5A28C387-6707-4BE2-B215-F017601ADA14}">
      <text>
        <r>
          <rPr>
            <b/>
            <sz val="9"/>
            <color indexed="81"/>
            <rFont val="Tahoma"/>
            <family val="2"/>
          </rPr>
          <t>Ethan Neff:</t>
        </r>
        <r>
          <rPr>
            <sz val="9"/>
            <color indexed="81"/>
            <rFont val="Tahoma"/>
            <family val="2"/>
          </rPr>
          <t xml:space="preserve">
Rolling 5 yr average
</t>
        </r>
      </text>
    </comment>
    <comment ref="H25" authorId="0" shapeId="0" xr:uid="{12858465-B018-41CF-99F2-409C1B3F341D}">
      <text>
        <r>
          <rPr>
            <b/>
            <sz val="9"/>
            <color indexed="81"/>
            <rFont val="Tahoma"/>
            <family val="2"/>
          </rPr>
          <t>Ethan Neff:</t>
        </r>
        <r>
          <rPr>
            <sz val="9"/>
            <color indexed="81"/>
            <rFont val="Tahoma"/>
            <family val="2"/>
          </rPr>
          <t xml:space="preserve">
Rolling 5 yr average
</t>
        </r>
      </text>
    </comment>
    <comment ref="H26" authorId="0" shapeId="0" xr:uid="{3B5A2F79-688E-46C9-B19C-82F651CCECC8}">
      <text>
        <r>
          <rPr>
            <b/>
            <sz val="9"/>
            <color indexed="81"/>
            <rFont val="Tahoma"/>
            <family val="2"/>
          </rPr>
          <t>Ethan Neff:</t>
        </r>
        <r>
          <rPr>
            <sz val="9"/>
            <color indexed="81"/>
            <rFont val="Tahoma"/>
            <family val="2"/>
          </rPr>
          <t xml:space="preserve">
Rolling 5 yr average
</t>
        </r>
      </text>
    </comment>
    <comment ref="H29" authorId="0" shapeId="0" xr:uid="{B6E656D8-C2B1-4684-9FCA-A32864DFB29C}">
      <text>
        <r>
          <rPr>
            <b/>
            <sz val="9"/>
            <color indexed="81"/>
            <rFont val="Tahoma"/>
            <family val="2"/>
          </rPr>
          <t>Ethan Neff:</t>
        </r>
        <r>
          <rPr>
            <sz val="9"/>
            <color indexed="81"/>
            <rFont val="Tahoma"/>
            <family val="2"/>
          </rPr>
          <t xml:space="preserve">
Rolling 5 yr average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Ethan Neff</author>
  </authors>
  <commentList>
    <comment ref="H8" authorId="0" shapeId="0" xr:uid="{02126479-5AF1-4D3B-A38B-1DAA3DE95717}">
      <text>
        <r>
          <rPr>
            <b/>
            <sz val="9"/>
            <color indexed="81"/>
            <rFont val="Tahoma"/>
            <family val="2"/>
          </rPr>
          <t>Ethan Neff:</t>
        </r>
        <r>
          <rPr>
            <sz val="9"/>
            <color indexed="81"/>
            <rFont val="Tahoma"/>
            <family val="2"/>
          </rPr>
          <t xml:space="preserve">
5 Year Historcial Rolling Average</t>
        </r>
      </text>
    </comment>
    <comment ref="H14" authorId="0" shapeId="0" xr:uid="{FAAFA95A-544F-4B50-A3E4-D03636F48BD4}">
      <text>
        <r>
          <rPr>
            <b/>
            <sz val="9"/>
            <color indexed="81"/>
            <rFont val="Tahoma"/>
            <family val="2"/>
          </rPr>
          <t>Ethan Neff:</t>
        </r>
        <r>
          <rPr>
            <sz val="9"/>
            <color indexed="81"/>
            <rFont val="Tahoma"/>
            <family val="2"/>
          </rPr>
          <t xml:space="preserve">
5 Year Historcial Rolling Average</t>
        </r>
      </text>
    </comment>
    <comment ref="H15" authorId="0" shapeId="0" xr:uid="{DEA27C07-FD87-40B8-B4B1-09D865FB329D}">
      <text>
        <r>
          <rPr>
            <b/>
            <sz val="9"/>
            <color indexed="81"/>
            <rFont val="Tahoma"/>
            <family val="2"/>
          </rPr>
          <t>Ethan Neff:</t>
        </r>
        <r>
          <rPr>
            <sz val="9"/>
            <color indexed="81"/>
            <rFont val="Tahoma"/>
            <family val="2"/>
          </rPr>
          <t xml:space="preserve">
5 Year Historcial Rolling Average</t>
        </r>
      </text>
    </comment>
    <comment ref="H16" authorId="0" shapeId="0" xr:uid="{04EBABCF-E76B-42EF-8583-D8A2F4607B60}">
      <text>
        <r>
          <rPr>
            <b/>
            <sz val="9"/>
            <color indexed="81"/>
            <rFont val="Tahoma"/>
            <family val="2"/>
          </rPr>
          <t>Ethan Neff:</t>
        </r>
        <r>
          <rPr>
            <sz val="9"/>
            <color indexed="81"/>
            <rFont val="Tahoma"/>
            <family val="2"/>
          </rPr>
          <t xml:space="preserve">
5 Year Historcial Rolling Average</t>
        </r>
      </text>
    </comment>
    <comment ref="H17" authorId="0" shapeId="0" xr:uid="{E4FB8CAB-A39E-44F9-A8FC-445CCB2FABE7}">
      <text>
        <r>
          <rPr>
            <b/>
            <sz val="9"/>
            <color indexed="81"/>
            <rFont val="Tahoma"/>
            <family val="2"/>
          </rPr>
          <t>Ethan Neff:</t>
        </r>
        <r>
          <rPr>
            <sz val="9"/>
            <color indexed="81"/>
            <rFont val="Tahoma"/>
            <family val="2"/>
          </rPr>
          <t xml:space="preserve">
5 Year Historcial Rolling Average</t>
        </r>
      </text>
    </comment>
    <comment ref="H23" authorId="0" shapeId="0" xr:uid="{3C716DB4-4BC9-4A97-B94C-784882EB1DD1}">
      <text>
        <r>
          <rPr>
            <b/>
            <sz val="9"/>
            <color indexed="81"/>
            <rFont val="Tahoma"/>
            <family val="2"/>
          </rPr>
          <t>Ethan Neff:</t>
        </r>
        <r>
          <rPr>
            <sz val="9"/>
            <color indexed="81"/>
            <rFont val="Tahoma"/>
            <family val="2"/>
          </rPr>
          <t xml:space="preserve">
Rolling 5 yr average
</t>
        </r>
      </text>
    </comment>
    <comment ref="H24" authorId="0" shapeId="0" xr:uid="{8A8FC50E-9387-4067-A7AF-FB4C822DA23F}">
      <text>
        <r>
          <rPr>
            <b/>
            <sz val="9"/>
            <color indexed="81"/>
            <rFont val="Tahoma"/>
            <family val="2"/>
          </rPr>
          <t>Ethan Neff:</t>
        </r>
        <r>
          <rPr>
            <sz val="9"/>
            <color indexed="81"/>
            <rFont val="Tahoma"/>
            <family val="2"/>
          </rPr>
          <t xml:space="preserve">
Rolling 5 yr average
</t>
        </r>
      </text>
    </comment>
    <comment ref="H25" authorId="0" shapeId="0" xr:uid="{C5E8A0D4-B5DD-45D5-944A-6C7D8CF9FBB6}">
      <text>
        <r>
          <rPr>
            <b/>
            <sz val="9"/>
            <color indexed="81"/>
            <rFont val="Tahoma"/>
            <family val="2"/>
          </rPr>
          <t>Ethan Neff:</t>
        </r>
        <r>
          <rPr>
            <sz val="9"/>
            <color indexed="81"/>
            <rFont val="Tahoma"/>
            <family val="2"/>
          </rPr>
          <t xml:space="preserve">
Rolling 5 yr average
</t>
        </r>
      </text>
    </comment>
    <comment ref="H26" authorId="0" shapeId="0" xr:uid="{79BB71D3-EAD6-49D2-8569-6EE438DD7899}">
      <text>
        <r>
          <rPr>
            <b/>
            <sz val="9"/>
            <color indexed="81"/>
            <rFont val="Tahoma"/>
            <family val="2"/>
          </rPr>
          <t>Ethan Neff:</t>
        </r>
        <r>
          <rPr>
            <sz val="9"/>
            <color indexed="81"/>
            <rFont val="Tahoma"/>
            <family val="2"/>
          </rPr>
          <t xml:space="preserve">
Rolling 5 yr average
</t>
        </r>
      </text>
    </comment>
    <comment ref="H29" authorId="0" shapeId="0" xr:uid="{B30388E2-FFAE-4D1A-8E4D-E44A8151F8EC}">
      <text>
        <r>
          <rPr>
            <b/>
            <sz val="9"/>
            <color indexed="81"/>
            <rFont val="Tahoma"/>
            <family val="2"/>
          </rPr>
          <t>Ethan Neff:</t>
        </r>
        <r>
          <rPr>
            <sz val="9"/>
            <color indexed="81"/>
            <rFont val="Tahoma"/>
            <family val="2"/>
          </rPr>
          <t xml:space="preserve">
Rolling 5 yr average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Ethan Neff</author>
  </authors>
  <commentList>
    <comment ref="H7" authorId="0" shapeId="0" xr:uid="{FDBB4D03-9C4D-4168-89F6-57779A089D34}">
      <text>
        <r>
          <rPr>
            <b/>
            <sz val="11"/>
            <color indexed="81"/>
            <rFont val="Tahoma"/>
            <family val="2"/>
          </rPr>
          <t>Ethan Neff:</t>
        </r>
        <r>
          <rPr>
            <sz val="11"/>
            <color indexed="81"/>
            <rFont val="Tahoma"/>
            <family val="2"/>
          </rPr>
          <t xml:space="preserve">
Grow with Revenue Growth Rate</t>
        </r>
      </text>
    </comment>
    <comment ref="H8" authorId="0" shapeId="0" xr:uid="{2091C6AF-0129-4136-B327-717D5CACDB41}">
      <text>
        <r>
          <rPr>
            <b/>
            <sz val="9"/>
            <color indexed="81"/>
            <rFont val="Tahoma"/>
            <family val="2"/>
          </rPr>
          <t>Ethan Neff:</t>
        </r>
        <r>
          <rPr>
            <sz val="9"/>
            <color indexed="81"/>
            <rFont val="Tahoma"/>
            <family val="2"/>
          </rPr>
          <t xml:space="preserve">
Grow with COGS or COS</t>
        </r>
      </text>
    </comment>
    <comment ref="H9" authorId="0" shapeId="0" xr:uid="{405CD466-704B-425D-BC26-0AD800BC8A1B}">
      <text>
        <r>
          <rPr>
            <b/>
            <sz val="11"/>
            <color indexed="81"/>
            <rFont val="Tahoma"/>
            <family val="2"/>
          </rPr>
          <t>Ethan Neff:</t>
        </r>
        <r>
          <rPr>
            <sz val="11"/>
            <color indexed="81"/>
            <rFont val="Tahoma"/>
            <family val="2"/>
          </rPr>
          <t xml:space="preserve">
Grow with Revenue Growth Rate</t>
        </r>
      </text>
    </comment>
    <comment ref="H13" authorId="0" shapeId="0" xr:uid="{49F912CE-F39F-4FAD-9519-A1E95302BB4C}">
      <text>
        <r>
          <rPr>
            <b/>
            <sz val="9"/>
            <color indexed="81"/>
            <rFont val="Tahoma"/>
            <family val="2"/>
          </rPr>
          <t>Ethan Neff:</t>
        </r>
        <r>
          <rPr>
            <sz val="9"/>
            <color indexed="81"/>
            <rFont val="Tahoma"/>
            <family val="2"/>
          </rPr>
          <t xml:space="preserve">
Straight Line from previous Full or Fiscal Year</t>
        </r>
      </text>
    </comment>
    <comment ref="H14" authorId="0" shapeId="0" xr:uid="{59741E8E-5160-4D16-B561-B498C24D1B4B}">
      <text>
        <r>
          <rPr>
            <b/>
            <sz val="9"/>
            <color indexed="81"/>
            <rFont val="Tahoma"/>
            <family val="2"/>
          </rPr>
          <t>Ethan Neff:</t>
        </r>
        <r>
          <rPr>
            <sz val="9"/>
            <color indexed="81"/>
            <rFont val="Tahoma"/>
            <family val="2"/>
          </rPr>
          <t xml:space="preserve">
Straight Line from previous Full or Fiscal Year</t>
        </r>
      </text>
    </comment>
    <comment ref="H21" authorId="0" shapeId="0" xr:uid="{46ECE5E8-F488-45BB-9A9F-741B43800B45}">
      <text>
        <r>
          <rPr>
            <b/>
            <sz val="9"/>
            <color indexed="81"/>
            <rFont val="Tahoma"/>
            <family val="2"/>
          </rPr>
          <t>Ethan Neff:</t>
        </r>
        <r>
          <rPr>
            <sz val="9"/>
            <color indexed="81"/>
            <rFont val="Tahoma"/>
            <family val="2"/>
          </rPr>
          <t xml:space="preserve">
Grow with COGS or COS</t>
        </r>
      </text>
    </comment>
    <comment ref="H23" authorId="0" shapeId="0" xr:uid="{E33972CA-37D5-4D6C-8C19-23F6460F28C5}">
      <text>
        <r>
          <rPr>
            <b/>
            <sz val="9"/>
            <color indexed="81"/>
            <rFont val="Tahoma"/>
            <family val="2"/>
          </rPr>
          <t>Ethan Neff:</t>
        </r>
        <r>
          <rPr>
            <sz val="9"/>
            <color indexed="81"/>
            <rFont val="Tahoma"/>
            <family val="2"/>
          </rPr>
          <t xml:space="preserve">
5 Year Historical rolling Average</t>
        </r>
      </text>
    </comment>
    <comment ref="H26" authorId="0" shapeId="0" xr:uid="{793492A9-A5D3-4D58-BB5A-77D947632306}">
      <text>
        <r>
          <rPr>
            <b/>
            <sz val="9"/>
            <color indexed="81"/>
            <rFont val="Tahoma"/>
            <family val="2"/>
          </rPr>
          <t>Ethan Neff:</t>
        </r>
        <r>
          <rPr>
            <sz val="9"/>
            <color indexed="81"/>
            <rFont val="Tahoma"/>
            <family val="2"/>
          </rPr>
          <t xml:space="preserve">
Straight Line from previous Full or Fiscal Year</t>
        </r>
      </text>
    </comment>
    <comment ref="H27" authorId="0" shapeId="0" xr:uid="{7F375D6B-6B75-4663-964D-E78D1A1074DF}">
      <text>
        <r>
          <rPr>
            <b/>
            <sz val="9"/>
            <color indexed="81"/>
            <rFont val="Tahoma"/>
            <family val="2"/>
          </rPr>
          <t>Ethan Neff:</t>
        </r>
        <r>
          <rPr>
            <sz val="9"/>
            <color indexed="81"/>
            <rFont val="Tahoma"/>
            <family val="2"/>
          </rPr>
          <t xml:space="preserve">
Straight Line from previous Full or Fiscal Year</t>
        </r>
      </text>
    </comment>
    <comment ref="H34" authorId="0" shapeId="0" xr:uid="{5C6409F8-3A27-431D-BBD9-8080F976608E}">
      <text>
        <r>
          <rPr>
            <b/>
            <sz val="9"/>
            <color indexed="81"/>
            <rFont val="Tahoma"/>
            <family val="2"/>
          </rPr>
          <t>Ethan Neff:</t>
        </r>
        <r>
          <rPr>
            <sz val="9"/>
            <color indexed="81"/>
            <rFont val="Tahoma"/>
            <family val="2"/>
          </rPr>
          <t xml:space="preserve">
Straight Line from previous Full or Fiscal Year</t>
        </r>
      </text>
    </comment>
    <comment ref="H35" authorId="0" shapeId="0" xr:uid="{7A7512BF-380D-48B3-BC9B-4D2BAFECECF7}">
      <text>
        <r>
          <rPr>
            <b/>
            <sz val="9"/>
            <color indexed="81"/>
            <rFont val="Tahoma"/>
            <family val="2"/>
          </rPr>
          <t>Ethan Neff:</t>
        </r>
        <r>
          <rPr>
            <sz val="9"/>
            <color indexed="81"/>
            <rFont val="Tahoma"/>
            <family val="2"/>
          </rPr>
          <t xml:space="preserve">
Straight Line from previous Full or Fiscal Year</t>
        </r>
      </text>
    </comment>
    <comment ref="H36" authorId="0" shapeId="0" xr:uid="{ADEC19F2-BCC6-488F-99DD-A59B07AAD59C}">
      <text>
        <r>
          <rPr>
            <b/>
            <sz val="9"/>
            <color indexed="81"/>
            <rFont val="Tahoma"/>
            <family val="2"/>
          </rPr>
          <t>Ethan Neff:</t>
        </r>
        <r>
          <rPr>
            <sz val="9"/>
            <color indexed="81"/>
            <rFont val="Tahoma"/>
            <family val="2"/>
          </rPr>
          <t xml:space="preserve">
Straight Line from previous Full or Fiscal Year</t>
        </r>
      </text>
    </comment>
    <comment ref="H37" authorId="0" shapeId="0" xr:uid="{D6026966-2B48-452A-80AD-B4077A2B7BC3}">
      <text>
        <r>
          <rPr>
            <b/>
            <sz val="9"/>
            <color indexed="81"/>
            <rFont val="Tahoma"/>
            <family val="2"/>
          </rPr>
          <t>Ethan Neff:</t>
        </r>
        <r>
          <rPr>
            <sz val="9"/>
            <color indexed="81"/>
            <rFont val="Tahoma"/>
            <family val="2"/>
          </rPr>
          <t xml:space="preserve">
Straight Line from previous Full or Fiscal Year</t>
        </r>
      </text>
    </comment>
    <comment ref="H38" authorId="0" shapeId="0" xr:uid="{54255770-E299-49B4-87EF-CA18906F24CD}">
      <text>
        <r>
          <rPr>
            <b/>
            <sz val="9"/>
            <color indexed="81"/>
            <rFont val="Tahoma"/>
            <family val="2"/>
          </rPr>
          <t>Ethan Neff:</t>
        </r>
        <r>
          <rPr>
            <sz val="9"/>
            <color indexed="81"/>
            <rFont val="Tahoma"/>
            <family val="2"/>
          </rPr>
          <t xml:space="preserve">
Straight Line from previous Full or Fiscal Year</t>
        </r>
      </text>
    </comment>
    <comment ref="B39" authorId="0" shapeId="0" xr:uid="{7489DC46-41BC-46E8-B641-5C9A43ECB2BE}">
      <text>
        <r>
          <rPr>
            <b/>
            <sz val="11"/>
            <color indexed="81"/>
            <rFont val="Tahoma"/>
            <family val="2"/>
          </rPr>
          <t>Ethan Neff:</t>
        </r>
        <r>
          <rPr>
            <sz val="11"/>
            <color indexed="81"/>
            <rFont val="Tahoma"/>
            <family val="2"/>
          </rPr>
          <t xml:space="preserve">
Use as Last Resort. I am not pleased to include this, but copy and paste your out of balance numbers to force the Balance Sheet to balance.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Ethan Neff</author>
  </authors>
  <commentList>
    <comment ref="H8" authorId="0" shapeId="0" xr:uid="{BEB9C16B-4EF5-48FC-B8D4-1992B959FB72}">
      <text>
        <r>
          <rPr>
            <b/>
            <sz val="9"/>
            <color indexed="81"/>
            <rFont val="Tahoma"/>
            <family val="2"/>
          </rPr>
          <t>Ethan Neff:</t>
        </r>
        <r>
          <rPr>
            <sz val="9"/>
            <color indexed="81"/>
            <rFont val="Tahoma"/>
            <family val="2"/>
          </rPr>
          <t xml:space="preserve">
Grow with COGS or COS</t>
        </r>
      </text>
    </comment>
    <comment ref="H13" authorId="0" shapeId="0" xr:uid="{7DDCCFA8-DA5A-4ABB-B7AF-820C3E204A30}">
      <text>
        <r>
          <rPr>
            <b/>
            <sz val="9"/>
            <color indexed="81"/>
            <rFont val="Tahoma"/>
            <family val="2"/>
          </rPr>
          <t>Ethan Neff:</t>
        </r>
        <r>
          <rPr>
            <sz val="9"/>
            <color indexed="81"/>
            <rFont val="Tahoma"/>
            <family val="2"/>
          </rPr>
          <t xml:space="preserve">
Straight Line from previous Full or Fiscal Year</t>
        </r>
      </text>
    </comment>
    <comment ref="H14" authorId="0" shapeId="0" xr:uid="{53EFEC70-C6E7-4C33-A39B-B34F193BDC5D}">
      <text>
        <r>
          <rPr>
            <b/>
            <sz val="9"/>
            <color indexed="81"/>
            <rFont val="Tahoma"/>
            <family val="2"/>
          </rPr>
          <t>Ethan Neff:</t>
        </r>
        <r>
          <rPr>
            <sz val="9"/>
            <color indexed="81"/>
            <rFont val="Tahoma"/>
            <family val="2"/>
          </rPr>
          <t xml:space="preserve">
Straight Line from previous Full or Fiscal Year</t>
        </r>
      </text>
    </comment>
    <comment ref="H21" authorId="0" shapeId="0" xr:uid="{EAD66773-C979-497A-A489-42A0EFFBBAE8}">
      <text>
        <r>
          <rPr>
            <b/>
            <sz val="9"/>
            <color indexed="81"/>
            <rFont val="Tahoma"/>
            <family val="2"/>
          </rPr>
          <t>Ethan Neff:</t>
        </r>
        <r>
          <rPr>
            <sz val="9"/>
            <color indexed="81"/>
            <rFont val="Tahoma"/>
            <family val="2"/>
          </rPr>
          <t xml:space="preserve">
Grow with COGS or COS</t>
        </r>
      </text>
    </comment>
    <comment ref="H23" authorId="0" shapeId="0" xr:uid="{70B60799-1FB6-4F65-8362-17976FBEFE07}">
      <text>
        <r>
          <rPr>
            <b/>
            <sz val="9"/>
            <color indexed="81"/>
            <rFont val="Tahoma"/>
            <family val="2"/>
          </rPr>
          <t>Ethan Neff:</t>
        </r>
        <r>
          <rPr>
            <sz val="9"/>
            <color indexed="81"/>
            <rFont val="Tahoma"/>
            <family val="2"/>
          </rPr>
          <t xml:space="preserve">
5 Year Historical rolling Average</t>
        </r>
      </text>
    </comment>
    <comment ref="H26" authorId="0" shapeId="0" xr:uid="{D695E877-5B4E-452F-B89A-C7321050F65C}">
      <text>
        <r>
          <rPr>
            <b/>
            <sz val="9"/>
            <color indexed="81"/>
            <rFont val="Tahoma"/>
            <family val="2"/>
          </rPr>
          <t>Ethan Neff:</t>
        </r>
        <r>
          <rPr>
            <sz val="9"/>
            <color indexed="81"/>
            <rFont val="Tahoma"/>
            <family val="2"/>
          </rPr>
          <t xml:space="preserve">
Straight Line from previous Full or Fiscal Year</t>
        </r>
      </text>
    </comment>
    <comment ref="H27" authorId="0" shapeId="0" xr:uid="{84F44168-CBF7-4751-BDBD-E25180E17353}">
      <text>
        <r>
          <rPr>
            <b/>
            <sz val="9"/>
            <color indexed="81"/>
            <rFont val="Tahoma"/>
            <family val="2"/>
          </rPr>
          <t>Ethan Neff:</t>
        </r>
        <r>
          <rPr>
            <sz val="9"/>
            <color indexed="81"/>
            <rFont val="Tahoma"/>
            <family val="2"/>
          </rPr>
          <t xml:space="preserve">
Straight Line from previous Full or Fiscal Year</t>
        </r>
      </text>
    </comment>
    <comment ref="H34" authorId="0" shapeId="0" xr:uid="{12417E0B-020F-4C64-AC26-353DC9B1B2D8}">
      <text>
        <r>
          <rPr>
            <b/>
            <sz val="9"/>
            <color indexed="81"/>
            <rFont val="Tahoma"/>
            <family val="2"/>
          </rPr>
          <t>Ethan Neff:</t>
        </r>
        <r>
          <rPr>
            <sz val="9"/>
            <color indexed="81"/>
            <rFont val="Tahoma"/>
            <family val="2"/>
          </rPr>
          <t xml:space="preserve">
Straight Line from previous Full or Fiscal Year</t>
        </r>
      </text>
    </comment>
    <comment ref="H35" authorId="0" shapeId="0" xr:uid="{6FD4F7F4-457E-4B03-9AEF-C24EEC7493B0}">
      <text>
        <r>
          <rPr>
            <b/>
            <sz val="9"/>
            <color indexed="81"/>
            <rFont val="Tahoma"/>
            <family val="2"/>
          </rPr>
          <t>Ethan Neff:</t>
        </r>
        <r>
          <rPr>
            <sz val="9"/>
            <color indexed="81"/>
            <rFont val="Tahoma"/>
            <family val="2"/>
          </rPr>
          <t xml:space="preserve">
Straight Line from previous Full or Fiscal Year</t>
        </r>
      </text>
    </comment>
    <comment ref="H36" authorId="0" shapeId="0" xr:uid="{D865A658-B133-4FC3-9602-2BB5647C257F}">
      <text>
        <r>
          <rPr>
            <b/>
            <sz val="9"/>
            <color indexed="81"/>
            <rFont val="Tahoma"/>
            <family val="2"/>
          </rPr>
          <t>Ethan Neff:</t>
        </r>
        <r>
          <rPr>
            <sz val="9"/>
            <color indexed="81"/>
            <rFont val="Tahoma"/>
            <family val="2"/>
          </rPr>
          <t xml:space="preserve">
Straight Line from previous Full or Fiscal Year</t>
        </r>
      </text>
    </comment>
    <comment ref="H37" authorId="0" shapeId="0" xr:uid="{B4978DED-7253-4EA2-8D59-5F07D9D4D216}">
      <text>
        <r>
          <rPr>
            <b/>
            <sz val="9"/>
            <color indexed="81"/>
            <rFont val="Tahoma"/>
            <family val="2"/>
          </rPr>
          <t>Ethan Neff:</t>
        </r>
        <r>
          <rPr>
            <sz val="9"/>
            <color indexed="81"/>
            <rFont val="Tahoma"/>
            <family val="2"/>
          </rPr>
          <t xml:space="preserve">
Straight Line from previous Full or Fiscal Year</t>
        </r>
      </text>
    </comment>
    <comment ref="H38" authorId="0" shapeId="0" xr:uid="{6977B707-584F-4429-A8A3-FB79A31D4AEE}">
      <text>
        <r>
          <rPr>
            <b/>
            <sz val="9"/>
            <color indexed="81"/>
            <rFont val="Tahoma"/>
            <family val="2"/>
          </rPr>
          <t>Ethan Neff:</t>
        </r>
        <r>
          <rPr>
            <sz val="9"/>
            <color indexed="81"/>
            <rFont val="Tahoma"/>
            <family val="2"/>
          </rPr>
          <t xml:space="preserve">
Straight Line from previous Full or Fiscal Year</t>
        </r>
      </text>
    </comment>
    <comment ref="B39" authorId="0" shapeId="0" xr:uid="{ADAFA2B6-C1F7-42DA-83B1-23465C72EFCB}">
      <text>
        <r>
          <rPr>
            <b/>
            <sz val="11"/>
            <color indexed="81"/>
            <rFont val="Tahoma"/>
            <family val="2"/>
          </rPr>
          <t>Ethan Neff:</t>
        </r>
        <r>
          <rPr>
            <sz val="11"/>
            <color indexed="81"/>
            <rFont val="Tahoma"/>
            <family val="2"/>
          </rPr>
          <t xml:space="preserve">
Use as Last Resort. I am not pleased to include this, but copy and paste your out of balance numbers to force the Balance Sheet to balance.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Ethan Neff</author>
  </authors>
  <commentList>
    <comment ref="H8" authorId="0" shapeId="0" xr:uid="{0F249D01-11E2-4AEC-A99F-01EC57448815}">
      <text>
        <r>
          <rPr>
            <b/>
            <sz val="9"/>
            <color indexed="81"/>
            <rFont val="Tahoma"/>
            <family val="2"/>
          </rPr>
          <t>Ethan Neff:</t>
        </r>
        <r>
          <rPr>
            <sz val="9"/>
            <color indexed="81"/>
            <rFont val="Tahoma"/>
            <family val="2"/>
          </rPr>
          <t xml:space="preserve">
Grow with COGS or COS</t>
        </r>
      </text>
    </comment>
    <comment ref="H13" authorId="0" shapeId="0" xr:uid="{196CC7E6-1C27-4C8A-A231-FFC235047472}">
      <text>
        <r>
          <rPr>
            <b/>
            <sz val="9"/>
            <color indexed="81"/>
            <rFont val="Tahoma"/>
            <family val="2"/>
          </rPr>
          <t>Ethan Neff:</t>
        </r>
        <r>
          <rPr>
            <sz val="9"/>
            <color indexed="81"/>
            <rFont val="Tahoma"/>
            <family val="2"/>
          </rPr>
          <t xml:space="preserve">
Straight Line from previous Full or Fiscal Year</t>
        </r>
      </text>
    </comment>
    <comment ref="H14" authorId="0" shapeId="0" xr:uid="{36B953B4-2616-44D4-991A-0EF429938BFC}">
      <text>
        <r>
          <rPr>
            <b/>
            <sz val="9"/>
            <color indexed="81"/>
            <rFont val="Tahoma"/>
            <family val="2"/>
          </rPr>
          <t>Ethan Neff:</t>
        </r>
        <r>
          <rPr>
            <sz val="9"/>
            <color indexed="81"/>
            <rFont val="Tahoma"/>
            <family val="2"/>
          </rPr>
          <t xml:space="preserve">
Straight Line from previous Full or Fiscal Year</t>
        </r>
      </text>
    </comment>
    <comment ref="H21" authorId="0" shapeId="0" xr:uid="{0FF12D8C-786B-4081-B956-0AE38D34AB8F}">
      <text>
        <r>
          <rPr>
            <b/>
            <sz val="9"/>
            <color indexed="81"/>
            <rFont val="Tahoma"/>
            <family val="2"/>
          </rPr>
          <t>Ethan Neff:</t>
        </r>
        <r>
          <rPr>
            <sz val="9"/>
            <color indexed="81"/>
            <rFont val="Tahoma"/>
            <family val="2"/>
          </rPr>
          <t xml:space="preserve">
Grow with COGS or COS</t>
        </r>
      </text>
    </comment>
    <comment ref="H23" authorId="0" shapeId="0" xr:uid="{21C98DC8-6E29-4B40-A708-B2EA186E6254}">
      <text>
        <r>
          <rPr>
            <b/>
            <sz val="9"/>
            <color indexed="81"/>
            <rFont val="Tahoma"/>
            <family val="2"/>
          </rPr>
          <t>Ethan Neff:</t>
        </r>
        <r>
          <rPr>
            <sz val="9"/>
            <color indexed="81"/>
            <rFont val="Tahoma"/>
            <family val="2"/>
          </rPr>
          <t xml:space="preserve">
5 Year Historical rolling Average</t>
        </r>
      </text>
    </comment>
    <comment ref="H26" authorId="0" shapeId="0" xr:uid="{BABEF347-E865-4A01-BBEC-2E2654F07B9A}">
      <text>
        <r>
          <rPr>
            <b/>
            <sz val="9"/>
            <color indexed="81"/>
            <rFont val="Tahoma"/>
            <family val="2"/>
          </rPr>
          <t>Ethan Neff:</t>
        </r>
        <r>
          <rPr>
            <sz val="9"/>
            <color indexed="81"/>
            <rFont val="Tahoma"/>
            <family val="2"/>
          </rPr>
          <t xml:space="preserve">
Straight Line from previous Full or Fiscal Year</t>
        </r>
      </text>
    </comment>
    <comment ref="H27" authorId="0" shapeId="0" xr:uid="{F284067A-5768-4E0C-A210-BA310C1F7C30}">
      <text>
        <r>
          <rPr>
            <b/>
            <sz val="9"/>
            <color indexed="81"/>
            <rFont val="Tahoma"/>
            <family val="2"/>
          </rPr>
          <t>Ethan Neff:</t>
        </r>
        <r>
          <rPr>
            <sz val="9"/>
            <color indexed="81"/>
            <rFont val="Tahoma"/>
            <family val="2"/>
          </rPr>
          <t xml:space="preserve">
Straight Line from previous Full or Fiscal Year</t>
        </r>
      </text>
    </comment>
    <comment ref="H34" authorId="0" shapeId="0" xr:uid="{800B58D7-0437-4A86-B90A-E9AD980D9ACA}">
      <text>
        <r>
          <rPr>
            <b/>
            <sz val="9"/>
            <color indexed="81"/>
            <rFont val="Tahoma"/>
            <family val="2"/>
          </rPr>
          <t>Ethan Neff:</t>
        </r>
        <r>
          <rPr>
            <sz val="9"/>
            <color indexed="81"/>
            <rFont val="Tahoma"/>
            <family val="2"/>
          </rPr>
          <t xml:space="preserve">
Straight Line from previous Full or Fiscal Year</t>
        </r>
      </text>
    </comment>
    <comment ref="H35" authorId="0" shapeId="0" xr:uid="{7B2152AC-F3C2-42D9-9011-D84CED086344}">
      <text>
        <r>
          <rPr>
            <b/>
            <sz val="9"/>
            <color indexed="81"/>
            <rFont val="Tahoma"/>
            <family val="2"/>
          </rPr>
          <t>Ethan Neff:</t>
        </r>
        <r>
          <rPr>
            <sz val="9"/>
            <color indexed="81"/>
            <rFont val="Tahoma"/>
            <family val="2"/>
          </rPr>
          <t xml:space="preserve">
Straight Line from previous Full or Fiscal Year</t>
        </r>
      </text>
    </comment>
    <comment ref="H36" authorId="0" shapeId="0" xr:uid="{84FCF879-6069-4141-8C00-B1A37E3062D2}">
      <text>
        <r>
          <rPr>
            <b/>
            <sz val="9"/>
            <color indexed="81"/>
            <rFont val="Tahoma"/>
            <family val="2"/>
          </rPr>
          <t>Ethan Neff:</t>
        </r>
        <r>
          <rPr>
            <sz val="9"/>
            <color indexed="81"/>
            <rFont val="Tahoma"/>
            <family val="2"/>
          </rPr>
          <t xml:space="preserve">
Straight Line from previous Full or Fiscal Year</t>
        </r>
      </text>
    </comment>
    <comment ref="H37" authorId="0" shapeId="0" xr:uid="{DEE49FC2-3C2D-4611-BA1E-39687D938B74}">
      <text>
        <r>
          <rPr>
            <b/>
            <sz val="9"/>
            <color indexed="81"/>
            <rFont val="Tahoma"/>
            <family val="2"/>
          </rPr>
          <t>Ethan Neff:</t>
        </r>
        <r>
          <rPr>
            <sz val="9"/>
            <color indexed="81"/>
            <rFont val="Tahoma"/>
            <family val="2"/>
          </rPr>
          <t xml:space="preserve">
Straight Line from previous Full or Fiscal Year</t>
        </r>
      </text>
    </comment>
    <comment ref="H38" authorId="0" shapeId="0" xr:uid="{4A541CC2-16EF-4170-A403-075FE7FD4B89}">
      <text>
        <r>
          <rPr>
            <b/>
            <sz val="9"/>
            <color indexed="81"/>
            <rFont val="Tahoma"/>
            <family val="2"/>
          </rPr>
          <t>Ethan Neff:</t>
        </r>
        <r>
          <rPr>
            <sz val="9"/>
            <color indexed="81"/>
            <rFont val="Tahoma"/>
            <family val="2"/>
          </rPr>
          <t xml:space="preserve">
Straight Line from previous Full or Fiscal Year</t>
        </r>
      </text>
    </comment>
    <comment ref="B39" authorId="0" shapeId="0" xr:uid="{37F1CE46-C08B-4411-9A26-0F0EFF85C8CD}">
      <text>
        <r>
          <rPr>
            <b/>
            <sz val="11"/>
            <color indexed="81"/>
            <rFont val="Tahoma"/>
            <family val="2"/>
          </rPr>
          <t>Ethan Neff:</t>
        </r>
        <r>
          <rPr>
            <sz val="11"/>
            <color indexed="81"/>
            <rFont val="Tahoma"/>
            <family val="2"/>
          </rPr>
          <t xml:space="preserve">
Use as Last Resort. I am not pleased to include this, but copy and paste your out of balance numbers to force the Balance Sheet to balance.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<sst xmlns="http://schemas.openxmlformats.org/spreadsheetml/2006/main" count="758" uniqueCount="339">
  <si>
    <t>Income Statement</t>
  </si>
  <si>
    <t>Revenue</t>
  </si>
  <si>
    <t>Bear</t>
  </si>
  <si>
    <t>Base</t>
  </si>
  <si>
    <t>Bull</t>
  </si>
  <si>
    <t>Growth Rate Selected:</t>
  </si>
  <si>
    <t>Valuation Summary</t>
  </si>
  <si>
    <t>Team Name</t>
  </si>
  <si>
    <t>Company Name</t>
  </si>
  <si>
    <t>Current Stock Price</t>
  </si>
  <si>
    <t>Analyst Name</t>
  </si>
  <si>
    <t>Company Ticker</t>
  </si>
  <si>
    <t>Valuation Date</t>
  </si>
  <si>
    <t>Valuation Scenarios</t>
  </si>
  <si>
    <t>Weights</t>
  </si>
  <si>
    <t>52 Week Low / High</t>
  </si>
  <si>
    <t>Target Price</t>
  </si>
  <si>
    <t>Sector</t>
  </si>
  <si>
    <t>52 Week High</t>
  </si>
  <si>
    <t>52 Week Low</t>
  </si>
  <si>
    <t>Consumer Staples</t>
  </si>
  <si>
    <t>Perpetual</t>
  </si>
  <si>
    <t>Custom</t>
  </si>
  <si>
    <t>Gross Profit</t>
  </si>
  <si>
    <t>Operating Expenses</t>
  </si>
  <si>
    <t>Capital Expenditures</t>
  </si>
  <si>
    <t>Other Operating Income</t>
  </si>
  <si>
    <t>Year Ending</t>
  </si>
  <si>
    <t>Currency</t>
  </si>
  <si>
    <t>Net Interest (Income) Expense</t>
  </si>
  <si>
    <t>Interest Expense</t>
  </si>
  <si>
    <t>Interest Income</t>
  </si>
  <si>
    <t>Depreciation and Amortization</t>
  </si>
  <si>
    <t>Income Statement - Base</t>
  </si>
  <si>
    <t>Operating Income (Loss) ~ EBIT</t>
  </si>
  <si>
    <t>Abnormal Losses (Gains)</t>
  </si>
  <si>
    <t>Income Tax Expense (Benefit)</t>
  </si>
  <si>
    <t>Tax Rate, Assume US Federal Statutory Tax Rate</t>
  </si>
  <si>
    <t>Net Extraordinary Losses (Gains)</t>
  </si>
  <si>
    <t>Discontinued Operations</t>
  </si>
  <si>
    <t>Extraordinary Items and Accounting Changes</t>
  </si>
  <si>
    <t>Miscellaneous After Tax Expenditures</t>
  </si>
  <si>
    <t>Minority / Non-Controlling Interests</t>
  </si>
  <si>
    <t>Preferred Dividends</t>
  </si>
  <si>
    <t>Other Adjustments</t>
  </si>
  <si>
    <t>Net Income (Loss), GAAP</t>
  </si>
  <si>
    <t>Cost of Capitalized Leases [Bloomberg And/Or or 10 K Notes]</t>
  </si>
  <si>
    <t>Pretax Income (Loss), GAAP ~ EBT</t>
  </si>
  <si>
    <t>EBITDA Calculation</t>
  </si>
  <si>
    <t>EBITDA</t>
  </si>
  <si>
    <t>Balance Sheet - Base</t>
  </si>
  <si>
    <t>Assets</t>
  </si>
  <si>
    <t>Current Assets</t>
  </si>
  <si>
    <t>IS</t>
  </si>
  <si>
    <t>BS</t>
  </si>
  <si>
    <t>Balance Sheet</t>
  </si>
  <si>
    <t>Cash, Cash Equivalents, and Short-Term Investments</t>
  </si>
  <si>
    <t>Accounts and Notes Receivable</t>
  </si>
  <si>
    <t>Payables and Accruals</t>
  </si>
  <si>
    <t>Accounts Receivable</t>
  </si>
  <si>
    <t>Notes Receivable</t>
  </si>
  <si>
    <t>Other Short-Term Assets</t>
  </si>
  <si>
    <t>Short-Term Investments</t>
  </si>
  <si>
    <t>CF</t>
  </si>
  <si>
    <t>Statement of Cash Flows</t>
  </si>
  <si>
    <t>Statement of Cash Flows - Base</t>
  </si>
  <si>
    <t>Operating Activities</t>
  </si>
  <si>
    <t>Non-Cash Items</t>
  </si>
  <si>
    <t>Net Cash from Discontinued Operations</t>
  </si>
  <si>
    <t>Cash from Operating Activities</t>
  </si>
  <si>
    <t>Change in Non-Cash Working Capital</t>
  </si>
  <si>
    <t>Investing Activities</t>
  </si>
  <si>
    <t>Change in Fixed Assets and Intangibles</t>
  </si>
  <si>
    <t>Net Change in Long-Term Investments</t>
  </si>
  <si>
    <t>Net Cash from Acquistions and Divestitures</t>
  </si>
  <si>
    <t>Other Investing Actvities</t>
  </si>
  <si>
    <t>Cash from Investing Activities</t>
  </si>
  <si>
    <t>Financing Activities</t>
  </si>
  <si>
    <t>Dividends Paid</t>
  </si>
  <si>
    <t>Net Cash from (Repayment) Debt</t>
  </si>
  <si>
    <t>Cash (Repurchase) of Equity</t>
  </si>
  <si>
    <t>Other Financing Activities</t>
  </si>
  <si>
    <t>Cash from Financing Activities</t>
  </si>
  <si>
    <t>Stock Based Compensation</t>
  </si>
  <si>
    <t>Deferred Income Taxes</t>
  </si>
  <si>
    <t>Other Non-Cash Adjustments</t>
  </si>
  <si>
    <t>Data from Financial Statements</t>
  </si>
  <si>
    <t>Inventory</t>
  </si>
  <si>
    <t>Change in Fixed and Intangible Assets</t>
  </si>
  <si>
    <t>Disposal of Fixed and Intangible Assets</t>
  </si>
  <si>
    <t>Property, Plant, and Equipment</t>
  </si>
  <si>
    <t>Non-Current Assets</t>
  </si>
  <si>
    <t>Long-Term Investments and Receivables</t>
  </si>
  <si>
    <t>Other Long-Term Assets</t>
  </si>
  <si>
    <t>Liabilities</t>
  </si>
  <si>
    <t>Short-Term Debt</t>
  </si>
  <si>
    <t>Other Short-Term Liabilities</t>
  </si>
  <si>
    <t>Current Liabilities</t>
  </si>
  <si>
    <t>Non-Current Liabilities</t>
  </si>
  <si>
    <t>Long-Term Debt</t>
  </si>
  <si>
    <t>Other Long-Term Liabilities</t>
  </si>
  <si>
    <t>Equity</t>
  </si>
  <si>
    <t>Preferred and Hybrid Capital</t>
  </si>
  <si>
    <t>Share Capital and Additional Paid in Capital</t>
  </si>
  <si>
    <t>Treasury Stock</t>
  </si>
  <si>
    <t>Retained Earnings</t>
  </si>
  <si>
    <t>Other Equity</t>
  </si>
  <si>
    <t>Minority and Non-Controlling Interest</t>
  </si>
  <si>
    <t>A = L + E Check, A &gt; L + E = Positive, A &lt; L + E = Negative</t>
  </si>
  <si>
    <t>Use Capital Expenditures</t>
  </si>
  <si>
    <t>Effect of Foreign Exchange Rates</t>
  </si>
  <si>
    <t>Net Change in Cash</t>
  </si>
  <si>
    <t>Restricted Cash</t>
  </si>
  <si>
    <t>Restricted Cash from Balance Sheet (Notes 10K)</t>
  </si>
  <si>
    <t>X</t>
  </si>
  <si>
    <t>Opening Cash</t>
  </si>
  <si>
    <t>Closing Cash Balance</t>
  </si>
  <si>
    <t>Cash Balance</t>
  </si>
  <si>
    <t>Ratios</t>
  </si>
  <si>
    <t>Working Capital</t>
  </si>
  <si>
    <t>Net Debt</t>
  </si>
  <si>
    <t>Balancing Figure</t>
  </si>
  <si>
    <t>Weighted Average Cost of Capital - Bloomberg</t>
  </si>
  <si>
    <t>Market Cap</t>
  </si>
  <si>
    <t xml:space="preserve">% of Total Capital </t>
  </si>
  <si>
    <t>Short Term Debt</t>
  </si>
  <si>
    <t>Long Term Debt</t>
  </si>
  <si>
    <t>Total Debt</t>
  </si>
  <si>
    <t>Preferred Equity</t>
  </si>
  <si>
    <t>% of Total Capital</t>
  </si>
  <si>
    <t>Total Capital</t>
  </si>
  <si>
    <t>Effective Tax Rate</t>
  </si>
  <si>
    <t>1 - Effective Tax Rate</t>
  </si>
  <si>
    <t>Note Rate</t>
  </si>
  <si>
    <t>Short Term Debt as % of Total Debt</t>
  </si>
  <si>
    <t>Note Rate x Short Term Debt as % of Total Debt</t>
  </si>
  <si>
    <t>Bond Rate</t>
  </si>
  <si>
    <t>Long Term Debt as % of Total Debt</t>
  </si>
  <si>
    <t>Bond Rate x Long Term Debt as % of Total Debt</t>
  </si>
  <si>
    <t>Total Pre-Tax Cost of Debt</t>
  </si>
  <si>
    <t>Debt Adjustment Factor (Proprietary to Bloomberg)</t>
  </si>
  <si>
    <t>Total Cost of Debt</t>
  </si>
  <si>
    <t>Risk Free Rate</t>
  </si>
  <si>
    <t>+ Equity Risk Premium</t>
  </si>
  <si>
    <t>Beta</t>
  </si>
  <si>
    <t>x Country / Region Premium</t>
  </si>
  <si>
    <t>Expected Market Return</t>
  </si>
  <si>
    <t>- Risk Free Rate</t>
  </si>
  <si>
    <t>Total Cost of Equity</t>
  </si>
  <si>
    <t>Cost of Preferred Equity</t>
  </si>
  <si>
    <t>Preferred Dividend</t>
  </si>
  <si>
    <t>/ Preferred Equity</t>
  </si>
  <si>
    <t>Total Cost of Preferred Equity</t>
  </si>
  <si>
    <t>Weighted Average Cost of Capital</t>
  </si>
  <si>
    <t>Perpetuity Growth Rate</t>
  </si>
  <si>
    <t>Discounted Terminal Value</t>
  </si>
  <si>
    <t>Enterprise Value</t>
  </si>
  <si>
    <t>Minority Interest</t>
  </si>
  <si>
    <t>Equity Value</t>
  </si>
  <si>
    <t>Shares Outstanding</t>
  </si>
  <si>
    <t>Assumptions</t>
  </si>
  <si>
    <t>WACC</t>
  </si>
  <si>
    <t>A</t>
  </si>
  <si>
    <t>Dividend Discount</t>
  </si>
  <si>
    <t>Income Statement - Bear</t>
  </si>
  <si>
    <t>Scenarios</t>
  </si>
  <si>
    <t>EV / Sales</t>
  </si>
  <si>
    <t>EV / EBITDA</t>
  </si>
  <si>
    <t>P / E</t>
  </si>
  <si>
    <t>LTM EBITDA</t>
  </si>
  <si>
    <t>Mean</t>
  </si>
  <si>
    <t>25 Percentile</t>
  </si>
  <si>
    <t>75 Percentile</t>
  </si>
  <si>
    <t>Metrics</t>
  </si>
  <si>
    <t>Comps</t>
  </si>
  <si>
    <t>Implied EV</t>
  </si>
  <si>
    <t>Shares</t>
  </si>
  <si>
    <t>Share Price</t>
  </si>
  <si>
    <t>Discount Factor</t>
  </si>
  <si>
    <t>Perpetuity Growth Method -  Value Per Share</t>
  </si>
  <si>
    <t>Present Value of Free Cash Flows</t>
  </si>
  <si>
    <t>NOPAT Calculation</t>
  </si>
  <si>
    <t>Net Profit After Tax - NOPAT</t>
  </si>
  <si>
    <t>NOPAT</t>
  </si>
  <si>
    <t>Number of Forecasted Years</t>
  </si>
  <si>
    <t>EBITDA Multiple Method -  Value Per Share</t>
  </si>
  <si>
    <t>Value Per Share</t>
  </si>
  <si>
    <t>Exit EV / EBITDA Multiple</t>
  </si>
  <si>
    <t>EBITDA Multiple Method DCF Summary</t>
  </si>
  <si>
    <t>Perpetuity Growth Method DCF Summary</t>
  </si>
  <si>
    <t>Bloomberg Functions used for this Analysis</t>
  </si>
  <si>
    <t>FA</t>
  </si>
  <si>
    <t>Function Description</t>
  </si>
  <si>
    <t>Function</t>
  </si>
  <si>
    <t>Template</t>
  </si>
  <si>
    <t>Financial Analysis</t>
  </si>
  <si>
    <t>Relative Valuation</t>
  </si>
  <si>
    <t>RV</t>
  </si>
  <si>
    <t>Security Description</t>
  </si>
  <si>
    <t>DES</t>
  </si>
  <si>
    <t>Company Financials</t>
  </si>
  <si>
    <t>MODL</t>
  </si>
  <si>
    <t>Excel Template Library</t>
  </si>
  <si>
    <t>XLTP</t>
  </si>
  <si>
    <t>XFA</t>
  </si>
  <si>
    <t>XDCF</t>
  </si>
  <si>
    <t>XCVA</t>
  </si>
  <si>
    <t>B</t>
  </si>
  <si>
    <t>Year over Year Growth %</t>
  </si>
  <si>
    <t>Perpetuity Growth Rate:</t>
  </si>
  <si>
    <t>Valuation Assumptions</t>
  </si>
  <si>
    <t>Dividend Discount Model Assumptions</t>
  </si>
  <si>
    <t>Annual Dividend</t>
  </si>
  <si>
    <t>Compound Annual Growth Rate (CAGR)</t>
  </si>
  <si>
    <t>Custom Dividend Growth Rate</t>
  </si>
  <si>
    <t>Set Dividend Growth Rate = CAGR or Custom?</t>
  </si>
  <si>
    <t>CAGR</t>
  </si>
  <si>
    <t>Cost of Equity - From WACC</t>
  </si>
  <si>
    <t>Total Cost of Common Equity</t>
  </si>
  <si>
    <t>Dividend Discount Model - 2 Stage</t>
  </si>
  <si>
    <t>Cost of Equity</t>
  </si>
  <si>
    <t>Annual Dividends Per Share</t>
  </si>
  <si>
    <t>Dividend Growth Rate Stage 1</t>
  </si>
  <si>
    <t>Dividend Growth Rate Stage 2</t>
  </si>
  <si>
    <t>Present Value of Dividend</t>
  </si>
  <si>
    <t>Sum of Stage 1 Dividends</t>
  </si>
  <si>
    <t>Year 5 Dividend * (1 + Stage 2 Growth Rate)</t>
  </si>
  <si>
    <t>Stage 2 Terminal Value</t>
  </si>
  <si>
    <t>PV of Stage 2 Terminal Value</t>
  </si>
  <si>
    <t>Free Cash Flow to Equity</t>
  </si>
  <si>
    <t>Discounted Free Cash Flow to Equity</t>
  </si>
  <si>
    <t>Dividend Discount Model Summary</t>
  </si>
  <si>
    <t>Upside (Downside)</t>
  </si>
  <si>
    <t>Upside (Downside) %</t>
  </si>
  <si>
    <t>Current Stock Price versus Scenarios</t>
  </si>
  <si>
    <t>Stock Price</t>
  </si>
  <si>
    <t>Current</t>
  </si>
  <si>
    <t>Comparable Relative Valuation</t>
  </si>
  <si>
    <t>EQRV</t>
  </si>
  <si>
    <t>Y-Values for Secondary Axis</t>
  </si>
  <si>
    <t>5 Year Average</t>
  </si>
  <si>
    <t>Interest Rate on Debt in Perpetuity</t>
  </si>
  <si>
    <t>Interest Rate on Cash in Perpetuity</t>
  </si>
  <si>
    <t>Custom Interest Rate</t>
  </si>
  <si>
    <t>Cash (From Balance or Cash Flow on 10K)</t>
  </si>
  <si>
    <t>% of Long-Term Debt</t>
  </si>
  <si>
    <t>Spread</t>
  </si>
  <si>
    <t>Enter Weights</t>
  </si>
  <si>
    <t>Model</t>
  </si>
  <si>
    <t>ENTER AS POSITIVE</t>
  </si>
  <si>
    <t>Cost of Capitalized Leases</t>
  </si>
  <si>
    <t>Deferred Tax Assets</t>
  </si>
  <si>
    <t>Deferred Tax Liabilities</t>
  </si>
  <si>
    <t>Net Long Term Deferred Tax Liabilities</t>
  </si>
  <si>
    <t>Change in Net Long-Term Deferred Tax Liabilities</t>
  </si>
  <si>
    <t>Change in Net Working Capital</t>
  </si>
  <si>
    <t>Non-Operating (Income) Loss, Net Abnormal Losses (Gains)</t>
  </si>
  <si>
    <t>Net Interest Expense (Income)</t>
  </si>
  <si>
    <t>Discounted Free Cash Flow to Firm</t>
  </si>
  <si>
    <t>Free Cash Flow to Firm</t>
  </si>
  <si>
    <t>Change in Net Non-Cash Working Capital</t>
  </si>
  <si>
    <t>X3SM</t>
  </si>
  <si>
    <t>Comparable Company</t>
  </si>
  <si>
    <t>Levered Discounted Cash Flow (FCFE) Analysis</t>
  </si>
  <si>
    <t>Unlevered Discounted Cash Flow (FCFF) Analysis</t>
  </si>
  <si>
    <t>Comparable Company Analysis</t>
  </si>
  <si>
    <t>Date</t>
  </si>
  <si>
    <t>LTM Revenue</t>
  </si>
  <si>
    <t>Precedent Transaction Analysis</t>
  </si>
  <si>
    <t>5 - 10 Deals Preferred, enter less as necessary</t>
  </si>
  <si>
    <t>5 - 10 Companies preferred, enter less as necessary</t>
  </si>
  <si>
    <t xml:space="preserve">Transaction Value </t>
  </si>
  <si>
    <t>Buyer (Acquirer)</t>
  </si>
  <si>
    <t>Target Company</t>
  </si>
  <si>
    <t>TV / Revenue</t>
  </si>
  <si>
    <t>TV / EBITDA</t>
  </si>
  <si>
    <t>Calculations</t>
  </si>
  <si>
    <t>Precendent Transactions Analysis</t>
  </si>
  <si>
    <t>Precedent Transaction Summary</t>
  </si>
  <si>
    <t>Comparable Company Value Per Share</t>
  </si>
  <si>
    <t>Summary</t>
  </si>
  <si>
    <t>Precedent Transaction</t>
  </si>
  <si>
    <t>Unlevered DCF</t>
  </si>
  <si>
    <t>Levered DCF</t>
  </si>
  <si>
    <t>Enter Info</t>
  </si>
  <si>
    <t>Recommendation</t>
  </si>
  <si>
    <t>BUY</t>
  </si>
  <si>
    <t>HOLD</t>
  </si>
  <si>
    <t>SELL</t>
  </si>
  <si>
    <t>Recommendation Inputs</t>
  </si>
  <si>
    <t>Industry</t>
  </si>
  <si>
    <t>Overview</t>
  </si>
  <si>
    <t>Enter Data on Comps Tab</t>
  </si>
  <si>
    <t>Enter Data on Precedents Tab</t>
  </si>
  <si>
    <t>Purchase Shares</t>
  </si>
  <si>
    <t>Purchase Amount</t>
  </si>
  <si>
    <t>Total Cost</t>
  </si>
  <si>
    <t>Total Shares</t>
  </si>
  <si>
    <t>Portfolio Cash Balance</t>
  </si>
  <si>
    <t>Portfolio</t>
  </si>
  <si>
    <t>Cash</t>
  </si>
  <si>
    <t>PepsiCo</t>
  </si>
  <si>
    <t>2024A</t>
  </si>
  <si>
    <t>Pembina Pipeline Corp</t>
  </si>
  <si>
    <t>TC Energy Corp</t>
  </si>
  <si>
    <t>Market Mavericks</t>
  </si>
  <si>
    <t>Embridge</t>
  </si>
  <si>
    <t>Energy</t>
  </si>
  <si>
    <t>Midstream-Oil &amp;Gas</t>
  </si>
  <si>
    <t>Millions</t>
  </si>
  <si>
    <t>CAD</t>
  </si>
  <si>
    <t>Year 6</t>
  </si>
  <si>
    <t>Enbridge Inc.</t>
  </si>
  <si>
    <t>Kinder Morgan Inc.</t>
  </si>
  <si>
    <t>The Williams Companies</t>
  </si>
  <si>
    <t>Enterprise Products Partners L.P.</t>
  </si>
  <si>
    <t>Pembina Pipeline Corporation</t>
  </si>
  <si>
    <t>TC Energy Corporation</t>
  </si>
  <si>
    <t>The Williams Companies, Inc.</t>
  </si>
  <si>
    <t xml:space="preserve">Kinder Morgan Canada Limited </t>
  </si>
  <si>
    <t>Kinder Morgan Canada Limited</t>
  </si>
  <si>
    <t>8.5x</t>
  </si>
  <si>
    <t>13.7x</t>
  </si>
  <si>
    <t>Columbia Pipeline Group</t>
  </si>
  <si>
    <t>7.5x</t>
  </si>
  <si>
    <t>12.0x</t>
  </si>
  <si>
    <t>Spectra Energy Corp</t>
  </si>
  <si>
    <t>9.0x</t>
  </si>
  <si>
    <t>14.5x</t>
  </si>
  <si>
    <t>SemGroup Corporation</t>
  </si>
  <si>
    <t>Energy Transfer LP</t>
  </si>
  <si>
    <t>7.0x</t>
  </si>
  <si>
    <t>11.5x</t>
  </si>
  <si>
    <t>Inter Pipeline Ltd.</t>
  </si>
  <si>
    <t>Brookfield Infrastructure Partners</t>
  </si>
  <si>
    <t>8.0x</t>
  </si>
  <si>
    <t>13.0x</t>
  </si>
  <si>
    <t>Yash Agrawal</t>
  </si>
  <si>
    <t>ENB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</si>
</sst>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_(&quot;$&quot;* \(#,##0.00\);_(&quot;$&quot;* &quot;-&quot;??_);_(@_)"/>
    <numFmt numFmtId="43" formatCode="_(* #,##0.00_);_(* \(#,##0.00\);_(* &quot;-&quot;??_);_(@_)"/>
    <numFmt numFmtId="164" formatCode="0&quot;A&quot;"/>
    <numFmt numFmtId="165" formatCode="0&quot;E&quot;"/>
    <numFmt numFmtId="166" formatCode="_(* #,##0.0_);_(* \(#,##0.0\);_(* &quot;-&quot;??_);_(@_)"/>
    <numFmt numFmtId="167" formatCode="0.0%"/>
    <numFmt numFmtId="168" formatCode="mmmm\ d"/>
    <numFmt numFmtId="169" formatCode="_(* #,##0.0_);_(* \(#,##0.0\);_(* &quot;-&quot;?_);_(@_)"/>
    <numFmt numFmtId="170" formatCode="0.0\x"/>
    <numFmt numFmtId="171" formatCode="0.00\x"/>
    <numFmt numFmtId="172" formatCode="#,##0.00\x"/>
    <numFmt numFmtId="173" formatCode="_(* #,##0_);_(* \(#,##0\);_(* &quot;-&quot;??_);_(@_)"/>
    <numFmt numFmtId="174" formatCode="&quot;Year &quot;0"/>
    <numFmt numFmtId="175" formatCode="_(* #,##0.000_);_(* \(#,##0.000\);_(* &quot;-&quot;??_);_(@_)"/>
  </numFmts>
  <fonts count="35">
    <font>
      <sz val="12"/>
      <color theme="1"/>
      <name val="Calibri"/>
      <family val="2"/>
    </font>
    <font>
      <sz val="12"/>
      <color theme="1"/>
      <name val="Calibri"/>
      <family val="2"/>
    </font>
    <font>
      <sz val="8"/>
      <color theme="1"/>
      <name val="Calibri"/>
      <family val="2"/>
    </font>
    <font>
      <sz val="12"/>
      <color rgb="FF000000"/>
      <name val="Calibri"/>
      <family val="2"/>
    </font>
    <font>
      <b/>
      <sz val="12"/>
      <color rgb="FFFFFFFF"/>
      <name val="Calibri"/>
      <family val="2"/>
    </font>
    <font>
      <b/>
      <sz val="12"/>
      <color rgb="FF000000"/>
      <name val="Calibri"/>
      <family val="2"/>
    </font>
    <font>
      <b/>
      <sz val="12"/>
      <name val="Calibri"/>
      <family val="2"/>
    </font>
    <font>
      <b/>
      <sz val="8"/>
      <color theme="0"/>
      <name val="Calibri"/>
      <family val="2"/>
    </font>
    <font>
      <b/>
      <sz val="8"/>
      <color theme="1"/>
      <name val="Calibri"/>
      <family val="2"/>
    </font>
    <font>
      <sz val="8"/>
      <color theme="0"/>
      <name val="Calibri"/>
      <family val="2"/>
    </font>
    <font>
      <sz val="9"/>
      <color indexed="81"/>
      <name val="Tahoma"/>
      <family val="2"/>
    </font>
    <font>
      <b/>
      <sz val="9"/>
      <color indexed="81"/>
      <name val="Tahoma"/>
      <family val="2"/>
    </font>
    <font>
      <i/>
      <sz val="8"/>
      <color theme="1"/>
      <name val="Calibri"/>
      <family val="2"/>
    </font>
    <font>
      <sz val="11"/>
      <color theme="1"/>
      <name val="Aptos Narrow"/>
      <family val="2"/>
      <scheme val="minor"/>
    </font>
    <font>
      <sz val="8"/>
      <color rgb="FFFF0000"/>
      <name val="Calibri"/>
      <family val="2"/>
    </font>
    <font>
      <b/>
      <sz val="12"/>
      <color theme="1"/>
      <name val="Calibri"/>
      <family val="2"/>
    </font>
    <font>
      <sz val="11"/>
      <color indexed="81"/>
      <name val="Tahoma"/>
      <family val="2"/>
    </font>
    <font>
      <b/>
      <sz val="11"/>
      <color indexed="81"/>
      <name val="Tahoma"/>
      <family val="2"/>
    </font>
    <font>
      <b/>
      <sz val="8"/>
      <name val="Calibri"/>
      <family val="2"/>
    </font>
    <font>
      <i/>
      <sz val="8"/>
      <name val="Calibri"/>
      <family val="2"/>
    </font>
    <font>
      <sz val="8"/>
      <name val="Calibri"/>
      <family val="2"/>
    </font>
    <font>
      <b/>
      <sz val="8"/>
      <color rgb="FFFFFFFF"/>
      <name val="Calibri"/>
      <family val="2"/>
    </font>
    <font>
      <b/>
      <sz val="8"/>
      <color rgb="FF000000"/>
      <name val="Calibri"/>
      <family val="2"/>
    </font>
    <font>
      <b/>
      <sz val="2"/>
      <color theme="1"/>
      <name val="Calibri"/>
      <family val="2"/>
    </font>
    <font>
      <sz val="2"/>
      <color theme="1"/>
      <name val="Calibri"/>
      <family val="2"/>
    </font>
    <font>
      <sz val="8"/>
      <color rgb="FF000000"/>
      <name val="Calibri"/>
      <family val="2"/>
    </font>
    <font>
      <sz val="6"/>
      <color theme="1"/>
      <name val="Calibri"/>
      <family val="2"/>
    </font>
    <font>
      <sz val="12"/>
      <color indexed="81"/>
      <name val="Tahoma"/>
      <family val="2"/>
    </font>
    <font>
      <b/>
      <sz val="12"/>
      <color indexed="81"/>
      <name val="Tahoma"/>
      <family val="2"/>
    </font>
    <font>
      <sz val="12"/>
      <name val="Calibri"/>
      <family val="2"/>
    </font>
    <font>
      <sz val="8"/>
      <color theme="9"/>
      <name val="Calibri"/>
      <family val="2"/>
    </font>
    <font>
      <b/>
      <i/>
      <sz val="12"/>
      <name val="Calibri"/>
      <family val="2"/>
    </font>
    <font>
      <b/>
      <sz val="16"/>
      <color theme="0"/>
      <name val="Calibri"/>
      <family val="2"/>
    </font>
    <font>
      <b/>
      <sz val="11"/>
      <color rgb="FF000000"/>
      <name val="Tahoma"/>
      <family val="2"/>
    </font>
    <font>
      <sz val="11"/>
      <color rgb="FF000000"/>
      <name val="Tahoma"/>
      <family val="2"/>
    </font>
  </fonts>
  <fills count="17">
    <fill>
      <patternFill patternType="none"/>
    </fill>
    <fill>
      <patternFill patternType="gray125"/>
    </fill>
    <fill>
      <patternFill patternType="solid">
        <fgColor theme="3" tint="0.89999084444715716"/>
        <bgColor indexed="64"/>
      </patternFill>
    </fill>
    <fill>
      <patternFill patternType="solid">
        <fgColor rgb="FFDAE9F8"/>
        <bgColor rgb="FF000000"/>
      </patternFill>
    </fill>
    <fill>
      <patternFill patternType="solid">
        <fgColor rgb="FFE2E2E2"/>
        <bgColor rgb="FF000000"/>
      </patternFill>
    </fill>
    <fill>
      <patternFill patternType="solid">
        <fgColor theme="9"/>
        <bgColor indexed="64"/>
      </patternFill>
    </fill>
    <fill>
      <patternFill patternType="solid">
        <fgColor theme="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5"/>
        <bgColor rgb="FF000000"/>
      </patternFill>
    </fill>
    <fill>
      <patternFill patternType="solid">
        <fgColor theme="9"/>
        <bgColor rgb="FF000000"/>
      </patternFill>
    </fill>
    <fill>
      <patternFill patternType="solid">
        <fgColor rgb="FF92D05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5" tint="0.79998168889431442"/>
        <bgColor rgb="FF000000"/>
      </patternFill>
    </fill>
  </fills>
  <borders count="11">
    <border>
      <left/>
      <right/>
      <top/>
      <bottom/>
      <diagonal/>
    </border>
    <border>
      <left/>
      <right/>
      <top style="thin">
        <color auto="1"/>
      </top>
      <bottom style="thin">
        <color auto="1"/>
      </bottom>
      <diagonal/>
    </border>
    <border>
      <left/>
      <right/>
      <top style="thin">
        <color indexed="64"/>
      </top>
      <bottom style="medium">
        <color indexed="64"/>
      </bottom>
      <diagonal/>
    </border>
    <border>
      <left/>
      <right/>
      <top style="thin">
        <color indexed="64"/>
      </top>
      <bottom/>
      <diagonal/>
    </border>
    <border>
      <left/>
      <right/>
      <top/>
      <bottom style="medium">
        <color indexed="64"/>
      </bottom>
      <diagonal/>
    </border>
    <border>
      <left/>
      <right/>
      <top style="thin">
        <color indexed="64"/>
      </top>
      <bottom style="double">
        <color indexed="64"/>
      </bottom>
      <diagonal/>
    </border>
    <border>
      <left/>
      <right/>
      <top/>
      <bottom style="double">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13" fillId="0" borderId="0"/>
    <xf numFmtId="44" fontId="13" fillId="0" borderId="0" applyFont="0" applyFill="0" applyBorder="0" applyAlignment="0" applyProtection="0"/>
    <xf numFmtId="43" fontId="13" fillId="0" borderId="0" applyFont="0" applyFill="0" applyBorder="0" applyAlignment="0" applyProtection="0"/>
    <xf numFmtId="44" fontId="1" fillId="0" borderId="0" applyFont="0" applyFill="0" applyBorder="0" applyAlignment="0" applyProtection="0"/>
  </cellStyleXfs>
  <cellXfs count="235">
    <xf numFmtId="0" fontId="0" fillId="0" borderId="0" xfId="0"/>
    <xf numFmtId="0" fontId="2" fillId="0" borderId="0" xfId="0" applyFont="1"/>
    <xf numFmtId="0" fontId="3" fillId="0" borderId="0" xfId="0" applyFont="1"/>
    <xf numFmtId="0" fontId="5" fillId="0" borderId="0" xfId="0" applyFont="1"/>
    <xf numFmtId="0" fontId="5" fillId="4" borderId="0" xfId="0" applyFont="1" applyFill="1" applyAlignment="1">
      <alignment horizontal="left"/>
    </xf>
    <xf numFmtId="0" fontId="5" fillId="4" borderId="0" xfId="0" applyFont="1" applyFill="1" applyAlignment="1">
      <alignment horizontal="center"/>
    </xf>
    <xf numFmtId="43" fontId="3" fillId="0" borderId="0" xfId="1" applyFont="1" applyFill="1" applyBorder="1" applyAlignment="1"/>
    <xf numFmtId="0" fontId="6" fillId="4" borderId="1" xfId="0" applyFont="1" applyFill="1" applyBorder="1"/>
    <xf numFmtId="43" fontId="6" fillId="4" borderId="1" xfId="1" applyFont="1" applyFill="1" applyBorder="1" applyAlignment="1"/>
    <xf numFmtId="10" fontId="6" fillId="4" borderId="1" xfId="2" applyNumberFormat="1" applyFont="1" applyFill="1" applyBorder="1" applyAlignment="1"/>
    <xf numFmtId="0" fontId="8" fillId="0" borderId="0" xfId="0" applyFont="1"/>
    <xf numFmtId="0" fontId="8" fillId="0" borderId="0" xfId="0" applyFont="1" applyAlignment="1">
      <alignment horizontal="left" indent="1"/>
    </xf>
    <xf numFmtId="166" fontId="2" fillId="0" borderId="0" xfId="1" applyNumberFormat="1" applyFont="1"/>
    <xf numFmtId="166" fontId="8" fillId="0" borderId="0" xfId="1" applyNumberFormat="1" applyFont="1"/>
    <xf numFmtId="164" fontId="7" fillId="5" borderId="0" xfId="0" applyNumberFormat="1" applyFont="1" applyFill="1"/>
    <xf numFmtId="165" fontId="7" fillId="5" borderId="0" xfId="0" applyNumberFormat="1" applyFont="1" applyFill="1"/>
    <xf numFmtId="0" fontId="8" fillId="0" borderId="3" xfId="0" applyFont="1" applyBorder="1"/>
    <xf numFmtId="169" fontId="8" fillId="0" borderId="3" xfId="0" applyNumberFormat="1" applyFont="1" applyBorder="1"/>
    <xf numFmtId="167" fontId="12" fillId="0" borderId="4" xfId="2" applyNumberFormat="1" applyFont="1" applyBorder="1"/>
    <xf numFmtId="0" fontId="12" fillId="0" borderId="0" xfId="0" applyFont="1"/>
    <xf numFmtId="167" fontId="12" fillId="0" borderId="0" xfId="2" applyNumberFormat="1" applyFont="1"/>
    <xf numFmtId="0" fontId="12" fillId="0" borderId="6" xfId="0" applyFont="1" applyBorder="1"/>
    <xf numFmtId="167" fontId="12" fillId="0" borderId="6" xfId="2" applyNumberFormat="1" applyFont="1" applyBorder="1"/>
    <xf numFmtId="0" fontId="2" fillId="0" borderId="0" xfId="0" applyFont="1" applyAlignment="1">
      <alignment horizontal="left" indent="1"/>
    </xf>
    <xf numFmtId="0" fontId="12" fillId="0" borderId="0" xfId="0" applyFont="1" applyAlignment="1">
      <alignment horizontal="left" indent="1"/>
    </xf>
    <xf numFmtId="0" fontId="8" fillId="0" borderId="3" xfId="0" applyFont="1" applyBorder="1" applyAlignment="1">
      <alignment horizontal="left" indent="1"/>
    </xf>
    <xf numFmtId="0" fontId="12" fillId="0" borderId="4" xfId="0" applyFont="1" applyBorder="1" applyAlignment="1">
      <alignment horizontal="left" indent="1"/>
    </xf>
    <xf numFmtId="0" fontId="2" fillId="0" borderId="0" xfId="0" applyFont="1" applyAlignment="1">
      <alignment horizontal="left" indent="2"/>
    </xf>
    <xf numFmtId="0" fontId="12" fillId="0" borderId="0" xfId="0" applyFont="1" applyAlignment="1">
      <alignment horizontal="left" indent="2"/>
    </xf>
    <xf numFmtId="0" fontId="9" fillId="6" borderId="0" xfId="0" applyFont="1" applyFill="1"/>
    <xf numFmtId="0" fontId="7" fillId="6" borderId="0" xfId="0" applyFont="1" applyFill="1"/>
    <xf numFmtId="0" fontId="8" fillId="0" borderId="1" xfId="0" applyFont="1" applyBorder="1"/>
    <xf numFmtId="166" fontId="8" fillId="0" borderId="1" xfId="1" applyNumberFormat="1" applyFont="1" applyBorder="1"/>
    <xf numFmtId="0" fontId="8" fillId="0" borderId="2" xfId="0" applyFont="1" applyBorder="1"/>
    <xf numFmtId="166" fontId="8" fillId="0" borderId="2" xfId="1" applyNumberFormat="1" applyFont="1" applyBorder="1"/>
    <xf numFmtId="169" fontId="8" fillId="0" borderId="2" xfId="0" applyNumberFormat="1" applyFont="1" applyBorder="1"/>
    <xf numFmtId="0" fontId="14" fillId="0" borderId="0" xfId="0" applyFont="1" applyAlignment="1">
      <alignment horizontal="left" indent="1"/>
    </xf>
    <xf numFmtId="169" fontId="14" fillId="0" borderId="0" xfId="0" applyNumberFormat="1" applyFont="1"/>
    <xf numFmtId="0" fontId="8" fillId="0" borderId="0" xfId="3" applyFont="1" applyAlignment="1">
      <alignment horizontal="left"/>
    </xf>
    <xf numFmtId="166" fontId="8" fillId="0" borderId="5" xfId="1" applyNumberFormat="1" applyFont="1" applyBorder="1"/>
    <xf numFmtId="166" fontId="7" fillId="6" borderId="0" xfId="1" applyNumberFormat="1" applyFont="1" applyFill="1"/>
    <xf numFmtId="43" fontId="2" fillId="0" borderId="0" xfId="0" applyNumberFormat="1" applyFont="1"/>
    <xf numFmtId="167" fontId="8" fillId="0" borderId="0" xfId="2" applyNumberFormat="1" applyFont="1" applyAlignment="1"/>
    <xf numFmtId="0" fontId="8" fillId="0" borderId="5" xfId="0" applyFont="1" applyBorder="1"/>
    <xf numFmtId="0" fontId="8" fillId="0" borderId="2" xfId="3" applyFont="1" applyBorder="1" applyAlignment="1">
      <alignment horizontal="left"/>
    </xf>
    <xf numFmtId="43" fontId="2" fillId="0" borderId="0" xfId="1" applyFont="1"/>
    <xf numFmtId="169" fontId="2" fillId="0" borderId="0" xfId="0" applyNumberFormat="1" applyFont="1"/>
    <xf numFmtId="166" fontId="12" fillId="0" borderId="0" xfId="1" applyNumberFormat="1" applyFont="1"/>
    <xf numFmtId="0" fontId="20" fillId="0" borderId="0" xfId="3" applyFont="1" applyAlignment="1">
      <alignment horizontal="left" indent="1"/>
    </xf>
    <xf numFmtId="0" fontId="18" fillId="0" borderId="1" xfId="3" applyFont="1" applyBorder="1"/>
    <xf numFmtId="10" fontId="20" fillId="0" borderId="0" xfId="3" applyNumberFormat="1" applyFont="1"/>
    <xf numFmtId="10" fontId="20" fillId="0" borderId="0" xfId="2" applyNumberFormat="1" applyFont="1" applyFill="1" applyBorder="1"/>
    <xf numFmtId="0" fontId="18" fillId="0" borderId="0" xfId="3" applyFont="1" applyAlignment="1">
      <alignment horizontal="left"/>
    </xf>
    <xf numFmtId="0" fontId="18" fillId="0" borderId="3" xfId="3" applyFont="1" applyBorder="1" applyAlignment="1">
      <alignment horizontal="left"/>
    </xf>
    <xf numFmtId="0" fontId="18" fillId="4" borderId="5" xfId="3" applyFont="1" applyFill="1" applyBorder="1"/>
    <xf numFmtId="0" fontId="22" fillId="0" borderId="0" xfId="0" applyFont="1"/>
    <xf numFmtId="0" fontId="7" fillId="11" borderId="0" xfId="3" applyFont="1" applyFill="1"/>
    <xf numFmtId="0" fontId="7" fillId="0" borderId="0" xfId="0" applyFont="1"/>
    <xf numFmtId="0" fontId="18" fillId="0" borderId="0" xfId="3" applyFont="1" applyAlignment="1">
      <alignment horizontal="left" indent="1"/>
    </xf>
    <xf numFmtId="0" fontId="19" fillId="0" borderId="0" xfId="3" applyFont="1" applyAlignment="1">
      <alignment horizontal="left" indent="1"/>
    </xf>
    <xf numFmtId="165" fontId="21" fillId="12" borderId="0" xfId="3" applyNumberFormat="1" applyFont="1" applyFill="1"/>
    <xf numFmtId="0" fontId="21" fillId="12" borderId="0" xfId="3" applyFont="1" applyFill="1"/>
    <xf numFmtId="0" fontId="24" fillId="0" borderId="0" xfId="0" applyFont="1"/>
    <xf numFmtId="14" fontId="5" fillId="0" borderId="0" xfId="0" applyNumberFormat="1" applyFont="1" applyAlignment="1">
      <alignment horizontal="right"/>
    </xf>
    <xf numFmtId="0" fontId="5" fillId="0" borderId="0" xfId="0" applyFont="1" applyAlignment="1">
      <alignment horizontal="left" indent="1"/>
    </xf>
    <xf numFmtId="0" fontId="5" fillId="0" borderId="0" xfId="0" applyFont="1" applyAlignment="1">
      <alignment horizontal="right"/>
    </xf>
    <xf numFmtId="43" fontId="5" fillId="0" borderId="0" xfId="1" applyFont="1" applyFill="1" applyBorder="1" applyAlignment="1"/>
    <xf numFmtId="170" fontId="20" fillId="0" borderId="0" xfId="3" applyNumberFormat="1" applyFont="1"/>
    <xf numFmtId="171" fontId="20" fillId="0" borderId="0" xfId="3" applyNumberFormat="1" applyFont="1"/>
    <xf numFmtId="43" fontId="2" fillId="0" borderId="0" xfId="1" applyFont="1" applyAlignment="1"/>
    <xf numFmtId="0" fontId="8" fillId="10" borderId="0" xfId="0" applyFont="1" applyFill="1"/>
    <xf numFmtId="172" fontId="2" fillId="0" borderId="0" xfId="0" applyNumberFormat="1" applyFont="1"/>
    <xf numFmtId="173" fontId="2" fillId="0" borderId="0" xfId="1" applyNumberFormat="1" applyFont="1" applyAlignment="1"/>
    <xf numFmtId="166" fontId="2" fillId="0" borderId="0" xfId="1" applyNumberFormat="1" applyFont="1" applyAlignment="1"/>
    <xf numFmtId="166" fontId="18" fillId="0" borderId="3" xfId="1" applyNumberFormat="1" applyFont="1" applyBorder="1"/>
    <xf numFmtId="0" fontId="25" fillId="0" borderId="0" xfId="0" applyFont="1" applyAlignment="1">
      <alignment horizontal="left" indent="1"/>
    </xf>
    <xf numFmtId="166" fontId="18" fillId="0" borderId="0" xfId="1" applyNumberFormat="1" applyFont="1"/>
    <xf numFmtId="166" fontId="20" fillId="0" borderId="0" xfId="1" applyNumberFormat="1" applyFont="1"/>
    <xf numFmtId="166" fontId="18" fillId="0" borderId="1" xfId="1" applyNumberFormat="1" applyFont="1" applyBorder="1"/>
    <xf numFmtId="0" fontId="18" fillId="0" borderId="1" xfId="3" applyFont="1" applyBorder="1" applyAlignment="1">
      <alignment horizontal="left"/>
    </xf>
    <xf numFmtId="0" fontId="26" fillId="0" borderId="0" xfId="0" applyFont="1"/>
    <xf numFmtId="0" fontId="7" fillId="5" borderId="0" xfId="0" applyFont="1" applyFill="1"/>
    <xf numFmtId="167" fontId="12" fillId="0" borderId="0" xfId="2" applyNumberFormat="1" applyFont="1" applyBorder="1"/>
    <xf numFmtId="174" fontId="8" fillId="0" borderId="0" xfId="0" applyNumberFormat="1" applyFont="1"/>
    <xf numFmtId="10" fontId="8" fillId="0" borderId="0" xfId="0" applyNumberFormat="1" applyFont="1"/>
    <xf numFmtId="175" fontId="8" fillId="0" borderId="0" xfId="1" applyNumberFormat="1" applyFont="1" applyAlignment="1"/>
    <xf numFmtId="166" fontId="25" fillId="0" borderId="0" xfId="1" applyNumberFormat="1" applyFont="1" applyFill="1" applyBorder="1"/>
    <xf numFmtId="43" fontId="18" fillId="4" borderId="5" xfId="1" applyFont="1" applyFill="1" applyBorder="1"/>
    <xf numFmtId="166" fontId="18" fillId="4" borderId="5" xfId="1" applyNumberFormat="1" applyFont="1" applyFill="1" applyBorder="1"/>
    <xf numFmtId="166" fontId="19" fillId="0" borderId="0" xfId="1" applyNumberFormat="1" applyFont="1"/>
    <xf numFmtId="10" fontId="2" fillId="0" borderId="0" xfId="0" applyNumberFormat="1" applyFont="1"/>
    <xf numFmtId="175" fontId="2" fillId="0" borderId="0" xfId="1" applyNumberFormat="1" applyFont="1"/>
    <xf numFmtId="175" fontId="8" fillId="0" borderId="1" xfId="1" applyNumberFormat="1" applyFont="1" applyBorder="1"/>
    <xf numFmtId="10" fontId="8" fillId="0" borderId="0" xfId="2" applyNumberFormat="1" applyFont="1"/>
    <xf numFmtId="164" fontId="2" fillId="0" borderId="0" xfId="0" applyNumberFormat="1" applyFont="1"/>
    <xf numFmtId="43" fontId="3" fillId="0" borderId="0" xfId="1" applyFont="1"/>
    <xf numFmtId="0" fontId="2" fillId="5" borderId="0" xfId="0" applyFont="1" applyFill="1"/>
    <xf numFmtId="0" fontId="18" fillId="10" borderId="0" xfId="0" applyFont="1" applyFill="1"/>
    <xf numFmtId="0" fontId="18" fillId="10" borderId="0" xfId="0" applyFont="1" applyFill="1" applyAlignment="1">
      <alignment horizontal="center"/>
    </xf>
    <xf numFmtId="166" fontId="8" fillId="10" borderId="5" xfId="1" applyNumberFormat="1" applyFont="1" applyFill="1" applyBorder="1"/>
    <xf numFmtId="0" fontId="6" fillId="4" borderId="0" xfId="0" applyFont="1" applyFill="1"/>
    <xf numFmtId="0" fontId="29" fillId="0" borderId="0" xfId="0" applyFont="1"/>
    <xf numFmtId="10" fontId="6" fillId="2" borderId="0" xfId="2" applyNumberFormat="1" applyFont="1" applyFill="1"/>
    <xf numFmtId="10" fontId="3" fillId="0" borderId="0" xfId="2" applyNumberFormat="1" applyFont="1"/>
    <xf numFmtId="9" fontId="5" fillId="0" borderId="0" xfId="1" applyNumberFormat="1" applyFont="1"/>
    <xf numFmtId="43" fontId="5" fillId="0" borderId="0" xfId="1" applyFont="1"/>
    <xf numFmtId="0" fontId="3" fillId="10" borderId="0" xfId="0" applyFont="1" applyFill="1"/>
    <xf numFmtId="0" fontId="5" fillId="10" borderId="0" xfId="0" applyFont="1" applyFill="1" applyAlignment="1">
      <alignment horizontal="center"/>
    </xf>
    <xf numFmtId="0" fontId="6" fillId="10" borderId="0" xfId="0" applyFont="1" applyFill="1" applyAlignment="1">
      <alignment horizontal="center"/>
    </xf>
    <xf numFmtId="166" fontId="2" fillId="10" borderId="0" xfId="1" applyNumberFormat="1" applyFont="1" applyFill="1"/>
    <xf numFmtId="166" fontId="8" fillId="10" borderId="0" xfId="1" applyNumberFormat="1" applyFont="1" applyFill="1"/>
    <xf numFmtId="166" fontId="8" fillId="10" borderId="2" xfId="1" applyNumberFormat="1" applyFont="1" applyFill="1" applyBorder="1"/>
    <xf numFmtId="166" fontId="8" fillId="10" borderId="1" xfId="1" applyNumberFormat="1" applyFont="1" applyFill="1" applyBorder="1"/>
    <xf numFmtId="166" fontId="12" fillId="10" borderId="0" xfId="1" applyNumberFormat="1" applyFont="1" applyFill="1"/>
    <xf numFmtId="0" fontId="2" fillId="10" borderId="0" xfId="0" applyFont="1" applyFill="1"/>
    <xf numFmtId="169" fontId="8" fillId="10" borderId="2" xfId="0" applyNumberFormat="1" applyFont="1" applyFill="1" applyBorder="1"/>
    <xf numFmtId="169" fontId="14" fillId="10" borderId="0" xfId="0" applyNumberFormat="1" applyFont="1" applyFill="1"/>
    <xf numFmtId="166" fontId="8" fillId="10" borderId="3" xfId="1" applyNumberFormat="1" applyFont="1" applyFill="1" applyBorder="1"/>
    <xf numFmtId="166" fontId="8" fillId="0" borderId="3" xfId="1" applyNumberFormat="1" applyFont="1" applyBorder="1"/>
    <xf numFmtId="166" fontId="30" fillId="0" borderId="0" xfId="1" applyNumberFormat="1" applyFont="1"/>
    <xf numFmtId="167" fontId="12" fillId="10" borderId="0" xfId="2" applyNumberFormat="1" applyFont="1" applyFill="1"/>
    <xf numFmtId="169" fontId="8" fillId="10" borderId="3" xfId="0" applyNumberFormat="1" applyFont="1" applyFill="1" applyBorder="1"/>
    <xf numFmtId="167" fontId="12" fillId="10" borderId="0" xfId="2" applyNumberFormat="1" applyFont="1" applyFill="1" applyBorder="1"/>
    <xf numFmtId="167" fontId="12" fillId="10" borderId="4" xfId="2" applyNumberFormat="1" applyFont="1" applyFill="1" applyBorder="1"/>
    <xf numFmtId="167" fontId="12" fillId="10" borderId="6" xfId="2" applyNumberFormat="1" applyFont="1" applyFill="1" applyBorder="1"/>
    <xf numFmtId="167" fontId="12" fillId="0" borderId="0" xfId="0" applyNumberFormat="1" applyFont="1"/>
    <xf numFmtId="43" fontId="8" fillId="0" borderId="0" xfId="1" applyFont="1"/>
    <xf numFmtId="10" fontId="5" fillId="0" borderId="0" xfId="2" applyNumberFormat="1" applyFont="1" applyFill="1" applyBorder="1" applyAlignment="1"/>
    <xf numFmtId="0" fontId="6" fillId="0" borderId="0" xfId="0" applyFont="1"/>
    <xf numFmtId="43" fontId="29" fillId="0" borderId="0" xfId="1" applyFont="1"/>
    <xf numFmtId="10" fontId="31" fillId="0" borderId="0" xfId="2" applyNumberFormat="1" applyFont="1" applyFill="1" applyBorder="1" applyAlignment="1"/>
    <xf numFmtId="0" fontId="6" fillId="4" borderId="0" xfId="0" applyFont="1" applyFill="1" applyAlignment="1">
      <alignment horizontal="center"/>
    </xf>
    <xf numFmtId="167" fontId="12" fillId="0" borderId="0" xfId="2" applyNumberFormat="1" applyFont="1" applyFill="1"/>
    <xf numFmtId="0" fontId="18" fillId="0" borderId="0" xfId="2" applyNumberFormat="1" applyFont="1" applyFill="1" applyAlignment="1"/>
    <xf numFmtId="0" fontId="23" fillId="0" borderId="0" xfId="0" applyFont="1"/>
    <xf numFmtId="0" fontId="9" fillId="5" borderId="0" xfId="0" applyFont="1" applyFill="1"/>
    <xf numFmtId="0" fontId="22" fillId="0" borderId="4" xfId="0" applyFont="1" applyBorder="1"/>
    <xf numFmtId="0" fontId="2" fillId="0" borderId="4" xfId="0" applyFont="1" applyBorder="1"/>
    <xf numFmtId="14" fontId="22" fillId="3" borderId="0" xfId="0" applyNumberFormat="1" applyFont="1" applyFill="1"/>
    <xf numFmtId="173" fontId="8" fillId="2" borderId="0" xfId="1" applyNumberFormat="1" applyFont="1" applyFill="1" applyAlignment="1"/>
    <xf numFmtId="170" fontId="8" fillId="2" borderId="0" xfId="1" applyNumberFormat="1" applyFont="1" applyFill="1" applyAlignment="1"/>
    <xf numFmtId="166" fontId="8" fillId="2" borderId="0" xfId="1" applyNumberFormat="1" applyFont="1" applyFill="1" applyAlignment="1"/>
    <xf numFmtId="168" fontId="8" fillId="2" borderId="0" xfId="0" applyNumberFormat="1" applyFont="1" applyFill="1"/>
    <xf numFmtId="0" fontId="8" fillId="2" borderId="0" xfId="0" applyFont="1" applyFill="1"/>
    <xf numFmtId="174" fontId="7" fillId="6" borderId="0" xfId="0" applyNumberFormat="1" applyFont="1" applyFill="1"/>
    <xf numFmtId="0" fontId="7" fillId="5" borderId="0" xfId="3" applyFont="1" applyFill="1"/>
    <xf numFmtId="0" fontId="8" fillId="0" borderId="7" xfId="0" applyFont="1" applyBorder="1"/>
    <xf numFmtId="164" fontId="18" fillId="0" borderId="7" xfId="0" applyNumberFormat="1" applyFont="1" applyBorder="1"/>
    <xf numFmtId="0" fontId="8" fillId="2" borderId="7" xfId="0" applyFont="1" applyFill="1" applyBorder="1"/>
    <xf numFmtId="10" fontId="18" fillId="0" borderId="0" xfId="2" applyNumberFormat="1" applyFont="1" applyFill="1" applyAlignment="1"/>
    <xf numFmtId="9" fontId="2" fillId="2" borderId="0" xfId="0" applyNumberFormat="1" applyFont="1" applyFill="1"/>
    <xf numFmtId="10" fontId="8" fillId="2" borderId="0" xfId="2" applyNumberFormat="1" applyFont="1" applyFill="1" applyAlignment="1"/>
    <xf numFmtId="165" fontId="18" fillId="0" borderId="0" xfId="0" applyNumberFormat="1" applyFont="1"/>
    <xf numFmtId="0" fontId="18" fillId="0" borderId="0" xfId="3" applyFont="1"/>
    <xf numFmtId="166" fontId="8" fillId="2" borderId="0" xfId="1" applyNumberFormat="1" applyFont="1" applyFill="1" applyBorder="1" applyAlignment="1"/>
    <xf numFmtId="0" fontId="19" fillId="0" borderId="0" xfId="3" applyFont="1"/>
    <xf numFmtId="167" fontId="19" fillId="0" borderId="0" xfId="3" applyNumberFormat="1" applyFont="1"/>
    <xf numFmtId="0" fontId="20" fillId="0" borderId="0" xfId="3" applyFont="1"/>
    <xf numFmtId="166" fontId="8" fillId="0" borderId="0" xfId="1" applyNumberFormat="1" applyFont="1" applyFill="1" applyBorder="1" applyAlignment="1"/>
    <xf numFmtId="167" fontId="20" fillId="0" borderId="0" xfId="3" applyNumberFormat="1" applyFont="1"/>
    <xf numFmtId="166" fontId="18" fillId="0" borderId="1" xfId="1" applyNumberFormat="1" applyFont="1" applyFill="1" applyBorder="1" applyAlignment="1"/>
    <xf numFmtId="0" fontId="9" fillId="5" borderId="0" xfId="3" applyFont="1" applyFill="1"/>
    <xf numFmtId="10" fontId="8" fillId="2" borderId="0" xfId="2" applyNumberFormat="1" applyFont="1" applyFill="1" applyBorder="1" applyAlignment="1"/>
    <xf numFmtId="10" fontId="18" fillId="0" borderId="0" xfId="2" applyNumberFormat="1" applyFont="1" applyFill="1" applyBorder="1" applyAlignment="1"/>
    <xf numFmtId="10" fontId="20" fillId="0" borderId="0" xfId="2" applyNumberFormat="1" applyFont="1" applyFill="1" applyBorder="1" applyAlignment="1"/>
    <xf numFmtId="43" fontId="8" fillId="2" borderId="0" xfId="1" applyFont="1" applyFill="1" applyBorder="1" applyAlignment="1"/>
    <xf numFmtId="10" fontId="18" fillId="0" borderId="1" xfId="3" applyNumberFormat="1" applyFont="1" applyBorder="1"/>
    <xf numFmtId="0" fontId="20" fillId="0" borderId="0" xfId="3" quotePrefix="1" applyFont="1"/>
    <xf numFmtId="10" fontId="8" fillId="0" borderId="0" xfId="2" applyNumberFormat="1" applyFont="1" applyFill="1" applyBorder="1" applyAlignment="1"/>
    <xf numFmtId="10" fontId="18" fillId="0" borderId="1" xfId="2" applyNumberFormat="1" applyFont="1" applyBorder="1" applyAlignment="1"/>
    <xf numFmtId="10" fontId="8" fillId="0" borderId="2" xfId="0" applyNumberFormat="1" applyFont="1" applyBorder="1"/>
    <xf numFmtId="0" fontId="8" fillId="10" borderId="5" xfId="0" applyFont="1" applyFill="1" applyBorder="1"/>
    <xf numFmtId="10" fontId="8" fillId="10" borderId="5" xfId="2" applyNumberFormat="1" applyFont="1" applyFill="1" applyBorder="1" applyAlignment="1"/>
    <xf numFmtId="10" fontId="8" fillId="2" borderId="0" xfId="0" applyNumberFormat="1" applyFont="1" applyFill="1"/>
    <xf numFmtId="0" fontId="8" fillId="7" borderId="0" xfId="0" applyFont="1" applyFill="1"/>
    <xf numFmtId="10" fontId="2" fillId="2" borderId="0" xfId="0" applyNumberFormat="1" applyFont="1" applyFill="1"/>
    <xf numFmtId="167" fontId="2" fillId="0" borderId="0" xfId="2" applyNumberFormat="1" applyFont="1" applyAlignment="1"/>
    <xf numFmtId="167" fontId="2" fillId="0" borderId="0" xfId="0" applyNumberFormat="1" applyFont="1"/>
    <xf numFmtId="169" fontId="8" fillId="0" borderId="0" xfId="0" applyNumberFormat="1" applyFont="1"/>
    <xf numFmtId="166" fontId="8" fillId="0" borderId="0" xfId="1" applyNumberFormat="1" applyFont="1" applyAlignment="1"/>
    <xf numFmtId="0" fontId="8" fillId="2" borderId="0" xfId="2" applyNumberFormat="1" applyFont="1" applyFill="1" applyAlignment="1"/>
    <xf numFmtId="167" fontId="2" fillId="0" borderId="0" xfId="2" applyNumberFormat="1" applyFont="1" applyFill="1" applyBorder="1" applyAlignment="1"/>
    <xf numFmtId="9" fontId="8" fillId="2" borderId="0" xfId="2" applyFont="1" applyFill="1" applyAlignment="1"/>
    <xf numFmtId="9" fontId="8" fillId="0" borderId="0" xfId="2" applyFont="1" applyFill="1" applyBorder="1" applyAlignment="1"/>
    <xf numFmtId="166" fontId="8" fillId="0" borderId="0" xfId="2" applyNumberFormat="1" applyFont="1" applyFill="1" applyBorder="1" applyAlignment="1"/>
    <xf numFmtId="166" fontId="8" fillId="0" borderId="0" xfId="0" applyNumberFormat="1" applyFont="1"/>
    <xf numFmtId="9" fontId="8" fillId="0" borderId="0" xfId="2" applyFont="1" applyAlignment="1"/>
    <xf numFmtId="0" fontId="8" fillId="0" borderId="0" xfId="2" applyNumberFormat="1" applyFont="1" applyFill="1" applyAlignment="1"/>
    <xf numFmtId="167" fontId="2" fillId="0" borderId="0" xfId="2" applyNumberFormat="1" applyFont="1" applyFill="1" applyAlignment="1"/>
    <xf numFmtId="166" fontId="8" fillId="0" borderId="0" xfId="1" applyNumberFormat="1" applyFont="1" applyFill="1" applyAlignment="1"/>
    <xf numFmtId="0" fontId="8" fillId="9" borderId="0" xfId="0" applyFont="1" applyFill="1"/>
    <xf numFmtId="166" fontId="2" fillId="0" borderId="0" xfId="0" applyNumberFormat="1" applyFont="1"/>
    <xf numFmtId="0" fontId="2" fillId="0" borderId="0" xfId="2" applyNumberFormat="1" applyFont="1" applyAlignment="1"/>
    <xf numFmtId="9" fontId="2" fillId="0" borderId="0" xfId="2" applyFont="1" applyAlignment="1"/>
    <xf numFmtId="164" fontId="8" fillId="0" borderId="0" xfId="0" applyNumberFormat="1" applyFont="1"/>
    <xf numFmtId="0" fontId="8" fillId="0" borderId="0" xfId="3" applyFont="1"/>
    <xf numFmtId="43" fontId="8" fillId="0" borderId="0" xfId="1" applyFont="1" applyAlignment="1"/>
    <xf numFmtId="0" fontId="8" fillId="8" borderId="0" xfId="0" applyFont="1" applyFill="1"/>
    <xf numFmtId="169" fontId="8" fillId="2" borderId="0" xfId="0" applyNumberFormat="1" applyFont="1" applyFill="1"/>
    <xf numFmtId="0" fontId="8" fillId="0" borderId="0" xfId="1" applyNumberFormat="1" applyFont="1" applyAlignment="1"/>
    <xf numFmtId="14" fontId="8" fillId="2" borderId="0" xfId="0" applyNumberFormat="1" applyFont="1" applyFill="1"/>
    <xf numFmtId="170" fontId="18" fillId="2" borderId="0" xfId="3" applyNumberFormat="1" applyFont="1" applyFill="1"/>
    <xf numFmtId="0" fontId="8" fillId="0" borderId="0" xfId="0" applyFont="1" applyAlignment="1">
      <alignment horizontal="left" indent="2"/>
    </xf>
    <xf numFmtId="166" fontId="2" fillId="0" borderId="0" xfId="1" applyNumberFormat="1" applyFont="1" applyFill="1"/>
    <xf numFmtId="0" fontId="8" fillId="10" borderId="0" xfId="0" applyFont="1" applyFill="1" applyAlignment="1">
      <alignment horizontal="center"/>
    </xf>
    <xf numFmtId="43" fontId="8" fillId="0" borderId="0" xfId="0" applyNumberFormat="1" applyFont="1"/>
    <xf numFmtId="43" fontId="5" fillId="3" borderId="0" xfId="1" applyFont="1" applyFill="1" applyAlignment="1"/>
    <xf numFmtId="43" fontId="5" fillId="3" borderId="0" xfId="1" applyFont="1" applyFill="1" applyBorder="1" applyAlignment="1"/>
    <xf numFmtId="0" fontId="5" fillId="2" borderId="0" xfId="0" applyFont="1" applyFill="1" applyAlignment="1">
      <alignment horizontal="right"/>
    </xf>
    <xf numFmtId="14" fontId="5" fillId="2" borderId="0" xfId="0" applyNumberFormat="1" applyFont="1" applyFill="1" applyAlignment="1">
      <alignment horizontal="right"/>
    </xf>
    <xf numFmtId="0" fontId="6" fillId="16" borderId="0" xfId="0" applyFont="1" applyFill="1"/>
    <xf numFmtId="0" fontId="8" fillId="2" borderId="0" xfId="0" applyFont="1" applyFill="1" applyAlignment="1">
      <alignment horizontal="right"/>
    </xf>
    <xf numFmtId="0" fontId="5" fillId="0" borderId="8" xfId="0" applyFont="1" applyBorder="1" applyAlignment="1">
      <alignment horizontal="center"/>
    </xf>
    <xf numFmtId="0" fontId="5" fillId="0" borderId="9" xfId="0" applyFont="1" applyBorder="1" applyAlignment="1">
      <alignment horizontal="center"/>
    </xf>
    <xf numFmtId="0" fontId="5" fillId="0" borderId="10" xfId="0" applyFont="1" applyBorder="1" applyAlignment="1">
      <alignment horizontal="center"/>
    </xf>
    <xf numFmtId="0" fontId="15" fillId="0" borderId="0" xfId="0" applyFont="1"/>
    <xf numFmtId="44" fontId="15" fillId="2" borderId="0" xfId="6" applyFont="1" applyFill="1"/>
    <xf numFmtId="43" fontId="15" fillId="0" borderId="0" xfId="0" applyNumberFormat="1" applyFont="1"/>
    <xf numFmtId="43" fontId="15" fillId="2" borderId="0" xfId="1" applyFont="1" applyFill="1"/>
    <xf numFmtId="44" fontId="15" fillId="0" borderId="0" xfId="6" applyFont="1"/>
    <xf numFmtId="44" fontId="15" fillId="0" borderId="0" xfId="0" applyNumberFormat="1" applyFont="1"/>
    <xf numFmtId="10" fontId="0" fillId="0" borderId="0" xfId="2" applyNumberFormat="1" applyFont="1"/>
    <xf numFmtId="0" fontId="7" fillId="6" borderId="0" xfId="0" applyFont="1" applyFill="1" applyAlignment="1">
      <alignment horizontal="right"/>
    </xf>
    <xf numFmtId="164" fontId="7" fillId="5" borderId="0" xfId="0" applyNumberFormat="1" applyFont="1" applyFill="1" applyAlignment="1">
      <alignment horizontal="right"/>
    </xf>
    <xf numFmtId="0" fontId="18" fillId="4" borderId="5" xfId="1" applyNumberFormat="1" applyFont="1" applyFill="1" applyBorder="1"/>
    <xf numFmtId="0" fontId="0" fillId="0" borderId="0" xfId="0" applyAlignment="1">
      <alignment vertical="center" wrapText="1"/>
    </xf>
    <xf numFmtId="3" fontId="0" fillId="0" borderId="0" xfId="0" applyNumberFormat="1" applyAlignment="1">
      <alignment vertical="center" wrapText="1"/>
    </xf>
    <xf numFmtId="17" fontId="0" fillId="0" borderId="0" xfId="0" applyNumberFormat="1" applyAlignment="1">
      <alignment vertical="center" wrapText="1"/>
    </xf>
    <xf numFmtId="0" fontId="4" fillId="12" borderId="0" xfId="0" applyFont="1" applyFill="1" applyAlignment="1">
      <alignment horizontal="left"/>
    </xf>
    <xf numFmtId="0" fontId="4" fillId="11" borderId="0" xfId="0" applyFont="1" applyFill="1" applyAlignment="1">
      <alignment horizontal="left"/>
    </xf>
    <xf numFmtId="0" fontId="5" fillId="10" borderId="0" xfId="0" applyFont="1" applyFill="1" applyAlignment="1">
      <alignment horizontal="center"/>
    </xf>
    <xf numFmtId="0" fontId="15" fillId="15" borderId="0" xfId="0" applyFont="1" applyFill="1" applyAlignment="1">
      <alignment horizontal="center" vertical="center" textRotation="90"/>
    </xf>
    <xf numFmtId="0" fontId="15" fillId="14" borderId="0" xfId="0" applyFont="1" applyFill="1" applyAlignment="1">
      <alignment horizontal="center" vertical="center" textRotation="90"/>
    </xf>
    <xf numFmtId="0" fontId="15" fillId="13" borderId="0" xfId="0" applyFont="1" applyFill="1" applyAlignment="1">
      <alignment horizontal="center" vertical="center" textRotation="90"/>
    </xf>
    <xf numFmtId="0" fontId="32" fillId="6" borderId="0" xfId="0" applyFont="1" applyFill="1" applyAlignment="1">
      <alignment horizontal="left"/>
    </xf>
  </cellXfs>
  <cellStyles count="7">
    <cellStyle name="Comma" xfId="1" builtinId="3"/>
    <cellStyle name="Comma 2" xfId="5" xr:uid="{FBD4A6C9-ED3A-47EC-9E9E-E4DB10218829}"/>
    <cellStyle name="Currency" xfId="6" builtinId="4"/>
    <cellStyle name="Currency 2" xfId="4" xr:uid="{A4E98583-22A4-49DC-935B-5E6DBF3DE1A2}"/>
    <cellStyle name="Normal" xfId="0" builtinId="0"/>
    <cellStyle name="Normal 2" xfId="3" xr:uid="{7C3496D5-359B-45A9-A63C-AB767C476172}"/>
    <cellStyle name="Percent" xfId="2" builtinId="5"/>
  </cellStyles>
  <dxfs count="6">
    <dxf>
      <font>
        <b/>
        <i val="0"/>
        <color rgb="FF00B050"/>
      </font>
    </dxf>
    <dxf>
      <font>
        <b/>
        <i val="0"/>
        <color theme="7"/>
      </font>
      <fill>
        <patternFill patternType="none">
          <bgColor auto="1"/>
        </patternFill>
      </fill>
    </dxf>
    <dxf>
      <font>
        <b/>
        <i val="0"/>
        <color rgb="FFFF0000"/>
      </font>
      <fill>
        <patternFill patternType="none">
          <bgColor auto="1"/>
        </patternFill>
      </fill>
    </dxf>
    <dxf>
      <font>
        <b/>
        <i val="0"/>
        <color rgb="FF00B050"/>
      </font>
    </dxf>
    <dxf>
      <font>
        <b/>
        <i val="0"/>
        <color theme="7"/>
      </font>
      <fill>
        <patternFill patternType="none">
          <bgColor auto="1"/>
        </patternFill>
      </fill>
    </dxf>
    <dxf>
      <font>
        <b/>
        <i val="0"/>
        <color rgb="FFFF0000"/>
      </font>
      <fill>
        <patternFill patternType="none">
          <bgColor auto="1"/>
        </patternFill>
      </fill>
    </dxf>
  </dxfs>
  <tableStyles count="0" defaultTableStyle="TableStyleMedium2" defaultPivotStyle="PivotStyleLight16"/>
  <colors>
    <mruColors>
      <color rgb="FF004B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6"/>
            </a:solidFill>
            <a:ln>
              <a:solidFill>
                <a:schemeClr val="accent6"/>
              </a:solidFill>
            </a:ln>
          </c:spPr>
          <c:dPt>
            <c:idx val="0"/>
            <c:bubble3D val="0"/>
            <c:spPr>
              <a:solidFill>
                <a:schemeClr val="accent6"/>
              </a:solidFill>
              <a:ln w="19050">
                <a:solidFill>
                  <a:schemeClr val="bg1"/>
                </a:solidFill>
              </a:ln>
              <a:effectLst/>
            </c:spPr>
            <c:extLst>
              <c:ext xmlns:c16="http://schemas.microsoft.com/office/drawing/2014/chart" uri="{C3380CC4-5D6E-409C-BE32-E72D297353CC}">
                <c16:uniqueId val="{00000001-F09D-4A46-B096-45F8B13964BE}"/>
              </c:ext>
            </c:extLst>
          </c:dPt>
          <c:dPt>
            <c:idx val="1"/>
            <c:bubble3D val="0"/>
            <c:spPr>
              <a:solidFill>
                <a:srgbClr val="004B93"/>
              </a:solidFill>
              <a:ln w="19050">
                <a:solidFill>
                  <a:schemeClr val="bg1"/>
                </a:solidFill>
              </a:ln>
              <a:effectLst/>
            </c:spPr>
            <c:extLst>
              <c:ext xmlns:c16="http://schemas.microsoft.com/office/drawing/2014/chart" uri="{C3380CC4-5D6E-409C-BE32-E72D297353CC}">
                <c16:uniqueId val="{00000003-F09D-4A46-B096-45F8B13964BE}"/>
              </c:ext>
            </c:extLst>
          </c:dPt>
          <c:dLbls>
            <c:dLbl>
              <c:idx val="0"/>
              <c:dLblPos val="outEnd"/>
              <c:showLegendKey val="0"/>
              <c:showVal val="1"/>
              <c:showCatName val="1"/>
              <c:showSerName val="0"/>
              <c:showPercent val="0"/>
              <c:showBubbleSize val="0"/>
              <c:extLst>
                <c:ext xmlns:c15="http://schemas.microsoft.com/office/drawing/2012/chart" uri="{CE6537A1-D6FC-4f65-9D91-7224C49458BB}">
                  <c15:layout>
                    <c:manualLayout>
                      <c:w val="0.31678485676105905"/>
                      <c:h val="0.10390359809911745"/>
                    </c:manualLayout>
                  </c15:layout>
                </c:ext>
                <c:ext xmlns:c16="http://schemas.microsoft.com/office/drawing/2014/chart" uri="{C3380CC4-5D6E-409C-BE32-E72D297353CC}">
                  <c16:uniqueId val="{00000001-F09D-4A46-B096-45F8B13964BE}"/>
                </c:ext>
              </c:extLst>
            </c:dLbl>
            <c:dLbl>
              <c:idx val="1"/>
              <c:dLblPos val="outEnd"/>
              <c:showLegendKey val="0"/>
              <c:showVal val="1"/>
              <c:showCatName val="1"/>
              <c:showSerName val="0"/>
              <c:showPercent val="0"/>
              <c:showBubbleSize val="0"/>
              <c:extLst>
                <c:ext xmlns:c15="http://schemas.microsoft.com/office/drawing/2012/chart" uri="{CE6537A1-D6FC-4f65-9D91-7224C49458BB}">
                  <c15:layout>
                    <c:manualLayout>
                      <c:w val="0.33924949290060846"/>
                      <c:h val="0.10390359809911745"/>
                    </c:manualLayout>
                  </c15:layout>
                </c:ext>
                <c:ext xmlns:c16="http://schemas.microsoft.com/office/drawing/2014/chart" uri="{C3380CC4-5D6E-409C-BE32-E72D297353CC}">
                  <c16:uniqueId val="{00000003-F09D-4A46-B096-45F8B13964BE}"/>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extLst>
          </c:dLbls>
          <c:cat>
            <c:strRef>
              <c:f>'Effect on Portfolio'!$E$3:$F$3</c:f>
              <c:strCache>
                <c:ptCount val="2"/>
                <c:pt idx="0">
                  <c:v>Cash</c:v>
                </c:pt>
                <c:pt idx="1">
                  <c:v>PepsiCo</c:v>
                </c:pt>
              </c:strCache>
            </c:strRef>
          </c:cat>
          <c:val>
            <c:numRef>
              <c:f>'Effect on Portfolio'!$E$5:$F$5</c:f>
              <c:numCache>
                <c:formatCode>0.00%</c:formatCode>
                <c:ptCount val="2"/>
                <c:pt idx="0">
                  <c:v>0.99575100000000005</c:v>
                </c:pt>
                <c:pt idx="1">
                  <c:v>4.2490000000000002E-3</c:v>
                </c:pt>
              </c:numCache>
            </c:numRef>
          </c:val>
          <c:extLst>
            <c:ext xmlns:c16="http://schemas.microsoft.com/office/drawing/2014/chart" uri="{C3380CC4-5D6E-409C-BE32-E72D297353CC}">
              <c16:uniqueId val="{00000004-F09D-4A46-B096-45F8B13964BE}"/>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rgbClr val="004B93"/>
            </a:solidFill>
          </c:spPr>
          <c:dPt>
            <c:idx val="0"/>
            <c:bubble3D val="0"/>
            <c:spPr>
              <a:solidFill>
                <a:schemeClr val="accent6"/>
              </a:solidFill>
              <a:ln w="19050">
                <a:solidFill>
                  <a:schemeClr val="lt1"/>
                </a:solidFill>
              </a:ln>
              <a:effectLst/>
            </c:spPr>
            <c:extLst>
              <c:ext xmlns:c16="http://schemas.microsoft.com/office/drawing/2014/chart" uri="{C3380CC4-5D6E-409C-BE32-E72D297353CC}">
                <c16:uniqueId val="{00000001-200F-41F6-B223-2275F3FDFF0C}"/>
              </c:ext>
            </c:extLst>
          </c:dPt>
          <c:dPt>
            <c:idx val="1"/>
            <c:bubble3D val="0"/>
            <c:spPr>
              <a:solidFill>
                <a:srgbClr val="004B93"/>
              </a:solidFill>
              <a:ln w="19050">
                <a:solidFill>
                  <a:schemeClr val="lt1"/>
                </a:solidFill>
              </a:ln>
              <a:effectLst/>
            </c:spPr>
            <c:extLst>
              <c:ext xmlns:c16="http://schemas.microsoft.com/office/drawing/2014/chart" uri="{C3380CC4-5D6E-409C-BE32-E72D297353CC}">
                <c16:uniqueId val="{00000003-200F-41F6-B223-2275F3FDFF0C}"/>
              </c:ext>
            </c:extLst>
          </c:dPt>
          <c:dLbls>
            <c:dLbl>
              <c:idx val="0"/>
              <c:dLblPos val="outEnd"/>
              <c:showLegendKey val="0"/>
              <c:showVal val="1"/>
              <c:showCatName val="1"/>
              <c:showSerName val="0"/>
              <c:showPercent val="0"/>
              <c:showBubbleSize val="0"/>
              <c:extLst>
                <c:ext xmlns:c15="http://schemas.microsoft.com/office/drawing/2012/chart" uri="{CE6537A1-D6FC-4f65-9D91-7224C49458BB}">
                  <c15:layout>
                    <c:manualLayout>
                      <c:w val="0.37902705937908387"/>
                      <c:h val="0.10606375606375607"/>
                    </c:manualLayout>
                  </c15:layout>
                </c:ext>
                <c:ext xmlns:c16="http://schemas.microsoft.com/office/drawing/2014/chart" uri="{C3380CC4-5D6E-409C-BE32-E72D297353CC}">
                  <c16:uniqueId val="{00000001-200F-41F6-B223-2275F3FDFF0C}"/>
                </c:ext>
              </c:extLst>
            </c:dLbl>
            <c:dLbl>
              <c:idx val="1"/>
              <c:spPr>
                <a:noFill/>
                <a:ln>
                  <a:noFill/>
                </a:ln>
                <a:effectLst/>
              </c:spPr>
              <c:txPr>
                <a:bodyPr rot="0" spcFirstLastPara="1" vertOverflow="ellipsis" vert="horz" wrap="square" lIns="38100" tIns="19050" rIns="38100" bIns="19050" anchor="ctr" anchorCtr="1">
                  <a:noAutofit/>
                </a:bodyPr>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1"/>
              <c:showSerName val="0"/>
              <c:showPercent val="0"/>
              <c:showBubbleSize val="0"/>
              <c:extLst>
                <c:ext xmlns:c15="http://schemas.microsoft.com/office/drawing/2012/chart" uri="{CE6537A1-D6FC-4f65-9D91-7224C49458BB}">
                  <c15:layout>
                    <c:manualLayout>
                      <c:w val="0.63110181311018132"/>
                      <c:h val="0.1151074151074151"/>
                    </c:manualLayout>
                  </c15:layout>
                </c:ext>
                <c:ext xmlns:c16="http://schemas.microsoft.com/office/drawing/2014/chart" uri="{C3380CC4-5D6E-409C-BE32-E72D297353CC}">
                  <c16:uniqueId val="{00000003-200F-41F6-B223-2275F3FDFF0C}"/>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extLst>
          </c:dLbls>
          <c:cat>
            <c:strRef>
              <c:f>'Effect on Portfolio'!$J$3:$K$3</c:f>
              <c:strCache>
                <c:ptCount val="2"/>
                <c:pt idx="0">
                  <c:v>Cash</c:v>
                </c:pt>
                <c:pt idx="1">
                  <c:v>Consumer Staples</c:v>
                </c:pt>
              </c:strCache>
            </c:strRef>
          </c:cat>
          <c:val>
            <c:numRef>
              <c:f>'Effect on Portfolio'!$J$5:$K$5</c:f>
              <c:numCache>
                <c:formatCode>0.00%</c:formatCode>
                <c:ptCount val="2"/>
                <c:pt idx="0">
                  <c:v>0.99575100000000005</c:v>
                </c:pt>
                <c:pt idx="1">
                  <c:v>4.2490000000000002E-3</c:v>
                </c:pt>
              </c:numCache>
            </c:numRef>
          </c:val>
          <c:extLst>
            <c:ext xmlns:c16="http://schemas.microsoft.com/office/drawing/2014/chart" uri="{C3380CC4-5D6E-409C-BE32-E72D297353CC}">
              <c16:uniqueId val="{00000004-200F-41F6-B223-2275F3FDFF0C}"/>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6"/>
            </a:solidFill>
          </c:spPr>
          <c:dPt>
            <c:idx val="0"/>
            <c:bubble3D val="0"/>
            <c:spPr>
              <a:solidFill>
                <a:schemeClr val="accent6"/>
              </a:solidFill>
              <a:ln w="19050">
                <a:solidFill>
                  <a:schemeClr val="lt1"/>
                </a:solidFill>
              </a:ln>
              <a:effectLst/>
            </c:spPr>
            <c:extLst>
              <c:ext xmlns:c16="http://schemas.microsoft.com/office/drawing/2014/chart" uri="{C3380CC4-5D6E-409C-BE32-E72D297353CC}">
                <c16:uniqueId val="{00000001-0B1B-40F1-A80C-3C8812676867}"/>
              </c:ext>
            </c:extLst>
          </c:dPt>
          <c:dLbls>
            <c:dLbl>
              <c:idx val="0"/>
              <c:dLblPos val="outEnd"/>
              <c:showLegendKey val="0"/>
              <c:showVal val="1"/>
              <c:showCatName val="1"/>
              <c:showSerName val="0"/>
              <c:showPercent val="0"/>
              <c:showBubbleSize val="0"/>
              <c:extLst>
                <c:ext xmlns:c15="http://schemas.microsoft.com/office/drawing/2012/chart" uri="{CE6537A1-D6FC-4f65-9D91-7224C49458BB}">
                  <c15:layout>
                    <c:manualLayout>
                      <c:w val="0.31935208866155157"/>
                      <c:h val="9.3522761992056211E-2"/>
                    </c:manualLayout>
                  </c15:layout>
                </c:ext>
                <c:ext xmlns:c16="http://schemas.microsoft.com/office/drawing/2014/chart" uri="{C3380CC4-5D6E-409C-BE32-E72D297353CC}">
                  <c16:uniqueId val="{00000001-0B1B-40F1-A80C-3C8812676867}"/>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extLst>
          </c:dLbls>
          <c:cat>
            <c:strRef>
              <c:f>'Effect on Portfolio'!$O$3</c:f>
              <c:strCache>
                <c:ptCount val="1"/>
                <c:pt idx="0">
                  <c:v>Cash</c:v>
                </c:pt>
              </c:strCache>
            </c:strRef>
          </c:cat>
          <c:val>
            <c:numRef>
              <c:f>'Effect on Portfolio'!$O$5</c:f>
              <c:numCache>
                <c:formatCode>0.00%</c:formatCode>
                <c:ptCount val="1"/>
                <c:pt idx="0">
                  <c:v>1</c:v>
                </c:pt>
              </c:numCache>
            </c:numRef>
          </c:val>
          <c:extLst>
            <c:ext xmlns:c16="http://schemas.microsoft.com/office/drawing/2014/chart" uri="{C3380CC4-5D6E-409C-BE32-E72D297353CC}">
              <c16:uniqueId val="{00000000-0B1B-40F1-A80C-3C8812676867}"/>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'Valuation Summary'!$D$10</c:f>
              <c:strCache>
                <c:ptCount val="1"/>
                <c:pt idx="0">
                  <c:v>Bear</c:v>
                </c:pt>
              </c:strCache>
            </c:strRef>
          </c:tx>
          <c:spPr>
            <a:solidFill>
              <a:schemeClr val="accent2">
                <a:lumMod val="20000"/>
                <a:lumOff val="80000"/>
              </a:schemeClr>
            </a:solidFill>
            <a:ln>
              <a:noFill/>
            </a:ln>
            <a:effectLst/>
          </c:spPr>
          <c:invertIfNegative val="0"/>
          <c:dLbls>
            <c:dLbl>
              <c:idx val="0"/>
              <c:spPr>
                <a:noFill/>
                <a:ln>
                  <a:noFill/>
                </a:ln>
                <a:effectLst/>
              </c:spPr>
              <c:txPr>
                <a:bodyPr rot="0" spcFirstLastPara="1" vertOverflow="ellipsis" vert="horz" wrap="square" lIns="91440" tIns="19050" rIns="0" bIns="19050" anchor="ctr" anchorCtr="1">
                  <a:spAutoFit/>
                </a:bodyPr>
                <a:lstStyle/>
                <a:p>
                  <a:pPr>
                    <a:defRPr lang="en-US" sz="12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0-272E-4654-9C01-702BC3D6A57A}"/>
                </c:ext>
              </c:extLst>
            </c:dLbl>
            <c:dLbl>
              <c:idx val="2"/>
              <c:spPr>
                <a:noFill/>
                <a:ln>
                  <a:noFill/>
                </a:ln>
                <a:effectLst/>
              </c:spPr>
              <c:txPr>
                <a:bodyPr rot="0" spcFirstLastPara="1" vertOverflow="ellipsis" vert="horz" wrap="square" lIns="38100" tIns="19050" rIns="0" bIns="19050" anchor="ctr" anchorCtr="1">
                  <a:spAutoFit/>
                </a:bodyPr>
                <a:lstStyle/>
                <a:p>
                  <a:pPr>
                    <a:defRPr lang="en-US" sz="12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0-AAC0-4748-8D79-AF830AF7C01B}"/>
                </c:ext>
              </c:extLst>
            </c:dLbl>
            <c:dLbl>
              <c:idx val="5"/>
              <c:spPr>
                <a:noFill/>
                <a:ln>
                  <a:noFill/>
                </a:ln>
                <a:effectLst/>
              </c:spPr>
              <c:txPr>
                <a:bodyPr rot="0" spcFirstLastPara="1" vertOverflow="ellipsis" vert="horz" wrap="square" lIns="38100" tIns="19050" rIns="0" bIns="19050" anchor="ctr" anchorCtr="1">
                  <a:spAutoFit/>
                </a:bodyPr>
                <a:lstStyle/>
                <a:p>
                  <a:pPr>
                    <a:defRPr lang="en-US" sz="12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2-272E-4654-9C01-702BC3D6A57A}"/>
                </c:ext>
              </c:extLst>
            </c:dLbl>
            <c:spPr>
              <a:noFill/>
              <a:ln>
                <a:noFill/>
              </a:ln>
              <a:effectLst/>
            </c:spPr>
            <c:txPr>
              <a:bodyPr rot="0" spcFirstLastPara="1" vertOverflow="ellipsis" vert="horz" wrap="square" lIns="38100" tIns="19050" rIns="274320" bIns="19050" anchor="ctr" anchorCtr="1">
                <a:spAutoFit/>
              </a:bodyPr>
              <a:lstStyle/>
              <a:p>
                <a:pPr>
                  <a:defRPr lang="en-US" sz="12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'Valuation Summary'!$B$11:$B$16</c:f>
              <c:strCache>
                <c:ptCount val="6"/>
                <c:pt idx="0">
                  <c:v>Dividend Discount</c:v>
                </c:pt>
                <c:pt idx="1">
                  <c:v>Precedent Transaction</c:v>
                </c:pt>
                <c:pt idx="2">
                  <c:v>Comparable Company</c:v>
                </c:pt>
                <c:pt idx="3">
                  <c:v>Levered DCF</c:v>
                </c:pt>
                <c:pt idx="4">
                  <c:v>Unlevered DCF</c:v>
                </c:pt>
                <c:pt idx="5">
                  <c:v>52 Week Low / High</c:v>
                </c:pt>
              </c:strCache>
            </c:strRef>
          </c:cat>
          <c:val>
            <c:numRef>
              <c:f>'Valuation Summary'!$D$11:$D$16</c:f>
              <c:numCache>
                <c:formatCode>_(* #,##0.00_);_(* \(#,##0.00\);_(* "-"??_);_(@_)</c:formatCode>
                <c:ptCount val="6"/>
                <c:pt idx="0">
                  <c:v>30.149208211350519</c:v>
                </c:pt>
                <c:pt idx="1">
                  <c:v>72.214003673094581</c:v>
                </c:pt>
                <c:pt idx="2">
                  <c:v>40.859733700642792</c:v>
                </c:pt>
                <c:pt idx="3">
                  <c:v>5.8812932896488936</c:v>
                </c:pt>
                <c:pt idx="4">
                  <c:v>29.390332809549257</c:v>
                </c:pt>
                <c:pt idx="5">
                  <c:v>32.76</c:v>
                </c:pt>
              </c:numCache>
            </c:numRef>
          </c:val>
          <c:extLst>
            <c:ext xmlns:c16="http://schemas.microsoft.com/office/drawing/2014/chart" uri="{C3380CC4-5D6E-409C-BE32-E72D297353CC}">
              <c16:uniqueId val="{00000003-272E-4654-9C01-702BC3D6A57A}"/>
            </c:ext>
          </c:extLst>
        </c:ser>
        <c:ser>
          <c:idx val="1"/>
          <c:order val="1"/>
          <c:tx>
            <c:strRef>
              <c:f>'Valuation Summary'!$E$10</c:f>
              <c:strCache>
                <c:ptCount val="1"/>
                <c:pt idx="0">
                  <c:v>Spread</c:v>
                </c:pt>
              </c:strCache>
            </c:strRef>
          </c:tx>
          <c:spPr>
            <a:solidFill>
              <a:schemeClr val="accent6"/>
            </a:solidFill>
            <a:ln>
              <a:noFill/>
            </a:ln>
            <a:effectLst/>
          </c:spPr>
          <c:invertIfNegative val="0"/>
          <c:cat>
            <c:strRef>
              <c:f>'Valuation Summary'!$B$11:$B$16</c:f>
              <c:strCache>
                <c:ptCount val="6"/>
                <c:pt idx="0">
                  <c:v>Dividend Discount</c:v>
                </c:pt>
                <c:pt idx="1">
                  <c:v>Precedent Transaction</c:v>
                </c:pt>
                <c:pt idx="2">
                  <c:v>Comparable Company</c:v>
                </c:pt>
                <c:pt idx="3">
                  <c:v>Levered DCF</c:v>
                </c:pt>
                <c:pt idx="4">
                  <c:v>Unlevered DCF</c:v>
                </c:pt>
                <c:pt idx="5">
                  <c:v>52 Week Low / High</c:v>
                </c:pt>
              </c:strCache>
            </c:strRef>
          </c:cat>
          <c:val>
            <c:numRef>
              <c:f>'Valuation Summary'!$E$11:$E$16</c:f>
              <c:numCache>
                <c:formatCode>_(* #,##0.00_);_(* \(#,##0.00\);_(* "-"??_);_(@_)</c:formatCode>
                <c:ptCount val="6"/>
                <c:pt idx="0">
                  <c:v>2.4663660411234929</c:v>
                </c:pt>
                <c:pt idx="1">
                  <c:v>14.978787878787884</c:v>
                </c:pt>
                <c:pt idx="2">
                  <c:v>22.867416590143883</c:v>
                </c:pt>
                <c:pt idx="3">
                  <c:v>10.836423939172111</c:v>
                </c:pt>
                <c:pt idx="4">
                  <c:v>15.606341137085245</c:v>
                </c:pt>
                <c:pt idx="5">
                  <c:v>10.240000000000002</c:v>
                </c:pt>
              </c:numCache>
            </c:numRef>
          </c:val>
          <c:extLst>
            <c:ext xmlns:c16="http://schemas.microsoft.com/office/drawing/2014/chart" uri="{C3380CC4-5D6E-409C-BE32-E72D297353CC}">
              <c16:uniqueId val="{00000004-272E-4654-9C01-702BC3D6A57A}"/>
            </c:ext>
          </c:extLst>
        </c:ser>
        <c:ser>
          <c:idx val="2"/>
          <c:order val="2"/>
          <c:tx>
            <c:strRef>
              <c:f>'Valuation Summary'!$F$10</c:f>
              <c:strCache>
                <c:ptCount val="1"/>
                <c:pt idx="0">
                  <c:v>Bull</c:v>
                </c:pt>
              </c:strCache>
            </c:strRef>
          </c:tx>
          <c:spPr>
            <a:solidFill>
              <a:schemeClr val="accent2">
                <a:lumMod val="20000"/>
                <a:lumOff val="80000"/>
              </a:schemeClr>
            </a:solidFill>
            <a:ln>
              <a:noFill/>
            </a:ln>
            <a:effectLst/>
          </c:spPr>
          <c:invertIfNegative val="0"/>
          <c:dLbls>
            <c:dLbl>
              <c:idx val="2"/>
              <c:spPr>
                <a:noFill/>
                <a:ln>
                  <a:noFill/>
                </a:ln>
                <a:effectLst/>
              </c:spPr>
              <c:txPr>
                <a:bodyPr rot="0" spcFirstLastPara="1" vertOverflow="ellipsis" vert="horz" wrap="square" lIns="0" tIns="19050" rIns="38100" bIns="19050" anchor="ctr" anchorCtr="1">
                  <a:spAutoFit/>
                </a:bodyPr>
                <a:lstStyle/>
                <a:p>
                  <a:pPr>
                    <a:defRPr lang="en-US" sz="12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1-AAC0-4748-8D79-AF830AF7C01B}"/>
                </c:ext>
              </c:extLst>
            </c:dLbl>
            <c:dLbl>
              <c:idx val="4"/>
              <c:spPr>
                <a:noFill/>
                <a:ln>
                  <a:noFill/>
                </a:ln>
                <a:effectLst/>
              </c:spPr>
              <c:txPr>
                <a:bodyPr rot="0" spcFirstLastPara="1" vertOverflow="ellipsis" vert="horz" wrap="square" lIns="0" tIns="19050" rIns="38100" bIns="19050" anchor="ctr" anchorCtr="1">
                  <a:spAutoFit/>
                </a:bodyPr>
                <a:lstStyle/>
                <a:p>
                  <a:pPr>
                    <a:defRPr lang="en-US" sz="12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2-AAC0-4748-8D79-AF830AF7C01B}"/>
                </c:ext>
              </c:extLst>
            </c:dLbl>
            <c:dLbl>
              <c:idx val="5"/>
              <c:spPr>
                <a:noFill/>
                <a:ln>
                  <a:noFill/>
                </a:ln>
                <a:effectLst/>
              </c:spPr>
              <c:txPr>
                <a:bodyPr rot="0" spcFirstLastPara="1" vertOverflow="ellipsis" vert="horz" wrap="square" lIns="91440" tIns="19050" rIns="38100" bIns="19050" anchor="ctr" anchorCtr="1">
                  <a:spAutoFit/>
                </a:bodyPr>
                <a:lstStyle/>
                <a:p>
                  <a:pPr>
                    <a:defRPr lang="en-US" sz="12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3-AAC0-4748-8D79-AF830AF7C01B}"/>
                </c:ext>
              </c:extLst>
            </c:dLbl>
            <c:spPr>
              <a:noFill/>
              <a:ln>
                <a:noFill/>
              </a:ln>
              <a:effectLst/>
            </c:spPr>
            <c:txPr>
              <a:bodyPr rot="0" spcFirstLastPara="1" vertOverflow="ellipsis" vert="horz" wrap="square" lIns="274320" tIns="19050" rIns="38100" bIns="19050" anchor="ctr" anchorCtr="1">
                <a:spAutoFit/>
              </a:bodyPr>
              <a:lstStyle/>
              <a:p>
                <a:pPr>
                  <a:defRPr lang="en-US" sz="12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'Valuation Summary'!$B$11:$B$16</c:f>
              <c:strCache>
                <c:ptCount val="6"/>
                <c:pt idx="0">
                  <c:v>Dividend Discount</c:v>
                </c:pt>
                <c:pt idx="1">
                  <c:v>Precedent Transaction</c:v>
                </c:pt>
                <c:pt idx="2">
                  <c:v>Comparable Company</c:v>
                </c:pt>
                <c:pt idx="3">
                  <c:v>Levered DCF</c:v>
                </c:pt>
                <c:pt idx="4">
                  <c:v>Unlevered DCF</c:v>
                </c:pt>
                <c:pt idx="5">
                  <c:v>52 Week Low / High</c:v>
                </c:pt>
              </c:strCache>
            </c:strRef>
          </c:cat>
          <c:val>
            <c:numRef>
              <c:f>'Valuation Summary'!$F$11:$F$16</c:f>
              <c:numCache>
                <c:formatCode>_(* #,##0.00_);_(* \(#,##0.00\);_(* "-"??_);_(@_)</c:formatCode>
                <c:ptCount val="6"/>
                <c:pt idx="0">
                  <c:v>32.615574252474012</c:v>
                </c:pt>
                <c:pt idx="1">
                  <c:v>87.192791551882465</c:v>
                </c:pt>
                <c:pt idx="2">
                  <c:v>63.727150290786675</c:v>
                </c:pt>
                <c:pt idx="3">
                  <c:v>16.717717228821005</c:v>
                </c:pt>
                <c:pt idx="4">
                  <c:v>44.996673946634502</c:v>
                </c:pt>
                <c:pt idx="5">
                  <c:v>43</c:v>
                </c:pt>
              </c:numCache>
            </c:numRef>
          </c:val>
          <c:extLst>
            <c:ext xmlns:c16="http://schemas.microsoft.com/office/drawing/2014/chart" uri="{C3380CC4-5D6E-409C-BE32-E72D297353CC}">
              <c16:uniqueId val="{00000008-272E-4654-9C01-702BC3D6A57A}"/>
            </c:ext>
          </c:extLst>
        </c:ser>
        <c:dLbls>
          <c:showLegendKey val="0"/>
          <c:showVal val="0"/>
          <c:showCatName val="0"/>
          <c:showSerName val="0"/>
          <c:showPercent val="0"/>
          <c:showBubbleSize val="0"/>
        </c:dLbls>
        <c:gapWidth val="75"/>
        <c:overlap val="100"/>
        <c:axId val="1393013295"/>
        <c:axId val="1393014735"/>
      </c:barChart>
      <c:scatterChart>
        <c:scatterStyle val="smoothMarker"/>
        <c:varyColors val="0"/>
        <c:ser>
          <c:idx val="3"/>
          <c:order val="3"/>
          <c:tx>
            <c:strRef>
              <c:f>'Valuation Summary'!$B$26</c:f>
              <c:strCache>
                <c:ptCount val="1"/>
                <c:pt idx="0">
                  <c:v>Current Stock Price</c:v>
                </c:pt>
              </c:strCache>
            </c:strRef>
          </c:tx>
          <c:spPr>
            <a:ln w="28575" cap="rnd">
              <a:solidFill>
                <a:schemeClr val="accent4"/>
              </a:solidFill>
              <a:round/>
            </a:ln>
            <a:effectLst/>
          </c:spPr>
          <c:marker>
            <c:symbol val="none"/>
          </c:marker>
          <c:xVal>
            <c:numRef>
              <c:f>'Valuation Summary'!$D$26:$F$26</c:f>
              <c:numCache>
                <c:formatCode>_(* #,##0.00_);_(* \(#,##0.00\);_(* "-"??_);_(@_)</c:formatCode>
                <c:ptCount val="3"/>
                <c:pt idx="0">
                  <c:v>42.49</c:v>
                </c:pt>
                <c:pt idx="1">
                  <c:v>42.49</c:v>
                </c:pt>
                <c:pt idx="2">
                  <c:v>42.49</c:v>
                </c:pt>
              </c:numCache>
            </c:numRef>
          </c:xVal>
          <c:yVal>
            <c:numRef>
              <c:f>'Valuation Summary'!$K$11:$M$11</c:f>
              <c:numCache>
                <c:formatCode>General</c:formatCode>
                <c:ptCount val="3"/>
                <c:pt idx="0">
                  <c:v>1000</c:v>
                </c:pt>
                <c:pt idx="1">
                  <c:v>0</c:v>
                </c:pt>
                <c:pt idx="2">
                  <c:v>0</c:v>
                </c:pt>
              </c:numCache>
            </c:numRef>
          </c:yVal>
          <c:smooth val="0"/>
          <c:extLst>
            <c:ext xmlns:c16="http://schemas.microsoft.com/office/drawing/2014/chart" uri="{C3380CC4-5D6E-409C-BE32-E72D297353CC}">
              <c16:uniqueId val="{00000009-272E-4654-9C01-702BC3D6A57A}"/>
            </c:ext>
          </c:extLst>
        </c:ser>
        <c:ser>
          <c:idx val="4"/>
          <c:order val="4"/>
          <c:tx>
            <c:strRef>
              <c:f>'Valuation Summary'!$B$27</c:f>
              <c:strCache>
                <c:ptCount val="1"/>
                <c:pt idx="0">
                  <c:v>Target Price</c:v>
                </c:pt>
              </c:strCache>
            </c:strRef>
          </c:tx>
          <c:spPr>
            <a:ln w="28575" cap="rnd">
              <a:solidFill>
                <a:schemeClr val="accent5"/>
              </a:solidFill>
              <a:round/>
            </a:ln>
            <a:effectLst/>
          </c:spPr>
          <c:marker>
            <c:symbol val="none"/>
          </c:marker>
          <c:xVal>
            <c:numRef>
              <c:f>'Valuation Summary'!$D$27:$F$27</c:f>
              <c:numCache>
                <c:formatCode>_(* #,##0.00_);_(* \(#,##0.00\);_(* "-"??_);_(@_)</c:formatCode>
                <c:ptCount val="3"/>
                <c:pt idx="0">
                  <c:v>47.629989426877373</c:v>
                </c:pt>
                <c:pt idx="1">
                  <c:v>47.629989426877373</c:v>
                </c:pt>
                <c:pt idx="2">
                  <c:v>47.629989426877373</c:v>
                </c:pt>
              </c:numCache>
            </c:numRef>
          </c:xVal>
          <c:yVal>
            <c:numRef>
              <c:f>'Valuation Summary'!$K$12:$M$12</c:f>
              <c:numCache>
                <c:formatCode>General</c:formatCode>
                <c:ptCount val="3"/>
                <c:pt idx="0">
                  <c:v>1000</c:v>
                </c:pt>
                <c:pt idx="1">
                  <c:v>0</c:v>
                </c:pt>
                <c:pt idx="2">
                  <c:v>0</c:v>
                </c:pt>
              </c:numCache>
            </c:numRef>
          </c:yVal>
          <c:smooth val="1"/>
          <c:extLst>
            <c:ext xmlns:c16="http://schemas.microsoft.com/office/drawing/2014/chart" uri="{C3380CC4-5D6E-409C-BE32-E72D297353CC}">
              <c16:uniqueId val="{0000000A-272E-4654-9C01-702BC3D6A57A}"/>
            </c:ext>
          </c:extLst>
        </c:ser>
        <c:dLbls>
          <c:showLegendKey val="0"/>
          <c:showVal val="0"/>
          <c:showCatName val="0"/>
          <c:showSerName val="0"/>
          <c:showPercent val="0"/>
          <c:showBubbleSize val="0"/>
        </c:dLbls>
        <c:axId val="54446960"/>
        <c:axId val="54448400"/>
      </c:scatterChart>
      <c:catAx>
        <c:axId val="1393013295"/>
        <c:scaling>
          <c:orientation val="minMax"/>
        </c:scaling>
        <c:delete val="0"/>
        <c:axPos val="l"/>
        <c:numFmt formatCode="General" sourceLinked="1"/>
        <c:majorTickMark val="out"/>
        <c:minorTickMark val="out"/>
        <c:tickLblPos val="nextTo"/>
        <c:spPr>
          <a:noFill/>
          <a:ln w="19050" cap="flat" cmpd="sng" algn="ctr">
            <a:solidFill>
              <a:schemeClr val="tx1"/>
            </a:solidFill>
            <a:round/>
          </a:ln>
          <a:effectLst/>
        </c:spPr>
        <c:txPr>
          <a:bodyPr rot="-60000000" spcFirstLastPara="1" vertOverflow="ellipsis" vert="horz" wrap="square" anchor="ctr" anchorCtr="1"/>
          <a:lstStyle/>
          <a:p>
            <a:pPr>
              <a:defRPr lang="en-US" sz="12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393014735"/>
        <c:crosses val="autoZero"/>
        <c:auto val="1"/>
        <c:lblAlgn val="ctr"/>
        <c:lblOffset val="100"/>
        <c:tickMarkSkip val="1"/>
        <c:noMultiLvlLbl val="0"/>
      </c:catAx>
      <c:valAx>
        <c:axId val="139301473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0"/>
        <c:majorTickMark val="cross"/>
        <c:minorTickMark val="out"/>
        <c:tickLblPos val="nextTo"/>
        <c:spPr>
          <a:noFill/>
          <a:ln w="19050">
            <a:solidFill>
              <a:schemeClr val="tx1"/>
            </a:solidFill>
          </a:ln>
          <a:effectLst/>
        </c:spPr>
        <c:txPr>
          <a:bodyPr rot="-60000000" spcFirstLastPara="1" vertOverflow="ellipsis" vert="horz" wrap="square" anchor="ctr" anchorCtr="1"/>
          <a:lstStyle/>
          <a:p>
            <a:pPr>
              <a:defRPr lang="en-US" sz="12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1393013295"/>
        <c:crosses val="autoZero"/>
        <c:crossBetween val="between"/>
        <c:minorUnit val="25"/>
      </c:valAx>
      <c:valAx>
        <c:axId val="54448400"/>
        <c:scaling>
          <c:orientation val="minMax"/>
          <c:max val="1000"/>
          <c:min val="0"/>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lang="en-US" sz="1200" b="0"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54446960"/>
        <c:crosses val="max"/>
        <c:crossBetween val="midCat"/>
        <c:majorUnit val="250"/>
        <c:minorUnit val="50"/>
      </c:valAx>
      <c:valAx>
        <c:axId val="54446960"/>
        <c:scaling>
          <c:orientation val="minMax"/>
        </c:scaling>
        <c:delete val="1"/>
        <c:axPos val="b"/>
        <c:numFmt formatCode="_(* #,##0.00_);_(* \(#,##0.00\);_(* &quot;-&quot;??_);_(@_)" sourceLinked="1"/>
        <c:majorTickMark val="out"/>
        <c:minorTickMark val="none"/>
        <c:tickLblPos val="nextTo"/>
        <c:crossAx val="544484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200" b="1"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sz="1200" b="0" i="0" u="none" strike="noStrike" kern="1200" baseline="0">
          <a:solidFill>
            <a:sysClr val="windowText" lastClr="000000"/>
          </a:solidFill>
          <a:latin typeface="Calibri" panose="020F0502020204030204" pitchFamily="34" charset="0"/>
          <a:ea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0</xdr:colOff>
      <xdr:row>6</xdr:row>
      <xdr:rowOff>0</xdr:rowOff>
    </xdr:from>
    <xdr:to>
      <xdr:col>8</xdr:col>
      <xdr:colOff>647700</xdr:colOff>
      <xdr:row>24</xdr:row>
      <xdr:rowOff>175260</xdr:rowOff>
    </xdr:to>
    <xdr:graphicFrame macro="">
      <xdr:nvGraphicFramePr>
        <xdr:cNvPr id="6" name="Chart 5">
          <a:extLst>
            <a:ext uri="{FF2B5EF4-FFF2-40B4-BE49-F238E27FC236}">
              <a16:creationId xmlns:a16="http://schemas.microsoft.com/office/drawing/2014/main" id="{86638BEF-6713-4BBA-BD80-E41E93B2A5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5</xdr:row>
      <xdr:rowOff>0</xdr:rowOff>
    </xdr:from>
    <xdr:to>
      <xdr:col>13</xdr:col>
      <xdr:colOff>579120</xdr:colOff>
      <xdr:row>25</xdr:row>
      <xdr:rowOff>7620</xdr:rowOff>
    </xdr:to>
    <xdr:graphicFrame macro="">
      <xdr:nvGraphicFramePr>
        <xdr:cNvPr id="7" name="Chart 6">
          <a:extLst>
            <a:ext uri="{FF2B5EF4-FFF2-40B4-BE49-F238E27FC236}">
              <a16:creationId xmlns:a16="http://schemas.microsoft.com/office/drawing/2014/main" id="{026C4B64-AF82-46FA-A3FC-15547A950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57150</xdr:colOff>
      <xdr:row>5</xdr:row>
      <xdr:rowOff>3810</xdr:rowOff>
    </xdr:from>
    <xdr:to>
      <xdr:col>19</xdr:col>
      <xdr:colOff>251460</xdr:colOff>
      <xdr:row>26</xdr:row>
      <xdr:rowOff>0</xdr:rowOff>
    </xdr:to>
    <xdr:graphicFrame macro="">
      <xdr:nvGraphicFramePr>
        <xdr:cNvPr id="9" name="Chart 8">
          <a:extLst>
            <a:ext uri="{FF2B5EF4-FFF2-40B4-BE49-F238E27FC236}">
              <a16:creationId xmlns:a16="http://schemas.microsoft.com/office/drawing/2014/main" id="{7C7A3BF5-E0EB-1FF6-68ED-EB9B1B45D1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24</xdr:row>
      <xdr:rowOff>0</xdr:rowOff>
    </xdr:from>
    <xdr:to>
      <xdr:col>7</xdr:col>
      <xdr:colOff>38</xdr:colOff>
      <xdr:row>43</xdr:row>
      <xdr:rowOff>0</xdr:rowOff>
    </xdr:to>
    <xdr:graphicFrame macro="">
      <xdr:nvGraphicFramePr>
        <xdr:cNvPr id="2" name="Chart 1">
          <a:extLst>
            <a:ext uri="{FF2B5EF4-FFF2-40B4-BE49-F238E27FC236}">
              <a16:creationId xmlns:a16="http://schemas.microsoft.com/office/drawing/2014/main" id="{6DCA6773-D1F6-4B66-89FA-25F360616A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Utah">
      <a:dk1>
        <a:sysClr val="windowText" lastClr="000000"/>
      </a:dk1>
      <a:lt1>
        <a:sysClr val="window" lastClr="FFFFFF"/>
      </a:lt1>
      <a:dk2>
        <a:srgbClr val="0E2841"/>
      </a:dk2>
      <a:lt2>
        <a:srgbClr val="E8E8E8"/>
      </a:lt2>
      <a:accent1>
        <a:srgbClr val="BE0000"/>
      </a:accent1>
      <a:accent2>
        <a:srgbClr val="707271"/>
      </a:accent2>
      <a:accent3>
        <a:srgbClr val="E2E6E6"/>
      </a:accent3>
      <a:accent4>
        <a:srgbClr val="FFB81D"/>
      </a:accent4>
      <a:accent5>
        <a:srgbClr val="3ABFC0"/>
      </a:accent5>
      <a:accent6>
        <a:srgbClr val="890000"/>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6892B-CA8B-4633-A018-2F5336C5D7E1}">
  <sheetPr>
    <tabColor rgb="FF7030A0"/>
  </sheetPr>
  <dimension ref="B2:O9"/>
  <sheetViews>
    <sheetView workbookViewId="0">
      <selection activeCell="Q3" sqref="Q3"/>
    </sheetView>
  </sheetViews>
  <sheetFormatPr baseColWidth="10" defaultColWidth="8.83203125" defaultRowHeight="16"/>
  <cols>
    <col min="2" max="2" width="19.83203125" bestFit="1" customWidth="1"/>
    <col min="3" max="3" width="13.6640625" bestFit="1" customWidth="1"/>
    <col min="5" max="5" width="12.1640625" bestFit="1" customWidth="1"/>
    <col min="6" max="6" width="11.1640625" bestFit="1" customWidth="1"/>
    <col min="10" max="10" width="12.1640625" bestFit="1" customWidth="1"/>
    <col min="11" max="11" width="16" bestFit="1" customWidth="1"/>
    <col min="14" max="14" width="12.1640625" bestFit="1" customWidth="1"/>
    <col min="15" max="15" width="16" bestFit="1" customWidth="1"/>
  </cols>
  <sheetData>
    <row r="2" spans="2:15">
      <c r="B2" s="215" t="s">
        <v>298</v>
      </c>
      <c r="C2" s="216">
        <v>1000000</v>
      </c>
      <c r="E2" s="215" t="s">
        <v>299</v>
      </c>
      <c r="F2" s="215"/>
      <c r="J2" s="215" t="s">
        <v>299</v>
      </c>
      <c r="K2" s="215"/>
      <c r="O2" s="215" t="s">
        <v>299</v>
      </c>
    </row>
    <row r="3" spans="2:15">
      <c r="E3" s="215" t="s">
        <v>300</v>
      </c>
      <c r="F3" s="215" t="s">
        <v>301</v>
      </c>
      <c r="J3" s="215" t="s">
        <v>300</v>
      </c>
      <c r="K3" s="215" t="s">
        <v>20</v>
      </c>
      <c r="O3" s="215" t="s">
        <v>300</v>
      </c>
    </row>
    <row r="4" spans="2:15">
      <c r="B4" s="215" t="s">
        <v>9</v>
      </c>
      <c r="C4" s="217">
        <f>'Valuation Summary'!$N$6</f>
        <v>42.49</v>
      </c>
      <c r="E4" s="220">
        <f>C2-C6</f>
        <v>995751</v>
      </c>
      <c r="F4" s="220">
        <f>C2-E4</f>
        <v>4249</v>
      </c>
      <c r="J4" s="220">
        <f>C2-C6</f>
        <v>995751</v>
      </c>
      <c r="K4" s="220">
        <f>C2-J4</f>
        <v>4249</v>
      </c>
      <c r="O4" s="220">
        <f>C2</f>
        <v>1000000</v>
      </c>
    </row>
    <row r="5" spans="2:15">
      <c r="B5" s="215" t="s">
        <v>294</v>
      </c>
      <c r="C5" s="218">
        <v>100</v>
      </c>
      <c r="E5" s="221">
        <f>E4/$C$2</f>
        <v>0.99575100000000005</v>
      </c>
      <c r="F5" s="221">
        <f>F4/$C$2</f>
        <v>4.2490000000000002E-3</v>
      </c>
      <c r="J5" s="221">
        <f>J4/$C$2</f>
        <v>0.99575100000000005</v>
      </c>
      <c r="K5" s="221">
        <f>K4/$C$2</f>
        <v>4.2490000000000002E-3</v>
      </c>
      <c r="O5" s="221">
        <f>O4/$C$2</f>
        <v>1</v>
      </c>
    </row>
    <row r="6" spans="2:15">
      <c r="B6" s="215" t="s">
        <v>296</v>
      </c>
      <c r="C6" s="219">
        <f>C4*C5</f>
        <v>4249</v>
      </c>
    </row>
    <row r="8" spans="2:15">
      <c r="B8" s="215" t="s">
        <v>295</v>
      </c>
      <c r="C8" s="216">
        <v>17000</v>
      </c>
    </row>
    <row r="9" spans="2:15">
      <c r="B9" s="215" t="s">
        <v>297</v>
      </c>
      <c r="C9" s="217">
        <f>+C8/C4</f>
        <v>400.09413979759944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0E365-0CDB-43D9-B0A3-CED0497FFCD3}">
  <sheetPr>
    <tabColor theme="0"/>
  </sheetPr>
  <dimension ref="B2:O27"/>
  <sheetViews>
    <sheetView tabSelected="1" topLeftCell="A4" zoomScale="79" zoomScaleNormal="100" workbookViewId="0">
      <selection activeCell="L5" sqref="L5"/>
    </sheetView>
  </sheetViews>
  <sheetFormatPr baseColWidth="10" defaultColWidth="9.1640625" defaultRowHeight="16"/>
  <cols>
    <col min="1" max="1" width="2.6640625" style="2" customWidth="1"/>
    <col min="2" max="2" width="19.83203125" style="2" bestFit="1" customWidth="1"/>
    <col min="3" max="3" width="16.6640625" style="2" bestFit="1" customWidth="1"/>
    <col min="4" max="4" width="15.83203125" style="2" bestFit="1" customWidth="1"/>
    <col min="5" max="5" width="16" style="2" bestFit="1" customWidth="1"/>
    <col min="6" max="6" width="29" style="2" bestFit="1" customWidth="1"/>
    <col min="7" max="7" width="11.1640625" style="2" customWidth="1"/>
    <col min="8" max="8" width="2.6640625" style="101" customWidth="1"/>
    <col min="9" max="9" width="21.83203125" style="101" bestFit="1" customWidth="1"/>
    <col min="10" max="10" width="16.6640625" style="2" bestFit="1" customWidth="1"/>
    <col min="11" max="11" width="15.83203125" style="2" bestFit="1" customWidth="1"/>
    <col min="12" max="12" width="16" style="2" bestFit="1" customWidth="1"/>
    <col min="13" max="13" width="29" style="2" bestFit="1" customWidth="1"/>
    <col min="14" max="16384" width="9.1640625" style="2"/>
  </cols>
  <sheetData>
    <row r="2" spans="2:15">
      <c r="B2" s="229" t="s">
        <v>6</v>
      </c>
      <c r="C2" s="229"/>
      <c r="D2" s="229"/>
      <c r="E2" s="229"/>
      <c r="F2" s="229"/>
      <c r="G2" s="229"/>
    </row>
    <row r="3" spans="2:15">
      <c r="B3" s="228" t="s">
        <v>291</v>
      </c>
      <c r="C3" s="228"/>
      <c r="D3" s="228"/>
      <c r="E3" s="228"/>
      <c r="F3" s="228"/>
      <c r="G3" s="228"/>
      <c r="I3" s="210"/>
      <c r="J3" s="210" t="s">
        <v>284</v>
      </c>
      <c r="K3" s="106"/>
      <c r="L3" s="210" t="s">
        <v>284</v>
      </c>
      <c r="M3" s="106"/>
      <c r="N3" s="210" t="s">
        <v>284</v>
      </c>
      <c r="O3" s="106"/>
    </row>
    <row r="4" spans="2:15">
      <c r="B4" s="3" t="s">
        <v>12</v>
      </c>
      <c r="C4" s="63">
        <f>J4</f>
        <v>45609</v>
      </c>
      <c r="D4" s="64" t="s">
        <v>8</v>
      </c>
      <c r="E4" s="65" t="str">
        <f>L4</f>
        <v>Embridge</v>
      </c>
      <c r="F4" s="64" t="s">
        <v>18</v>
      </c>
      <c r="G4" s="66">
        <f>N4</f>
        <v>43</v>
      </c>
      <c r="I4" s="3" t="s">
        <v>12</v>
      </c>
      <c r="J4" s="209">
        <v>45609</v>
      </c>
      <c r="K4" s="64" t="s">
        <v>8</v>
      </c>
      <c r="L4" s="208" t="s">
        <v>306</v>
      </c>
      <c r="M4" s="64" t="s">
        <v>18</v>
      </c>
      <c r="N4" s="206">
        <v>43</v>
      </c>
      <c r="O4" s="2" t="s">
        <v>4</v>
      </c>
    </row>
    <row r="5" spans="2:15">
      <c r="B5" s="3" t="s">
        <v>7</v>
      </c>
      <c r="C5" s="63" t="str">
        <f t="shared" ref="C5:C6" si="0">J5</f>
        <v>Market Mavericks</v>
      </c>
      <c r="D5" s="64" t="s">
        <v>11</v>
      </c>
      <c r="E5" s="65" t="str">
        <f>L5</f>
        <v>ENB</v>
      </c>
      <c r="F5" s="64" t="s">
        <v>19</v>
      </c>
      <c r="G5" s="66">
        <f>N5</f>
        <v>32.76</v>
      </c>
      <c r="I5" s="3" t="s">
        <v>7</v>
      </c>
      <c r="J5" s="209" t="s">
        <v>305</v>
      </c>
      <c r="K5" s="64" t="s">
        <v>11</v>
      </c>
      <c r="L5" s="208" t="s">
        <v>338</v>
      </c>
      <c r="M5" s="64" t="s">
        <v>19</v>
      </c>
      <c r="N5" s="206">
        <v>32.76</v>
      </c>
      <c r="O5" s="2" t="s">
        <v>2</v>
      </c>
    </row>
    <row r="6" spans="2:15">
      <c r="B6" s="3" t="s">
        <v>10</v>
      </c>
      <c r="C6" s="63" t="str">
        <f t="shared" si="0"/>
        <v>Yash Agrawal</v>
      </c>
      <c r="D6" s="64" t="s">
        <v>17</v>
      </c>
      <c r="E6" s="65" t="str">
        <f t="shared" ref="E5:E7" si="1">L6</f>
        <v>Energy</v>
      </c>
      <c r="F6" s="64" t="s">
        <v>9</v>
      </c>
      <c r="G6" s="66">
        <f>N6</f>
        <v>42.49</v>
      </c>
      <c r="I6" s="3" t="s">
        <v>10</v>
      </c>
      <c r="J6" s="209" t="s">
        <v>337</v>
      </c>
      <c r="K6" s="64" t="s">
        <v>17</v>
      </c>
      <c r="L6" s="208" t="s">
        <v>307</v>
      </c>
      <c r="M6" s="64" t="s">
        <v>9</v>
      </c>
      <c r="N6" s="207">
        <v>42.49</v>
      </c>
      <c r="O6" s="2" t="s">
        <v>3</v>
      </c>
    </row>
    <row r="7" spans="2:15" ht="17" thickBot="1">
      <c r="B7" s="3" t="s">
        <v>285</v>
      </c>
      <c r="C7" s="63" t="str">
        <f>J7</f>
        <v>BUY</v>
      </c>
      <c r="D7" s="64" t="s">
        <v>290</v>
      </c>
      <c r="E7" s="65" t="str">
        <f t="shared" si="1"/>
        <v>Midstream-Oil &amp;Gas</v>
      </c>
      <c r="F7" s="64" t="str">
        <f>M7</f>
        <v>Shares Outstanding, In Millions</v>
      </c>
      <c r="G7" s="66">
        <f>N7</f>
        <v>2.1779999999999999</v>
      </c>
      <c r="I7" s="3" t="s">
        <v>285</v>
      </c>
      <c r="J7" s="209" t="s">
        <v>286</v>
      </c>
      <c r="K7" s="64" t="s">
        <v>290</v>
      </c>
      <c r="L7" s="208" t="s">
        <v>308</v>
      </c>
      <c r="M7" s="64" t="str">
        <f>"Shares Outstanding, In "&amp;Assumptions!$C$26</f>
        <v>Shares Outstanding, In Millions</v>
      </c>
      <c r="N7" s="207">
        <v>2.1779999999999999</v>
      </c>
    </row>
    <row r="8" spans="2:15" ht="17" thickBot="1">
      <c r="I8" s="128" t="s">
        <v>289</v>
      </c>
      <c r="J8" s="212" t="s">
        <v>286</v>
      </c>
      <c r="K8" s="213" t="s">
        <v>287</v>
      </c>
      <c r="L8" s="214" t="s">
        <v>288</v>
      </c>
    </row>
    <row r="9" spans="2:15">
      <c r="B9" s="228" t="s">
        <v>13</v>
      </c>
      <c r="C9" s="228"/>
      <c r="D9" s="228"/>
      <c r="E9" s="228"/>
      <c r="F9" s="228"/>
      <c r="G9" s="228"/>
    </row>
    <row r="10" spans="2:15">
      <c r="B10" s="4" t="s">
        <v>248</v>
      </c>
      <c r="C10" s="5" t="s">
        <v>3</v>
      </c>
      <c r="D10" s="5" t="s">
        <v>2</v>
      </c>
      <c r="E10" s="5" t="s">
        <v>246</v>
      </c>
      <c r="F10" s="5" t="s">
        <v>4</v>
      </c>
      <c r="G10" s="131" t="s">
        <v>14</v>
      </c>
      <c r="I10" s="100" t="s">
        <v>247</v>
      </c>
      <c r="K10" s="230" t="s">
        <v>239</v>
      </c>
      <c r="L10" s="230"/>
      <c r="M10" s="230"/>
    </row>
    <row r="11" spans="2:15">
      <c r="B11" s="3" t="s">
        <v>163</v>
      </c>
      <c r="C11" s="95">
        <f>_xlfn.XLOOKUP(C10,'Dividend Discount'!$A$53:$A$55,'Dividend Discount'!$C$53:$C$55,0)</f>
        <v>31.361163412166768</v>
      </c>
      <c r="D11" s="95">
        <f>_xlfn.XLOOKUP(D10,'Dividend Discount'!$A$53:$A$55,'Dividend Discount'!$C$53:$C$55,0)</f>
        <v>30.149208211350519</v>
      </c>
      <c r="E11" s="6">
        <f>F11-D11</f>
        <v>2.4663660411234929</v>
      </c>
      <c r="F11" s="95">
        <f>_xlfn.XLOOKUP(F10,'Dividend Discount'!$A$53:$A$55,'Dividend Discount'!$C$53:$C$55,0)</f>
        <v>32.615574252474012</v>
      </c>
      <c r="G11" s="127">
        <f>G17-SUM(G12:G15)</f>
        <v>0.30000000000000004</v>
      </c>
      <c r="K11" s="101">
        <v>1000</v>
      </c>
      <c r="L11" s="101">
        <v>0</v>
      </c>
      <c r="M11" s="2">
        <v>0</v>
      </c>
    </row>
    <row r="12" spans="2:15">
      <c r="B12" s="3" t="s">
        <v>281</v>
      </c>
      <c r="C12" s="6">
        <f>_xlfn.XLOOKUP(C10,Precedents!$A$32:$A$34,Precedents!$C$32:$C$34,0)</f>
        <v>80.062653810835627</v>
      </c>
      <c r="D12" s="6">
        <f>_xlfn.XLOOKUP(D10,Precedents!$A$32:$A$34,Precedents!$C$32:$C$34,0)</f>
        <v>72.214003673094581</v>
      </c>
      <c r="E12" s="6">
        <f t="shared" ref="E12:E16" si="2">F12-D12</f>
        <v>14.978787878787884</v>
      </c>
      <c r="F12" s="6">
        <f>_xlfn.XLOOKUP(F10,Precedents!$A$32:$A$34,Precedents!$C$32:$C$34,0)</f>
        <v>87.192791551882465</v>
      </c>
      <c r="G12" s="127">
        <v>0.25</v>
      </c>
      <c r="I12" s="102">
        <v>0.25</v>
      </c>
      <c r="K12" s="101">
        <v>1000</v>
      </c>
      <c r="L12" s="101">
        <v>0</v>
      </c>
      <c r="M12" s="2">
        <v>0</v>
      </c>
    </row>
    <row r="13" spans="2:15">
      <c r="B13" s="3" t="s">
        <v>262</v>
      </c>
      <c r="C13" s="6">
        <f>_xlfn.XLOOKUP(C10,Comps!$A$30:$A$32,Comps!$C$30:$C$32,0)</f>
        <v>53.619272894231578</v>
      </c>
      <c r="D13" s="6">
        <f>_xlfn.XLOOKUP(D10,Comps!$A$30:$A$32,Comps!$C$30:$C$32,0)</f>
        <v>40.859733700642792</v>
      </c>
      <c r="E13" s="6">
        <f t="shared" si="2"/>
        <v>22.867416590143883</v>
      </c>
      <c r="F13" s="6">
        <f>_xlfn.XLOOKUP(F10,Comps!$A$30:$A$32,Comps!$C$30:$C$32,0)</f>
        <v>63.727150290786675</v>
      </c>
      <c r="G13" s="127">
        <v>0.25</v>
      </c>
      <c r="I13" s="102">
        <v>0.15</v>
      </c>
    </row>
    <row r="14" spans="2:15">
      <c r="B14" s="3" t="s">
        <v>283</v>
      </c>
      <c r="C14" s="6">
        <f>_xlfn.XLOOKUP(C10,'FCF Equity'!$A$68:$A$70,'FCF Equity'!$C$68:$C$70,0)</f>
        <v>11.106277746215856</v>
      </c>
      <c r="D14" s="6">
        <f>_xlfn.XLOOKUP(D10,'FCF Equity'!$A$68:$A$70,'FCF Equity'!$C$68:$C$70,0)</f>
        <v>5.8812932896488936</v>
      </c>
      <c r="E14" s="6">
        <f t="shared" si="2"/>
        <v>10.836423939172111</v>
      </c>
      <c r="F14" s="6">
        <f>_xlfn.XLOOKUP(F10,'FCF Equity'!$A$68:$A$70,'FCF Equity'!$C$68:$C$70,0)</f>
        <v>16.717717228821005</v>
      </c>
      <c r="G14" s="127">
        <v>0.1</v>
      </c>
      <c r="I14" s="102">
        <v>0.25</v>
      </c>
    </row>
    <row r="15" spans="2:15">
      <c r="B15" s="3" t="s">
        <v>282</v>
      </c>
      <c r="C15" s="6">
        <f>_xlfn.XLOOKUP(C10,'FCF Firm'!$A$68:$A$70,'FCF Firm'!$C$68:$C$70,0)</f>
        <v>36.905309523389548</v>
      </c>
      <c r="D15" s="6">
        <f>_xlfn.XLOOKUP(D10,'FCF Firm'!$A$68:$A$70,'FCF Firm'!$C$68:$C$70,0)</f>
        <v>29.390332809549257</v>
      </c>
      <c r="E15" s="6">
        <f t="shared" si="2"/>
        <v>15.606341137085245</v>
      </c>
      <c r="F15" s="6">
        <f>_xlfn.XLOOKUP(F10,'FCF Firm'!$A$68:$A$70,'FCF Firm'!$C$68:$C$70,0)</f>
        <v>44.996673946634502</v>
      </c>
      <c r="G15" s="127">
        <v>0.1</v>
      </c>
      <c r="I15" s="102">
        <v>0.15</v>
      </c>
    </row>
    <row r="16" spans="2:15">
      <c r="B16" s="3" t="s">
        <v>15</v>
      </c>
      <c r="C16" s="6">
        <f>_xlfn.XLOOKUP(C10,$O$4:$O$6,$N$4:$N$6,0)</f>
        <v>42.49</v>
      </c>
      <c r="D16" s="6">
        <f>_xlfn.XLOOKUP(D10,$O$4:$O$6,$N$4:$N$6,0)</f>
        <v>32.76</v>
      </c>
      <c r="E16" s="6">
        <f t="shared" si="2"/>
        <v>10.240000000000002</v>
      </c>
      <c r="F16" s="6">
        <f>_xlfn.XLOOKUP(F10,$O$4:$O$6,$N$4:$N$6,0)</f>
        <v>43</v>
      </c>
      <c r="G16" s="3"/>
    </row>
    <row r="17" spans="2:9">
      <c r="B17" s="7" t="s">
        <v>16</v>
      </c>
      <c r="C17" s="8">
        <f>SUMPRODUCT(C11:C15,$G$11:$G$15)</f>
        <v>47.629989426877373</v>
      </c>
      <c r="D17" s="8">
        <f>SUMPRODUCT(D11:D15,$G$11:$G$15)</f>
        <v>40.840359416759313</v>
      </c>
      <c r="E17" s="8"/>
      <c r="F17" s="8">
        <f>SUMPRODUCT(F11:F15,$G$11:$G$15)</f>
        <v>53.686096853955036</v>
      </c>
      <c r="G17" s="9">
        <v>1</v>
      </c>
      <c r="I17" s="9">
        <f>+SUM(I12:I15)+G11</f>
        <v>1.1000000000000001</v>
      </c>
    </row>
    <row r="19" spans="2:9">
      <c r="B19" s="228" t="s">
        <v>234</v>
      </c>
      <c r="C19" s="228"/>
      <c r="D19" s="228"/>
      <c r="E19" s="228"/>
      <c r="F19" s="228"/>
      <c r="G19" s="228"/>
    </row>
    <row r="20" spans="2:9">
      <c r="B20" s="106"/>
      <c r="C20" s="107" t="s">
        <v>236</v>
      </c>
      <c r="D20" s="108" t="s">
        <v>2</v>
      </c>
      <c r="E20" s="108" t="s">
        <v>3</v>
      </c>
      <c r="F20" s="107" t="s">
        <v>4</v>
      </c>
      <c r="G20" s="106"/>
    </row>
    <row r="21" spans="2:9">
      <c r="B21" s="3" t="s">
        <v>235</v>
      </c>
      <c r="C21" s="105">
        <f>+$G$6</f>
        <v>42.49</v>
      </c>
      <c r="D21" s="105">
        <f>_xlfn.XLOOKUP(D20,$C$10:$F$10,$C$17:$F$17,0)</f>
        <v>40.840359416759313</v>
      </c>
      <c r="E21" s="105">
        <f>_xlfn.XLOOKUP(E20,$C$10:$F$10,$C$17:$F$17,0)</f>
        <v>47.629989426877373</v>
      </c>
      <c r="F21" s="105">
        <f>_xlfn.XLOOKUP(F20,$C$10:$F$10,$C$17:$F$17,0)</f>
        <v>53.686096853955036</v>
      </c>
    </row>
    <row r="22" spans="2:9">
      <c r="B22" s="3" t="s">
        <v>232</v>
      </c>
      <c r="D22" s="95">
        <f>D$21-$C21</f>
        <v>-1.6496405832406893</v>
      </c>
      <c r="E22" s="95">
        <f>E$21-$C21</f>
        <v>5.1399894268773707</v>
      </c>
      <c r="F22" s="95">
        <f>F$21-$C21</f>
        <v>11.196096853955034</v>
      </c>
    </row>
    <row r="23" spans="2:9">
      <c r="B23" s="3" t="s">
        <v>233</v>
      </c>
      <c r="C23" s="104"/>
      <c r="D23" s="103">
        <f>D$21/$C$21-1</f>
        <v>-3.8824207654523213E-2</v>
      </c>
      <c r="E23" s="103">
        <f>E$21/$C$21-1</f>
        <v>0.12096939107736815</v>
      </c>
      <c r="F23" s="103">
        <f>F$21/$C$21-1</f>
        <v>0.26349957293374993</v>
      </c>
    </row>
    <row r="26" spans="2:9">
      <c r="B26" s="128" t="s">
        <v>9</v>
      </c>
      <c r="C26" s="129">
        <f>$G$6</f>
        <v>42.49</v>
      </c>
      <c r="D26" s="129">
        <f t="shared" ref="D26:F26" si="3">$G$6</f>
        <v>42.49</v>
      </c>
      <c r="E26" s="129">
        <f t="shared" si="3"/>
        <v>42.49</v>
      </c>
      <c r="F26" s="129">
        <f t="shared" si="3"/>
        <v>42.49</v>
      </c>
      <c r="G26" s="130"/>
    </row>
    <row r="27" spans="2:9">
      <c r="B27" s="128" t="s">
        <v>16</v>
      </c>
      <c r="C27" s="129">
        <f>$C$17</f>
        <v>47.629989426877373</v>
      </c>
      <c r="D27" s="129">
        <f>$C$17</f>
        <v>47.629989426877373</v>
      </c>
      <c r="E27" s="129">
        <f>$C$17</f>
        <v>47.629989426877373</v>
      </c>
      <c r="F27" s="129">
        <f>$C$17</f>
        <v>47.629989426877373</v>
      </c>
      <c r="G27" s="130"/>
    </row>
  </sheetData>
  <mergeCells count="5">
    <mergeCell ref="B19:G19"/>
    <mergeCell ref="B9:G9"/>
    <mergeCell ref="B3:G3"/>
    <mergeCell ref="B2:G2"/>
    <mergeCell ref="K10:M10"/>
  </mergeCells>
  <conditionalFormatting sqref="C7">
    <cfRule type="containsText" dxfId="5" priority="4" operator="containsText" text="SELL">
      <formula>NOT(ISERROR(SEARCH("SELL",C7)))</formula>
    </cfRule>
    <cfRule type="containsText" dxfId="4" priority="5" operator="containsText" text="HOLD">
      <formula>NOT(ISERROR(SEARCH("HOLD",C7)))</formula>
    </cfRule>
    <cfRule type="containsText" dxfId="3" priority="6" operator="containsText" text="BUY">
      <formula>NOT(ISERROR(SEARCH("BUY",C7)))</formula>
    </cfRule>
  </conditionalFormatting>
  <conditionalFormatting sqref="J8:L8">
    <cfRule type="containsText" dxfId="2" priority="1" operator="containsText" text="SELL">
      <formula>NOT(ISERROR(SEARCH("SELL",J8)))</formula>
    </cfRule>
    <cfRule type="containsText" dxfId="1" priority="2" operator="containsText" text="HOLD">
      <formula>NOT(ISERROR(SEARCH("HOLD",J8)))</formula>
    </cfRule>
    <cfRule type="containsText" dxfId="0" priority="3" operator="containsText" text="BUY">
      <formula>NOT(ISERROR(SEARCH("BUY",J8)))</formula>
    </cfRule>
  </conditionalFormatting>
  <dataValidations count="1">
    <dataValidation type="list" allowBlank="1" showInputMessage="1" showErrorMessage="1" sqref="J7" xr:uid="{776C3FC6-673E-4AF5-85F4-14496C1A6D33}">
      <formula1>$J$8:$L$8</formula1>
    </dataValidation>
  </dataValidation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D1B65-FE45-4871-9382-FA62AABA6646}">
  <sheetPr>
    <tabColor theme="3" tint="0.499984740745262"/>
  </sheetPr>
  <dimension ref="A2:R328"/>
  <sheetViews>
    <sheetView zoomScale="106" zoomScaleNormal="241" workbookViewId="0">
      <selection activeCell="H218" sqref="H218"/>
    </sheetView>
  </sheetViews>
  <sheetFormatPr baseColWidth="10" defaultColWidth="8.6640625" defaultRowHeight="11" outlineLevelRow="1"/>
  <cols>
    <col min="1" max="1" width="2.1640625" style="134" bestFit="1" customWidth="1"/>
    <col min="2" max="2" width="55.6640625" style="10" bestFit="1" customWidth="1"/>
    <col min="3" max="3" width="11.1640625" style="10" bestFit="1" customWidth="1"/>
    <col min="4" max="18" width="10.6640625" style="1" customWidth="1"/>
    <col min="19" max="16384" width="8.6640625" style="1"/>
  </cols>
  <sheetData>
    <row r="2" spans="1:18">
      <c r="A2" s="134" t="s">
        <v>207</v>
      </c>
      <c r="B2" s="30" t="s">
        <v>190</v>
      </c>
      <c r="C2" s="30"/>
      <c r="D2" s="29"/>
      <c r="E2" s="29"/>
      <c r="F2" s="29"/>
      <c r="G2" s="29"/>
      <c r="H2" s="29"/>
      <c r="I2" s="29"/>
      <c r="J2" s="29"/>
      <c r="K2" s="29"/>
      <c r="L2" s="29"/>
      <c r="M2" s="29"/>
      <c r="N2" s="29"/>
      <c r="O2" s="29"/>
      <c r="P2" s="29"/>
      <c r="Q2" s="29"/>
      <c r="R2" s="29"/>
    </row>
    <row r="3" spans="1:18">
      <c r="B3" s="81" t="s">
        <v>192</v>
      </c>
      <c r="C3" s="81" t="s">
        <v>193</v>
      </c>
      <c r="D3" s="81" t="s">
        <v>194</v>
      </c>
      <c r="E3" s="135"/>
      <c r="F3" s="135"/>
      <c r="G3" s="135"/>
      <c r="H3" s="135"/>
      <c r="I3" s="135"/>
      <c r="J3" s="135"/>
      <c r="K3" s="135"/>
      <c r="L3" s="135"/>
      <c r="M3" s="135"/>
      <c r="N3" s="135"/>
      <c r="O3" s="135"/>
      <c r="P3" s="135"/>
      <c r="Q3" s="135"/>
      <c r="R3" s="135"/>
    </row>
    <row r="4" spans="1:18" outlineLevel="1">
      <c r="B4" s="10" t="s">
        <v>195</v>
      </c>
      <c r="C4" s="10" t="s">
        <v>191</v>
      </c>
    </row>
    <row r="5" spans="1:18" outlineLevel="1">
      <c r="B5" s="10" t="s">
        <v>196</v>
      </c>
      <c r="C5" s="10" t="s">
        <v>197</v>
      </c>
    </row>
    <row r="6" spans="1:18" outlineLevel="1">
      <c r="B6" s="10" t="s">
        <v>198</v>
      </c>
      <c r="C6" s="10" t="s">
        <v>199</v>
      </c>
    </row>
    <row r="7" spans="1:18" outlineLevel="1">
      <c r="B7" s="10" t="s">
        <v>200</v>
      </c>
      <c r="C7" s="10" t="s">
        <v>201</v>
      </c>
    </row>
    <row r="8" spans="1:18" outlineLevel="1">
      <c r="B8" s="10" t="s">
        <v>153</v>
      </c>
      <c r="C8" s="10" t="s">
        <v>161</v>
      </c>
    </row>
    <row r="9" spans="1:18" outlineLevel="1">
      <c r="B9" s="10" t="s">
        <v>237</v>
      </c>
      <c r="C9" s="10" t="s">
        <v>238</v>
      </c>
    </row>
    <row r="10" spans="1:18" outlineLevel="1"/>
    <row r="11" spans="1:18" outlineLevel="1">
      <c r="B11" s="10" t="s">
        <v>202</v>
      </c>
      <c r="C11" s="10" t="s">
        <v>203</v>
      </c>
    </row>
    <row r="12" spans="1:18" outlineLevel="1">
      <c r="B12" s="11" t="str">
        <f>$C$11&amp;" Financial Analysis"</f>
        <v>XLTP Financial Analysis</v>
      </c>
      <c r="D12" s="10" t="s">
        <v>204</v>
      </c>
    </row>
    <row r="13" spans="1:18" outlineLevel="1">
      <c r="B13" s="11" t="str">
        <f>$C$11&amp;" Discounted Cash Flow"</f>
        <v>XLTP Discounted Cash Flow</v>
      </c>
      <c r="D13" s="10" t="s">
        <v>205</v>
      </c>
    </row>
    <row r="14" spans="1:18" outlineLevel="1">
      <c r="B14" s="11" t="str">
        <f>$C$11&amp;" Bloomberg Comparable Valuation Analysis"</f>
        <v>XLTP Bloomberg Comparable Valuation Analysis</v>
      </c>
      <c r="D14" s="10" t="s">
        <v>206</v>
      </c>
    </row>
    <row r="15" spans="1:18" outlineLevel="1">
      <c r="B15" s="11" t="str">
        <f>$C$11&amp;" Three Statement Model"</f>
        <v>XLTP Three Statement Model</v>
      </c>
      <c r="D15" s="10" t="s">
        <v>261</v>
      </c>
    </row>
    <row r="17" spans="1:18">
      <c r="A17" s="134" t="s">
        <v>162</v>
      </c>
      <c r="B17" s="30" t="s">
        <v>160</v>
      </c>
      <c r="C17" s="30"/>
      <c r="D17" s="29"/>
      <c r="E17" s="29"/>
      <c r="F17" s="29"/>
      <c r="G17" s="29"/>
      <c r="H17" s="29"/>
      <c r="I17" s="29"/>
      <c r="J17" s="29"/>
      <c r="K17" s="29"/>
      <c r="L17" s="29"/>
      <c r="M17" s="29"/>
      <c r="N17" s="29"/>
      <c r="O17" s="29"/>
      <c r="P17" s="29"/>
      <c r="Q17" s="29"/>
      <c r="R17" s="29"/>
    </row>
    <row r="18" spans="1:18">
      <c r="B18" s="14"/>
      <c r="C18" s="14"/>
      <c r="D18" s="14" cm="1">
        <f t="array" ref="D18:M18">_xlfn.SEQUENCE(1,5+$C$21,(YEAR($C$20)-5))</f>
        <v>2019</v>
      </c>
      <c r="E18" s="14">
        <v>2020</v>
      </c>
      <c r="F18" s="14">
        <v>2021</v>
      </c>
      <c r="G18" s="14">
        <v>2022</v>
      </c>
      <c r="H18" s="14">
        <v>2023</v>
      </c>
      <c r="I18" s="15">
        <v>2024</v>
      </c>
      <c r="J18" s="15">
        <v>2025</v>
      </c>
      <c r="K18" s="15">
        <v>2026</v>
      </c>
      <c r="L18" s="15">
        <v>2027</v>
      </c>
      <c r="M18" s="15">
        <v>2028</v>
      </c>
      <c r="N18" s="15"/>
      <c r="O18" s="15"/>
      <c r="P18" s="15"/>
      <c r="Q18" s="15"/>
      <c r="R18" s="15"/>
    </row>
    <row r="19" spans="1:18" ht="12" outlineLevel="1" thickBot="1">
      <c r="B19" s="136" t="s">
        <v>210</v>
      </c>
      <c r="C19" s="137"/>
    </row>
    <row r="20" spans="1:18" outlineLevel="1">
      <c r="B20" s="55" t="s">
        <v>12</v>
      </c>
      <c r="C20" s="138">
        <v>45609</v>
      </c>
    </row>
    <row r="21" spans="1:18" outlineLevel="1">
      <c r="B21" s="10" t="s">
        <v>184</v>
      </c>
      <c r="C21" s="139">
        <v>5</v>
      </c>
      <c r="D21" s="1">
        <v>1</v>
      </c>
      <c r="E21" s="1">
        <v>3</v>
      </c>
      <c r="F21" s="1">
        <v>5</v>
      </c>
      <c r="G21" s="1">
        <v>7</v>
      </c>
      <c r="H21" s="1">
        <v>10</v>
      </c>
    </row>
    <row r="22" spans="1:18" outlineLevel="1">
      <c r="B22" s="10" t="s">
        <v>187</v>
      </c>
      <c r="C22" s="140">
        <v>16.64</v>
      </c>
    </row>
    <row r="23" spans="1:18" outlineLevel="1">
      <c r="B23" s="10" t="s">
        <v>159</v>
      </c>
      <c r="C23" s="189">
        <v>2178</v>
      </c>
    </row>
    <row r="24" spans="1:18" outlineLevel="1">
      <c r="B24" s="10" t="s">
        <v>27</v>
      </c>
      <c r="C24" s="142">
        <v>45657</v>
      </c>
    </row>
    <row r="25" spans="1:18" outlineLevel="1">
      <c r="B25" s="10" t="s">
        <v>28</v>
      </c>
      <c r="C25" s="211" t="s">
        <v>310</v>
      </c>
    </row>
    <row r="26" spans="1:18" outlineLevel="1">
      <c r="B26" s="10" t="str">
        <f>"In "&amp;C25&amp;" "</f>
        <v xml:space="preserve">In CAD </v>
      </c>
      <c r="C26" s="211" t="s">
        <v>309</v>
      </c>
    </row>
    <row r="27" spans="1:18" outlineLevel="1">
      <c r="C27" s="1"/>
    </row>
    <row r="28" spans="1:18" outlineLevel="1">
      <c r="C28" s="1"/>
    </row>
    <row r="29" spans="1:18" outlineLevel="1">
      <c r="B29" s="30" t="s">
        <v>265</v>
      </c>
      <c r="C29" s="30"/>
      <c r="D29" s="30"/>
      <c r="E29" s="30"/>
      <c r="F29" s="30"/>
      <c r="G29" s="30"/>
      <c r="H29" s="30"/>
      <c r="I29" s="30"/>
      <c r="J29" s="30"/>
      <c r="K29" s="30"/>
      <c r="L29" s="30"/>
      <c r="M29" s="30"/>
      <c r="N29" s="30"/>
      <c r="O29" s="30"/>
      <c r="P29" s="30"/>
      <c r="Q29" s="30"/>
      <c r="R29" s="30"/>
    </row>
    <row r="30" spans="1:18" outlineLevel="1">
      <c r="B30" s="14" t="s">
        <v>292</v>
      </c>
      <c r="C30" s="14"/>
      <c r="D30" s="14"/>
      <c r="E30" s="14"/>
      <c r="F30" s="14"/>
      <c r="G30" s="145"/>
      <c r="H30" s="145"/>
      <c r="I30" s="145"/>
      <c r="J30" s="145"/>
      <c r="K30" s="145"/>
      <c r="L30" s="145"/>
      <c r="M30" s="145"/>
      <c r="N30" s="145"/>
      <c r="O30" s="145"/>
      <c r="P30" s="145"/>
      <c r="Q30" s="145"/>
      <c r="R30" s="145"/>
    </row>
    <row r="31" spans="1:18" outlineLevel="1">
      <c r="C31" s="84"/>
    </row>
    <row r="32" spans="1:18" outlineLevel="1">
      <c r="C32" s="84"/>
    </row>
    <row r="33" spans="2:18" outlineLevel="1">
      <c r="B33" s="30" t="s">
        <v>268</v>
      </c>
      <c r="C33" s="30"/>
      <c r="D33" s="30"/>
      <c r="E33" s="30"/>
      <c r="F33" s="30"/>
      <c r="G33" s="30"/>
      <c r="H33" s="30"/>
      <c r="I33" s="30"/>
      <c r="J33" s="30"/>
      <c r="K33" s="30"/>
      <c r="L33" s="30"/>
      <c r="M33" s="30"/>
      <c r="N33" s="30"/>
      <c r="O33" s="30"/>
      <c r="P33" s="30"/>
      <c r="Q33" s="30"/>
      <c r="R33" s="30"/>
    </row>
    <row r="34" spans="2:18" outlineLevel="1">
      <c r="B34" s="14" t="s">
        <v>293</v>
      </c>
      <c r="C34" s="14"/>
      <c r="D34" s="14"/>
      <c r="E34" s="14"/>
      <c r="F34" s="14"/>
      <c r="G34" s="145"/>
      <c r="H34" s="145"/>
      <c r="I34" s="145"/>
      <c r="J34" s="145"/>
      <c r="K34" s="145"/>
      <c r="L34" s="145"/>
      <c r="M34" s="145"/>
      <c r="N34" s="145"/>
      <c r="O34" s="145"/>
      <c r="P34" s="145"/>
      <c r="Q34" s="145"/>
      <c r="R34" s="145"/>
    </row>
    <row r="35" spans="2:18" outlineLevel="1">
      <c r="C35" s="84"/>
    </row>
    <row r="36" spans="2:18" outlineLevel="1">
      <c r="C36" s="84"/>
    </row>
    <row r="37" spans="2:18" outlineLevel="1">
      <c r="B37" s="30" t="s">
        <v>211</v>
      </c>
      <c r="C37" s="30"/>
      <c r="D37" s="144">
        <v>1</v>
      </c>
      <c r="E37" s="144">
        <v>2</v>
      </c>
      <c r="F37" s="144">
        <v>3</v>
      </c>
      <c r="G37" s="144">
        <v>4</v>
      </c>
      <c r="H37" s="144">
        <v>5</v>
      </c>
      <c r="I37" s="222" t="s">
        <v>311</v>
      </c>
      <c r="J37" s="30"/>
      <c r="K37" s="30"/>
      <c r="L37" s="30"/>
      <c r="M37" s="30"/>
      <c r="N37" s="30"/>
      <c r="O37" s="30"/>
      <c r="P37" s="30"/>
      <c r="Q37" s="30"/>
      <c r="R37" s="30"/>
    </row>
    <row r="38" spans="2:18" outlineLevel="1">
      <c r="B38" s="14"/>
      <c r="C38" s="14"/>
      <c r="D38" s="14" cm="1">
        <f t="array" ref="D38:H38">_xlfn.SEQUENCE(1,5,(YEAR($C$20)-5))</f>
        <v>2019</v>
      </c>
      <c r="E38" s="14">
        <v>2020</v>
      </c>
      <c r="F38" s="14">
        <v>2021</v>
      </c>
      <c r="G38" s="14">
        <v>2022</v>
      </c>
      <c r="H38" s="14">
        <v>2023</v>
      </c>
      <c r="I38" s="223" t="s">
        <v>302</v>
      </c>
      <c r="J38" s="145"/>
      <c r="K38" s="145"/>
      <c r="L38" s="145"/>
      <c r="M38" s="145"/>
      <c r="N38" s="145"/>
      <c r="O38" s="145"/>
      <c r="P38" s="145"/>
      <c r="Q38" s="145"/>
      <c r="R38" s="145"/>
    </row>
    <row r="39" spans="2:18" outlineLevel="1">
      <c r="B39" s="146" t="s">
        <v>212</v>
      </c>
      <c r="C39" s="147"/>
      <c r="D39" s="148">
        <v>2.952</v>
      </c>
      <c r="E39" s="148">
        <v>3.24</v>
      </c>
      <c r="F39" s="148">
        <v>3.34</v>
      </c>
      <c r="G39" s="148">
        <v>3.44</v>
      </c>
      <c r="H39" s="148">
        <v>3.55</v>
      </c>
      <c r="I39" s="148">
        <v>3.66</v>
      </c>
    </row>
    <row r="40" spans="2:18" outlineLevel="1">
      <c r="B40" s="83" t="s">
        <v>213</v>
      </c>
      <c r="C40" s="149">
        <f>((I39/D39)^(1/6)-1)</f>
        <v>3.6479671551646886E-2</v>
      </c>
    </row>
    <row r="41" spans="2:18" outlineLevel="1">
      <c r="B41" s="10" t="s">
        <v>2</v>
      </c>
      <c r="C41" s="84">
        <f>C40-D41</f>
        <v>2.6479671551646884E-2</v>
      </c>
      <c r="D41" s="150">
        <v>0.01</v>
      </c>
    </row>
    <row r="42" spans="2:18" outlineLevel="1">
      <c r="B42" s="10" t="s">
        <v>4</v>
      </c>
      <c r="C42" s="84">
        <f>C40+D42</f>
        <v>4.6479671551646888E-2</v>
      </c>
      <c r="D42" s="150">
        <v>0.01</v>
      </c>
    </row>
    <row r="43" spans="2:18" outlineLevel="1">
      <c r="C43" s="133"/>
    </row>
    <row r="44" spans="2:18" outlineLevel="1">
      <c r="B44" s="10" t="s">
        <v>214</v>
      </c>
      <c r="C44" s="151">
        <v>0.04</v>
      </c>
    </row>
    <row r="45" spans="2:18" outlineLevel="1">
      <c r="B45" s="10" t="s">
        <v>2</v>
      </c>
      <c r="C45" s="84">
        <f>C44-D45</f>
        <v>0.03</v>
      </c>
      <c r="D45" s="150">
        <v>0.01</v>
      </c>
    </row>
    <row r="46" spans="2:18" outlineLevel="1">
      <c r="B46" s="10" t="s">
        <v>4</v>
      </c>
      <c r="C46" s="84">
        <f>C44+D46</f>
        <v>0.05</v>
      </c>
      <c r="D46" s="150">
        <v>0.01</v>
      </c>
    </row>
    <row r="47" spans="2:18" outlineLevel="1"/>
    <row r="48" spans="2:18" outlineLevel="1">
      <c r="B48" s="10" t="s">
        <v>215</v>
      </c>
      <c r="C48" s="143" t="s">
        <v>216</v>
      </c>
      <c r="D48" s="1" t="s">
        <v>216</v>
      </c>
      <c r="E48" s="1" t="s">
        <v>22</v>
      </c>
    </row>
    <row r="49" spans="1:18" outlineLevel="1">
      <c r="C49" s="152"/>
    </row>
    <row r="50" spans="1:18" outlineLevel="1">
      <c r="B50" s="10" t="str">
        <f>"Annual Dividends Per Share - Last Paid "&amp;H38</f>
        <v>Annual Dividends Per Share - Last Paid 2023</v>
      </c>
      <c r="C50" s="85">
        <f>H39</f>
        <v>3.55</v>
      </c>
    </row>
    <row r="51" spans="1:18" outlineLevel="1">
      <c r="B51" s="10" t="s">
        <v>217</v>
      </c>
      <c r="C51" s="84">
        <f>C102</f>
        <v>0.14960647843942504</v>
      </c>
    </row>
    <row r="52" spans="1:18" outlineLevel="1">
      <c r="C52" s="84"/>
    </row>
    <row r="53" spans="1:18" outlineLevel="1">
      <c r="C53" s="84"/>
    </row>
    <row r="54" spans="1:18" outlineLevel="1">
      <c r="C54" s="84"/>
    </row>
    <row r="55" spans="1:18" outlineLevel="1">
      <c r="C55" s="84"/>
    </row>
    <row r="56" spans="1:18" outlineLevel="1">
      <c r="C56" s="84"/>
    </row>
    <row r="57" spans="1:18" outlineLevel="1">
      <c r="C57" s="84"/>
    </row>
    <row r="59" spans="1:18">
      <c r="A59" s="134" t="s">
        <v>161</v>
      </c>
      <c r="B59" s="30" t="s">
        <v>122</v>
      </c>
      <c r="C59" s="30"/>
      <c r="D59" s="29"/>
      <c r="E59" s="29"/>
      <c r="F59" s="29"/>
      <c r="G59" s="29"/>
      <c r="H59" s="29"/>
      <c r="I59" s="29"/>
      <c r="J59" s="29"/>
      <c r="K59" s="29"/>
      <c r="L59" s="29"/>
      <c r="M59" s="29"/>
      <c r="N59" s="29"/>
      <c r="O59" s="29"/>
      <c r="P59" s="29"/>
      <c r="Q59" s="29"/>
      <c r="R59" s="29"/>
    </row>
    <row r="60" spans="1:18" outlineLevel="1">
      <c r="B60" s="145" t="str">
        <f>"Capital Structure, "&amp;Assumptions!$B$26&amp;Assumptions!$C$26</f>
        <v>Capital Structure, In CAD Millions</v>
      </c>
      <c r="C60" s="145"/>
      <c r="D60" s="145"/>
      <c r="E60" s="145"/>
      <c r="F60" s="145"/>
      <c r="G60" s="145"/>
      <c r="H60" s="145"/>
      <c r="I60" s="145"/>
      <c r="J60" s="145"/>
      <c r="K60" s="145"/>
      <c r="L60" s="145"/>
      <c r="M60" s="145"/>
      <c r="N60" s="145"/>
      <c r="O60" s="145"/>
      <c r="P60" s="145"/>
      <c r="Q60" s="145"/>
      <c r="R60" s="145"/>
    </row>
    <row r="61" spans="1:18" outlineLevel="1">
      <c r="B61" s="153" t="s">
        <v>123</v>
      </c>
      <c r="C61" s="154">
        <v>119659</v>
      </c>
    </row>
    <row r="62" spans="1:18" outlineLevel="1">
      <c r="B62" s="155" t="s">
        <v>124</v>
      </c>
      <c r="C62" s="156">
        <f>C61/$C$73</f>
        <v>0.99914731090647202</v>
      </c>
    </row>
    <row r="63" spans="1:18" outlineLevel="1">
      <c r="B63" s="157"/>
      <c r="C63" s="157"/>
    </row>
    <row r="64" spans="1:18" outlineLevel="1">
      <c r="B64" s="157" t="s">
        <v>125</v>
      </c>
      <c r="C64" s="154">
        <v>7.9809999999999999</v>
      </c>
    </row>
    <row r="65" spans="2:18" outlineLevel="1">
      <c r="B65" s="155" t="s">
        <v>124</v>
      </c>
      <c r="C65" s="156">
        <f>C64/$C$73</f>
        <v>6.6640993893852973E-5</v>
      </c>
    </row>
    <row r="66" spans="2:18" outlineLevel="1">
      <c r="B66" s="157" t="s">
        <v>126</v>
      </c>
      <c r="C66" s="154">
        <v>87.32</v>
      </c>
    </row>
    <row r="67" spans="2:18" outlineLevel="1">
      <c r="B67" s="155" t="s">
        <v>124</v>
      </c>
      <c r="C67" s="156">
        <f>C66/$C$73</f>
        <v>7.2911810384804427E-4</v>
      </c>
    </row>
    <row r="68" spans="2:18" outlineLevel="1">
      <c r="B68" s="153" t="s">
        <v>127</v>
      </c>
      <c r="C68" s="158">
        <f>C64+C66</f>
        <v>95.300999999999988</v>
      </c>
    </row>
    <row r="69" spans="2:18" outlineLevel="1">
      <c r="B69" s="155" t="s">
        <v>124</v>
      </c>
      <c r="C69" s="156">
        <f>C68/$C$73</f>
        <v>7.957590977418972E-4</v>
      </c>
    </row>
    <row r="70" spans="2:18" outlineLevel="1">
      <c r="B70" s="157"/>
      <c r="C70" s="159"/>
    </row>
    <row r="71" spans="2:18" outlineLevel="1">
      <c r="B71" s="153" t="s">
        <v>128</v>
      </c>
      <c r="C71" s="154">
        <v>6.8179999999999996</v>
      </c>
    </row>
    <row r="72" spans="2:18" outlineLevel="1">
      <c r="B72" s="155" t="s">
        <v>129</v>
      </c>
      <c r="C72" s="156">
        <f>C71/$C$73</f>
        <v>5.6929995786028013E-5</v>
      </c>
    </row>
    <row r="73" spans="2:18" outlineLevel="1">
      <c r="B73" s="49" t="s">
        <v>130</v>
      </c>
      <c r="C73" s="160">
        <f>SUM(C61,C68,C71)</f>
        <v>119761.11900000001</v>
      </c>
    </row>
    <row r="74" spans="2:18" outlineLevel="1">
      <c r="B74" s="157"/>
      <c r="C74" s="157"/>
    </row>
    <row r="75" spans="2:18" outlineLevel="1">
      <c r="B75" s="145" t="str">
        <f>"Cost of Debt, "&amp;Assumptions!$B$26&amp;Assumptions!$C$26</f>
        <v>Cost of Debt, In CAD Millions</v>
      </c>
      <c r="C75" s="161"/>
      <c r="D75" s="145"/>
      <c r="E75" s="145"/>
      <c r="F75" s="145"/>
      <c r="G75" s="145"/>
      <c r="H75" s="145"/>
      <c r="I75" s="145"/>
      <c r="J75" s="145"/>
      <c r="K75" s="145"/>
      <c r="L75" s="145"/>
      <c r="M75" s="145"/>
      <c r="N75" s="145"/>
      <c r="O75" s="145"/>
      <c r="P75" s="145"/>
      <c r="Q75" s="145"/>
      <c r="R75" s="145"/>
    </row>
    <row r="76" spans="2:18" outlineLevel="1">
      <c r="B76" s="153" t="s">
        <v>131</v>
      </c>
      <c r="C76" s="162">
        <v>0.24199999999999999</v>
      </c>
    </row>
    <row r="77" spans="2:18" outlineLevel="1">
      <c r="B77" s="153" t="s">
        <v>132</v>
      </c>
      <c r="C77" s="163">
        <f>1-C76</f>
        <v>0.75800000000000001</v>
      </c>
    </row>
    <row r="78" spans="2:18" outlineLevel="1">
      <c r="B78" s="157"/>
      <c r="C78" s="157"/>
    </row>
    <row r="79" spans="2:18" outlineLevel="1">
      <c r="B79" s="157" t="s">
        <v>133</v>
      </c>
      <c r="C79" s="162">
        <v>3.8800000000000001E-2</v>
      </c>
    </row>
    <row r="80" spans="2:18" outlineLevel="1">
      <c r="B80" s="157" t="s">
        <v>134</v>
      </c>
      <c r="C80" s="164">
        <f>C64/C68</f>
        <v>8.3745186304445926E-2</v>
      </c>
    </row>
    <row r="81" spans="2:18" outlineLevel="1">
      <c r="B81" s="153" t="s">
        <v>135</v>
      </c>
      <c r="C81" s="163">
        <f>C80*C79</f>
        <v>3.249313228612502E-3</v>
      </c>
    </row>
    <row r="82" spans="2:18" outlineLevel="1">
      <c r="B82" s="157" t="s">
        <v>136</v>
      </c>
      <c r="C82" s="162">
        <v>4.7399999999999998E-2</v>
      </c>
    </row>
    <row r="83" spans="2:18" outlineLevel="1">
      <c r="B83" s="157" t="s">
        <v>137</v>
      </c>
      <c r="C83" s="164">
        <f>C66/C68</f>
        <v>0.91625481369555417</v>
      </c>
    </row>
    <row r="84" spans="2:18" outlineLevel="1">
      <c r="B84" s="153" t="s">
        <v>138</v>
      </c>
      <c r="C84" s="163">
        <f>C82*C83</f>
        <v>4.3430478169169263E-2</v>
      </c>
    </row>
    <row r="85" spans="2:18" outlineLevel="1">
      <c r="B85" s="153" t="s">
        <v>139</v>
      </c>
      <c r="C85" s="163">
        <f>C84+C81</f>
        <v>4.6679791397781764E-2</v>
      </c>
    </row>
    <row r="86" spans="2:18" outlineLevel="1">
      <c r="B86" s="1"/>
      <c r="C86" s="1"/>
    </row>
    <row r="87" spans="2:18" outlineLevel="1">
      <c r="B87" s="153" t="s">
        <v>140</v>
      </c>
      <c r="C87" s="165">
        <v>1</v>
      </c>
    </row>
    <row r="88" spans="2:18" outlineLevel="1">
      <c r="B88" s="49" t="s">
        <v>141</v>
      </c>
      <c r="C88" s="166">
        <f>C87*C85*C77</f>
        <v>3.5383281879518579E-2</v>
      </c>
    </row>
    <row r="89" spans="2:18" outlineLevel="1">
      <c r="B89" s="1"/>
      <c r="C89" s="1"/>
    </row>
    <row r="90" spans="2:18" outlineLevel="1">
      <c r="B90" s="145" t="str">
        <f>"Cost of Equity, "&amp;Assumptions!$B$26&amp;Assumptions!$C$26</f>
        <v>Cost of Equity, In CAD Millions</v>
      </c>
      <c r="C90" s="145"/>
      <c r="D90" s="145"/>
      <c r="E90" s="145"/>
      <c r="F90" s="145"/>
      <c r="G90" s="145"/>
      <c r="H90" s="145"/>
      <c r="I90" s="145"/>
      <c r="J90" s="145"/>
      <c r="K90" s="145"/>
      <c r="L90" s="145"/>
      <c r="M90" s="145"/>
      <c r="N90" s="145"/>
      <c r="O90" s="145"/>
      <c r="P90" s="145"/>
      <c r="Q90" s="145"/>
      <c r="R90" s="145"/>
    </row>
    <row r="91" spans="2:18" outlineLevel="1">
      <c r="B91" s="157" t="s">
        <v>142</v>
      </c>
      <c r="C91" s="162">
        <v>3.32E-2</v>
      </c>
    </row>
    <row r="92" spans="2:18" outlineLevel="1">
      <c r="B92" s="167" t="s">
        <v>143</v>
      </c>
      <c r="C92" s="162">
        <v>6.1199999999999997E-2</v>
      </c>
    </row>
    <row r="93" spans="2:18" outlineLevel="1">
      <c r="B93" s="167" t="s">
        <v>144</v>
      </c>
      <c r="C93" s="165">
        <v>0.89</v>
      </c>
    </row>
    <row r="94" spans="2:18" outlineLevel="1">
      <c r="B94" s="167" t="s">
        <v>145</v>
      </c>
      <c r="C94" s="168">
        <v>6.8500000000000005E-2</v>
      </c>
    </row>
    <row r="95" spans="2:18" outlineLevel="1">
      <c r="B95" s="157" t="s">
        <v>146</v>
      </c>
      <c r="C95" s="162">
        <v>0.1016</v>
      </c>
    </row>
    <row r="96" spans="2:18" outlineLevel="1">
      <c r="B96" s="167" t="s">
        <v>147</v>
      </c>
      <c r="C96" s="168">
        <f>+C91</f>
        <v>3.32E-2</v>
      </c>
    </row>
    <row r="97" spans="1:18" outlineLevel="1">
      <c r="B97" s="49" t="s">
        <v>218</v>
      </c>
      <c r="C97" s="169">
        <f>C91+C93*C94</f>
        <v>9.4164999999999999E-2</v>
      </c>
    </row>
    <row r="98" spans="1:18" outlineLevel="1">
      <c r="B98" s="153" t="s">
        <v>149</v>
      </c>
      <c r="C98" s="153"/>
    </row>
    <row r="99" spans="1:18" outlineLevel="1">
      <c r="B99" s="157" t="s">
        <v>150</v>
      </c>
      <c r="C99" s="165">
        <v>0.378</v>
      </c>
    </row>
    <row r="100" spans="1:18" outlineLevel="1">
      <c r="B100" s="167" t="s">
        <v>151</v>
      </c>
      <c r="C100" s="165">
        <v>6.8179999999999996</v>
      </c>
    </row>
    <row r="101" spans="1:18" outlineLevel="1">
      <c r="B101" s="49" t="s">
        <v>152</v>
      </c>
      <c r="C101" s="166">
        <f>IFERROR(C99/C100,0)</f>
        <v>5.5441478439425054E-2</v>
      </c>
    </row>
    <row r="102" spans="1:18" ht="12" outlineLevel="1" thickBot="1">
      <c r="B102" s="33" t="s">
        <v>148</v>
      </c>
      <c r="C102" s="170">
        <f>C97+C101</f>
        <v>0.14960647843942504</v>
      </c>
    </row>
    <row r="103" spans="1:18" outlineLevel="1">
      <c r="B103" s="1"/>
      <c r="C103" s="1"/>
    </row>
    <row r="104" spans="1:18" ht="12" outlineLevel="1" thickBot="1">
      <c r="B104" s="171" t="s">
        <v>153</v>
      </c>
      <c r="C104" s="172">
        <f>C62*C97+C69*C88+C72*C101</f>
        <v>9.4116019383105459E-2</v>
      </c>
    </row>
    <row r="105" spans="1:18" ht="12" outlineLevel="1" thickTop="1"/>
    <row r="106" spans="1:18" outlineLevel="1"/>
    <row r="107" spans="1:18" outlineLevel="1"/>
    <row r="108" spans="1:18" outlineLevel="1"/>
    <row r="109" spans="1:18" outlineLevel="1"/>
    <row r="110" spans="1:18" outlineLevel="1">
      <c r="C110" s="154"/>
      <c r="D110" s="141"/>
      <c r="E110" s="141"/>
      <c r="F110" s="141"/>
      <c r="G110" s="141"/>
      <c r="H110" s="141"/>
    </row>
    <row r="112" spans="1:18">
      <c r="A112" s="134" t="s">
        <v>53</v>
      </c>
      <c r="B112" s="30" t="s">
        <v>0</v>
      </c>
      <c r="C112" s="30"/>
      <c r="D112" s="29"/>
      <c r="E112" s="29"/>
      <c r="F112" s="29"/>
      <c r="G112" s="29"/>
      <c r="H112" s="29"/>
      <c r="I112" s="29"/>
      <c r="J112" s="29"/>
      <c r="K112" s="29"/>
      <c r="L112" s="29"/>
      <c r="M112" s="29"/>
      <c r="N112" s="29"/>
      <c r="O112" s="29"/>
      <c r="P112" s="29"/>
      <c r="Q112" s="29"/>
      <c r="R112" s="29"/>
    </row>
    <row r="113" spans="1:18">
      <c r="A113" s="62"/>
      <c r="B113" s="14" t="str">
        <f>"Year Ending "&amp;TEXT($C$24,"mmmm d")&amp;", "&amp;$B$26&amp;$C$26</f>
        <v>Year Ending December 31, In CAD Millions</v>
      </c>
      <c r="C113" s="14">
        <f>D113-1</f>
        <v>2018</v>
      </c>
      <c r="D113" s="14" cm="1">
        <f t="array" ref="D113:M113">_xlfn.SEQUENCE(1,5+$C$21,(YEAR($C$20)-5))</f>
        <v>2019</v>
      </c>
      <c r="E113" s="14">
        <v>2020</v>
      </c>
      <c r="F113" s="14">
        <v>2021</v>
      </c>
      <c r="G113" s="14">
        <v>2022</v>
      </c>
      <c r="H113" s="14">
        <v>2023</v>
      </c>
      <c r="I113" s="15">
        <v>2024</v>
      </c>
      <c r="J113" s="15">
        <v>2025</v>
      </c>
      <c r="K113" s="15">
        <v>2026</v>
      </c>
      <c r="L113" s="15">
        <v>2027</v>
      </c>
      <c r="M113" s="15">
        <v>2028</v>
      </c>
      <c r="N113" s="15"/>
      <c r="O113" s="15"/>
      <c r="P113" s="15"/>
      <c r="Q113" s="15"/>
      <c r="R113" s="15"/>
    </row>
    <row r="114" spans="1:18" outlineLevel="1">
      <c r="B114" s="10" t="s">
        <v>209</v>
      </c>
      <c r="C114" s="173">
        <v>0.03</v>
      </c>
    </row>
    <row r="115" spans="1:18" outlineLevel="1">
      <c r="B115" s="10" t="s">
        <v>5</v>
      </c>
      <c r="C115" s="143" t="s">
        <v>21</v>
      </c>
      <c r="D115" s="1" t="s">
        <v>21</v>
      </c>
      <c r="E115" s="1" t="s">
        <v>240</v>
      </c>
      <c r="F115" s="1" t="s">
        <v>216</v>
      </c>
      <c r="G115" s="1" t="s">
        <v>22</v>
      </c>
    </row>
    <row r="116" spans="1:18" outlineLevel="1">
      <c r="C116" s="10">
        <v>5.45</v>
      </c>
    </row>
    <row r="117" spans="1:18" outlineLevel="1">
      <c r="B117" s="174" t="s">
        <v>1</v>
      </c>
      <c r="C117" s="154">
        <v>46378</v>
      </c>
      <c r="D117" s="154">
        <v>50069</v>
      </c>
      <c r="E117" s="154">
        <v>39087</v>
      </c>
      <c r="F117" s="154">
        <v>47071</v>
      </c>
      <c r="G117" s="154">
        <v>53309</v>
      </c>
      <c r="H117" s="154">
        <v>43649</v>
      </c>
      <c r="I117" s="175">
        <v>0.04</v>
      </c>
      <c r="J117" s="175">
        <v>0.04</v>
      </c>
      <c r="K117" s="175">
        <v>4.4999999999999998E-2</v>
      </c>
      <c r="L117" s="175">
        <v>0.05</v>
      </c>
      <c r="M117" s="175">
        <v>0.05</v>
      </c>
      <c r="N117" s="175">
        <v>0.05</v>
      </c>
      <c r="O117" s="175">
        <v>0.05</v>
      </c>
      <c r="P117" s="175">
        <v>0.05</v>
      </c>
      <c r="Q117" s="175">
        <v>0.05</v>
      </c>
      <c r="R117" s="175">
        <v>0.05</v>
      </c>
    </row>
    <row r="118" spans="1:18" outlineLevel="1">
      <c r="B118" s="10" t="s">
        <v>3</v>
      </c>
      <c r="D118" s="176">
        <f>D117/C117-1</f>
        <v>7.9585148130579153E-2</v>
      </c>
      <c r="E118" s="176">
        <f>E117/D117-1</f>
        <v>-0.21933731450598171</v>
      </c>
      <c r="F118" s="176">
        <f t="shared" ref="F118:H118" si="0">F117/E117-1</f>
        <v>0.20426228669378577</v>
      </c>
      <c r="G118" s="176">
        <f t="shared" si="0"/>
        <v>0.13252320961951103</v>
      </c>
      <c r="H118" s="176">
        <f t="shared" si="0"/>
        <v>-0.18120767600217602</v>
      </c>
      <c r="I118" s="176">
        <f>IF(I113="",0,
    IF($C$115="Perpetual",$C$114,
       IF($C$115="Custom",I117,
          IF($C$115="CAGR",(($H$117/$D$117)^(1/COUNTA($D$117:$H$117))-1),
             AVERAGE($D$118:$H$118)))))</f>
        <v>0.03</v>
      </c>
      <c r="J118" s="176">
        <f>IF(J113="",0,
    IF($C$115="Perpetual",$C$114,
       IF($C$115="Custom",J117,
          IF($C$115="CAGR",(($H$117/$D$117)^(1/COUNTA($D$117:$H$117))-1),
             AVERAGE($D$118:$H$118)))))</f>
        <v>0.03</v>
      </c>
      <c r="K118" s="176">
        <f t="shared" ref="K118:L118" si="1">IF(K113="",0,
    IF($C$115="Perpetual",$C$114,
       IF($C$115="Custom",K117,
          IF($C$115="CAGR",(($H$117/$D$117)^(1/COUNTA($D$117:$H$117))-1),
             AVERAGE($D$118:$H$118)))))</f>
        <v>0.03</v>
      </c>
      <c r="L118" s="176">
        <f t="shared" si="1"/>
        <v>0.03</v>
      </c>
      <c r="M118" s="176">
        <f t="shared" ref="M118:R118" si="2">IF(M113="",0,
    IF($C$115="Perpetual",$C$114,
       IF($C$115="Custom",M117,
          IF($C$115="CAGR",(($H$118/$D$118)^(1/COUNTA($D$117:$H$117))-1),
             AVERAGE($D$118:$H$118)))))</f>
        <v>0.03</v>
      </c>
      <c r="N118" s="176">
        <f t="shared" si="2"/>
        <v>0</v>
      </c>
      <c r="O118" s="176">
        <f t="shared" si="2"/>
        <v>0</v>
      </c>
      <c r="P118" s="176">
        <f t="shared" si="2"/>
        <v>0</v>
      </c>
      <c r="Q118" s="176">
        <f t="shared" si="2"/>
        <v>0</v>
      </c>
      <c r="R118" s="176">
        <f t="shared" si="2"/>
        <v>0</v>
      </c>
    </row>
    <row r="119" spans="1:18" outlineLevel="1">
      <c r="B119" s="10" t="s">
        <v>2</v>
      </c>
      <c r="C119" s="173">
        <v>0.02</v>
      </c>
      <c r="I119" s="177">
        <f>IF(I113="",0,I118-$C119)</f>
        <v>9.9999999999999985E-3</v>
      </c>
      <c r="J119" s="177">
        <f t="shared" ref="J119:R119" si="3">IF(J113="",0,J118-$C119)</f>
        <v>9.9999999999999985E-3</v>
      </c>
      <c r="K119" s="177">
        <f t="shared" si="3"/>
        <v>9.9999999999999985E-3</v>
      </c>
      <c r="L119" s="177">
        <f t="shared" si="3"/>
        <v>9.9999999999999985E-3</v>
      </c>
      <c r="M119" s="177">
        <f t="shared" si="3"/>
        <v>9.9999999999999985E-3</v>
      </c>
      <c r="N119" s="177">
        <f t="shared" si="3"/>
        <v>0</v>
      </c>
      <c r="O119" s="177">
        <f t="shared" si="3"/>
        <v>0</v>
      </c>
      <c r="P119" s="177">
        <f t="shared" si="3"/>
        <v>0</v>
      </c>
      <c r="Q119" s="177">
        <f t="shared" si="3"/>
        <v>0</v>
      </c>
      <c r="R119" s="177">
        <f t="shared" si="3"/>
        <v>0</v>
      </c>
    </row>
    <row r="120" spans="1:18" outlineLevel="1">
      <c r="B120" s="10" t="s">
        <v>4</v>
      </c>
      <c r="C120" s="173">
        <v>0.02</v>
      </c>
      <c r="I120" s="177">
        <f>IF(I113="",0,I118+$C120)</f>
        <v>0.05</v>
      </c>
      <c r="J120" s="177">
        <f t="shared" ref="J120:R120" si="4">IF(J113="",0,J118+$C120)</f>
        <v>0.05</v>
      </c>
      <c r="K120" s="177">
        <f t="shared" si="4"/>
        <v>0.05</v>
      </c>
      <c r="L120" s="177">
        <f t="shared" si="4"/>
        <v>0.05</v>
      </c>
      <c r="M120" s="177">
        <f t="shared" si="4"/>
        <v>0.05</v>
      </c>
      <c r="N120" s="177">
        <f t="shared" si="4"/>
        <v>0</v>
      </c>
      <c r="O120" s="177">
        <f t="shared" si="4"/>
        <v>0</v>
      </c>
      <c r="P120" s="177">
        <f t="shared" si="4"/>
        <v>0</v>
      </c>
      <c r="Q120" s="177">
        <f t="shared" si="4"/>
        <v>0</v>
      </c>
      <c r="R120" s="177">
        <f t="shared" si="4"/>
        <v>0</v>
      </c>
    </row>
    <row r="121" spans="1:18" outlineLevel="1"/>
    <row r="122" spans="1:18" outlineLevel="1"/>
    <row r="123" spans="1:18" outlineLevel="1">
      <c r="B123" s="10" t="str">
        <f>"Cost of "&amp;B117&amp;" ~ Cost of Goods Sold"</f>
        <v>Cost of Revenue ~ Cost of Goods Sold</v>
      </c>
      <c r="C123" s="154">
        <v>29401</v>
      </c>
      <c r="D123" s="154">
        <v>31004</v>
      </c>
      <c r="E123" s="154">
        <v>20669</v>
      </c>
      <c r="F123" s="154">
        <v>28702</v>
      </c>
      <c r="G123" s="154">
        <v>32589</v>
      </c>
      <c r="H123" s="154">
        <v>21366</v>
      </c>
    </row>
    <row r="124" spans="1:18" outlineLevel="1">
      <c r="B124" s="10" t="str">
        <f>"As a % of "&amp;$B$117</f>
        <v>As a % of Revenue</v>
      </c>
      <c r="D124" s="176">
        <f>IFERROR(D123/D$117,0)</f>
        <v>0.61922546885298291</v>
      </c>
      <c r="E124" s="176">
        <f>IFERROR(E123/E$117,0)</f>
        <v>0.52879473993911019</v>
      </c>
      <c r="F124" s="176">
        <f>IFERROR(F123/F$117,0)</f>
        <v>0.60975972467124129</v>
      </c>
      <c r="G124" s="176">
        <f>IFERROR(G123/G$117,0)</f>
        <v>0.6113226659663471</v>
      </c>
      <c r="H124" s="176">
        <f>IFERROR(H123/H$117,0)</f>
        <v>0.48949575018900776</v>
      </c>
      <c r="I124" s="177">
        <f>IF(I$113="",0,AVERAGE($D124:$H124))</f>
        <v>0.57171966992373791</v>
      </c>
      <c r="J124" s="177">
        <f t="shared" ref="J124:R124" si="5">IF(J$113="",0,AVERAGE($D124:$H124))</f>
        <v>0.57171966992373791</v>
      </c>
      <c r="K124" s="177">
        <f t="shared" si="5"/>
        <v>0.57171966992373791</v>
      </c>
      <c r="L124" s="177">
        <f t="shared" si="5"/>
        <v>0.57171966992373791</v>
      </c>
      <c r="M124" s="177">
        <f t="shared" si="5"/>
        <v>0.57171966992373791</v>
      </c>
      <c r="N124" s="177">
        <f t="shared" si="5"/>
        <v>0</v>
      </c>
      <c r="O124" s="177">
        <f t="shared" si="5"/>
        <v>0</v>
      </c>
      <c r="P124" s="177">
        <f t="shared" si="5"/>
        <v>0</v>
      </c>
      <c r="Q124" s="177">
        <f t="shared" si="5"/>
        <v>0</v>
      </c>
      <c r="R124" s="177">
        <f t="shared" si="5"/>
        <v>0</v>
      </c>
    </row>
    <row r="125" spans="1:18" outlineLevel="1"/>
    <row r="126" spans="1:18" outlineLevel="1"/>
    <row r="127" spans="1:18" outlineLevel="1">
      <c r="B127" s="174" t="s">
        <v>26</v>
      </c>
      <c r="D127" s="154">
        <v>0</v>
      </c>
      <c r="E127" s="154">
        <v>0</v>
      </c>
      <c r="F127" s="154">
        <v>0</v>
      </c>
      <c r="G127" s="154">
        <v>0</v>
      </c>
      <c r="H127" s="154">
        <v>0</v>
      </c>
    </row>
    <row r="128" spans="1:18" outlineLevel="1">
      <c r="B128" s="10" t="str">
        <f>"As a % of "&amp;$B$117</f>
        <v>As a % of Revenue</v>
      </c>
      <c r="D128" s="176">
        <f>IFERROR(D127/D$117,0)</f>
        <v>0</v>
      </c>
      <c r="E128" s="176">
        <f>IFERROR(E127/E$117,0)</f>
        <v>0</v>
      </c>
      <c r="F128" s="176">
        <f>IFERROR(F127/F$117,0)</f>
        <v>0</v>
      </c>
      <c r="G128" s="176">
        <f>IFERROR(G127/G$117,0)</f>
        <v>0</v>
      </c>
      <c r="H128" s="176">
        <f>IFERROR(H127/H$117,0)</f>
        <v>0</v>
      </c>
      <c r="I128" s="177">
        <f>IF(I$113="",0,AVERAGE($D128:$H128))</f>
        <v>0</v>
      </c>
      <c r="J128" s="177">
        <f t="shared" ref="J128:R128" si="6">IF(J$113="",0,AVERAGE($D128:$H128))</f>
        <v>0</v>
      </c>
      <c r="K128" s="177">
        <f t="shared" si="6"/>
        <v>0</v>
      </c>
      <c r="L128" s="177">
        <f t="shared" si="6"/>
        <v>0</v>
      </c>
      <c r="M128" s="177">
        <f t="shared" si="6"/>
        <v>0</v>
      </c>
      <c r="N128" s="177">
        <f t="shared" si="6"/>
        <v>0</v>
      </c>
      <c r="O128" s="177">
        <f t="shared" si="6"/>
        <v>0</v>
      </c>
      <c r="P128" s="177">
        <f t="shared" si="6"/>
        <v>0</v>
      </c>
      <c r="Q128" s="177">
        <f t="shared" si="6"/>
        <v>0</v>
      </c>
      <c r="R128" s="177">
        <f t="shared" si="6"/>
        <v>0</v>
      </c>
    </row>
    <row r="129" spans="2:18" outlineLevel="1"/>
    <row r="130" spans="2:18" outlineLevel="1"/>
    <row r="131" spans="2:18" outlineLevel="1">
      <c r="B131" s="174" t="s">
        <v>24</v>
      </c>
      <c r="D131" s="154">
        <v>10332</v>
      </c>
      <c r="E131" s="154">
        <v>10268</v>
      </c>
      <c r="F131" s="154">
        <v>10246</v>
      </c>
      <c r="G131" s="154">
        <v>12400</v>
      </c>
      <c r="H131" s="154">
        <v>13228</v>
      </c>
    </row>
    <row r="132" spans="2:18" outlineLevel="1">
      <c r="B132" s="10" t="str">
        <f>"As a % of "&amp;$B$117</f>
        <v>As a % of Revenue</v>
      </c>
      <c r="D132" s="176">
        <f>IFERROR(D131/D$117,0)</f>
        <v>0.20635522978289961</v>
      </c>
      <c r="E132" s="176">
        <f>IFERROR(E131/E$117,0)</f>
        <v>0.26269603704556505</v>
      </c>
      <c r="F132" s="176">
        <f>IFERROR(F131/F$117,0)</f>
        <v>0.21767117758280044</v>
      </c>
      <c r="G132" s="176">
        <f>IFERROR(G131/G$117,0)</f>
        <v>0.23260612654523627</v>
      </c>
      <c r="H132" s="176">
        <f>IFERROR(H131/H$117,0)</f>
        <v>0.30305390730600928</v>
      </c>
      <c r="I132" s="177">
        <f>IF(I$113="",0,AVERAGE($D132:$H132))</f>
        <v>0.24447649565250212</v>
      </c>
      <c r="J132" s="177">
        <f t="shared" ref="J132:R132" si="7">IF(J$113="",0,AVERAGE($D132:$H132))</f>
        <v>0.24447649565250212</v>
      </c>
      <c r="K132" s="177">
        <f t="shared" si="7"/>
        <v>0.24447649565250212</v>
      </c>
      <c r="L132" s="177">
        <f t="shared" si="7"/>
        <v>0.24447649565250212</v>
      </c>
      <c r="M132" s="177">
        <f t="shared" si="7"/>
        <v>0.24447649565250212</v>
      </c>
      <c r="N132" s="177">
        <f t="shared" si="7"/>
        <v>0</v>
      </c>
      <c r="O132" s="177">
        <f t="shared" si="7"/>
        <v>0</v>
      </c>
      <c r="P132" s="177">
        <f t="shared" si="7"/>
        <v>0</v>
      </c>
      <c r="Q132" s="177">
        <f t="shared" si="7"/>
        <v>0</v>
      </c>
      <c r="R132" s="177">
        <f t="shared" si="7"/>
        <v>0</v>
      </c>
    </row>
    <row r="133" spans="2:18" outlineLevel="1"/>
    <row r="134" spans="2:18" outlineLevel="1"/>
    <row r="135" spans="2:18" outlineLevel="1">
      <c r="B135" s="174" t="s">
        <v>256</v>
      </c>
      <c r="D135" s="178">
        <f t="shared" ref="D135:I135" si="8">D136+D149</f>
        <v>1198</v>
      </c>
      <c r="E135" s="178">
        <f t="shared" si="8"/>
        <v>3960</v>
      </c>
      <c r="F135" s="178">
        <f t="shared" si="8"/>
        <v>394</v>
      </c>
      <c r="G135" s="178">
        <f t="shared" si="8"/>
        <v>3778</v>
      </c>
      <c r="H135" s="178">
        <f t="shared" si="8"/>
        <v>1176</v>
      </c>
      <c r="I135" s="179">
        <f t="shared" si="8"/>
        <v>3490.8930873831064</v>
      </c>
      <c r="J135" s="179">
        <f t="shared" ref="J135:R135" si="9">J136+J149</f>
        <v>3500.8699728578354</v>
      </c>
      <c r="K135" s="179">
        <f t="shared" si="9"/>
        <v>3510.1901931372608</v>
      </c>
      <c r="L135" s="179">
        <f t="shared" si="9"/>
        <v>3467.7641547340982</v>
      </c>
      <c r="M135" s="179">
        <f t="shared" si="9"/>
        <v>3470.7479398555206</v>
      </c>
      <c r="N135" s="179">
        <f t="shared" si="9"/>
        <v>0</v>
      </c>
      <c r="O135" s="179">
        <f t="shared" si="9"/>
        <v>0</v>
      </c>
      <c r="P135" s="179">
        <f t="shared" si="9"/>
        <v>0</v>
      </c>
      <c r="Q135" s="179">
        <f t="shared" si="9"/>
        <v>0</v>
      </c>
      <c r="R135" s="179">
        <f t="shared" si="9"/>
        <v>0</v>
      </c>
    </row>
    <row r="136" spans="2:18" outlineLevel="1">
      <c r="B136" s="10" t="str">
        <f>_xlfn.TEXTBEFORE(B135,", ")</f>
        <v>Non-Operating (Income) Loss</v>
      </c>
      <c r="D136" s="154">
        <v>1921</v>
      </c>
      <c r="E136" s="154">
        <v>2133</v>
      </c>
      <c r="F136" s="154">
        <v>534</v>
      </c>
      <c r="G136" s="154">
        <v>-1732</v>
      </c>
      <c r="H136" s="154">
        <v>1952</v>
      </c>
      <c r="I136" s="179">
        <f>+I137+I147</f>
        <v>3490.8930873831064</v>
      </c>
      <c r="J136" s="179">
        <f t="shared" ref="J136:R136" si="10">+J137+J147</f>
        <v>3500.8699728578354</v>
      </c>
      <c r="K136" s="179">
        <f t="shared" si="10"/>
        <v>3510.1901931372608</v>
      </c>
      <c r="L136" s="179">
        <f t="shared" si="10"/>
        <v>3467.7641547340982</v>
      </c>
      <c r="M136" s="179">
        <f t="shared" si="10"/>
        <v>3470.7479398555206</v>
      </c>
      <c r="N136" s="179">
        <f t="shared" si="10"/>
        <v>0</v>
      </c>
      <c r="O136" s="179">
        <f t="shared" si="10"/>
        <v>0</v>
      </c>
      <c r="P136" s="179">
        <f t="shared" si="10"/>
        <v>0</v>
      </c>
      <c r="Q136" s="179">
        <f t="shared" si="10"/>
        <v>0</v>
      </c>
      <c r="R136" s="179">
        <f t="shared" si="10"/>
        <v>0</v>
      </c>
    </row>
    <row r="137" spans="2:18" outlineLevel="1">
      <c r="B137" s="10" t="s">
        <v>29</v>
      </c>
      <c r="D137" s="179">
        <f>D138-D144</f>
        <v>2663</v>
      </c>
      <c r="E137" s="179">
        <f t="shared" ref="E137:R137" si="11">E138-E144</f>
        <v>2844</v>
      </c>
      <c r="F137" s="179">
        <f t="shared" si="11"/>
        <v>2705</v>
      </c>
      <c r="G137" s="179">
        <f t="shared" si="11"/>
        <v>3179</v>
      </c>
      <c r="H137" s="179">
        <f t="shared" si="11"/>
        <v>3812</v>
      </c>
      <c r="I137" s="179">
        <f t="shared" si="11"/>
        <v>3490.8930873831064</v>
      </c>
      <c r="J137" s="179">
        <f t="shared" si="11"/>
        <v>3500.8699728578354</v>
      </c>
      <c r="K137" s="179">
        <f t="shared" si="11"/>
        <v>3510.1901931372608</v>
      </c>
      <c r="L137" s="179">
        <f t="shared" si="11"/>
        <v>3467.7641547340982</v>
      </c>
      <c r="M137" s="179">
        <f t="shared" si="11"/>
        <v>3470.7479398555206</v>
      </c>
      <c r="N137" s="179">
        <f t="shared" si="11"/>
        <v>0</v>
      </c>
      <c r="O137" s="179">
        <f t="shared" si="11"/>
        <v>0</v>
      </c>
      <c r="P137" s="179">
        <f t="shared" si="11"/>
        <v>0</v>
      </c>
      <c r="Q137" s="179">
        <f t="shared" si="11"/>
        <v>0</v>
      </c>
      <c r="R137" s="179">
        <f t="shared" si="11"/>
        <v>0</v>
      </c>
    </row>
    <row r="138" spans="2:18" outlineLevel="1">
      <c r="B138" s="10" t="s">
        <v>30</v>
      </c>
      <c r="D138" s="154">
        <v>2663</v>
      </c>
      <c r="E138" s="154">
        <v>2844</v>
      </c>
      <c r="F138" s="154">
        <v>2705</v>
      </c>
      <c r="G138" s="154">
        <v>3179</v>
      </c>
      <c r="H138" s="154">
        <v>3812</v>
      </c>
      <c r="I138" s="179">
        <f>IF(I$113="",0,I139*SUM(I141,I143))</f>
        <v>3490.8930873831064</v>
      </c>
      <c r="J138" s="179">
        <f t="shared" ref="J138:R138" si="12">IF(J$113="",0,J139*SUM(J141,J143))</f>
        <v>3500.8699728578354</v>
      </c>
      <c r="K138" s="179">
        <f t="shared" si="12"/>
        <v>3510.1901931372608</v>
      </c>
      <c r="L138" s="179">
        <f t="shared" si="12"/>
        <v>3467.7641547340982</v>
      </c>
      <c r="M138" s="179">
        <f t="shared" si="12"/>
        <v>3470.7479398555206</v>
      </c>
      <c r="N138" s="179">
        <f t="shared" si="12"/>
        <v>0</v>
      </c>
      <c r="O138" s="179">
        <f t="shared" si="12"/>
        <v>0</v>
      </c>
      <c r="P138" s="179">
        <f t="shared" si="12"/>
        <v>0</v>
      </c>
      <c r="Q138" s="179">
        <f t="shared" si="12"/>
        <v>0</v>
      </c>
      <c r="R138" s="179">
        <f t="shared" si="12"/>
        <v>0</v>
      </c>
    </row>
    <row r="139" spans="2:18" outlineLevel="1">
      <c r="B139" s="10" t="s">
        <v>241</v>
      </c>
      <c r="C139" s="180" t="s">
        <v>240</v>
      </c>
      <c r="D139" s="181">
        <f>D138/SUM(D141,D143)</f>
        <v>4.0504365284580048E-2</v>
      </c>
      <c r="E139" s="181">
        <f t="shared" ref="E139:H139" si="13">E138/SUM(E141,E143)</f>
        <v>4.2034940435720834E-2</v>
      </c>
      <c r="F139" s="181">
        <f t="shared" si="13"/>
        <v>3.5431730063921196E-2</v>
      </c>
      <c r="G139" s="181">
        <f t="shared" si="13"/>
        <v>3.8889704443139557E-2</v>
      </c>
      <c r="H139" s="181">
        <f t="shared" si="13"/>
        <v>4.6516736018743364E-2</v>
      </c>
      <c r="I139" s="177">
        <f>IF(I$113="",0,AVERAGE($D139:$H139))</f>
        <v>4.0675495249220997E-2</v>
      </c>
      <c r="J139" s="177">
        <f t="shared" ref="J139:R139" si="14">IF(J$113="",0,AVERAGE($D139:$H139))</f>
        <v>4.0675495249220997E-2</v>
      </c>
      <c r="K139" s="177">
        <f t="shared" si="14"/>
        <v>4.0675495249220997E-2</v>
      </c>
      <c r="L139" s="177">
        <f t="shared" si="14"/>
        <v>4.0675495249220997E-2</v>
      </c>
      <c r="M139" s="177">
        <f t="shared" si="14"/>
        <v>4.0675495249220997E-2</v>
      </c>
      <c r="N139" s="177">
        <f t="shared" si="14"/>
        <v>0</v>
      </c>
      <c r="O139" s="177">
        <f t="shared" si="14"/>
        <v>0</v>
      </c>
      <c r="P139" s="177">
        <f t="shared" si="14"/>
        <v>0</v>
      </c>
      <c r="Q139" s="177">
        <f t="shared" si="14"/>
        <v>0</v>
      </c>
      <c r="R139" s="177">
        <f t="shared" si="14"/>
        <v>0</v>
      </c>
    </row>
    <row r="140" spans="2:18" outlineLevel="1">
      <c r="B140" s="10" t="s">
        <v>243</v>
      </c>
      <c r="C140" s="182">
        <v>0.08</v>
      </c>
      <c r="D140" s="1" t="s">
        <v>22</v>
      </c>
      <c r="E140" s="1" t="s">
        <v>240</v>
      </c>
      <c r="F140" s="168"/>
      <c r="G140" s="168"/>
      <c r="H140" s="168"/>
    </row>
    <row r="141" spans="2:18" outlineLevel="1">
      <c r="B141" s="10" t="str">
        <f>B290</f>
        <v>Short-Term Debt</v>
      </c>
      <c r="C141" s="183"/>
      <c r="D141" s="184">
        <f>D290</f>
        <v>5396</v>
      </c>
      <c r="E141" s="184">
        <f t="shared" ref="E141:H141" si="15">E290</f>
        <v>4158</v>
      </c>
      <c r="F141" s="184">
        <f t="shared" si="15"/>
        <v>7771</v>
      </c>
      <c r="G141" s="184">
        <f t="shared" si="15"/>
        <v>8128</v>
      </c>
      <c r="H141" s="184">
        <f t="shared" si="15"/>
        <v>6582</v>
      </c>
      <c r="I141" s="179">
        <f>IF(I$113="",0,(I143*I142)+'Cash Flows'!H23)</f>
        <v>10456.001440897331</v>
      </c>
      <c r="J141" s="179">
        <f>IF(J$113="",0,(J143*J142)+'Cash Flows'!I23)</f>
        <v>10701.281440897332</v>
      </c>
      <c r="K141" s="179">
        <f>IF(K$113="",0,(K143*K142)+'Cash Flows'!J23)</f>
        <v>10930.41744089733</v>
      </c>
      <c r="L141" s="179">
        <f>IF(L$113="",0,(L143*L142)+'Cash Flows'!K23)</f>
        <v>9887.3806408973305</v>
      </c>
      <c r="M141" s="179">
        <f>IF(M$113="",0,(M143*M142)+'Cash Flows'!L23)</f>
        <v>9960.7364808973307</v>
      </c>
      <c r="N141" s="179">
        <f>IF(N$113="",0,(N143*N142)+'Cash Flows'!M23)</f>
        <v>0</v>
      </c>
      <c r="O141" s="179">
        <f>IF(O$113="",0,(O143*O142)+'Cash Flows'!N23)</f>
        <v>0</v>
      </c>
      <c r="P141" s="179">
        <f>IF(P$113="",0,(P143*P142)+'Cash Flows'!O23)</f>
        <v>0</v>
      </c>
      <c r="Q141" s="179">
        <f>IF(Q$113="",0,(Q143*Q142)+'Cash Flows'!P23)</f>
        <v>0</v>
      </c>
      <c r="R141" s="179">
        <f>IF(R$113="",0,(R143*R142)+'Cash Flows'!Q23)</f>
        <v>0</v>
      </c>
    </row>
    <row r="142" spans="2:18" outlineLevel="1">
      <c r="B142" s="10" t="s">
        <v>245</v>
      </c>
      <c r="C142" s="183"/>
      <c r="D142" s="181">
        <f>D141/D143</f>
        <v>8.9411764705882357E-2</v>
      </c>
      <c r="E142" s="181">
        <f t="shared" ref="E142:H142" si="16">E141/E143</f>
        <v>6.5480314960629921E-2</v>
      </c>
      <c r="F142" s="181">
        <f t="shared" si="16"/>
        <v>0.1133244863138553</v>
      </c>
      <c r="G142" s="181">
        <f t="shared" si="16"/>
        <v>0.11041078026515974</v>
      </c>
      <c r="H142" s="181">
        <f t="shared" si="16"/>
        <v>8.733265222179469E-2</v>
      </c>
      <c r="I142" s="177">
        <f>IF(I$113="",0,AVERAGE($D142:$H142))</f>
        <v>9.3191999693464395E-2</v>
      </c>
      <c r="J142" s="177">
        <f t="shared" ref="J142:R142" si="17">IF(J$113="",0,AVERAGE($D142:$H142))</f>
        <v>9.3191999693464395E-2</v>
      </c>
      <c r="K142" s="177">
        <f t="shared" si="17"/>
        <v>9.3191999693464395E-2</v>
      </c>
      <c r="L142" s="177">
        <f t="shared" si="17"/>
        <v>9.3191999693464395E-2</v>
      </c>
      <c r="M142" s="177">
        <f t="shared" si="17"/>
        <v>9.3191999693464395E-2</v>
      </c>
      <c r="N142" s="177">
        <f t="shared" si="17"/>
        <v>0</v>
      </c>
      <c r="O142" s="177">
        <f t="shared" si="17"/>
        <v>0</v>
      </c>
      <c r="P142" s="177">
        <f t="shared" si="17"/>
        <v>0</v>
      </c>
      <c r="Q142" s="177">
        <f t="shared" si="17"/>
        <v>0</v>
      </c>
      <c r="R142" s="177">
        <f t="shared" si="17"/>
        <v>0</v>
      </c>
    </row>
    <row r="143" spans="2:18" outlineLevel="1">
      <c r="B143" s="10" t="str">
        <f>B296</f>
        <v>Long-Term Debt</v>
      </c>
      <c r="C143" s="183"/>
      <c r="D143" s="184">
        <f>D296</f>
        <v>60350</v>
      </c>
      <c r="E143" s="184">
        <f t="shared" ref="E143:H143" si="18">E296</f>
        <v>63500</v>
      </c>
      <c r="F143" s="184">
        <f t="shared" si="18"/>
        <v>68573</v>
      </c>
      <c r="G143" s="184">
        <f t="shared" si="18"/>
        <v>73616</v>
      </c>
      <c r="H143" s="184">
        <f t="shared" si="18"/>
        <v>75367</v>
      </c>
      <c r="I143" s="185">
        <f>IF(I$113="",0,H143)</f>
        <v>75367</v>
      </c>
      <c r="J143" s="185">
        <f t="shared" ref="J143:R143" si="19">IF(J$113="",0,I143)</f>
        <v>75367</v>
      </c>
      <c r="K143" s="185">
        <f t="shared" si="19"/>
        <v>75367</v>
      </c>
      <c r="L143" s="185">
        <f t="shared" si="19"/>
        <v>75367</v>
      </c>
      <c r="M143" s="185">
        <f t="shared" si="19"/>
        <v>75367</v>
      </c>
      <c r="N143" s="185">
        <f t="shared" si="19"/>
        <v>0</v>
      </c>
      <c r="O143" s="185">
        <f t="shared" si="19"/>
        <v>0</v>
      </c>
      <c r="P143" s="185">
        <f t="shared" si="19"/>
        <v>0</v>
      </c>
      <c r="Q143" s="185">
        <f t="shared" si="19"/>
        <v>0</v>
      </c>
      <c r="R143" s="185">
        <f t="shared" si="19"/>
        <v>0</v>
      </c>
    </row>
    <row r="144" spans="2:18" outlineLevel="1">
      <c r="B144" s="10" t="s">
        <v>31</v>
      </c>
      <c r="C144" s="186"/>
      <c r="D144" s="141">
        <v>0</v>
      </c>
      <c r="E144" s="141">
        <v>0</v>
      </c>
      <c r="F144" s="141">
        <v>0</v>
      </c>
      <c r="G144" s="141">
        <v>0</v>
      </c>
      <c r="H144" s="141">
        <v>0</v>
      </c>
    </row>
    <row r="145" spans="2:18" outlineLevel="1">
      <c r="B145" s="10" t="s">
        <v>242</v>
      </c>
      <c r="C145" s="187" t="str">
        <f>C139</f>
        <v>5 Year Average</v>
      </c>
      <c r="D145" s="188">
        <f>IFERROR(D144/D246,0)</f>
        <v>0</v>
      </c>
      <c r="E145" s="188">
        <f>IFERROR(E144/E246,0)</f>
        <v>0</v>
      </c>
      <c r="F145" s="188">
        <f>IFERROR(F144/F246,0)</f>
        <v>0</v>
      </c>
      <c r="G145" s="188">
        <f>IFERROR(G144/G246,0)</f>
        <v>0</v>
      </c>
      <c r="H145" s="188">
        <f>IFERROR(H144/H246,0)</f>
        <v>0</v>
      </c>
      <c r="I145" s="177">
        <f>IF(I$113="",0,AVERAGE($D145:$H145))</f>
        <v>0</v>
      </c>
      <c r="J145" s="177">
        <f t="shared" ref="J145:R145" si="20">IF(J$113="",0,AVERAGE($D145:$H145))</f>
        <v>0</v>
      </c>
      <c r="K145" s="177">
        <f t="shared" si="20"/>
        <v>0</v>
      </c>
      <c r="L145" s="177">
        <f t="shared" si="20"/>
        <v>0</v>
      </c>
      <c r="M145" s="177">
        <f t="shared" si="20"/>
        <v>0</v>
      </c>
      <c r="N145" s="177">
        <f t="shared" si="20"/>
        <v>0</v>
      </c>
      <c r="O145" s="177">
        <f t="shared" si="20"/>
        <v>0</v>
      </c>
      <c r="P145" s="177">
        <f t="shared" si="20"/>
        <v>0</v>
      </c>
      <c r="Q145" s="177">
        <f t="shared" si="20"/>
        <v>0</v>
      </c>
      <c r="R145" s="177">
        <f t="shared" si="20"/>
        <v>0</v>
      </c>
    </row>
    <row r="146" spans="2:18" outlineLevel="1">
      <c r="B146" s="10" t="s">
        <v>243</v>
      </c>
      <c r="C146" s="182">
        <v>0.03</v>
      </c>
      <c r="F146" s="189"/>
      <c r="G146" s="189"/>
      <c r="H146" s="189"/>
    </row>
    <row r="147" spans="2:18" outlineLevel="1">
      <c r="B147" s="10" t="str">
        <f>"Other "&amp;B136</f>
        <v>Other Non-Operating (Income) Loss</v>
      </c>
      <c r="D147" s="178">
        <f>D136-D137</f>
        <v>-742</v>
      </c>
      <c r="E147" s="178">
        <f>E136-E137</f>
        <v>-711</v>
      </c>
      <c r="F147" s="178">
        <f>F136-F137</f>
        <v>-2171</v>
      </c>
      <c r="G147" s="178">
        <f>G136-G137</f>
        <v>-4911</v>
      </c>
      <c r="H147" s="178">
        <f>H136-H137</f>
        <v>-1860</v>
      </c>
    </row>
    <row r="148" spans="2:18" outlineLevel="1">
      <c r="B148" s="10" t="str">
        <f>"As a % of "&amp;$B$117</f>
        <v>As a % of Revenue</v>
      </c>
      <c r="D148" s="176">
        <f>IFERROR(D147/D$117,0)</f>
        <v>-1.4819549022349159E-2</v>
      </c>
      <c r="E148" s="176">
        <f>IFERROR(E147/E$117,0)</f>
        <v>-1.819019111213447E-2</v>
      </c>
      <c r="F148" s="176">
        <f>IFERROR(F147/F$117,0)</f>
        <v>-4.6121815980115145E-2</v>
      </c>
      <c r="G148" s="176">
        <f>IFERROR(G147/G$117,0)</f>
        <v>-9.2123281247068978E-2</v>
      </c>
      <c r="H148" s="176">
        <f>IFERROR(H147/H$117,0)</f>
        <v>-4.2612660083850722E-2</v>
      </c>
      <c r="I148" s="177">
        <f>IF(I$113="",0,AVERAGE($D148:$H148))</f>
        <v>-4.2773499489103695E-2</v>
      </c>
      <c r="J148" s="177">
        <f t="shared" ref="J148:R148" si="21">IF(J$113="",0,AVERAGE($D148:$H148))</f>
        <v>-4.2773499489103695E-2</v>
      </c>
      <c r="K148" s="177">
        <f t="shared" si="21"/>
        <v>-4.2773499489103695E-2</v>
      </c>
      <c r="L148" s="177">
        <f t="shared" si="21"/>
        <v>-4.2773499489103695E-2</v>
      </c>
      <c r="M148" s="177">
        <f t="shared" si="21"/>
        <v>-4.2773499489103695E-2</v>
      </c>
      <c r="N148" s="177">
        <f t="shared" si="21"/>
        <v>0</v>
      </c>
      <c r="O148" s="177">
        <f t="shared" si="21"/>
        <v>0</v>
      </c>
      <c r="P148" s="177">
        <f t="shared" si="21"/>
        <v>0</v>
      </c>
      <c r="Q148" s="177">
        <f t="shared" si="21"/>
        <v>0</v>
      </c>
      <c r="R148" s="177">
        <f t="shared" si="21"/>
        <v>0</v>
      </c>
    </row>
    <row r="149" spans="2:18" outlineLevel="1">
      <c r="B149" s="10" t="s">
        <v>35</v>
      </c>
      <c r="D149" s="154">
        <v>-723</v>
      </c>
      <c r="E149" s="154">
        <v>1827</v>
      </c>
      <c r="F149" s="154">
        <v>-140</v>
      </c>
      <c r="G149" s="154">
        <v>5510</v>
      </c>
      <c r="H149" s="154">
        <v>-776</v>
      </c>
    </row>
    <row r="150" spans="2:18" outlineLevel="1">
      <c r="B150" s="10" t="str">
        <f>"As a % of "&amp;$B$117</f>
        <v>As a % of Revenue</v>
      </c>
      <c r="D150" s="176">
        <f>IFERROR(D149/D$117,0)</f>
        <v>-1.4440072699674449E-2</v>
      </c>
      <c r="E150" s="176">
        <f>IFERROR(E149/E$117,0)</f>
        <v>4.6741883490674652E-2</v>
      </c>
      <c r="F150" s="176">
        <f>IFERROR(F149/F$117,0)</f>
        <v>-2.9742304178793739E-3</v>
      </c>
      <c r="G150" s="176">
        <f>IFERROR(G149/G$117,0)</f>
        <v>0.10335965784389127</v>
      </c>
      <c r="H150" s="176">
        <f>IFERROR(H149/H$117,0)</f>
        <v>-1.7778185067240944E-2</v>
      </c>
      <c r="I150" s="177">
        <f>IF(I$113="",0,AVERAGE($D150:$H150))</f>
        <v>2.2981810629954229E-2</v>
      </c>
      <c r="J150" s="177">
        <f t="shared" ref="J150:R150" si="22">IF(J$113="",0,AVERAGE($D150:$H150))</f>
        <v>2.2981810629954229E-2</v>
      </c>
      <c r="K150" s="177">
        <f t="shared" si="22"/>
        <v>2.2981810629954229E-2</v>
      </c>
      <c r="L150" s="177">
        <f t="shared" si="22"/>
        <v>2.2981810629954229E-2</v>
      </c>
      <c r="M150" s="177">
        <f t="shared" si="22"/>
        <v>2.2981810629954229E-2</v>
      </c>
      <c r="N150" s="177">
        <f t="shared" si="22"/>
        <v>0</v>
      </c>
      <c r="O150" s="177">
        <f t="shared" si="22"/>
        <v>0</v>
      </c>
      <c r="P150" s="177">
        <f t="shared" si="22"/>
        <v>0</v>
      </c>
      <c r="Q150" s="177">
        <f t="shared" si="22"/>
        <v>0</v>
      </c>
      <c r="R150" s="177">
        <f t="shared" si="22"/>
        <v>0</v>
      </c>
    </row>
    <row r="151" spans="2:18" outlineLevel="1"/>
    <row r="152" spans="2:18" outlineLevel="1"/>
    <row r="153" spans="2:18" outlineLevel="1">
      <c r="B153" s="174" t="s">
        <v>36</v>
      </c>
      <c r="D153" s="154">
        <v>1708</v>
      </c>
      <c r="E153" s="154">
        <v>774</v>
      </c>
      <c r="F153" s="154">
        <v>1415</v>
      </c>
      <c r="G153" s="154">
        <v>1604</v>
      </c>
      <c r="H153" s="154">
        <v>1821</v>
      </c>
    </row>
    <row r="154" spans="2:18" outlineLevel="1">
      <c r="B154" s="10" t="s">
        <v>37</v>
      </c>
      <c r="C154" s="173">
        <v>0.21</v>
      </c>
    </row>
    <row r="155" spans="2:18" outlineLevel="1">
      <c r="B155" s="10" t="s">
        <v>131</v>
      </c>
      <c r="D155" s="176">
        <f>IFERROR(D153/'Income Statement'!C28,0)</f>
        <v>0.22667551426675514</v>
      </c>
      <c r="E155" s="176">
        <f>IFERROR(E153/'Income Statement'!D28,0)</f>
        <v>0.18472553699284008</v>
      </c>
      <c r="F155" s="176">
        <f>IFERROR(F153/'Income Statement'!E28,0)</f>
        <v>0.18307672402639411</v>
      </c>
      <c r="G155" s="176">
        <f>IFERROR(G153/'Income Statement'!F28,0)</f>
        <v>0.35314839277851168</v>
      </c>
      <c r="H155" s="176">
        <f>IFERROR(H153/'Income Statement'!G28,0)</f>
        <v>0.2311207005965224</v>
      </c>
      <c r="I155" s="177">
        <f>IF(I$113="",0,$C$154)</f>
        <v>0.21</v>
      </c>
      <c r="J155" s="177">
        <f t="shared" ref="J155:R155" si="23">IF(J$113="",0,$C$154)</f>
        <v>0.21</v>
      </c>
      <c r="K155" s="177">
        <f t="shared" si="23"/>
        <v>0.21</v>
      </c>
      <c r="L155" s="177">
        <f t="shared" si="23"/>
        <v>0.21</v>
      </c>
      <c r="M155" s="177">
        <f t="shared" si="23"/>
        <v>0.21</v>
      </c>
      <c r="N155" s="177">
        <f t="shared" si="23"/>
        <v>0</v>
      </c>
      <c r="O155" s="177">
        <f t="shared" si="23"/>
        <v>0</v>
      </c>
      <c r="P155" s="177">
        <f t="shared" si="23"/>
        <v>0</v>
      </c>
      <c r="Q155" s="177">
        <f t="shared" si="23"/>
        <v>0</v>
      </c>
      <c r="R155" s="177">
        <f t="shared" si="23"/>
        <v>0</v>
      </c>
    </row>
    <row r="156" spans="2:18" outlineLevel="1"/>
    <row r="157" spans="2:18" outlineLevel="1"/>
    <row r="158" spans="2:18" outlineLevel="1">
      <c r="B158" s="174" t="s">
        <v>41</v>
      </c>
      <c r="D158" s="179">
        <f>D160+D163+D164+D165</f>
        <v>122</v>
      </c>
      <c r="E158" s="179">
        <f t="shared" ref="E158:H158" si="24">E160+E163+E164+E165</f>
        <v>53</v>
      </c>
      <c r="F158" s="179">
        <f t="shared" si="24"/>
        <v>125</v>
      </c>
      <c r="G158" s="179">
        <f t="shared" si="24"/>
        <v>-65</v>
      </c>
      <c r="H158" s="179">
        <f t="shared" si="24"/>
        <v>-133</v>
      </c>
    </row>
    <row r="159" spans="2:18" outlineLevel="1">
      <c r="B159" s="10" t="str">
        <f>"As a % of "&amp;$B$117</f>
        <v>As a % of Revenue</v>
      </c>
      <c r="D159" s="176">
        <f>IFERROR(D158/D$117,0)</f>
        <v>2.4366374403323415E-3</v>
      </c>
      <c r="E159" s="176">
        <f t="shared" ref="E159:H159" si="25">IFERROR(E158/E$117,0)</f>
        <v>1.3559495484432164E-3</v>
      </c>
      <c r="F159" s="176">
        <f t="shared" si="25"/>
        <v>2.6555628731065838E-3</v>
      </c>
      <c r="G159" s="176">
        <f t="shared" si="25"/>
        <v>-1.2193063085032547E-3</v>
      </c>
      <c r="H159" s="176">
        <f t="shared" si="25"/>
        <v>-3.047034296318358E-3</v>
      </c>
      <c r="I159" s="177">
        <f>IF(I$113="",0,AVERAGE($D159:$H159))</f>
        <v>4.3636185141210571E-4</v>
      </c>
      <c r="J159" s="177">
        <f t="shared" ref="J159:R159" si="26">IF(J$113="",0,AVERAGE($D159:$H159))</f>
        <v>4.3636185141210571E-4</v>
      </c>
      <c r="K159" s="177">
        <f t="shared" si="26"/>
        <v>4.3636185141210571E-4</v>
      </c>
      <c r="L159" s="177">
        <f t="shared" si="26"/>
        <v>4.3636185141210571E-4</v>
      </c>
      <c r="M159" s="177">
        <f t="shared" si="26"/>
        <v>4.3636185141210571E-4</v>
      </c>
      <c r="N159" s="177">
        <f t="shared" si="26"/>
        <v>0</v>
      </c>
      <c r="O159" s="177">
        <f t="shared" si="26"/>
        <v>0</v>
      </c>
      <c r="P159" s="177">
        <f t="shared" si="26"/>
        <v>0</v>
      </c>
      <c r="Q159" s="177">
        <f t="shared" si="26"/>
        <v>0</v>
      </c>
      <c r="R159" s="177">
        <f t="shared" si="26"/>
        <v>0</v>
      </c>
    </row>
    <row r="160" spans="2:18" outlineLevel="1">
      <c r="B160" s="10" t="s">
        <v>38</v>
      </c>
      <c r="D160" s="179">
        <f>D161+D162</f>
        <v>0</v>
      </c>
      <c r="E160" s="179">
        <f t="shared" ref="E160:H160" si="27">E161+E162</f>
        <v>0</v>
      </c>
      <c r="F160" s="179">
        <f t="shared" si="27"/>
        <v>0</v>
      </c>
      <c r="G160" s="179">
        <f t="shared" si="27"/>
        <v>0</v>
      </c>
      <c r="H160" s="179">
        <f t="shared" si="27"/>
        <v>0</v>
      </c>
    </row>
    <row r="161" spans="2:18" outlineLevel="1">
      <c r="B161" s="10" t="s">
        <v>39</v>
      </c>
      <c r="D161" s="141"/>
      <c r="E161" s="141"/>
      <c r="F161" s="141"/>
      <c r="G161" s="141"/>
      <c r="H161" s="141"/>
    </row>
    <row r="162" spans="2:18" outlineLevel="1">
      <c r="B162" s="10" t="s">
        <v>40</v>
      </c>
      <c r="D162" s="141"/>
      <c r="E162" s="141"/>
      <c r="F162" s="141"/>
      <c r="G162" s="141"/>
      <c r="H162" s="141"/>
    </row>
    <row r="163" spans="2:18" outlineLevel="1">
      <c r="B163" s="10" t="s">
        <v>42</v>
      </c>
      <c r="D163" s="141">
        <v>122</v>
      </c>
      <c r="E163" s="141">
        <v>53</v>
      </c>
      <c r="F163" s="141">
        <v>125</v>
      </c>
      <c r="G163" s="141">
        <v>-65</v>
      </c>
      <c r="H163" s="141">
        <v>-133</v>
      </c>
    </row>
    <row r="164" spans="2:18" outlineLevel="1">
      <c r="B164" s="10" t="s">
        <v>43</v>
      </c>
      <c r="D164" s="141"/>
      <c r="E164" s="141"/>
      <c r="F164" s="141"/>
      <c r="G164" s="141"/>
      <c r="H164" s="141"/>
    </row>
    <row r="165" spans="2:18" outlineLevel="1">
      <c r="B165" s="10" t="s">
        <v>44</v>
      </c>
      <c r="D165" s="141"/>
      <c r="E165" s="141"/>
      <c r="F165" s="141"/>
      <c r="G165" s="141"/>
      <c r="H165" s="141"/>
    </row>
    <row r="166" spans="2:18" outlineLevel="1"/>
    <row r="167" spans="2:18" outlineLevel="1"/>
    <row r="168" spans="2:18" outlineLevel="1">
      <c r="B168" s="174" t="s">
        <v>25</v>
      </c>
      <c r="C168" s="10" t="s">
        <v>249</v>
      </c>
      <c r="D168" s="154">
        <v>5492</v>
      </c>
      <c r="E168" s="154">
        <v>5405</v>
      </c>
      <c r="F168" s="154">
        <v>7818</v>
      </c>
      <c r="G168" s="154">
        <v>4647</v>
      </c>
      <c r="H168" s="154">
        <v>4654</v>
      </c>
      <c r="I168" s="179"/>
      <c r="J168" s="179"/>
      <c r="K168" s="179"/>
      <c r="L168" s="179"/>
      <c r="M168" s="179"/>
      <c r="N168" s="179"/>
      <c r="O168" s="179"/>
      <c r="P168" s="179"/>
      <c r="Q168" s="179"/>
      <c r="R168" s="179"/>
    </row>
    <row r="169" spans="2:18" outlineLevel="1">
      <c r="B169" s="10" t="str">
        <f>"As a % of "&amp;$B$117</f>
        <v>As a % of Revenue</v>
      </c>
      <c r="D169" s="176">
        <f>IFERROR(D168/D$117,0)</f>
        <v>0.10968862969102638</v>
      </c>
      <c r="E169" s="176">
        <f>IFERROR(E168/E$117,0)</f>
        <v>0.13828126998746387</v>
      </c>
      <c r="F169" s="176">
        <f>IFERROR(F168/F$117,0)</f>
        <v>0.16608952433557816</v>
      </c>
      <c r="G169" s="176">
        <f>IFERROR(G168/G$117,0)</f>
        <v>8.7171021778686519E-2</v>
      </c>
      <c r="H169" s="176">
        <f>IFERROR(H168/H$117,0)</f>
        <v>0.10662329033883938</v>
      </c>
      <c r="I169" s="177">
        <f>IF(I$113="",0,AVERAGE($D169:$H169))</f>
        <v>0.12157074722631886</v>
      </c>
      <c r="J169" s="177">
        <f t="shared" ref="J169:R169" si="28">IF(J$113="",0,AVERAGE($D169:$H169))</f>
        <v>0.12157074722631886</v>
      </c>
      <c r="K169" s="177">
        <f t="shared" si="28"/>
        <v>0.12157074722631886</v>
      </c>
      <c r="L169" s="177">
        <f t="shared" si="28"/>
        <v>0.12157074722631886</v>
      </c>
      <c r="M169" s="177">
        <f t="shared" si="28"/>
        <v>0.12157074722631886</v>
      </c>
      <c r="N169" s="177">
        <f t="shared" si="28"/>
        <v>0</v>
      </c>
      <c r="O169" s="177">
        <f t="shared" si="28"/>
        <v>0</v>
      </c>
      <c r="P169" s="177">
        <f t="shared" si="28"/>
        <v>0</v>
      </c>
      <c r="Q169" s="177">
        <f t="shared" si="28"/>
        <v>0</v>
      </c>
      <c r="R169" s="177">
        <f t="shared" si="28"/>
        <v>0</v>
      </c>
    </row>
    <row r="170" spans="2:18" outlineLevel="1">
      <c r="D170" s="10"/>
      <c r="E170" s="179"/>
      <c r="F170" s="179"/>
      <c r="G170" s="179"/>
      <c r="H170" s="179"/>
      <c r="I170" s="179"/>
      <c r="J170" s="179"/>
      <c r="K170" s="179"/>
      <c r="L170" s="179"/>
      <c r="M170" s="179"/>
      <c r="N170" s="179"/>
      <c r="O170" s="179"/>
      <c r="P170" s="179"/>
      <c r="Q170" s="179"/>
      <c r="R170" s="179"/>
    </row>
    <row r="171" spans="2:18" outlineLevel="1"/>
    <row r="172" spans="2:18" outlineLevel="1">
      <c r="B172" s="174" t="s">
        <v>32</v>
      </c>
      <c r="D172" s="154">
        <v>3391</v>
      </c>
      <c r="E172" s="154">
        <v>3712</v>
      </c>
      <c r="F172" s="154">
        <v>3852</v>
      </c>
      <c r="G172" s="154">
        <v>4317</v>
      </c>
      <c r="H172" s="154">
        <v>4613</v>
      </c>
      <c r="I172" s="179"/>
      <c r="J172" s="179"/>
      <c r="K172" s="179"/>
      <c r="L172" s="179"/>
      <c r="M172" s="179"/>
      <c r="N172" s="179"/>
      <c r="O172" s="179"/>
      <c r="P172" s="179"/>
      <c r="Q172" s="179"/>
      <c r="R172" s="179"/>
    </row>
    <row r="173" spans="2:18" outlineLevel="1">
      <c r="B173" s="10" t="str">
        <f>"As a % of "&amp;B168</f>
        <v>As a % of Capital Expenditures</v>
      </c>
      <c r="D173" s="176">
        <f>IFERROR(D172/D$168,0)</f>
        <v>0.61744355426074293</v>
      </c>
      <c r="E173" s="176">
        <f>IFERROR(E172/E$168,0)</f>
        <v>0.68677150786308971</v>
      </c>
      <c r="F173" s="176">
        <f>IFERROR(F172/F$168,0)</f>
        <v>0.49270913277052952</v>
      </c>
      <c r="G173" s="176">
        <f>IFERROR(G172/G$168,0)</f>
        <v>0.92898644286636545</v>
      </c>
      <c r="H173" s="176">
        <f>IFERROR(H172/H$168,0)</f>
        <v>0.99119037387193809</v>
      </c>
      <c r="I173" s="177">
        <f>IF(I$113="",0,AVERAGE($D173:$H173))</f>
        <v>0.74342020232653316</v>
      </c>
      <c r="J173" s="177">
        <f t="shared" ref="J173:R173" si="29">IF(J$113="",0,AVERAGE($D173:$H173))</f>
        <v>0.74342020232653316</v>
      </c>
      <c r="K173" s="177">
        <f t="shared" si="29"/>
        <v>0.74342020232653316</v>
      </c>
      <c r="L173" s="177">
        <f t="shared" si="29"/>
        <v>0.74342020232653316</v>
      </c>
      <c r="M173" s="177">
        <f t="shared" si="29"/>
        <v>0.74342020232653316</v>
      </c>
      <c r="N173" s="177">
        <f t="shared" si="29"/>
        <v>0</v>
      </c>
      <c r="O173" s="177">
        <f t="shared" si="29"/>
        <v>0</v>
      </c>
      <c r="P173" s="177">
        <f t="shared" si="29"/>
        <v>0</v>
      </c>
      <c r="Q173" s="177">
        <f t="shared" si="29"/>
        <v>0</v>
      </c>
      <c r="R173" s="177">
        <f t="shared" si="29"/>
        <v>0</v>
      </c>
    </row>
    <row r="174" spans="2:18" outlineLevel="1"/>
    <row r="175" spans="2:18" outlineLevel="1"/>
    <row r="176" spans="2:18" outlineLevel="1">
      <c r="B176" s="174" t="s">
        <v>46</v>
      </c>
      <c r="D176" s="141">
        <v>113</v>
      </c>
      <c r="E176" s="141">
        <v>107</v>
      </c>
      <c r="F176" s="141">
        <v>95</v>
      </c>
      <c r="G176" s="141">
        <v>118</v>
      </c>
      <c r="H176" s="141">
        <v>131</v>
      </c>
    </row>
    <row r="177" spans="1:18" outlineLevel="1">
      <c r="B177" s="10" t="str">
        <f>"As a % of "&amp;$B$117</f>
        <v>As a % of Revenue</v>
      </c>
      <c r="D177" s="176">
        <f>IFERROR(D176/D$117,0)</f>
        <v>2.2568854980127423E-3</v>
      </c>
      <c r="E177" s="176">
        <f>IFERROR(E176/E$117,0)</f>
        <v>2.7374830506306444E-3</v>
      </c>
      <c r="F177" s="176">
        <f>IFERROR(F176/F$117,0)</f>
        <v>2.0182277835610034E-3</v>
      </c>
      <c r="G177" s="176">
        <f>IFERROR(G176/G$117,0)</f>
        <v>2.213509913898216E-3</v>
      </c>
      <c r="H177" s="176">
        <f>IFERROR(H176/H$117,0)</f>
        <v>3.0012142317120665E-3</v>
      </c>
      <c r="I177" s="177">
        <f>IF(I$113="",0,AVERAGE($D177:$H177))</f>
        <v>2.4454640955629348E-3</v>
      </c>
      <c r="J177" s="177">
        <f t="shared" ref="J177:R177" si="30">IF(J$113="",0,AVERAGE($D177:$H177))</f>
        <v>2.4454640955629348E-3</v>
      </c>
      <c r="K177" s="177">
        <f t="shared" si="30"/>
        <v>2.4454640955629348E-3</v>
      </c>
      <c r="L177" s="177">
        <f t="shared" si="30"/>
        <v>2.4454640955629348E-3</v>
      </c>
      <c r="M177" s="177">
        <f t="shared" si="30"/>
        <v>2.4454640955629348E-3</v>
      </c>
      <c r="N177" s="177">
        <f t="shared" si="30"/>
        <v>0</v>
      </c>
      <c r="O177" s="177">
        <f t="shared" si="30"/>
        <v>0</v>
      </c>
      <c r="P177" s="177">
        <f t="shared" si="30"/>
        <v>0</v>
      </c>
      <c r="Q177" s="177">
        <f t="shared" si="30"/>
        <v>0</v>
      </c>
      <c r="R177" s="177">
        <f t="shared" si="30"/>
        <v>0</v>
      </c>
    </row>
    <row r="178" spans="1:18" outlineLevel="1"/>
    <row r="179" spans="1:18" outlineLevel="1"/>
    <row r="180" spans="1:18" outlineLevel="1"/>
    <row r="181" spans="1:18" outlineLevel="1"/>
    <row r="182" spans="1:18" outlineLevel="1"/>
    <row r="183" spans="1:18" outlineLevel="1"/>
    <row r="185" spans="1:18">
      <c r="A185" s="134" t="s">
        <v>63</v>
      </c>
      <c r="B185" s="30" t="s">
        <v>64</v>
      </c>
      <c r="C185" s="30"/>
      <c r="D185" s="29"/>
      <c r="E185" s="29"/>
      <c r="F185" s="29"/>
      <c r="G185" s="29"/>
      <c r="H185" s="29"/>
      <c r="I185" s="29"/>
      <c r="J185" s="29"/>
      <c r="K185" s="29"/>
      <c r="L185" s="29"/>
      <c r="M185" s="29"/>
      <c r="N185" s="29"/>
      <c r="O185" s="29"/>
      <c r="P185" s="29"/>
      <c r="Q185" s="29"/>
      <c r="R185" s="29"/>
    </row>
    <row r="186" spans="1:18">
      <c r="A186" s="62"/>
      <c r="B186" s="14" t="str">
        <f>"Year Ending "&amp;TEXT($C$24,"mmmm d")&amp;", "&amp;$B$26&amp;" "&amp;$C$26</f>
        <v>Year Ending December 31, In CAD  Millions</v>
      </c>
      <c r="C186" s="14"/>
      <c r="D186" s="14" cm="1">
        <f t="array" ref="D186:M186">_xlfn.SEQUENCE(1,5+$C$21,(YEAR($C$20)-5))</f>
        <v>2019</v>
      </c>
      <c r="E186" s="14">
        <v>2020</v>
      </c>
      <c r="F186" s="14">
        <v>2021</v>
      </c>
      <c r="G186" s="14">
        <v>2022</v>
      </c>
      <c r="H186" s="14">
        <v>2023</v>
      </c>
      <c r="I186" s="15">
        <v>2024</v>
      </c>
      <c r="J186" s="15">
        <v>2025</v>
      </c>
      <c r="K186" s="15">
        <v>2026</v>
      </c>
      <c r="L186" s="15">
        <v>2027</v>
      </c>
      <c r="M186" s="15">
        <v>2028</v>
      </c>
      <c r="N186" s="15"/>
      <c r="O186" s="15"/>
      <c r="P186" s="15"/>
      <c r="Q186" s="15"/>
      <c r="R186" s="15"/>
    </row>
    <row r="187" spans="1:18" outlineLevel="1">
      <c r="B187" s="190" t="s">
        <v>67</v>
      </c>
      <c r="D187" s="191">
        <v>65.2</v>
      </c>
      <c r="E187" s="191">
        <v>304.7</v>
      </c>
      <c r="F187" s="191">
        <v>207.1</v>
      </c>
      <c r="G187" s="191">
        <v>-36.799999999999997</v>
      </c>
      <c r="H187" s="191">
        <v>67.900000000000006</v>
      </c>
    </row>
    <row r="188" spans="1:18" outlineLevel="1">
      <c r="B188" s="10" t="s">
        <v>83</v>
      </c>
      <c r="D188" s="141"/>
      <c r="E188" s="141"/>
      <c r="F188" s="141"/>
      <c r="G188" s="141"/>
      <c r="H188" s="141"/>
    </row>
    <row r="189" spans="1:18" outlineLevel="1">
      <c r="B189" s="10" t="str">
        <f>"As a % of "&amp;$B$117</f>
        <v>As a % of Revenue</v>
      </c>
      <c r="D189" s="176">
        <f>IFERROR(D188/D$117,0)</f>
        <v>0</v>
      </c>
      <c r="E189" s="176">
        <f>IFERROR(E188/E$117,0)</f>
        <v>0</v>
      </c>
      <c r="F189" s="176">
        <f>IFERROR(F188/F$117,0)</f>
        <v>0</v>
      </c>
      <c r="G189" s="176">
        <f>IFERROR(G188/G$117,0)</f>
        <v>0</v>
      </c>
      <c r="H189" s="176">
        <f>IFERROR(H188/H$117,0)</f>
        <v>0</v>
      </c>
      <c r="I189" s="177">
        <f>IF(I$113="",0,AVERAGE($D189:$H189))</f>
        <v>0</v>
      </c>
      <c r="J189" s="177">
        <f t="shared" ref="J189:R189" si="31">IF(J$113="",0,AVERAGE($D189:$H189))</f>
        <v>0</v>
      </c>
      <c r="K189" s="177">
        <f t="shared" si="31"/>
        <v>0</v>
      </c>
      <c r="L189" s="177">
        <f t="shared" si="31"/>
        <v>0</v>
      </c>
      <c r="M189" s="177">
        <f t="shared" si="31"/>
        <v>0</v>
      </c>
      <c r="N189" s="177">
        <f t="shared" si="31"/>
        <v>0</v>
      </c>
      <c r="O189" s="177">
        <f t="shared" si="31"/>
        <v>0</v>
      </c>
      <c r="P189" s="177">
        <f t="shared" si="31"/>
        <v>0</v>
      </c>
      <c r="Q189" s="177">
        <f t="shared" si="31"/>
        <v>0</v>
      </c>
      <c r="R189" s="177">
        <f t="shared" si="31"/>
        <v>0</v>
      </c>
    </row>
    <row r="190" spans="1:18" outlineLevel="1">
      <c r="B190" s="10" t="s">
        <v>84</v>
      </c>
      <c r="D190" s="141">
        <v>1156</v>
      </c>
      <c r="E190" s="141">
        <v>447</v>
      </c>
      <c r="F190" s="141">
        <v>1091</v>
      </c>
      <c r="G190" s="141">
        <v>957</v>
      </c>
      <c r="H190" s="141">
        <v>1420</v>
      </c>
    </row>
    <row r="191" spans="1:18" outlineLevel="1">
      <c r="B191" s="10" t="s">
        <v>85</v>
      </c>
      <c r="D191" s="141">
        <v>-595</v>
      </c>
      <c r="E191" s="141">
        <v>2314</v>
      </c>
      <c r="F191" s="141">
        <v>-286</v>
      </c>
      <c r="G191" s="141">
        <v>3385</v>
      </c>
      <c r="H191" s="141">
        <v>1317</v>
      </c>
    </row>
    <row r="192" spans="1:18" outlineLevel="1"/>
    <row r="193" spans="2:18" outlineLevel="1"/>
    <row r="194" spans="2:18" outlineLevel="1">
      <c r="B194" s="190" t="s">
        <v>70</v>
      </c>
      <c r="D194" s="191">
        <f>SUM(D195,D197,D199,D201)</f>
        <v>-259</v>
      </c>
      <c r="E194" s="191">
        <f t="shared" ref="E194:H194" si="32">SUM(E195,E197,E199,E201)</f>
        <v>-55</v>
      </c>
      <c r="F194" s="191">
        <f t="shared" si="32"/>
        <v>-1590</v>
      </c>
      <c r="G194" s="191">
        <f t="shared" si="32"/>
        <v>-432</v>
      </c>
      <c r="H194" s="191">
        <f t="shared" si="32"/>
        <v>660</v>
      </c>
    </row>
    <row r="195" spans="2:18" outlineLevel="1">
      <c r="B195" s="10" t="str">
        <f>"(Increase) Decrease in "&amp;B267</f>
        <v>(Increase) Decrease in Accounts Receivable</v>
      </c>
      <c r="D195" s="141">
        <v>0</v>
      </c>
      <c r="E195" s="141">
        <v>0</v>
      </c>
      <c r="F195" s="141">
        <v>0</v>
      </c>
      <c r="G195" s="141">
        <v>0</v>
      </c>
      <c r="H195" s="141">
        <v>0</v>
      </c>
    </row>
    <row r="196" spans="2:18" outlineLevel="1">
      <c r="B196" s="10" t="str">
        <f>"As a % of "&amp;$B$267</f>
        <v>As a % of Accounts Receivable</v>
      </c>
      <c r="D196" s="176">
        <f>IFERROR(D195/D267,0)</f>
        <v>0</v>
      </c>
      <c r="E196" s="176">
        <f>IFERROR(E195/E267,0)</f>
        <v>0</v>
      </c>
      <c r="F196" s="176">
        <f>IFERROR(F195/F267,0)</f>
        <v>0</v>
      </c>
      <c r="G196" s="176">
        <f>IFERROR(G195/G267,0)</f>
        <v>0</v>
      </c>
      <c r="H196" s="176">
        <f>IFERROR(H195/H267,0)</f>
        <v>0</v>
      </c>
      <c r="I196" s="177">
        <f>IF(I$113="",0,AVERAGE($D196:$H196))</f>
        <v>0</v>
      </c>
      <c r="J196" s="177">
        <f t="shared" ref="J196:R196" si="33">IF(J$113="",0,AVERAGE($D196:$H196))</f>
        <v>0</v>
      </c>
      <c r="K196" s="177">
        <f t="shared" si="33"/>
        <v>0</v>
      </c>
      <c r="L196" s="177">
        <f t="shared" si="33"/>
        <v>0</v>
      </c>
      <c r="M196" s="177">
        <f t="shared" si="33"/>
        <v>0</v>
      </c>
      <c r="N196" s="177">
        <f t="shared" si="33"/>
        <v>0</v>
      </c>
      <c r="O196" s="177">
        <f t="shared" si="33"/>
        <v>0</v>
      </c>
      <c r="P196" s="177">
        <f t="shared" si="33"/>
        <v>0</v>
      </c>
      <c r="Q196" s="177">
        <f t="shared" si="33"/>
        <v>0</v>
      </c>
      <c r="R196" s="177">
        <f t="shared" si="33"/>
        <v>0</v>
      </c>
    </row>
    <row r="197" spans="2:18" outlineLevel="1">
      <c r="B197" s="10" t="str">
        <f>"(Increase) Decrease in "&amp;B271</f>
        <v>(Increase) Decrease in Inventory</v>
      </c>
      <c r="D197" s="141">
        <v>0</v>
      </c>
      <c r="E197" s="141">
        <v>-254</v>
      </c>
      <c r="F197" s="141">
        <v>-118</v>
      </c>
      <c r="G197" s="141">
        <v>-599</v>
      </c>
      <c r="H197" s="141">
        <v>763</v>
      </c>
    </row>
    <row r="198" spans="2:18" outlineLevel="1">
      <c r="B198" s="10" t="str">
        <f>"As a % of "&amp;$B$271</f>
        <v>As a % of Inventory</v>
      </c>
      <c r="D198" s="176">
        <f>IFERROR(D197/D271,0)</f>
        <v>0</v>
      </c>
      <c r="E198" s="176">
        <f>IFERROR(E197/E271,0)</f>
        <v>-0.16536458333333334</v>
      </c>
      <c r="F198" s="176">
        <f>IFERROR(F197/F271,0)</f>
        <v>-7.0658682634730532E-2</v>
      </c>
      <c r="G198" s="176">
        <f>IFERROR(G197/G271,0)</f>
        <v>-0.26563192904656319</v>
      </c>
      <c r="H198" s="176">
        <f>IFERROR(H197/H271,0)</f>
        <v>0.51588911426639616</v>
      </c>
      <c r="I198" s="177">
        <f>IF(I$113="",0,AVERAGE($D198:$H198))</f>
        <v>2.846783850353818E-3</v>
      </c>
      <c r="J198" s="177">
        <f t="shared" ref="J198:R198" si="34">IF(J$113="",0,AVERAGE($D198:$H198))</f>
        <v>2.846783850353818E-3</v>
      </c>
      <c r="K198" s="177">
        <f t="shared" si="34"/>
        <v>2.846783850353818E-3</v>
      </c>
      <c r="L198" s="177">
        <f t="shared" si="34"/>
        <v>2.846783850353818E-3</v>
      </c>
      <c r="M198" s="177">
        <f t="shared" si="34"/>
        <v>2.846783850353818E-3</v>
      </c>
      <c r="N198" s="177">
        <f t="shared" si="34"/>
        <v>0</v>
      </c>
      <c r="O198" s="177">
        <f t="shared" si="34"/>
        <v>0</v>
      </c>
      <c r="P198" s="177">
        <f t="shared" si="34"/>
        <v>0</v>
      </c>
      <c r="Q198" s="177">
        <f t="shared" si="34"/>
        <v>0</v>
      </c>
      <c r="R198" s="177">
        <f t="shared" si="34"/>
        <v>0</v>
      </c>
    </row>
    <row r="199" spans="2:18" outlineLevel="1">
      <c r="B199" s="10" t="str">
        <f>"Increase (Decrease) in "&amp;B287</f>
        <v>Increase (Decrease) in Payables and Accruals</v>
      </c>
      <c r="D199" s="141"/>
      <c r="E199" s="141"/>
      <c r="F199" s="141"/>
      <c r="G199" s="141"/>
      <c r="H199" s="141"/>
    </row>
    <row r="200" spans="2:18" outlineLevel="1">
      <c r="B200" s="10" t="str">
        <f>"As a % of "&amp;$B$274</f>
        <v>As a % of Other Short-Term Assets</v>
      </c>
      <c r="D200" s="176">
        <f>IFERROR(D199/D272,0)</f>
        <v>0</v>
      </c>
      <c r="E200" s="176">
        <f>IFERROR(E199/E272,0)</f>
        <v>0</v>
      </c>
      <c r="F200" s="176">
        <f>IFERROR(F199/F272,0)</f>
        <v>0</v>
      </c>
      <c r="G200" s="176">
        <f>IFERROR(G199/G272,0)</f>
        <v>0</v>
      </c>
      <c r="H200" s="176">
        <f>IFERROR(H199/H272,0)</f>
        <v>0</v>
      </c>
      <c r="I200" s="177">
        <f>IF(I$113="",0,AVERAGE($D200:$H200))</f>
        <v>0</v>
      </c>
      <c r="J200" s="177">
        <f t="shared" ref="J200:R202" si="35">IF(J$113="",0,AVERAGE($D200:$H200))</f>
        <v>0</v>
      </c>
      <c r="K200" s="177">
        <f t="shared" si="35"/>
        <v>0</v>
      </c>
      <c r="L200" s="177">
        <f t="shared" si="35"/>
        <v>0</v>
      </c>
      <c r="M200" s="177">
        <f t="shared" si="35"/>
        <v>0</v>
      </c>
      <c r="N200" s="177">
        <f t="shared" si="35"/>
        <v>0</v>
      </c>
      <c r="O200" s="177">
        <f t="shared" si="35"/>
        <v>0</v>
      </c>
      <c r="P200" s="177">
        <f t="shared" si="35"/>
        <v>0</v>
      </c>
      <c r="Q200" s="177">
        <f t="shared" si="35"/>
        <v>0</v>
      </c>
      <c r="R200" s="177">
        <f t="shared" si="35"/>
        <v>0</v>
      </c>
    </row>
    <row r="201" spans="2:18" outlineLevel="1">
      <c r="B201" s="10" t="str">
        <f>"Increase (Decrease) in "&amp;B274</f>
        <v>Increase (Decrease) in Other Short-Term Assets</v>
      </c>
      <c r="D201" s="141">
        <v>-259</v>
      </c>
      <c r="E201" s="141">
        <v>199</v>
      </c>
      <c r="F201" s="141">
        <v>-1472</v>
      </c>
      <c r="G201" s="141">
        <v>167</v>
      </c>
      <c r="H201" s="141">
        <v>-103</v>
      </c>
    </row>
    <row r="202" spans="2:18" outlineLevel="1">
      <c r="B202" s="10" t="str">
        <f>"As a % of "&amp;$B$274</f>
        <v>As a % of Other Short-Term Assets</v>
      </c>
      <c r="D202" s="176">
        <f>IFERROR(D201/D274,0)</f>
        <v>-0.86333333333333329</v>
      </c>
      <c r="E202" s="176">
        <f>IFERROR(E201/E274,0)</f>
        <v>0.13829047949965254</v>
      </c>
      <c r="F202" s="176">
        <f>IFERROR(F201/F274,0)</f>
        <v>-0.71945259042033238</v>
      </c>
      <c r="G202" s="176">
        <f>IFERROR(G201/G274,0)</f>
        <v>4.8901903367496342E-2</v>
      </c>
      <c r="H202" s="176">
        <f>IFERROR(H201/H274,0)</f>
        <v>-3.9478727481793791E-2</v>
      </c>
      <c r="I202" s="177">
        <f>IF(I$113="",0,AVERAGE($D202:$H202))</f>
        <v>-0.28701445367366207</v>
      </c>
      <c r="J202" s="177">
        <f t="shared" si="35"/>
        <v>-0.28701445367366207</v>
      </c>
      <c r="K202" s="177">
        <f t="shared" si="35"/>
        <v>-0.28701445367366207</v>
      </c>
      <c r="L202" s="177">
        <f t="shared" si="35"/>
        <v>-0.28701445367366207</v>
      </c>
      <c r="M202" s="177">
        <f t="shared" si="35"/>
        <v>-0.28701445367366207</v>
      </c>
      <c r="N202" s="177">
        <f t="shared" si="35"/>
        <v>0</v>
      </c>
      <c r="O202" s="177">
        <f t="shared" si="35"/>
        <v>0</v>
      </c>
      <c r="P202" s="177">
        <f t="shared" si="35"/>
        <v>0</v>
      </c>
      <c r="Q202" s="177">
        <f t="shared" si="35"/>
        <v>0</v>
      </c>
      <c r="R202" s="177">
        <f t="shared" si="35"/>
        <v>0</v>
      </c>
    </row>
    <row r="203" spans="2:18" outlineLevel="1">
      <c r="B203" s="1"/>
    </row>
    <row r="204" spans="2:18" outlineLevel="1"/>
    <row r="205" spans="2:18" outlineLevel="1">
      <c r="B205" s="190" t="s">
        <v>68</v>
      </c>
      <c r="D205" s="141"/>
      <c r="E205" s="141"/>
      <c r="F205" s="141"/>
      <c r="G205" s="141"/>
      <c r="H205" s="141"/>
    </row>
    <row r="206" spans="2:18" outlineLevel="1">
      <c r="D206" s="199"/>
      <c r="E206" s="199"/>
      <c r="F206" s="199"/>
      <c r="G206" s="199"/>
      <c r="H206" s="199"/>
    </row>
    <row r="207" spans="2:18" outlineLevel="1">
      <c r="D207" s="199"/>
      <c r="E207" s="199"/>
      <c r="F207" s="199"/>
      <c r="G207" s="199"/>
      <c r="H207" s="199"/>
    </row>
    <row r="208" spans="2:18" outlineLevel="1">
      <c r="B208" s="190" t="s">
        <v>88</v>
      </c>
      <c r="D208" s="179"/>
      <c r="E208" s="179"/>
      <c r="F208" s="179"/>
      <c r="G208" s="179"/>
      <c r="H208" s="179"/>
    </row>
    <row r="209" spans="2:18" outlineLevel="1">
      <c r="B209" s="10" t="s">
        <v>109</v>
      </c>
      <c r="D209" s="179"/>
      <c r="E209" s="179"/>
      <c r="F209" s="179"/>
      <c r="G209" s="179"/>
      <c r="H209" s="179"/>
    </row>
    <row r="210" spans="2:18" outlineLevel="1">
      <c r="B210" s="10" t="s">
        <v>89</v>
      </c>
      <c r="D210" s="141">
        <v>2110</v>
      </c>
      <c r="E210" s="141">
        <v>265</v>
      </c>
      <c r="F210" s="141">
        <v>1263</v>
      </c>
      <c r="G210" s="141">
        <v>0</v>
      </c>
      <c r="H210" s="141">
        <v>0</v>
      </c>
    </row>
    <row r="211" spans="2:18" outlineLevel="1">
      <c r="B211" s="10" t="str">
        <f>"As a % of "&amp;$B$277</f>
        <v>As a % of Property, Plant, and Equipment</v>
      </c>
      <c r="D211" s="176">
        <f>IFERROR(D210/D277,0)</f>
        <v>2.2621766213159221E-2</v>
      </c>
      <c r="E211" s="176">
        <f>IFERROR(E210/E277,0)</f>
        <v>2.802127502088378E-3</v>
      </c>
      <c r="F211" s="176">
        <f>IFERROR(F210/F277,0)</f>
        <v>1.2621543565810908E-2</v>
      </c>
      <c r="G211" s="176">
        <f>IFERROR(G210/G277,0)</f>
        <v>0</v>
      </c>
      <c r="H211" s="176">
        <f>IFERROR(H210/H277,0)</f>
        <v>0</v>
      </c>
      <c r="I211" s="177">
        <f>IF(I$113="",0,AVERAGE($D211:$H211))</f>
        <v>7.6090874562117026E-3</v>
      </c>
      <c r="J211" s="177">
        <f t="shared" ref="J211:R211" si="36">IF(J$113="",0,AVERAGE($D211:$H211))</f>
        <v>7.6090874562117026E-3</v>
      </c>
      <c r="K211" s="177">
        <f t="shared" si="36"/>
        <v>7.6090874562117026E-3</v>
      </c>
      <c r="L211" s="177">
        <f t="shared" si="36"/>
        <v>7.6090874562117026E-3</v>
      </c>
      <c r="M211" s="177">
        <f t="shared" si="36"/>
        <v>7.6090874562117026E-3</v>
      </c>
      <c r="N211" s="177">
        <f t="shared" si="36"/>
        <v>0</v>
      </c>
      <c r="O211" s="177">
        <f t="shared" si="36"/>
        <v>0</v>
      </c>
      <c r="P211" s="177">
        <f t="shared" si="36"/>
        <v>0</v>
      </c>
      <c r="Q211" s="177">
        <f t="shared" si="36"/>
        <v>0</v>
      </c>
      <c r="R211" s="177">
        <f t="shared" si="36"/>
        <v>0</v>
      </c>
    </row>
    <row r="212" spans="2:18" outlineLevel="1">
      <c r="D212" s="192"/>
      <c r="E212" s="192"/>
      <c r="F212" s="192"/>
      <c r="G212" s="192"/>
      <c r="H212" s="192"/>
    </row>
    <row r="213" spans="2:18" outlineLevel="1">
      <c r="B213" s="1"/>
      <c r="C213" s="1"/>
    </row>
    <row r="214" spans="2:18" outlineLevel="1">
      <c r="B214" s="190" t="s">
        <v>73</v>
      </c>
      <c r="D214" s="141">
        <v>-1159</v>
      </c>
      <c r="E214" s="141">
        <v>-487</v>
      </c>
      <c r="F214" s="141">
        <v>-640</v>
      </c>
      <c r="G214" s="141">
        <v>-1041</v>
      </c>
      <c r="H214" s="141">
        <v>-1276</v>
      </c>
    </row>
    <row r="215" spans="2:18" outlineLevel="1">
      <c r="D215" s="192"/>
      <c r="E215" s="192"/>
      <c r="F215" s="192"/>
      <c r="G215" s="192"/>
      <c r="H215" s="192"/>
    </row>
    <row r="216" spans="2:18" outlineLevel="1">
      <c r="D216" s="192"/>
      <c r="E216" s="192"/>
      <c r="F216" s="192"/>
      <c r="G216" s="192"/>
      <c r="H216" s="192"/>
    </row>
    <row r="217" spans="2:18" outlineLevel="1">
      <c r="B217" s="190" t="s">
        <v>74</v>
      </c>
      <c r="D217" s="141">
        <f>0-200</f>
        <v>-200</v>
      </c>
      <c r="E217" s="141">
        <f>-24-215</f>
        <v>-239</v>
      </c>
      <c r="F217" s="141">
        <f>-3785-275</f>
        <v>-4060</v>
      </c>
      <c r="G217" s="141">
        <f>-306-174</f>
        <v>-480</v>
      </c>
      <c r="H217" s="141">
        <f>-954-222</f>
        <v>-1176</v>
      </c>
    </row>
    <row r="218" spans="2:18" outlineLevel="1">
      <c r="D218" s="192"/>
      <c r="E218" s="192"/>
      <c r="F218" s="192"/>
      <c r="G218" s="192"/>
      <c r="H218" s="192"/>
    </row>
    <row r="219" spans="2:18" outlineLevel="1">
      <c r="D219" s="192"/>
      <c r="E219" s="192"/>
      <c r="F219" s="192"/>
      <c r="G219" s="192"/>
      <c r="H219" s="192"/>
    </row>
    <row r="220" spans="2:18" outlineLevel="1">
      <c r="B220" s="190" t="s">
        <v>75</v>
      </c>
      <c r="D220" s="141">
        <v>83</v>
      </c>
      <c r="E220" s="141">
        <v>689</v>
      </c>
      <c r="F220" s="141">
        <v>598</v>
      </c>
      <c r="G220" s="141">
        <v>898</v>
      </c>
      <c r="H220" s="141">
        <v>1063</v>
      </c>
    </row>
    <row r="221" spans="2:18" outlineLevel="1">
      <c r="D221" s="192"/>
      <c r="E221" s="192"/>
      <c r="F221" s="192"/>
      <c r="G221" s="192"/>
      <c r="H221" s="192"/>
    </row>
    <row r="222" spans="2:18" outlineLevel="1">
      <c r="D222" s="192"/>
      <c r="E222" s="192"/>
      <c r="F222" s="192"/>
      <c r="G222" s="192"/>
      <c r="H222" s="192"/>
    </row>
    <row r="223" spans="2:18" outlineLevel="1">
      <c r="B223" s="190" t="s">
        <v>68</v>
      </c>
      <c r="D223" s="141"/>
      <c r="E223" s="141">
        <v>0</v>
      </c>
      <c r="F223" s="141">
        <v>0</v>
      </c>
      <c r="G223" s="141"/>
      <c r="H223" s="141"/>
    </row>
    <row r="224" spans="2:18" outlineLevel="1">
      <c r="D224" s="192"/>
      <c r="E224" s="192"/>
      <c r="F224" s="192"/>
      <c r="G224" s="192"/>
      <c r="H224" s="192"/>
    </row>
    <row r="225" spans="2:18" outlineLevel="1">
      <c r="D225" s="192"/>
      <c r="E225" s="192"/>
      <c r="F225" s="192"/>
      <c r="G225" s="192"/>
      <c r="H225" s="192"/>
    </row>
    <row r="226" spans="2:18" outlineLevel="1">
      <c r="B226" s="190" t="s">
        <v>78</v>
      </c>
      <c r="D226" s="141">
        <v>-6356</v>
      </c>
      <c r="E226" s="141">
        <v>-6940</v>
      </c>
      <c r="F226" s="141">
        <v>-7133</v>
      </c>
      <c r="G226" s="141">
        <v>-7306</v>
      </c>
      <c r="H226" s="141">
        <v>-7628</v>
      </c>
    </row>
    <row r="227" spans="2:18" outlineLevel="1">
      <c r="B227" s="10" t="str">
        <f>"As % of "&amp;'Income Statement'!B37</f>
        <v>As % of Net Income (Loss), GAAP</v>
      </c>
      <c r="D227" s="188">
        <f>D226/'Income Statement'!C37</f>
        <v>-1.1141104294478528</v>
      </c>
      <c r="E227" s="188">
        <f>E226/'Income Statement'!D37</f>
        <v>-2.0636336604222421</v>
      </c>
      <c r="F227" s="188">
        <f>F226/'Income Statement'!E37</f>
        <v>-1.15252867991598</v>
      </c>
      <c r="G227" s="188">
        <f>G226/'Income Statement'!F37</f>
        <v>-2.4329004329004329</v>
      </c>
      <c r="H227" s="188">
        <f>H226/'Income Statement'!G37</f>
        <v>-1.2321111290583104</v>
      </c>
      <c r="I227" s="177">
        <f>IF(I$113="",0,AVERAGE($D227:$H227))</f>
        <v>-1.5990568663489637</v>
      </c>
      <c r="J227" s="177">
        <f t="shared" ref="J227:R227" si="37">IF(J$113="",0,AVERAGE($D227:$H227))</f>
        <v>-1.5990568663489637</v>
      </c>
      <c r="K227" s="177">
        <f t="shared" si="37"/>
        <v>-1.5990568663489637</v>
      </c>
      <c r="L227" s="177">
        <f t="shared" si="37"/>
        <v>-1.5990568663489637</v>
      </c>
      <c r="M227" s="177">
        <f t="shared" si="37"/>
        <v>-1.5990568663489637</v>
      </c>
      <c r="N227" s="177">
        <f t="shared" si="37"/>
        <v>0</v>
      </c>
      <c r="O227" s="177">
        <f t="shared" si="37"/>
        <v>0</v>
      </c>
      <c r="P227" s="177">
        <f t="shared" si="37"/>
        <v>0</v>
      </c>
      <c r="Q227" s="177">
        <f t="shared" si="37"/>
        <v>0</v>
      </c>
      <c r="R227" s="177">
        <f t="shared" si="37"/>
        <v>0</v>
      </c>
    </row>
    <row r="228" spans="2:18" outlineLevel="1">
      <c r="D228" s="193"/>
      <c r="E228" s="192"/>
      <c r="F228" s="192"/>
      <c r="G228" s="192"/>
      <c r="H228" s="192"/>
    </row>
    <row r="229" spans="2:18" outlineLevel="1">
      <c r="D229" s="192"/>
      <c r="E229" s="192"/>
      <c r="F229" s="192"/>
      <c r="G229" s="192"/>
      <c r="H229" s="192"/>
    </row>
    <row r="230" spans="2:18" outlineLevel="1">
      <c r="B230" s="190" t="s">
        <v>79</v>
      </c>
      <c r="D230" s="141">
        <v>2206</v>
      </c>
      <c r="E230" s="141">
        <v>2532</v>
      </c>
      <c r="F230" s="141">
        <v>9122</v>
      </c>
      <c r="G230" s="141">
        <v>2497</v>
      </c>
      <c r="H230" s="141">
        <v>805</v>
      </c>
    </row>
    <row r="231" spans="2:18" outlineLevel="1">
      <c r="D231" s="192"/>
      <c r="E231" s="192"/>
      <c r="F231" s="192"/>
      <c r="G231" s="192"/>
      <c r="H231" s="192"/>
    </row>
    <row r="232" spans="2:18" outlineLevel="1">
      <c r="D232" s="192"/>
      <c r="E232" s="192"/>
      <c r="F232" s="192"/>
      <c r="G232" s="192"/>
      <c r="H232" s="192"/>
    </row>
    <row r="233" spans="2:18" outlineLevel="1">
      <c r="B233" s="190" t="s">
        <v>80</v>
      </c>
      <c r="D233" s="141">
        <v>-282</v>
      </c>
      <c r="E233" s="141">
        <v>5</v>
      </c>
      <c r="F233" s="141">
        <v>-410</v>
      </c>
      <c r="G233" s="141">
        <v>-1151</v>
      </c>
      <c r="H233" s="141">
        <v>4325</v>
      </c>
    </row>
    <row r="234" spans="2:18" outlineLevel="1">
      <c r="D234" s="192"/>
      <c r="E234" s="192"/>
      <c r="F234" s="192"/>
      <c r="G234" s="192"/>
      <c r="H234" s="192"/>
    </row>
    <row r="235" spans="2:18" outlineLevel="1">
      <c r="D235" s="192"/>
      <c r="E235" s="192"/>
      <c r="F235" s="192"/>
      <c r="G235" s="192"/>
      <c r="H235" s="192"/>
    </row>
    <row r="236" spans="2:18" outlineLevel="1">
      <c r="B236" s="190" t="s">
        <v>81</v>
      </c>
      <c r="D236" s="141">
        <v>-313</v>
      </c>
      <c r="E236" s="141">
        <v>-367</v>
      </c>
      <c r="F236" s="141">
        <v>-343</v>
      </c>
      <c r="G236" s="141">
        <v>532</v>
      </c>
      <c r="H236" s="141">
        <v>-366</v>
      </c>
    </row>
    <row r="237" spans="2:18" outlineLevel="1">
      <c r="D237" s="192"/>
      <c r="E237" s="192"/>
      <c r="F237" s="192"/>
      <c r="G237" s="192"/>
      <c r="H237" s="192"/>
    </row>
    <row r="238" spans="2:18" outlineLevel="1">
      <c r="D238" s="192"/>
      <c r="E238" s="192"/>
      <c r="F238" s="192"/>
      <c r="G238" s="192"/>
      <c r="H238" s="192"/>
    </row>
    <row r="239" spans="2:18" outlineLevel="1">
      <c r="B239" s="190" t="s">
        <v>68</v>
      </c>
      <c r="D239" s="141"/>
      <c r="E239" s="141"/>
      <c r="F239" s="141"/>
      <c r="G239" s="141"/>
      <c r="H239" s="141"/>
    </row>
    <row r="240" spans="2:18" outlineLevel="1">
      <c r="D240" s="192"/>
      <c r="E240" s="192"/>
      <c r="F240" s="192"/>
      <c r="G240" s="192"/>
      <c r="H240" s="192"/>
    </row>
    <row r="241" spans="2:18" outlineLevel="1">
      <c r="D241" s="192"/>
      <c r="E241" s="192"/>
      <c r="F241" s="192"/>
      <c r="G241" s="192"/>
      <c r="H241" s="192"/>
    </row>
    <row r="242" spans="2:18" outlineLevel="1">
      <c r="B242" s="190" t="s">
        <v>110</v>
      </c>
      <c r="D242" s="141">
        <v>44</v>
      </c>
      <c r="E242" s="141">
        <v>-20</v>
      </c>
      <c r="F242" s="141">
        <v>-5</v>
      </c>
      <c r="G242" s="141">
        <v>55</v>
      </c>
      <c r="H242" s="141">
        <v>-216</v>
      </c>
    </row>
    <row r="243" spans="2:18" outlineLevel="1"/>
    <row r="244" spans="2:18" outlineLevel="1"/>
    <row r="245" spans="2:18" outlineLevel="1">
      <c r="B245" s="190" t="s">
        <v>115</v>
      </c>
      <c r="C245" s="194">
        <f>$D$259-1</f>
        <v>2018</v>
      </c>
    </row>
    <row r="246" spans="2:18" outlineLevel="1">
      <c r="B246" s="10" t="s">
        <v>244</v>
      </c>
      <c r="C246" s="154">
        <v>506</v>
      </c>
      <c r="D246" s="158">
        <f>C246+'Cash Flows'!C31-D250</f>
        <v>48.200000000000728</v>
      </c>
      <c r="E246" s="158">
        <f>D246+'Cash Flows'!D31-E250</f>
        <v>-2631.0999999999995</v>
      </c>
      <c r="F246" s="158">
        <f>E246+'Cash Flows'!E31-F250</f>
        <v>-3394.9999999999991</v>
      </c>
      <c r="G246" s="158">
        <f>F246+'Cash Flows'!F31-G250</f>
        <v>-7198.7999999999993</v>
      </c>
      <c r="H246" s="158">
        <f>G246+'Cash Flows'!G31-H250</f>
        <v>-4827.8999999999996</v>
      </c>
      <c r="I246" s="158"/>
      <c r="J246" s="158"/>
      <c r="K246" s="158"/>
      <c r="L246" s="158"/>
      <c r="M246" s="158"/>
      <c r="N246" s="158"/>
      <c r="O246" s="158"/>
      <c r="P246" s="158"/>
      <c r="Q246" s="158"/>
      <c r="R246" s="158"/>
    </row>
    <row r="247" spans="2:18" outlineLevel="1"/>
    <row r="248" spans="2:18" outlineLevel="1">
      <c r="B248" s="190" t="s">
        <v>112</v>
      </c>
    </row>
    <row r="249" spans="2:18" outlineLevel="1">
      <c r="B249" s="195" t="s">
        <v>113</v>
      </c>
      <c r="C249" s="158"/>
      <c r="D249" s="154">
        <v>1</v>
      </c>
      <c r="E249" s="154">
        <v>38</v>
      </c>
      <c r="F249" s="154">
        <v>34</v>
      </c>
      <c r="G249" s="154">
        <v>46</v>
      </c>
      <c r="H249" s="154">
        <v>84</v>
      </c>
    </row>
    <row r="250" spans="2:18" outlineLevel="1">
      <c r="B250" s="10" t="str">
        <f>B248&amp;" Flow"</f>
        <v>Restricted Cash Flow</v>
      </c>
      <c r="C250" s="158"/>
      <c r="D250" s="158">
        <f>D249-C249</f>
        <v>1</v>
      </c>
      <c r="E250" s="158">
        <f>E249-D249</f>
        <v>37</v>
      </c>
      <c r="F250" s="158">
        <f>F249-E249</f>
        <v>-4</v>
      </c>
      <c r="G250" s="158">
        <f>G249-F249</f>
        <v>12</v>
      </c>
      <c r="H250" s="158">
        <f>H249-G249</f>
        <v>38</v>
      </c>
      <c r="I250" s="196">
        <f>IF(I$113="",0,AVERAGE($D250:$H250))</f>
        <v>16.8</v>
      </c>
      <c r="J250" s="196">
        <f t="shared" ref="J250:R250" si="38">IF(J$113="",0,AVERAGE($D250:$H250))</f>
        <v>16.8</v>
      </c>
      <c r="K250" s="196">
        <f t="shared" si="38"/>
        <v>16.8</v>
      </c>
      <c r="L250" s="196">
        <f t="shared" si="38"/>
        <v>16.8</v>
      </c>
      <c r="M250" s="196">
        <f t="shared" si="38"/>
        <v>16.8</v>
      </c>
      <c r="N250" s="196">
        <f t="shared" si="38"/>
        <v>0</v>
      </c>
      <c r="O250" s="196">
        <f t="shared" si="38"/>
        <v>0</v>
      </c>
      <c r="P250" s="196">
        <f t="shared" si="38"/>
        <v>0</v>
      </c>
      <c r="Q250" s="196">
        <f t="shared" si="38"/>
        <v>0</v>
      </c>
      <c r="R250" s="196">
        <f t="shared" si="38"/>
        <v>0</v>
      </c>
    </row>
    <row r="251" spans="2:18" outlineLevel="1">
      <c r="B251" s="1"/>
      <c r="C251" s="1"/>
      <c r="I251" s="192"/>
      <c r="J251" s="192"/>
      <c r="K251" s="192"/>
      <c r="L251" s="192"/>
      <c r="M251" s="192"/>
      <c r="N251" s="192"/>
      <c r="O251" s="192"/>
      <c r="P251" s="192"/>
      <c r="Q251" s="192"/>
      <c r="R251" s="192"/>
    </row>
    <row r="252" spans="2:18" outlineLevel="1"/>
    <row r="253" spans="2:18" outlineLevel="1"/>
    <row r="254" spans="2:18" outlineLevel="1"/>
    <row r="255" spans="2:18" outlineLevel="1"/>
    <row r="256" spans="2:18" outlineLevel="1"/>
    <row r="258" spans="1:18">
      <c r="A258" s="134" t="s">
        <v>54</v>
      </c>
      <c r="B258" s="30" t="s">
        <v>55</v>
      </c>
      <c r="C258" s="30"/>
      <c r="D258" s="29"/>
      <c r="E258" s="29"/>
      <c r="F258" s="29"/>
      <c r="G258" s="29"/>
      <c r="H258" s="29"/>
      <c r="I258" s="29"/>
      <c r="J258" s="29"/>
      <c r="K258" s="29"/>
      <c r="L258" s="29"/>
      <c r="M258" s="29"/>
      <c r="N258" s="29"/>
      <c r="O258" s="29"/>
      <c r="P258" s="29"/>
      <c r="Q258" s="29"/>
      <c r="R258" s="29"/>
    </row>
    <row r="259" spans="1:18">
      <c r="A259" s="62"/>
      <c r="B259" s="14" t="str">
        <f>"Year Ending "&amp;TEXT($C$24,"mmmm d")&amp;", "&amp;$B$26&amp;" "&amp;$C$26</f>
        <v>Year Ending December 31, In CAD  Millions</v>
      </c>
      <c r="C259" s="14"/>
      <c r="D259" s="14" cm="1">
        <f t="array" ref="D259:M259">_xlfn.SEQUENCE(1,5+$C$21,(YEAR($C$20)-5))</f>
        <v>2019</v>
      </c>
      <c r="E259" s="14">
        <v>2020</v>
      </c>
      <c r="F259" s="14">
        <v>2021</v>
      </c>
      <c r="G259" s="14">
        <v>2022</v>
      </c>
      <c r="H259" s="14">
        <v>2023</v>
      </c>
      <c r="I259" s="15">
        <v>2024</v>
      </c>
      <c r="J259" s="15">
        <v>2025</v>
      </c>
      <c r="K259" s="15">
        <v>2026</v>
      </c>
      <c r="L259" s="15">
        <v>2027</v>
      </c>
      <c r="M259" s="15">
        <v>2028</v>
      </c>
      <c r="N259" s="15"/>
      <c r="O259" s="15"/>
      <c r="P259" s="15"/>
      <c r="Q259" s="15"/>
      <c r="R259" s="15"/>
    </row>
    <row r="260" spans="1:18" outlineLevel="1">
      <c r="B260" s="197" t="s">
        <v>56</v>
      </c>
      <c r="D260" s="185"/>
      <c r="E260" s="185"/>
      <c r="F260" s="185"/>
      <c r="G260" s="185"/>
      <c r="H260" s="185"/>
      <c r="I260" s="185"/>
      <c r="J260" s="185"/>
      <c r="K260" s="185"/>
      <c r="L260" s="185"/>
      <c r="M260" s="185"/>
      <c r="N260" s="185"/>
      <c r="O260" s="185"/>
      <c r="P260" s="185"/>
      <c r="Q260" s="185"/>
      <c r="R260" s="185"/>
    </row>
    <row r="261" spans="1:18" outlineLevel="1">
      <c r="B261" s="10" t="s">
        <v>62</v>
      </c>
      <c r="C261" s="1"/>
      <c r="D261" s="154">
        <v>648</v>
      </c>
      <c r="E261" s="154">
        <v>452</v>
      </c>
      <c r="F261" s="154">
        <v>286</v>
      </c>
      <c r="G261" s="154">
        <v>861</v>
      </c>
      <c r="H261" s="154">
        <v>5901</v>
      </c>
      <c r="I261" s="179"/>
      <c r="J261" s="179"/>
      <c r="K261" s="179"/>
      <c r="L261" s="179"/>
      <c r="M261" s="179"/>
      <c r="N261" s="179"/>
      <c r="O261" s="179"/>
      <c r="P261" s="179"/>
      <c r="Q261" s="179"/>
      <c r="R261" s="179"/>
    </row>
    <row r="262" spans="1:18" outlineLevel="1">
      <c r="B262" s="10" t="str">
        <f>"As a % of "&amp;$B$117</f>
        <v>As a % of Revenue</v>
      </c>
      <c r="C262" s="1"/>
      <c r="D262" s="176">
        <f>IFERROR(D261/D$117,0)</f>
        <v>1.2942139847011125E-2</v>
      </c>
      <c r="E262" s="176">
        <f>IFERROR(E261/E$117,0)</f>
        <v>1.1563947092383658E-2</v>
      </c>
      <c r="F262" s="176">
        <f>IFERROR(F261/F$117,0)</f>
        <v>6.075927853667863E-3</v>
      </c>
      <c r="G262" s="176">
        <f>IFERROR(G261/G$117,0)</f>
        <v>1.6151118948020033E-2</v>
      </c>
      <c r="H262" s="176">
        <f>IFERROR(H261/H$117,0)</f>
        <v>0.13519210062086187</v>
      </c>
      <c r="I262" s="177">
        <f>IF(I$113="",0,AVERAGE($D262:$H262))</f>
        <v>3.6385046872388908E-2</v>
      </c>
      <c r="J262" s="177">
        <f t="shared" ref="J262:R262" si="39">IF(J$113="",0,AVERAGE($D262:$H262))</f>
        <v>3.6385046872388908E-2</v>
      </c>
      <c r="K262" s="177">
        <f t="shared" si="39"/>
        <v>3.6385046872388908E-2</v>
      </c>
      <c r="L262" s="177">
        <f t="shared" si="39"/>
        <v>3.6385046872388908E-2</v>
      </c>
      <c r="M262" s="177">
        <f t="shared" si="39"/>
        <v>3.6385046872388908E-2</v>
      </c>
      <c r="N262" s="177">
        <f t="shared" si="39"/>
        <v>0</v>
      </c>
      <c r="O262" s="177">
        <f t="shared" si="39"/>
        <v>0</v>
      </c>
      <c r="P262" s="177">
        <f t="shared" si="39"/>
        <v>0</v>
      </c>
      <c r="Q262" s="177">
        <f t="shared" si="39"/>
        <v>0</v>
      </c>
      <c r="R262" s="177">
        <f t="shared" si="39"/>
        <v>0</v>
      </c>
    </row>
    <row r="263" spans="1:18" outlineLevel="1"/>
    <row r="264" spans="1:18" outlineLevel="1"/>
    <row r="265" spans="1:18" outlineLevel="1">
      <c r="B265" s="197" t="s">
        <v>57</v>
      </c>
      <c r="D265" s="158">
        <f>SUM(D267,D268)</f>
        <v>6578</v>
      </c>
      <c r="E265" s="158">
        <f>SUM(E267,E268)</f>
        <v>3923</v>
      </c>
      <c r="F265" s="158">
        <f>SUM(F267,F268)</f>
        <v>4957</v>
      </c>
      <c r="G265" s="158">
        <f>SUM(G267,G268)</f>
        <v>5616</v>
      </c>
      <c r="H265" s="158">
        <f>SUM(H267,H268)</f>
        <v>4410</v>
      </c>
      <c r="I265" s="158"/>
      <c r="J265" s="158"/>
      <c r="K265" s="158"/>
      <c r="L265" s="158"/>
      <c r="M265" s="158"/>
      <c r="N265" s="158"/>
      <c r="O265" s="158"/>
      <c r="P265" s="158"/>
      <c r="Q265" s="158"/>
      <c r="R265" s="158"/>
    </row>
    <row r="266" spans="1:18" outlineLevel="1">
      <c r="B266" s="10" t="str">
        <f>"As a % of "&amp;$B$117</f>
        <v>As a % of Revenue</v>
      </c>
    </row>
    <row r="267" spans="1:18" outlineLevel="1">
      <c r="B267" s="10" t="s">
        <v>59</v>
      </c>
      <c r="D267" s="154">
        <v>6578</v>
      </c>
      <c r="E267" s="154">
        <v>3923</v>
      </c>
      <c r="F267" s="154">
        <v>4957</v>
      </c>
      <c r="G267" s="154">
        <v>5616</v>
      </c>
      <c r="H267" s="154">
        <v>4410</v>
      </c>
    </row>
    <row r="268" spans="1:18" outlineLevel="1">
      <c r="B268" s="10" t="s">
        <v>60</v>
      </c>
      <c r="D268" s="154"/>
      <c r="E268" s="154"/>
      <c r="F268" s="154"/>
      <c r="G268" s="154"/>
      <c r="H268" s="154"/>
    </row>
    <row r="269" spans="1:18" outlineLevel="1"/>
    <row r="270" spans="1:18" outlineLevel="1"/>
    <row r="271" spans="1:18" outlineLevel="1">
      <c r="B271" s="197" t="s">
        <v>87</v>
      </c>
      <c r="D271" s="154">
        <v>1299</v>
      </c>
      <c r="E271" s="154">
        <v>1536</v>
      </c>
      <c r="F271" s="154">
        <v>1670</v>
      </c>
      <c r="G271" s="154">
        <v>2255</v>
      </c>
      <c r="H271" s="154">
        <v>1479</v>
      </c>
    </row>
    <row r="272" spans="1:18" outlineLevel="1"/>
    <row r="273" spans="2:18" outlineLevel="1"/>
    <row r="274" spans="2:18" outlineLevel="1">
      <c r="B274" s="197" t="s">
        <v>61</v>
      </c>
      <c r="D274" s="154">
        <v>300</v>
      </c>
      <c r="E274" s="154">
        <v>1439</v>
      </c>
      <c r="F274" s="154">
        <v>2046</v>
      </c>
      <c r="G274" s="154">
        <v>3415</v>
      </c>
      <c r="H274" s="154">
        <v>2609</v>
      </c>
    </row>
    <row r="275" spans="2:18" outlineLevel="1"/>
    <row r="276" spans="2:18" outlineLevel="1"/>
    <row r="277" spans="2:18" outlineLevel="1">
      <c r="B277" s="197" t="s">
        <v>90</v>
      </c>
      <c r="D277" s="198">
        <v>93273</v>
      </c>
      <c r="E277" s="198">
        <v>94571</v>
      </c>
      <c r="F277" s="198">
        <v>100067</v>
      </c>
      <c r="G277" s="198">
        <v>104460</v>
      </c>
      <c r="H277" s="198">
        <v>104641</v>
      </c>
    </row>
    <row r="278" spans="2:18" outlineLevel="1">
      <c r="E278" s="176"/>
      <c r="F278" s="176"/>
      <c r="G278" s="176"/>
      <c r="H278" s="176"/>
      <c r="I278" s="192"/>
      <c r="J278" s="192"/>
      <c r="K278" s="192"/>
      <c r="L278" s="192"/>
      <c r="M278" s="192"/>
      <c r="N278" s="192"/>
      <c r="O278" s="192"/>
      <c r="P278" s="192"/>
      <c r="Q278" s="192"/>
      <c r="R278" s="192"/>
    </row>
    <row r="279" spans="2:18" outlineLevel="1"/>
    <row r="280" spans="2:18" outlineLevel="1">
      <c r="B280" s="197" t="s">
        <v>92</v>
      </c>
      <c r="D280" s="198">
        <v>16528</v>
      </c>
      <c r="E280" s="198">
        <v>13818</v>
      </c>
      <c r="F280" s="198">
        <v>13324</v>
      </c>
      <c r="G280" s="198">
        <v>15936</v>
      </c>
      <c r="H280" s="198">
        <v>16793</v>
      </c>
    </row>
    <row r="281" spans="2:18" outlineLevel="1">
      <c r="B281" s="1"/>
      <c r="C281" s="1"/>
    </row>
    <row r="282" spans="2:18" outlineLevel="1">
      <c r="B282" s="1"/>
      <c r="C282" s="1"/>
    </row>
    <row r="283" spans="2:18" outlineLevel="1">
      <c r="B283" s="197" t="s">
        <v>93</v>
      </c>
      <c r="C283" s="194">
        <f>$D$259-1</f>
        <v>2018</v>
      </c>
      <c r="D283" s="198">
        <v>44193</v>
      </c>
      <c r="E283" s="198">
        <v>44537</v>
      </c>
      <c r="F283" s="198">
        <v>46515</v>
      </c>
      <c r="G283" s="198">
        <v>47065</v>
      </c>
      <c r="H283" s="198">
        <v>44484</v>
      </c>
    </row>
    <row r="284" spans="2:18" outlineLevel="1">
      <c r="B284" s="10" t="s">
        <v>251</v>
      </c>
      <c r="C284" s="198">
        <v>1374</v>
      </c>
      <c r="D284" s="198">
        <v>1000</v>
      </c>
      <c r="E284" s="198">
        <v>770</v>
      </c>
      <c r="F284" s="198">
        <v>488</v>
      </c>
      <c r="G284" s="198">
        <v>472</v>
      </c>
      <c r="H284" s="198">
        <v>341</v>
      </c>
    </row>
    <row r="285" spans="2:18" outlineLevel="1"/>
    <row r="286" spans="2:18" outlineLevel="1"/>
    <row r="287" spans="2:18" outlineLevel="1">
      <c r="B287" s="197" t="s">
        <v>58</v>
      </c>
      <c r="D287" s="154">
        <v>9782</v>
      </c>
      <c r="E287" s="154">
        <v>9014</v>
      </c>
      <c r="F287" s="154">
        <v>9912</v>
      </c>
      <c r="G287" s="154">
        <v>10941</v>
      </c>
      <c r="H287" s="154">
        <v>5266</v>
      </c>
    </row>
    <row r="288" spans="2:18" outlineLevel="1"/>
    <row r="289" spans="2:18" outlineLevel="1"/>
    <row r="290" spans="2:18" outlineLevel="1">
      <c r="B290" s="197" t="s">
        <v>95</v>
      </c>
      <c r="D290" s="154">
        <v>5396</v>
      </c>
      <c r="E290" s="154">
        <v>4158</v>
      </c>
      <c r="F290" s="154">
        <v>7771</v>
      </c>
      <c r="G290" s="154">
        <v>8128</v>
      </c>
      <c r="H290" s="154">
        <v>6582</v>
      </c>
    </row>
    <row r="291" spans="2:18" outlineLevel="1"/>
    <row r="292" spans="2:18" outlineLevel="1"/>
    <row r="293" spans="2:18" outlineLevel="1">
      <c r="B293" s="197" t="s">
        <v>96</v>
      </c>
      <c r="D293" s="154">
        <v>832</v>
      </c>
      <c r="E293" s="154">
        <v>807</v>
      </c>
      <c r="F293" s="154">
        <v>546</v>
      </c>
      <c r="G293" s="154">
        <v>1232</v>
      </c>
      <c r="H293" s="154">
        <v>5587</v>
      </c>
    </row>
    <row r="294" spans="2:18" outlineLevel="1"/>
    <row r="295" spans="2:18" outlineLevel="1"/>
    <row r="296" spans="2:18" outlineLevel="1">
      <c r="B296" s="197" t="s">
        <v>99</v>
      </c>
      <c r="D296" s="154">
        <v>60350</v>
      </c>
      <c r="E296" s="154">
        <v>63500</v>
      </c>
      <c r="F296" s="154">
        <v>68573</v>
      </c>
      <c r="G296" s="154">
        <v>73616</v>
      </c>
      <c r="H296" s="154">
        <v>75367</v>
      </c>
      <c r="I296" s="41"/>
    </row>
    <row r="297" spans="2:18" outlineLevel="1"/>
    <row r="298" spans="2:18" outlineLevel="1"/>
    <row r="299" spans="2:18" outlineLevel="1">
      <c r="B299" s="197" t="s">
        <v>100</v>
      </c>
      <c r="C299" s="194">
        <f>$D$259-1</f>
        <v>2018</v>
      </c>
      <c r="D299" s="154">
        <v>17502</v>
      </c>
      <c r="E299" s="154">
        <v>18434</v>
      </c>
      <c r="F299" s="154">
        <v>18694</v>
      </c>
      <c r="G299" s="154">
        <v>22293</v>
      </c>
      <c r="H299" s="154">
        <v>23032</v>
      </c>
    </row>
    <row r="300" spans="2:18" outlineLevel="1">
      <c r="B300" s="10" t="s">
        <v>252</v>
      </c>
      <c r="C300" s="198">
        <v>9454</v>
      </c>
      <c r="D300" s="198">
        <v>9867</v>
      </c>
      <c r="E300" s="198">
        <v>10332</v>
      </c>
      <c r="F300" s="198">
        <v>11689</v>
      </c>
      <c r="G300" s="198">
        <v>13781</v>
      </c>
      <c r="H300" s="198">
        <v>15031</v>
      </c>
    </row>
    <row r="301" spans="2:18" outlineLevel="1">
      <c r="B301" s="10" t="s">
        <v>253</v>
      </c>
      <c r="C301" s="178">
        <f>C300-C284</f>
        <v>8080</v>
      </c>
      <c r="D301" s="178">
        <f>D300-D284</f>
        <v>8867</v>
      </c>
      <c r="E301" s="178">
        <f t="shared" ref="E301:H301" si="40">E300-E284</f>
        <v>9562</v>
      </c>
      <c r="F301" s="178">
        <f t="shared" si="40"/>
        <v>11201</v>
      </c>
      <c r="G301" s="178">
        <f t="shared" si="40"/>
        <v>13309</v>
      </c>
      <c r="H301" s="178">
        <f t="shared" si="40"/>
        <v>14690</v>
      </c>
    </row>
    <row r="302" spans="2:18" outlineLevel="1">
      <c r="B302" s="10" t="str">
        <f>"Net Change in "&amp;B301</f>
        <v>Net Change in Net Long Term Deferred Tax Liabilities</v>
      </c>
      <c r="D302" s="178">
        <f>D301-C301</f>
        <v>787</v>
      </c>
      <c r="E302" s="178">
        <f t="shared" ref="E302" si="41">E301-D301</f>
        <v>695</v>
      </c>
      <c r="F302" s="178">
        <f t="shared" ref="F302" si="42">F301-E301</f>
        <v>1639</v>
      </c>
      <c r="G302" s="178">
        <f t="shared" ref="G302" si="43">G301-F301</f>
        <v>2108</v>
      </c>
      <c r="H302" s="178">
        <f t="shared" ref="H302" si="44">H301-G301</f>
        <v>1381</v>
      </c>
    </row>
    <row r="303" spans="2:18" outlineLevel="1">
      <c r="B303" s="10" t="str">
        <f>B302&amp;" as a % of "&amp;$B$117</f>
        <v>Net Change in Net Long Term Deferred Tax Liabilities as a % of Revenue</v>
      </c>
      <c r="D303" s="176">
        <f>IFERROR(D302/D$117,0)</f>
        <v>1.5718308733947153E-2</v>
      </c>
      <c r="E303" s="176">
        <f>IFERROR(E302/E$117,0)</f>
        <v>1.7780847852227083E-2</v>
      </c>
      <c r="F303" s="176">
        <f>IFERROR(F302/F$117,0)</f>
        <v>3.4819740392173525E-2</v>
      </c>
      <c r="G303" s="176">
        <f>IFERROR(G302/G$117,0)</f>
        <v>3.9543041512690162E-2</v>
      </c>
      <c r="H303" s="176">
        <f>IFERROR(H302/H$117,0)</f>
        <v>3.1638754610643999E-2</v>
      </c>
      <c r="I303" s="177">
        <f>IF(I$113="",0,AVERAGE(D303:H303))</f>
        <v>2.7900138620336384E-2</v>
      </c>
      <c r="J303" s="177">
        <f t="shared" ref="J303:R303" si="45">IF(J$113="",0,AVERAGE(E303:I303))</f>
        <v>3.0336504597614233E-2</v>
      </c>
      <c r="K303" s="177">
        <f t="shared" si="45"/>
        <v>3.2847635946691656E-2</v>
      </c>
      <c r="L303" s="177">
        <f t="shared" si="45"/>
        <v>3.2453215057595283E-2</v>
      </c>
      <c r="M303" s="177">
        <f t="shared" si="45"/>
        <v>3.103524976657631E-2</v>
      </c>
      <c r="N303" s="177">
        <f t="shared" si="45"/>
        <v>0</v>
      </c>
      <c r="O303" s="177">
        <f t="shared" si="45"/>
        <v>0</v>
      </c>
      <c r="P303" s="177">
        <f t="shared" si="45"/>
        <v>0</v>
      </c>
      <c r="Q303" s="177">
        <f t="shared" si="45"/>
        <v>0</v>
      </c>
      <c r="R303" s="177">
        <f t="shared" si="45"/>
        <v>0</v>
      </c>
    </row>
    <row r="304" spans="2:18" outlineLevel="1"/>
    <row r="305" spans="2:18" outlineLevel="1">
      <c r="B305" s="197" t="s">
        <v>102</v>
      </c>
      <c r="D305" s="154">
        <v>7747</v>
      </c>
      <c r="E305" s="154">
        <v>7747</v>
      </c>
      <c r="F305" s="154">
        <v>7747</v>
      </c>
      <c r="G305" s="154">
        <v>6818</v>
      </c>
      <c r="H305" s="154">
        <v>6818</v>
      </c>
    </row>
    <row r="306" spans="2:18" outlineLevel="1">
      <c r="B306" s="1"/>
      <c r="C306" s="1"/>
    </row>
    <row r="307" spans="2:18" outlineLevel="1">
      <c r="B307" s="1"/>
      <c r="C307" s="1"/>
    </row>
    <row r="308" spans="2:18" outlineLevel="1">
      <c r="B308" s="197" t="s">
        <v>103</v>
      </c>
      <c r="D308" s="154">
        <v>64993</v>
      </c>
      <c r="E308" s="154">
        <v>65045</v>
      </c>
      <c r="F308" s="154">
        <v>65164</v>
      </c>
      <c r="G308" s="154">
        <v>65035</v>
      </c>
      <c r="H308" s="154">
        <v>69448</v>
      </c>
    </row>
    <row r="309" spans="2:18" outlineLevel="1"/>
    <row r="310" spans="2:18" outlineLevel="1"/>
    <row r="311" spans="2:18" outlineLevel="1">
      <c r="B311" s="197" t="s">
        <v>105</v>
      </c>
      <c r="D311" s="154">
        <v>-6314</v>
      </c>
      <c r="E311" s="154">
        <v>-9995</v>
      </c>
      <c r="F311" s="154">
        <v>-10989</v>
      </c>
      <c r="G311" s="154">
        <v>-15486</v>
      </c>
      <c r="H311" s="154">
        <v>-17115</v>
      </c>
    </row>
    <row r="312" spans="2:18" outlineLevel="1">
      <c r="D312" s="10"/>
      <c r="E312" s="42"/>
      <c r="F312" s="42"/>
      <c r="G312" s="42"/>
      <c r="H312" s="42"/>
      <c r="I312" s="42"/>
      <c r="J312" s="42"/>
      <c r="K312" s="42"/>
      <c r="L312" s="42"/>
      <c r="M312" s="42"/>
      <c r="N312" s="42"/>
      <c r="O312" s="42"/>
      <c r="P312" s="42"/>
      <c r="Q312" s="42"/>
      <c r="R312" s="42"/>
    </row>
    <row r="313" spans="2:18" outlineLevel="1"/>
    <row r="314" spans="2:18" outlineLevel="1">
      <c r="B314" s="197" t="s">
        <v>106</v>
      </c>
      <c r="D314" s="154">
        <v>-323</v>
      </c>
      <c r="E314" s="154">
        <v>-1430</v>
      </c>
      <c r="F314" s="154">
        <v>-1096</v>
      </c>
      <c r="G314" s="154">
        <v>3520</v>
      </c>
      <c r="H314" s="154">
        <v>2303</v>
      </c>
    </row>
    <row r="315" spans="2:18" outlineLevel="1">
      <c r="D315" s="176"/>
      <c r="E315" s="176"/>
      <c r="F315" s="176"/>
      <c r="G315" s="176"/>
      <c r="H315" s="176"/>
    </row>
    <row r="316" spans="2:18" outlineLevel="1"/>
    <row r="317" spans="2:18" outlineLevel="1">
      <c r="B317" s="197" t="s">
        <v>107</v>
      </c>
      <c r="D317" s="154">
        <v>3364</v>
      </c>
      <c r="E317" s="154">
        <v>2996</v>
      </c>
      <c r="F317" s="154">
        <v>2542</v>
      </c>
      <c r="G317" s="154">
        <v>3511</v>
      </c>
      <c r="H317" s="154">
        <v>3029</v>
      </c>
    </row>
    <row r="318" spans="2:18" outlineLevel="1"/>
    <row r="319" spans="2:18" outlineLevel="1"/>
    <row r="320" spans="2:18" outlineLevel="1">
      <c r="B320" s="197" t="s">
        <v>104</v>
      </c>
      <c r="D320" s="154">
        <v>0</v>
      </c>
      <c r="E320" s="154">
        <v>0</v>
      </c>
      <c r="F320" s="154">
        <v>0</v>
      </c>
      <c r="G320" s="154">
        <v>0</v>
      </c>
      <c r="H320" s="154">
        <v>0</v>
      </c>
    </row>
    <row r="321" spans="1:3" outlineLevel="1"/>
    <row r="322" spans="1:3" outlineLevel="1"/>
    <row r="323" spans="1:3" outlineLevel="1"/>
    <row r="324" spans="1:3" outlineLevel="1">
      <c r="B324" s="1"/>
    </row>
    <row r="325" spans="1:3" outlineLevel="1">
      <c r="B325" s="1"/>
    </row>
    <row r="326" spans="1:3" outlineLevel="1">
      <c r="B326" s="1"/>
    </row>
    <row r="327" spans="1:3">
      <c r="B327" s="1"/>
    </row>
    <row r="328" spans="1:3">
      <c r="A328" s="62" t="s">
        <v>114</v>
      </c>
      <c r="B328" s="1"/>
      <c r="C328" s="1"/>
    </row>
  </sheetData>
  <dataValidations count="5">
    <dataValidation type="list" allowBlank="1" showInputMessage="1" showErrorMessage="1" sqref="C48" xr:uid="{6200C4AA-A8F0-49DB-AB8D-5C1963A98483}">
      <formula1>$D$48:$E$48</formula1>
    </dataValidation>
    <dataValidation type="list" allowBlank="1" showInputMessage="1" showErrorMessage="1" sqref="C115" xr:uid="{B706854D-F2EF-4566-9CEA-CFD98126925F}">
      <formula1>$D$115:$G$115</formula1>
    </dataValidation>
    <dataValidation type="list" allowBlank="1" showInputMessage="1" showErrorMessage="1" sqref="C139" xr:uid="{50B3C7D8-EC29-4779-B91E-109B298FBCB5}">
      <formula1>$D140:$E140</formula1>
    </dataValidation>
    <dataValidation type="list" allowBlank="1" showInputMessage="1" showErrorMessage="1" sqref="C154" xr:uid="{3D57ED9E-EE7C-4813-BEAF-1C1859632F21}">
      <formula1>$E$22:$E$22</formula1>
    </dataValidation>
    <dataValidation type="list" allowBlank="1" showInputMessage="1" showErrorMessage="1" sqref="C21" xr:uid="{3267383C-F7C9-4559-A5F2-CD662E422363}">
      <formula1>$D$21:$H$21</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63AA2-971B-413C-8623-04F7D2050AC2}">
  <sheetPr>
    <tabColor rgb="FF92D050"/>
  </sheetPr>
  <dimension ref="A1:R70"/>
  <sheetViews>
    <sheetView zoomScale="85" zoomScaleNormal="100" workbookViewId="0">
      <pane xSplit="1" ySplit="4" topLeftCell="B5" activePane="bottomRight" state="frozen"/>
      <selection pane="topRight" activeCell="B1" sqref="B1"/>
      <selection pane="bottomLeft" activeCell="A3" sqref="A3"/>
      <selection pane="bottomRight" activeCell="C20" sqref="C20"/>
    </sheetView>
  </sheetViews>
  <sheetFormatPr baseColWidth="10" defaultColWidth="8.6640625" defaultRowHeight="11"/>
  <cols>
    <col min="1" max="1" width="4" style="1" bestFit="1" customWidth="1"/>
    <col min="2" max="2" width="31.1640625" style="1" bestFit="1" customWidth="1"/>
    <col min="3" max="3" width="9.6640625" style="1" bestFit="1" customWidth="1"/>
    <col min="4" max="4" width="2.1640625" style="1" customWidth="1"/>
    <col min="5" max="5" width="31.1640625" style="1" bestFit="1" customWidth="1"/>
    <col min="6" max="6" width="9.6640625" style="1" bestFit="1" customWidth="1"/>
    <col min="7" max="7" width="2.1640625" style="1" customWidth="1"/>
    <col min="8" max="8" width="31.1640625" style="1" bestFit="1" customWidth="1"/>
    <col min="9" max="9" width="9.1640625" style="1" bestFit="1" customWidth="1"/>
    <col min="10" max="18" width="8.6640625" style="1" customWidth="1"/>
    <col min="19" max="16384" width="8.6640625" style="1"/>
  </cols>
  <sheetData>
    <row r="1" spans="1:18">
      <c r="B1" s="234" t="str">
        <f>H4</f>
        <v>Unlevered Discounted Cash Flow (FCFF) Analysis</v>
      </c>
      <c r="C1" s="234"/>
      <c r="D1" s="234"/>
      <c r="E1" s="234"/>
      <c r="F1" s="234"/>
      <c r="G1" s="234"/>
      <c r="H1" s="234"/>
      <c r="I1" s="234"/>
      <c r="J1" s="234"/>
      <c r="K1" s="234"/>
      <c r="L1" s="234"/>
      <c r="M1" s="234"/>
      <c r="N1" s="234"/>
      <c r="O1" s="234"/>
      <c r="P1" s="234"/>
      <c r="Q1" s="234"/>
      <c r="R1" s="234"/>
    </row>
    <row r="2" spans="1:18">
      <c r="B2" s="234"/>
      <c r="C2" s="234"/>
      <c r="D2" s="234"/>
      <c r="E2" s="234"/>
      <c r="F2" s="234"/>
      <c r="G2" s="234"/>
      <c r="H2" s="234"/>
      <c r="I2" s="234"/>
      <c r="J2" s="234"/>
      <c r="K2" s="234"/>
      <c r="L2" s="234"/>
      <c r="M2" s="234"/>
      <c r="N2" s="234"/>
      <c r="O2" s="234"/>
      <c r="P2" s="234"/>
      <c r="Q2" s="234"/>
      <c r="R2" s="234"/>
    </row>
    <row r="4" spans="1:18" s="10" customFormat="1">
      <c r="B4" s="30" t="s">
        <v>179</v>
      </c>
      <c r="C4" s="30"/>
      <c r="D4" s="57"/>
      <c r="E4" s="30" t="s">
        <v>185</v>
      </c>
      <c r="F4" s="30"/>
      <c r="G4" s="57"/>
      <c r="H4" s="56" t="s">
        <v>264</v>
      </c>
      <c r="I4" s="56"/>
      <c r="J4" s="56"/>
      <c r="K4" s="56"/>
      <c r="L4" s="56"/>
      <c r="M4" s="56"/>
      <c r="N4" s="56"/>
      <c r="O4" s="56"/>
      <c r="P4" s="56"/>
      <c r="Q4" s="56"/>
      <c r="R4" s="56"/>
    </row>
    <row r="5" spans="1:18">
      <c r="A5" s="231" t="s">
        <v>3</v>
      </c>
      <c r="B5" s="61" t="str">
        <f>_xlfn.TEXTBEFORE(B$4," - ")&amp;" - "&amp;$A5</f>
        <v>Perpetuity Growth Method - Base</v>
      </c>
      <c r="C5" s="61"/>
      <c r="E5" s="61" t="str">
        <f>_xlfn.TEXTBEFORE(E$4," - ")&amp;" - "&amp;$A5</f>
        <v>EBITDA Multiple Method - Base</v>
      </c>
      <c r="F5" s="61"/>
      <c r="H5" s="14" t="str">
        <f>Assumptions!$B$113</f>
        <v>Year Ending December 31, In CAD Millions</v>
      </c>
      <c r="I5" s="60" cm="1">
        <f t="array" ref="I5:M5">_xlfn.SEQUENCE(1,Assumptions!$C$21,(YEAR(Assumptions!$C$20)))</f>
        <v>2024</v>
      </c>
      <c r="J5" s="60">
        <v>2025</v>
      </c>
      <c r="K5" s="60">
        <v>2026</v>
      </c>
      <c r="L5" s="60">
        <v>2027</v>
      </c>
      <c r="M5" s="60">
        <v>2028</v>
      </c>
      <c r="N5" s="60"/>
      <c r="O5" s="60"/>
      <c r="P5" s="60"/>
      <c r="Q5" s="60"/>
      <c r="R5" s="60"/>
    </row>
    <row r="6" spans="1:18">
      <c r="A6" s="231"/>
      <c r="B6" s="55" t="str">
        <f>"Free Cash Flow at Year "&amp;COUNTA($I5:$R5)</f>
        <v>Free Cash Flow at Year 5</v>
      </c>
      <c r="C6" s="76" cm="1">
        <f t="array" ref="C6">LOOKUP(2,1/($I17:$R17&lt;&gt;""),$I17:$R17)</f>
        <v>9432.6594103508469</v>
      </c>
      <c r="E6" s="55" t="str">
        <f>"Terminal EBITDA at Year  "&amp;COUNTA($I5:$R5)</f>
        <v>Terminal EBITDA at Year  5</v>
      </c>
      <c r="F6" s="76" cm="1">
        <f t="array" ref="F6">LOOKUP(2,1/($I6:$R6&lt;&gt;""),$I6:$R6)</f>
        <v>13997.668116972311</v>
      </c>
      <c r="H6" s="10" t="s">
        <v>49</v>
      </c>
      <c r="I6" s="13">
        <f>IF(I5="","",'Income Statement'!H$53)</f>
        <v>12436.746822952291</v>
      </c>
      <c r="J6" s="13">
        <f>IF(J5="","",'Income Statement'!I$53)</f>
        <v>12809.849227640858</v>
      </c>
      <c r="K6" s="13">
        <f>IF(K5="","",'Income Statement'!J$53)</f>
        <v>13194.144704470084</v>
      </c>
      <c r="L6" s="13">
        <f>IF(L5="","",'Income Statement'!K$53)</f>
        <v>13589.969045604186</v>
      </c>
      <c r="M6" s="13">
        <f>IF(M5="","",'Income Statement'!L$53)</f>
        <v>13997.668116972311</v>
      </c>
      <c r="N6" s="13" t="str">
        <f>IF(N5="","",'Income Statement'!M$53)</f>
        <v/>
      </c>
      <c r="O6" s="13" t="str">
        <f>IF(O5="","",'Income Statement'!N$53)</f>
        <v/>
      </c>
      <c r="P6" s="13" t="str">
        <f>IF(P5="","",'Income Statement'!O$53)</f>
        <v/>
      </c>
      <c r="Q6" s="13" t="str">
        <f>IF(Q5="","",'Income Statement'!P$53)</f>
        <v/>
      </c>
      <c r="R6" s="13" t="str">
        <f>IF(R5="","",'Income Statement'!Q$53)</f>
        <v/>
      </c>
    </row>
    <row r="7" spans="1:18">
      <c r="A7" s="231"/>
      <c r="B7" s="48" t="s">
        <v>153</v>
      </c>
      <c r="C7" s="50">
        <f>Assumptions!$C$104</f>
        <v>9.4116019383105459E-2</v>
      </c>
      <c r="E7" s="48" t="s">
        <v>153</v>
      </c>
      <c r="F7" s="50">
        <f>Assumptions!$C$104</f>
        <v>9.4116019383105459E-2</v>
      </c>
      <c r="I7" s="12"/>
      <c r="J7" s="12"/>
      <c r="K7" s="12"/>
      <c r="L7" s="12"/>
      <c r="M7" s="12"/>
      <c r="N7" s="12"/>
      <c r="O7" s="12"/>
      <c r="P7" s="12"/>
      <c r="Q7" s="12"/>
      <c r="R7" s="12"/>
    </row>
    <row r="8" spans="1:18">
      <c r="A8" s="231"/>
      <c r="B8" s="48" t="s">
        <v>154</v>
      </c>
      <c r="C8" s="50">
        <f>Assumptions!$C$114</f>
        <v>0.03</v>
      </c>
      <c r="E8" s="48" t="s">
        <v>187</v>
      </c>
      <c r="F8" s="67">
        <f>Assumptions!$C$22</f>
        <v>16.64</v>
      </c>
      <c r="H8" s="52" t="s">
        <v>183</v>
      </c>
      <c r="I8" s="77">
        <f>IF(I5="","",'Income Statement'!H$60)</f>
        <v>7074.4246467897465</v>
      </c>
      <c r="J8" s="77">
        <f>IF(J5="","",'Income Statement'!I$60)</f>
        <v>7266.7599056926165</v>
      </c>
      <c r="K8" s="77">
        <f>IF(K5="","",'Income Statement'!J$60)</f>
        <v>7464.6644682930701</v>
      </c>
      <c r="L8" s="77">
        <f>IF(L5="","",'Income Statement'!K$60)</f>
        <v>7657.5807360604349</v>
      </c>
      <c r="M8" s="77">
        <f>IF(M5="","",'Income Statement'!L$60)</f>
        <v>7866.0878388429201</v>
      </c>
      <c r="N8" s="77" t="str">
        <f>IF(N5="","",'Income Statement'!M$60)</f>
        <v/>
      </c>
      <c r="O8" s="77" t="str">
        <f>IF(O5="","",'Income Statement'!N$60)</f>
        <v/>
      </c>
      <c r="P8" s="77" t="str">
        <f>IF(P5="","",'Income Statement'!O$60)</f>
        <v/>
      </c>
      <c r="Q8" s="77" t="str">
        <f>IF(Q5="","",'Income Statement'!P$60)</f>
        <v/>
      </c>
      <c r="R8" s="77" t="str">
        <f>IF(R5="","",'Income Statement'!Q$60)</f>
        <v/>
      </c>
    </row>
    <row r="9" spans="1:18">
      <c r="A9" s="231"/>
      <c r="B9" s="53" t="str">
        <f>+"Perpetuity Value at Year "&amp;COUNTA($I5:$R5)&amp;" ~ Terminal Value"</f>
        <v>Perpetuity Value at Year 5 ~ Terminal Value</v>
      </c>
      <c r="C9" s="74">
        <f>(C6*(1+C8))/(C7-C8)</f>
        <v>151532.16444409272</v>
      </c>
      <c r="E9" s="53" t="str">
        <f>+"Perpetuity Value at Year "&amp;COUNTA($I5:$R5)&amp;" ~ Terminal Value"</f>
        <v>Perpetuity Value at Year 5 ~ Terminal Value</v>
      </c>
      <c r="F9" s="74">
        <f>+F6*F8</f>
        <v>232921.19746641925</v>
      </c>
    </row>
    <row r="10" spans="1:18">
      <c r="A10" s="231"/>
      <c r="C10" s="12"/>
      <c r="F10" s="12"/>
      <c r="H10" s="58" t="s">
        <v>25</v>
      </c>
      <c r="I10" s="77">
        <f>IF(I5="","",'Income Statement'!H$44)</f>
        <v>5465.6347920520402</v>
      </c>
      <c r="J10" s="77">
        <f>IF(J5="","",'Income Statement'!I$44)</f>
        <v>5629.6038358136011</v>
      </c>
      <c r="K10" s="77">
        <f>IF(K5="","",'Income Statement'!J$44)</f>
        <v>5798.4919508880084</v>
      </c>
      <c r="L10" s="77">
        <f>IF(L5="","",'Income Statement'!K$44)</f>
        <v>5972.4467094146485</v>
      </c>
      <c r="M10" s="77">
        <f>IF(M5="","",'Income Statement'!L$44)</f>
        <v>6151.6201106970884</v>
      </c>
      <c r="N10" s="77" t="str">
        <f>IF(N5="","",'Income Statement'!M$44)</f>
        <v/>
      </c>
      <c r="O10" s="77" t="str">
        <f>IF(O5="","",'Income Statement'!N$44)</f>
        <v/>
      </c>
      <c r="P10" s="77" t="str">
        <f>IF(P5="","",'Income Statement'!O$44)</f>
        <v/>
      </c>
      <c r="Q10" s="77" t="str">
        <f>IF(Q5="","",'Income Statement'!P$44)</f>
        <v/>
      </c>
      <c r="R10" s="77" t="str">
        <f>IF(R5="","",'Income Statement'!Q$44)</f>
        <v/>
      </c>
    </row>
    <row r="11" spans="1:18">
      <c r="A11" s="231"/>
      <c r="B11" s="52" t="s">
        <v>155</v>
      </c>
      <c r="C11" s="76">
        <f>C9/(1+C7)^COUNTA($I5:$R5)</f>
        <v>96646.903220927299</v>
      </c>
      <c r="E11" s="52" t="s">
        <v>155</v>
      </c>
      <c r="F11" s="76">
        <f>F9/(1+F7)^COUNTA($I5:$R5)</f>
        <v>148556.66130173253</v>
      </c>
      <c r="H11" s="58" t="s">
        <v>32</v>
      </c>
      <c r="I11" s="77">
        <f>IF(I5="","",'Income Statement'!H$47)</f>
        <v>4063.2633229502667</v>
      </c>
      <c r="J11" s="77">
        <f>IF(J5="","",'Income Statement'!I$47)</f>
        <v>4185.1612226387742</v>
      </c>
      <c r="K11" s="77">
        <f>IF(K5="","",'Income Statement'!J$47)</f>
        <v>4310.7160593179369</v>
      </c>
      <c r="L11" s="77">
        <f>IF(L5="","",'Income Statement'!K$47)</f>
        <v>4440.0375410974748</v>
      </c>
      <c r="M11" s="77">
        <f>IF(M5="","",'Income Statement'!L$47)</f>
        <v>4573.2386673303999</v>
      </c>
      <c r="N11" s="77" t="str">
        <f>IF(N5="","",'Income Statement'!M$47)</f>
        <v/>
      </c>
      <c r="O11" s="77" t="str">
        <f>IF(O5="","",'Income Statement'!N$47)</f>
        <v/>
      </c>
      <c r="P11" s="77" t="str">
        <f>IF(P5="","",'Income Statement'!O$47)</f>
        <v/>
      </c>
      <c r="Q11" s="77" t="str">
        <f>IF(Q5="","",'Income Statement'!P$47)</f>
        <v/>
      </c>
      <c r="R11" s="77" t="str">
        <f>IF(R5="","",'Income Statement'!Q$47)</f>
        <v/>
      </c>
    </row>
    <row r="12" spans="1:18">
      <c r="A12" s="231"/>
      <c r="B12" s="75" t="s">
        <v>180</v>
      </c>
      <c r="C12" s="77">
        <f>SUM($I20:$R20)</f>
        <v>41682.88188061252</v>
      </c>
      <c r="E12" s="75" t="s">
        <v>180</v>
      </c>
      <c r="F12" s="77">
        <f>SUM($I20:$R20)</f>
        <v>41682.88188061252</v>
      </c>
      <c r="H12" s="58" t="s">
        <v>260</v>
      </c>
      <c r="I12" s="77">
        <f>IF(I5="","",'Balance Sheet'!H$47-'Balance Sheet'!G$47)</f>
        <v>-10235.955508291974</v>
      </c>
      <c r="J12" s="77">
        <f>IF(J5="","",'Balance Sheet'!I$47-'Balance Sheet'!H$47)</f>
        <v>-1457.62159008655</v>
      </c>
      <c r="K12" s="77">
        <f>IF(K5="","",'Balance Sheet'!J$47-'Balance Sheet'!I$47)</f>
        <v>-1562.015424737765</v>
      </c>
      <c r="L12" s="77">
        <f>IF(L5="","",'Balance Sheet'!K$47-'Balance Sheet'!J$47)</f>
        <v>-554.30257137445369</v>
      </c>
      <c r="M12" s="77">
        <f>IF(M5="","",'Balance Sheet'!L$47-'Balance Sheet'!K$47)</f>
        <v>-1574.5335598624442</v>
      </c>
      <c r="N12" s="77" t="str">
        <f>IF(N5="","",'Balance Sheet'!M$47-'Balance Sheet'!L$47)</f>
        <v/>
      </c>
      <c r="O12" s="77" t="str">
        <f>IF(O5="","",'Balance Sheet'!N$47-'Balance Sheet'!M$47)</f>
        <v/>
      </c>
      <c r="P12" s="77" t="str">
        <f>IF(P5="","",'Balance Sheet'!O$47-'Balance Sheet'!N$47)</f>
        <v/>
      </c>
      <c r="Q12" s="77" t="str">
        <f>IF(Q5="","",'Balance Sheet'!P$47-'Balance Sheet'!O$47)</f>
        <v/>
      </c>
      <c r="R12" s="77" t="str">
        <f>IF(R5="","",'Balance Sheet'!Q$47-'Balance Sheet'!P$47)</f>
        <v/>
      </c>
    </row>
    <row r="13" spans="1:18">
      <c r="A13" s="231"/>
      <c r="B13" s="49" t="s">
        <v>156</v>
      </c>
      <c r="C13" s="78">
        <f>C11+C12</f>
        <v>138329.7851015398</v>
      </c>
      <c r="E13" s="49" t="s">
        <v>156</v>
      </c>
      <c r="F13" s="78">
        <f>F11+F12</f>
        <v>190239.54318234505</v>
      </c>
      <c r="H13" s="58" t="s">
        <v>254</v>
      </c>
      <c r="I13" s="12">
        <f>IF(I5="","",Assumptions!I$303*'Income Statement'!H$4)</f>
        <v>1254.3475451582347</v>
      </c>
      <c r="J13" s="12">
        <f>IF(J5="","",Assumptions!J$303*'Income Statement'!I$4)</f>
        <v>1404.7993168124026</v>
      </c>
      <c r="K13" s="12">
        <f>IF(K5="","",Assumptions!K$303*'Income Statement'!J$4)</f>
        <v>1566.7153241068261</v>
      </c>
      <c r="L13" s="12">
        <f>IF(L5="","",Assumptions!L$303*'Income Statement'!K$4)</f>
        <v>1594.3399370560064</v>
      </c>
      <c r="M13" s="12">
        <f>IF(M5="","",Assumptions!M$303*'Income Statement'!L$4)</f>
        <v>1570.4194550121701</v>
      </c>
      <c r="N13" s="12" t="str">
        <f>IF(N5="","",Assumptions!N$303*'Income Statement'!M$4)</f>
        <v/>
      </c>
      <c r="O13" s="12" t="str">
        <f>IF(O5="","",Assumptions!O$303*'Income Statement'!N$4)</f>
        <v/>
      </c>
      <c r="P13" s="12" t="str">
        <f>IF(P5="","",Assumptions!P$303*'Income Statement'!O$4)</f>
        <v/>
      </c>
      <c r="Q13" s="12" t="str">
        <f>IF(Q5="","",Assumptions!Q$303*'Income Statement'!P$4)</f>
        <v/>
      </c>
      <c r="R13" s="12" t="str">
        <f>IF(R5="","",Assumptions!R$303*'Income Statement'!Q$4)</f>
        <v/>
      </c>
    </row>
    <row r="14" spans="1:18">
      <c r="A14" s="231"/>
      <c r="C14" s="12"/>
      <c r="F14" s="12"/>
    </row>
    <row r="15" spans="1:18">
      <c r="A15" s="231"/>
      <c r="B15" s="48" t="s">
        <v>120</v>
      </c>
      <c r="C15" s="77">
        <f>+'Balance Sheet'!$G$48</f>
        <v>80875.899999999994</v>
      </c>
      <c r="E15" s="48" t="s">
        <v>120</v>
      </c>
      <c r="F15" s="77">
        <f>+'Balance Sheet'!$G$48</f>
        <v>80875.899999999994</v>
      </c>
    </row>
    <row r="16" spans="1:18">
      <c r="A16" s="231"/>
      <c r="B16" s="48" t="s">
        <v>157</v>
      </c>
      <c r="C16" s="86">
        <f>+'Balance Sheet'!$G$37</f>
        <v>3029</v>
      </c>
      <c r="E16" s="48" t="s">
        <v>157</v>
      </c>
      <c r="F16" s="86">
        <f>+'Balance Sheet'!$G$37</f>
        <v>3029</v>
      </c>
      <c r="H16" s="58"/>
      <c r="I16" s="77"/>
      <c r="J16" s="77"/>
      <c r="K16" s="77"/>
      <c r="L16" s="77"/>
      <c r="M16" s="77"/>
      <c r="N16" s="77"/>
      <c r="O16" s="77"/>
      <c r="P16" s="77"/>
      <c r="Q16" s="77"/>
      <c r="R16" s="77"/>
    </row>
    <row r="17" spans="1:18">
      <c r="A17" s="231"/>
      <c r="B17" s="49" t="s">
        <v>158</v>
      </c>
      <c r="C17" s="78">
        <f>+C13-C15-C16</f>
        <v>54424.88510153981</v>
      </c>
      <c r="E17" s="49" t="s">
        <v>158</v>
      </c>
      <c r="F17" s="78">
        <f>+F13-F15-F16</f>
        <v>106334.64318234505</v>
      </c>
      <c r="H17" s="79" t="s">
        <v>259</v>
      </c>
      <c r="I17" s="78">
        <f t="shared" ref="I17:R17" si="0">IF(I5="","",I8-I10+I11-I12+I13)</f>
        <v>17162.356231138183</v>
      </c>
      <c r="J17" s="78">
        <f t="shared" si="0"/>
        <v>8684.7381994167426</v>
      </c>
      <c r="K17" s="78">
        <f t="shared" si="0"/>
        <v>9105.6193255675898</v>
      </c>
      <c r="L17" s="78">
        <f t="shared" si="0"/>
        <v>8273.8140761737213</v>
      </c>
      <c r="M17" s="78">
        <f t="shared" si="0"/>
        <v>9432.6594103508469</v>
      </c>
      <c r="N17" s="78" t="str">
        <f t="shared" si="0"/>
        <v/>
      </c>
      <c r="O17" s="78" t="str">
        <f t="shared" si="0"/>
        <v/>
      </c>
      <c r="P17" s="78" t="str">
        <f t="shared" si="0"/>
        <v/>
      </c>
      <c r="Q17" s="78" t="str">
        <f t="shared" si="0"/>
        <v/>
      </c>
      <c r="R17" s="78" t="str">
        <f t="shared" si="0"/>
        <v/>
      </c>
    </row>
    <row r="18" spans="1:18">
      <c r="A18" s="231"/>
    </row>
    <row r="19" spans="1:18">
      <c r="A19" s="231"/>
      <c r="B19" s="48" t="s">
        <v>159</v>
      </c>
      <c r="C19" s="86">
        <f>+Assumptions!$C$23</f>
        <v>2178</v>
      </c>
      <c r="E19" s="48" t="s">
        <v>159</v>
      </c>
      <c r="F19" s="86">
        <f>+Assumptions!$C$23</f>
        <v>2178</v>
      </c>
      <c r="H19" s="59" t="s">
        <v>178</v>
      </c>
      <c r="I19" s="89">
        <f>IF(I5="","",1/((1+$C7)^COUNTA($I5:I5)))</f>
        <v>0.91397985431547668</v>
      </c>
      <c r="J19" s="89">
        <f>IF(J5="","",1/((1+$C7)^COUNTA($I5:J5)))</f>
        <v>0.83535917409454008</v>
      </c>
      <c r="K19" s="89">
        <f>IF(K5="","",1/((1+$C7)^COUNTA($I5:K5)))</f>
        <v>0.76350145624002463</v>
      </c>
      <c r="L19" s="89">
        <f>IF(L5="","",1/((1+$C7)^COUNTA($I5:L5)))</f>
        <v>0.69782494974391207</v>
      </c>
      <c r="M19" s="89">
        <f>IF(M5="","",1/((1+$C7)^COUNTA($I5:M5)))</f>
        <v>0.63779794590464556</v>
      </c>
      <c r="N19" s="89" t="str">
        <f>IF(N5="","",1/((1+$C7)^COUNTA($I5:N5)))</f>
        <v/>
      </c>
      <c r="O19" s="89" t="str">
        <f>IF(O5="","",1/((1+$C7)^COUNTA($I5:O5)))</f>
        <v/>
      </c>
      <c r="P19" s="89" t="str">
        <f>IF(P5="","",1/((1+$C7)^COUNTA($I5:P5)))</f>
        <v/>
      </c>
      <c r="Q19" s="89" t="str">
        <f>IF(Q5="","",1/((1+$C7)^COUNTA($I5:Q5)))</f>
        <v/>
      </c>
      <c r="R19" s="89" t="str">
        <f>IF(R5="","",1/((1+$C7)^COUNTA($I5:R5)))</f>
        <v/>
      </c>
    </row>
    <row r="20" spans="1:18" ht="12" thickBot="1">
      <c r="A20" s="231"/>
      <c r="B20" s="54" t="s">
        <v>186</v>
      </c>
      <c r="C20" s="224">
        <f>+C17/C19</f>
        <v>24.988468825316719</v>
      </c>
      <c r="E20" s="54" t="s">
        <v>186</v>
      </c>
      <c r="F20" s="88">
        <f>+F17/F19</f>
        <v>48.822150221462373</v>
      </c>
      <c r="H20" s="54" t="s">
        <v>258</v>
      </c>
      <c r="I20" s="88">
        <f t="shared" ref="I20" si="1">IF(I5="","",I17*I19)</f>
        <v>15686.04784784599</v>
      </c>
      <c r="J20" s="88">
        <f t="shared" ref="J20:R20" si="2">IF(J5="","",J17*J19)</f>
        <v>7254.8757294920733</v>
      </c>
      <c r="K20" s="88">
        <f t="shared" si="2"/>
        <v>6952.1536150381662</v>
      </c>
      <c r="L20" s="88">
        <f t="shared" si="2"/>
        <v>5773.6738918963993</v>
      </c>
      <c r="M20" s="88">
        <f t="shared" si="2"/>
        <v>6016.1307963398949</v>
      </c>
      <c r="N20" s="88" t="str">
        <f t="shared" si="2"/>
        <v/>
      </c>
      <c r="O20" s="88" t="str">
        <f t="shared" si="2"/>
        <v/>
      </c>
      <c r="P20" s="88" t="str">
        <f t="shared" si="2"/>
        <v/>
      </c>
      <c r="Q20" s="88" t="str">
        <f t="shared" si="2"/>
        <v/>
      </c>
      <c r="R20" s="88" t="str">
        <f t="shared" si="2"/>
        <v/>
      </c>
    </row>
    <row r="21" spans="1:18" ht="12" thickTop="1"/>
    <row r="23" spans="1:18">
      <c r="A23" s="232" t="s">
        <v>2</v>
      </c>
      <c r="B23" s="61" t="str">
        <f>_xlfn.TEXTBEFORE(B$4," - ")&amp;" - "&amp;$A23</f>
        <v>Perpetuity Growth Method - Bear</v>
      </c>
      <c r="C23" s="61"/>
      <c r="E23" s="61" t="str">
        <f>_xlfn.TEXTBEFORE(E$4," - ")&amp;" - "&amp;$A23</f>
        <v>EBITDA Multiple Method - Bear</v>
      </c>
      <c r="F23" s="61"/>
      <c r="H23" s="14" t="str">
        <f>Assumptions!$B$113</f>
        <v>Year Ending December 31, In CAD Millions</v>
      </c>
      <c r="I23" s="60" cm="1">
        <f t="array" ref="I23:M23">_xlfn.SEQUENCE(1,Assumptions!$C$21,(YEAR(Assumptions!$C$20)))</f>
        <v>2024</v>
      </c>
      <c r="J23" s="60">
        <v>2025</v>
      </c>
      <c r="K23" s="60">
        <v>2026</v>
      </c>
      <c r="L23" s="60">
        <v>2027</v>
      </c>
      <c r="M23" s="60">
        <v>2028</v>
      </c>
      <c r="N23" s="60"/>
      <c r="O23" s="60"/>
      <c r="P23" s="60"/>
      <c r="Q23" s="60"/>
      <c r="R23" s="60"/>
    </row>
    <row r="24" spans="1:18">
      <c r="A24" s="232"/>
      <c r="B24" s="55" t="str">
        <f>"Free Cash Flow at Year "&amp;COUNTA($I23:$R23)</f>
        <v>Free Cash Flow at Year 5</v>
      </c>
      <c r="C24" s="76" cm="1">
        <f t="array" ref="C24">LOOKUP(2,1/(I35:R35&lt;&gt;""),I35:R35)</f>
        <v>8135.8721259675913</v>
      </c>
      <c r="E24" s="55" t="str">
        <f>"Terminal EBITDA at Year  "&amp;COUNTA($I23:$R23)</f>
        <v>Terminal EBITDA at Year  5</v>
      </c>
      <c r="F24" s="76" cm="1">
        <f t="array" ref="F24">LOOKUP(2,1/($I24:$R24&lt;&gt;""),$I24:$R24)</f>
        <v>12690.432914050578</v>
      </c>
      <c r="H24" s="10" t="s">
        <v>49</v>
      </c>
      <c r="I24" s="13">
        <f>IF(I23="","",'IS Bear'!H$53)</f>
        <v>12195.256593380402</v>
      </c>
      <c r="J24" s="13">
        <f>IF(J23="","",'IS Bear'!I$53)</f>
        <v>12317.209159314201</v>
      </c>
      <c r="K24" s="13">
        <f>IF(K23="","",'IS Bear'!J$53)</f>
        <v>12440.381250907347</v>
      </c>
      <c r="L24" s="13">
        <f>IF(L23="","",'IS Bear'!K$53)</f>
        <v>12564.785063416419</v>
      </c>
      <c r="M24" s="13">
        <f>IF(M23="","",'IS Bear'!L$53)</f>
        <v>12690.432914050578</v>
      </c>
      <c r="N24" s="13" t="str">
        <f>IF(N23="","",'IS Bear'!M$53)</f>
        <v/>
      </c>
      <c r="O24" s="13" t="str">
        <f>IF(O23="","",'IS Bear'!N$53)</f>
        <v/>
      </c>
      <c r="P24" s="13" t="str">
        <f>IF(P23="","",'IS Bear'!O$53)</f>
        <v/>
      </c>
      <c r="Q24" s="13" t="str">
        <f>IF(Q23="","",'IS Bear'!P$53)</f>
        <v/>
      </c>
      <c r="R24" s="13" t="str">
        <f>IF(R23="","",'IS Bear'!Q$53)</f>
        <v/>
      </c>
    </row>
    <row r="25" spans="1:18">
      <c r="A25" s="232"/>
      <c r="B25" s="48" t="s">
        <v>153</v>
      </c>
      <c r="C25" s="50">
        <f>Assumptions!$C$104</f>
        <v>9.4116019383105459E-2</v>
      </c>
      <c r="E25" s="48" t="s">
        <v>153</v>
      </c>
      <c r="F25" s="50">
        <f>Assumptions!$C$104</f>
        <v>9.4116019383105459E-2</v>
      </c>
      <c r="I25" s="12"/>
      <c r="J25" s="12"/>
      <c r="K25" s="12"/>
      <c r="L25" s="12"/>
      <c r="M25" s="12"/>
      <c r="N25" s="12"/>
      <c r="O25" s="12"/>
      <c r="P25" s="12"/>
      <c r="Q25" s="12"/>
      <c r="R25" s="12"/>
    </row>
    <row r="26" spans="1:18">
      <c r="A26" s="232"/>
      <c r="B26" s="48" t="s">
        <v>154</v>
      </c>
      <c r="C26" s="50">
        <f>Assumptions!$C$114</f>
        <v>0.03</v>
      </c>
      <c r="E26" s="48" t="s">
        <v>187</v>
      </c>
      <c r="F26" s="67">
        <f>Assumptions!$C$22</f>
        <v>16.64</v>
      </c>
      <c r="H26" s="52" t="s">
        <v>183</v>
      </c>
      <c r="I26" s="77">
        <f>IF(I23="","",'IS Bear'!H$60)</f>
        <v>6951.2918875967498</v>
      </c>
      <c r="J26" s="77">
        <f>IF(J23="","",'IS Bear'!I$60)</f>
        <v>7015.569076938903</v>
      </c>
      <c r="K26" s="77">
        <f>IF(K23="","",'IS Bear'!J$60)</f>
        <v>7080.3301870239729</v>
      </c>
      <c r="L26" s="77">
        <f>IF(L23="","",'IS Bear'!K$60)</f>
        <v>7134.8526214239573</v>
      </c>
      <c r="M26" s="77">
        <f>IF(M23="","",'IS Bear'!L$60)</f>
        <v>7199.5454377887536</v>
      </c>
      <c r="N26" s="77" t="str">
        <f>IF(N23="","",'IS Bear'!M$60)</f>
        <v/>
      </c>
      <c r="O26" s="77" t="str">
        <f>IF(O23="","",'IS Bear'!N$60)</f>
        <v/>
      </c>
      <c r="P26" s="77" t="str">
        <f>IF(P23="","",'IS Bear'!O$60)</f>
        <v/>
      </c>
      <c r="Q26" s="77" t="str">
        <f>IF(Q23="","",'IS Bear'!P$60)</f>
        <v/>
      </c>
      <c r="R26" s="77" t="str">
        <f>IF(R23="","",'IS Bear'!Q$60)</f>
        <v/>
      </c>
    </row>
    <row r="27" spans="1:18">
      <c r="A27" s="232"/>
      <c r="B27" s="53" t="str">
        <f>+"Perpetuity Value at Year "&amp;COUNTA($I23:$R23)&amp;" ~ Terminal Value"</f>
        <v>Perpetuity Value at Year 5 ~ Terminal Value</v>
      </c>
      <c r="C27" s="74">
        <f>(C24*(1+C26))/(C25-C26)</f>
        <v>130699.75913000506</v>
      </c>
      <c r="E27" s="53" t="str">
        <f>+"Perpetuity Value at Year "&amp;COUNTA($I23:$R23)&amp;" ~ Terminal Value"</f>
        <v>Perpetuity Value at Year 5 ~ Terminal Value</v>
      </c>
      <c r="F27" s="74">
        <f>+F24*F26</f>
        <v>211168.80368980163</v>
      </c>
    </row>
    <row r="28" spans="1:18">
      <c r="A28" s="232"/>
      <c r="C28" s="12"/>
      <c r="F28" s="12"/>
      <c r="H28" s="58" t="s">
        <v>25</v>
      </c>
      <c r="I28" s="77">
        <f>IF(I23="","",'IS Bear'!H$44)</f>
        <v>5359.5059611384077</v>
      </c>
      <c r="J28" s="77">
        <f>IF(J23="","",'IS Bear'!I$44)</f>
        <v>5413.1010207497911</v>
      </c>
      <c r="K28" s="77">
        <f>IF(K23="","",'IS Bear'!J$44)</f>
        <v>5467.2320309572888</v>
      </c>
      <c r="L28" s="77">
        <f>IF(L23="","",'IS Bear'!K$44)</f>
        <v>5521.9043512668622</v>
      </c>
      <c r="M28" s="77">
        <f>IF(M23="","",'IS Bear'!L$44)</f>
        <v>5577.1233947795308</v>
      </c>
      <c r="N28" s="77" t="str">
        <f>IF(N23="","",'IS Bear'!M$44)</f>
        <v/>
      </c>
      <c r="O28" s="77" t="str">
        <f>IF(O23="","",'IS Bear'!N$44)</f>
        <v/>
      </c>
      <c r="P28" s="77" t="str">
        <f>IF(P23="","",'IS Bear'!O$44)</f>
        <v/>
      </c>
      <c r="Q28" s="77" t="str">
        <f>IF(Q23="","",'IS Bear'!P$44)</f>
        <v/>
      </c>
      <c r="R28" s="77" t="str">
        <f>IF(R23="","",'IS Bear'!Q$44)</f>
        <v/>
      </c>
    </row>
    <row r="29" spans="1:18">
      <c r="A29" s="232"/>
      <c r="B29" s="52" t="s">
        <v>155</v>
      </c>
      <c r="C29" s="76">
        <f>C27/(1+C25)^COUNTA($I23:$R23)</f>
        <v>83360.037903349177</v>
      </c>
      <c r="E29" s="52" t="s">
        <v>155</v>
      </c>
      <c r="F29" s="76">
        <f>F27/(1+F25)^COUNTA($I23:$R23)</f>
        <v>134683.02923249683</v>
      </c>
      <c r="H29" s="58" t="s">
        <v>32</v>
      </c>
      <c r="I29" s="77">
        <f>IF(I23="","",'IS Bear'!H$47)</f>
        <v>3984.3650059997758</v>
      </c>
      <c r="J29" s="77">
        <f>IF(J23="","",'IS Bear'!I$47)</f>
        <v>4024.2086560597727</v>
      </c>
      <c r="K29" s="77">
        <f>IF(K23="","",'IS Bear'!J$47)</f>
        <v>4064.4507426203704</v>
      </c>
      <c r="L29" s="77">
        <f>IF(L23="","",'IS Bear'!K$47)</f>
        <v>4105.0952500465746</v>
      </c>
      <c r="M29" s="77">
        <f>IF(M23="","",'IS Bear'!L$47)</f>
        <v>4146.14620254704</v>
      </c>
      <c r="N29" s="77" t="str">
        <f>IF(N23="","",'IS Bear'!M$47)</f>
        <v/>
      </c>
      <c r="O29" s="77" t="str">
        <f>IF(O23="","",'IS Bear'!N$47)</f>
        <v/>
      </c>
      <c r="P29" s="77" t="str">
        <f>IF(P23="","",'IS Bear'!O$47)</f>
        <v/>
      </c>
      <c r="Q29" s="77" t="str">
        <f>IF(Q23="","",'IS Bear'!P$47)</f>
        <v/>
      </c>
      <c r="R29" s="77" t="str">
        <f>IF(R23="","",'IS Bear'!Q$47)</f>
        <v/>
      </c>
    </row>
    <row r="30" spans="1:18">
      <c r="A30" s="232"/>
      <c r="B30" s="75" t="s">
        <v>180</v>
      </c>
      <c r="C30" s="77">
        <f>SUM($I38:$R38)</f>
        <v>38895.511291275267</v>
      </c>
      <c r="E30" s="75" t="s">
        <v>180</v>
      </c>
      <c r="F30" s="77">
        <f>SUM($I38:$R38)</f>
        <v>38895.511291275267</v>
      </c>
      <c r="H30" s="58"/>
      <c r="I30" s="77"/>
      <c r="J30" s="77"/>
      <c r="K30" s="77"/>
      <c r="L30" s="77"/>
      <c r="M30" s="77"/>
      <c r="N30" s="77"/>
      <c r="O30" s="77"/>
      <c r="P30" s="77"/>
      <c r="Q30" s="77"/>
      <c r="R30" s="77"/>
    </row>
    <row r="31" spans="1:18">
      <c r="A31" s="232"/>
      <c r="B31" s="49" t="s">
        <v>156</v>
      </c>
      <c r="C31" s="78">
        <f>C29+C30</f>
        <v>122255.54919462444</v>
      </c>
      <c r="E31" s="49" t="s">
        <v>156</v>
      </c>
      <c r="F31" s="78">
        <f>F29+F30</f>
        <v>173578.5405237721</v>
      </c>
      <c r="H31" s="11"/>
      <c r="I31" s="12"/>
      <c r="J31" s="12"/>
      <c r="K31" s="12"/>
      <c r="L31" s="12"/>
      <c r="M31" s="12"/>
      <c r="N31" s="12"/>
      <c r="O31" s="12"/>
      <c r="P31" s="12"/>
      <c r="Q31" s="12"/>
      <c r="R31" s="12"/>
    </row>
    <row r="32" spans="1:18">
      <c r="A32" s="232"/>
      <c r="C32" s="12"/>
      <c r="F32" s="12"/>
      <c r="H32" s="58" t="s">
        <v>260</v>
      </c>
      <c r="I32" s="77">
        <f>IF(I23="","",'BS Bear'!H$47-'BS Bear'!G$47)</f>
        <v>-10096.987373687838</v>
      </c>
      <c r="J32" s="77">
        <f>IF(J23="","",'BS Bear'!I$47-'BS Bear'!H$47)</f>
        <v>-1202.3929379230576</v>
      </c>
      <c r="K32" s="77">
        <f>IF(K23="","",'BS Bear'!J$47-'BS Bear'!I$47)</f>
        <v>-1186.1247241151395</v>
      </c>
      <c r="L32" s="77">
        <f>IF(L23="","",'BS Bear'!K$47-'BS Bear'!J$47)</f>
        <v>-53.207108312199125</v>
      </c>
      <c r="M32" s="77">
        <f>IF(M23="","",'BS Bear'!L$47-'BS Bear'!K$47)</f>
        <v>-943.54511043539605</v>
      </c>
      <c r="N32" s="77" t="str">
        <f>IF(N23="","",'BS Bear'!M$47-'BS Bear'!L$47)</f>
        <v/>
      </c>
      <c r="O32" s="77" t="str">
        <f>IF(O23="","",'BS Bear'!N$47-'BS Bear'!M$47)</f>
        <v/>
      </c>
      <c r="P32" s="77" t="str">
        <f>IF(P23="","",'BS Bear'!O$47-'BS Bear'!N$47)</f>
        <v/>
      </c>
      <c r="Q32" s="77" t="str">
        <f>IF(Q23="","",'BS Bear'!P$47-'BS Bear'!O$47)</f>
        <v/>
      </c>
      <c r="R32" s="77" t="str">
        <f>IF(R23="","",'BS Bear'!Q$47-'BS Bear'!P$47)</f>
        <v/>
      </c>
    </row>
    <row r="33" spans="1:18">
      <c r="A33" s="232"/>
      <c r="B33" s="48" t="s">
        <v>120</v>
      </c>
      <c r="C33" s="77">
        <f>+'Balance Sheet'!$G$48</f>
        <v>80875.899999999994</v>
      </c>
      <c r="E33" s="48" t="s">
        <v>120</v>
      </c>
      <c r="F33" s="77">
        <f>+'Balance Sheet'!$G$48</f>
        <v>80875.899999999994</v>
      </c>
      <c r="H33" s="58" t="s">
        <v>254</v>
      </c>
      <c r="I33" s="12">
        <f>IF(I23="","",Assumptions!I$303*'IS Bear'!H$4)</f>
        <v>1229.9912821454534</v>
      </c>
      <c r="J33" s="12">
        <f>IF(J23="","",Assumptions!J$303*'IS Bear'!I$4)</f>
        <v>1350.773666773807</v>
      </c>
      <c r="K33" s="12">
        <f>IF(K23="","",Assumptions!K$303*'IS Bear'!J$4)</f>
        <v>1477.2110189851508</v>
      </c>
      <c r="L33" s="12">
        <f>IF(L23="","",Assumptions!L$303*'IS Bear'!K$4)</f>
        <v>1474.0680100084048</v>
      </c>
      <c r="M33" s="12">
        <f>IF(M23="","",Assumptions!M$303*'IS Bear'!L$4)</f>
        <v>1423.7587699759322</v>
      </c>
      <c r="N33" s="12" t="str">
        <f>IF(N23="","",Assumptions!N$303*'IS Bear'!M$4)</f>
        <v/>
      </c>
      <c r="O33" s="12" t="str">
        <f>IF(O23="","",Assumptions!O$303*'IS Bear'!N$4)</f>
        <v/>
      </c>
      <c r="P33" s="12" t="str">
        <f>IF(P23="","",Assumptions!P$303*'IS Bear'!O$4)</f>
        <v/>
      </c>
      <c r="Q33" s="12" t="str">
        <f>IF(Q23="","",Assumptions!Q$303*'IS Bear'!P$4)</f>
        <v/>
      </c>
      <c r="R33" s="12" t="str">
        <f>IF(R23="","",Assumptions!R$303*'IS Bear'!Q$4)</f>
        <v/>
      </c>
    </row>
    <row r="34" spans="1:18">
      <c r="A34" s="232"/>
      <c r="B34" s="48" t="s">
        <v>157</v>
      </c>
      <c r="C34" s="86">
        <f>+'Balance Sheet'!$G$37</f>
        <v>3029</v>
      </c>
      <c r="E34" s="48" t="s">
        <v>157</v>
      </c>
      <c r="F34" s="86">
        <f>+'Balance Sheet'!$G$37</f>
        <v>3029</v>
      </c>
      <c r="H34" s="58"/>
      <c r="I34" s="77"/>
      <c r="J34" s="77"/>
      <c r="K34" s="77"/>
      <c r="L34" s="77"/>
      <c r="M34" s="77"/>
      <c r="N34" s="77"/>
      <c r="O34" s="77"/>
      <c r="P34" s="77"/>
      <c r="Q34" s="77"/>
      <c r="R34" s="77"/>
    </row>
    <row r="35" spans="1:18">
      <c r="A35" s="232"/>
      <c r="B35" s="49" t="s">
        <v>158</v>
      </c>
      <c r="C35" s="78">
        <f>+C31-C33-C34</f>
        <v>38350.64919462445</v>
      </c>
      <c r="E35" s="49" t="s">
        <v>158</v>
      </c>
      <c r="F35" s="78">
        <f>+F31-F33-F34</f>
        <v>89673.640523772105</v>
      </c>
      <c r="H35" s="79" t="s">
        <v>259</v>
      </c>
      <c r="I35" s="78">
        <f>IF(I23="","",I26-I28+I29-I32+I33)</f>
        <v>16903.129588291409</v>
      </c>
      <c r="J35" s="78">
        <f t="shared" ref="J35:R35" si="3">IF(J23="","",J26-J28+J29-J32+J33)</f>
        <v>8179.8433169457494</v>
      </c>
      <c r="K35" s="78">
        <f t="shared" si="3"/>
        <v>8340.8846417873447</v>
      </c>
      <c r="L35" s="78">
        <f t="shared" si="3"/>
        <v>7245.3186385242734</v>
      </c>
      <c r="M35" s="78">
        <f t="shared" si="3"/>
        <v>8135.8721259675913</v>
      </c>
      <c r="N35" s="78" t="str">
        <f t="shared" si="3"/>
        <v/>
      </c>
      <c r="O35" s="78" t="str">
        <f t="shared" si="3"/>
        <v/>
      </c>
      <c r="P35" s="78" t="str">
        <f t="shared" si="3"/>
        <v/>
      </c>
      <c r="Q35" s="78" t="str">
        <f t="shared" si="3"/>
        <v/>
      </c>
      <c r="R35" s="78" t="str">
        <f t="shared" si="3"/>
        <v/>
      </c>
    </row>
    <row r="36" spans="1:18">
      <c r="A36" s="232"/>
    </row>
    <row r="37" spans="1:18">
      <c r="A37" s="232"/>
      <c r="B37" s="48" t="s">
        <v>159</v>
      </c>
      <c r="C37" s="86">
        <f>+Assumptions!$C$23</f>
        <v>2178</v>
      </c>
      <c r="E37" s="48" t="s">
        <v>159</v>
      </c>
      <c r="F37" s="86">
        <f>+Assumptions!$C$23</f>
        <v>2178</v>
      </c>
      <c r="H37" s="59" t="s">
        <v>178</v>
      </c>
      <c r="I37" s="89">
        <f>IF(I23="","",1/((1+$C25)^COUNTA($I23:I23)))</f>
        <v>0.91397985431547668</v>
      </c>
      <c r="J37" s="89">
        <f>IF(J23="","",1/((1+$C25)^COUNTA($I23:J23)))</f>
        <v>0.83535917409454008</v>
      </c>
      <c r="K37" s="89">
        <f>IF(K23="","",1/((1+$C25)^COUNTA($I23:K23)))</f>
        <v>0.76350145624002463</v>
      </c>
      <c r="L37" s="89">
        <f>IF(L23="","",1/((1+$C25)^COUNTA($I23:L23)))</f>
        <v>0.69782494974391207</v>
      </c>
      <c r="M37" s="89">
        <f>IF(M23="","",1/((1+$C25)^COUNTA($I23:M23)))</f>
        <v>0.63779794590464556</v>
      </c>
      <c r="N37" s="89" t="str">
        <f>IF(N23="","",1/((1+$C25)^COUNTA($I23:N23)))</f>
        <v/>
      </c>
      <c r="O37" s="89" t="str">
        <f>IF(O23="","",1/((1+$C25)^COUNTA($I23:O23)))</f>
        <v/>
      </c>
      <c r="P37" s="89" t="str">
        <f>IF(P23="","",1/((1+$C25)^COUNTA($I23:P23)))</f>
        <v/>
      </c>
      <c r="Q37" s="89" t="str">
        <f>IF(Q23="","",1/((1+$C25)^COUNTA($I23:Q23)))</f>
        <v/>
      </c>
      <c r="R37" s="89" t="str">
        <f>IF(R23="","",1/((1+$C25)^COUNTA($I23:R23)))</f>
        <v/>
      </c>
    </row>
    <row r="38" spans="1:18" ht="12" thickBot="1">
      <c r="A38" s="232"/>
      <c r="B38" s="54" t="s">
        <v>186</v>
      </c>
      <c r="C38" s="88">
        <f>+C35/C37</f>
        <v>17.608195222508929</v>
      </c>
      <c r="E38" s="54" t="s">
        <v>186</v>
      </c>
      <c r="F38" s="88">
        <f>+F35/F37</f>
        <v>41.172470396589581</v>
      </c>
      <c r="H38" s="54" t="s">
        <v>258</v>
      </c>
      <c r="I38" s="88">
        <f t="shared" ref="I38:R38" si="4">IF(I23="","",I35*I37)</f>
        <v>15449.119918582206</v>
      </c>
      <c r="J38" s="88">
        <f t="shared" si="4"/>
        <v>6833.1071574665448</v>
      </c>
      <c r="K38" s="88">
        <f t="shared" si="4"/>
        <v>6368.2775703346942</v>
      </c>
      <c r="L38" s="88">
        <f t="shared" si="4"/>
        <v>5055.9641148068304</v>
      </c>
      <c r="M38" s="88">
        <f t="shared" si="4"/>
        <v>5189.0425300849911</v>
      </c>
      <c r="N38" s="88" t="str">
        <f t="shared" si="4"/>
        <v/>
      </c>
      <c r="O38" s="88" t="str">
        <f t="shared" si="4"/>
        <v/>
      </c>
      <c r="P38" s="88" t="str">
        <f t="shared" si="4"/>
        <v/>
      </c>
      <c r="Q38" s="88" t="str">
        <f t="shared" si="4"/>
        <v/>
      </c>
      <c r="R38" s="88" t="str">
        <f t="shared" si="4"/>
        <v/>
      </c>
    </row>
    <row r="39" spans="1:18" ht="12" thickTop="1"/>
    <row r="41" spans="1:18">
      <c r="A41" s="233" t="s">
        <v>4</v>
      </c>
      <c r="B41" s="61" t="str">
        <f>_xlfn.TEXTBEFORE(B$4," - ")&amp;" - "&amp;$A41</f>
        <v>Perpetuity Growth Method - Bull</v>
      </c>
      <c r="C41" s="61"/>
      <c r="E41" s="61" t="str">
        <f>_xlfn.TEXTBEFORE(E$4," - ")&amp;" - "&amp;$A41</f>
        <v>EBITDA Multiple Method - Bull</v>
      </c>
      <c r="F41" s="61"/>
      <c r="H41" s="14" t="str">
        <f>Assumptions!$B$113</f>
        <v>Year Ending December 31, In CAD Millions</v>
      </c>
      <c r="I41" s="60" cm="1">
        <f t="array" ref="I41:M41">_xlfn.SEQUENCE(1,Assumptions!$C$21,(YEAR(Assumptions!$C$20)))</f>
        <v>2024</v>
      </c>
      <c r="J41" s="60">
        <v>2025</v>
      </c>
      <c r="K41" s="60">
        <v>2026</v>
      </c>
      <c r="L41" s="60">
        <v>2027</v>
      </c>
      <c r="M41" s="60">
        <v>2028</v>
      </c>
      <c r="N41" s="60"/>
      <c r="O41" s="60"/>
      <c r="P41" s="60"/>
      <c r="Q41" s="60"/>
      <c r="R41" s="60"/>
    </row>
    <row r="42" spans="1:18">
      <c r="A42" s="233"/>
      <c r="B42" s="55" t="str">
        <f>"Free Cash Flow at Year "&amp;COUNTA($I41:$R41)</f>
        <v>Free Cash Flow at Year 5</v>
      </c>
      <c r="C42" s="76" cm="1">
        <f t="array" ref="C42">LOOKUP(2,1/(I53:R53&lt;&gt;""),I53:R53)</f>
        <v>10836.738717257427</v>
      </c>
      <c r="E42" s="55" t="str">
        <f>"Terminal EBITDA at Year  "&amp;COUNTA($I41:$R41)</f>
        <v>Terminal EBITDA at Year  5</v>
      </c>
      <c r="F42" s="76" cm="1">
        <f t="array" ref="F42">LOOKUP(2,1/($I42:$R42&lt;&gt;""),$I42:$R42)</f>
        <v>15410.476376324725</v>
      </c>
      <c r="H42" s="10" t="s">
        <v>49</v>
      </c>
      <c r="I42" s="13">
        <f>IF(I41="","",'IS Bull'!H$53)</f>
        <v>12678.23705252418</v>
      </c>
      <c r="J42" s="13">
        <f>IF(J41="","",'IS Bull'!I$53)</f>
        <v>13312.148905150392</v>
      </c>
      <c r="K42" s="13">
        <f>IF(K41="","",'IS Bull'!J$53)</f>
        <v>13977.756350407908</v>
      </c>
      <c r="L42" s="13">
        <f>IF(L41="","",'IS Bull'!K$53)</f>
        <v>14676.644167928309</v>
      </c>
      <c r="M42" s="13">
        <f>IF(M41="","",'IS Bull'!L$53)</f>
        <v>15410.476376324725</v>
      </c>
      <c r="N42" s="13" t="str">
        <f>IF(N41="","",'IS Bull'!M$53)</f>
        <v/>
      </c>
      <c r="O42" s="13" t="str">
        <f>IF(O41="","",'IS Bull'!N$53)</f>
        <v/>
      </c>
      <c r="P42" s="13" t="str">
        <f>IF(P41="","",'IS Bull'!O$53)</f>
        <v/>
      </c>
      <c r="Q42" s="13" t="str">
        <f>IF(Q41="","",'IS Bull'!P$53)</f>
        <v/>
      </c>
      <c r="R42" s="13" t="str">
        <f>IF(R41="","",'IS Bull'!Q$53)</f>
        <v/>
      </c>
    </row>
    <row r="43" spans="1:18">
      <c r="A43" s="233"/>
      <c r="B43" s="48" t="s">
        <v>153</v>
      </c>
      <c r="C43" s="50">
        <f>Assumptions!$C$104</f>
        <v>9.4116019383105459E-2</v>
      </c>
      <c r="E43" s="48" t="s">
        <v>153</v>
      </c>
      <c r="F43" s="50">
        <f>Assumptions!$C$104</f>
        <v>9.4116019383105459E-2</v>
      </c>
      <c r="I43" s="12"/>
      <c r="J43" s="12"/>
      <c r="K43" s="12"/>
      <c r="L43" s="12"/>
      <c r="M43" s="12"/>
      <c r="N43" s="12"/>
      <c r="O43" s="12"/>
      <c r="P43" s="12"/>
      <c r="Q43" s="12"/>
      <c r="R43" s="12"/>
    </row>
    <row r="44" spans="1:18">
      <c r="A44" s="233"/>
      <c r="B44" s="48" t="s">
        <v>154</v>
      </c>
      <c r="C44" s="50">
        <f>Assumptions!$C$114</f>
        <v>0.03</v>
      </c>
      <c r="E44" s="48" t="s">
        <v>187</v>
      </c>
      <c r="F44" s="67">
        <f>Assumptions!$C$22</f>
        <v>16.64</v>
      </c>
      <c r="H44" s="52" t="s">
        <v>183</v>
      </c>
      <c r="I44" s="77">
        <f>IF(I41="","",'IS Bull'!H$60)</f>
        <v>7197.5574059827431</v>
      </c>
      <c r="J44" s="77">
        <f>IF(J41="","",'IS Bull'!I$60)</f>
        <v>7522.8760448140511</v>
      </c>
      <c r="K44" s="77">
        <f>IF(K41="","",'IS Bull'!J$60)</f>
        <v>7864.217958598424</v>
      </c>
      <c r="L44" s="77">
        <f>IF(L41="","",'IS Bull'!K$60)</f>
        <v>8211.6623914357424</v>
      </c>
      <c r="M44" s="77">
        <f>IF(M41="","",'IS Bull'!L$60)</f>
        <v>8586.4605822583217</v>
      </c>
      <c r="N44" s="77" t="str">
        <f>IF(N41="","",'IS Bull'!M$60)</f>
        <v/>
      </c>
      <c r="O44" s="77" t="str">
        <f>IF(O41="","",'IS Bull'!N$60)</f>
        <v/>
      </c>
      <c r="P44" s="77" t="str">
        <f>IF(P41="","",'IS Bull'!O$60)</f>
        <v/>
      </c>
      <c r="Q44" s="77" t="str">
        <f>IF(Q41="","",'IS Bull'!P$60)</f>
        <v/>
      </c>
      <c r="R44" s="77" t="str">
        <f>IF(R41="","",'IS Bull'!Q$60)</f>
        <v/>
      </c>
    </row>
    <row r="45" spans="1:18">
      <c r="A45" s="233"/>
      <c r="B45" s="53" t="str">
        <f>+"Perpetuity Value at Year "&amp;COUNTA($I41:$R41)&amp;" ~ Terminal Value"</f>
        <v>Perpetuity Value at Year 5 ~ Terminal Value</v>
      </c>
      <c r="C45" s="74">
        <f>(C42*(1+C44))/(C43-C44)</f>
        <v>174088.17618699968</v>
      </c>
      <c r="E45" s="53" t="str">
        <f>+"Perpetuity Value at Year "&amp;COUNTA($I41:$R41)&amp;" ~ Terminal Value"</f>
        <v>Perpetuity Value at Year 5 ~ Terminal Value</v>
      </c>
      <c r="F45" s="74">
        <f>+F42*F44</f>
        <v>256430.32690204342</v>
      </c>
    </row>
    <row r="46" spans="1:18">
      <c r="A46" s="233"/>
      <c r="C46" s="12"/>
      <c r="F46" s="12"/>
      <c r="H46" s="58" t="s">
        <v>25</v>
      </c>
      <c r="I46" s="77">
        <f>IF(I41="","",'IS Bull'!H$44)</f>
        <v>5571.7636229656719</v>
      </c>
      <c r="J46" s="77">
        <f>IF(J41="","",'IS Bull'!I$44)</f>
        <v>5850.351804113956</v>
      </c>
      <c r="K46" s="77">
        <f>IF(K41="","",'IS Bull'!J$44)</f>
        <v>6142.869394319654</v>
      </c>
      <c r="L46" s="77">
        <f>IF(L41="","",'IS Bull'!K$44)</f>
        <v>6450.012864035637</v>
      </c>
      <c r="M46" s="77">
        <f>IF(M41="","",'IS Bull'!L$44)</f>
        <v>6772.5135072374196</v>
      </c>
      <c r="N46" s="77" t="str">
        <f>IF(N41="","",'IS Bull'!M$44)</f>
        <v/>
      </c>
      <c r="O46" s="77" t="str">
        <f>IF(O41="","",'IS Bull'!N$44)</f>
        <v/>
      </c>
      <c r="P46" s="77" t="str">
        <f>IF(P41="","",'IS Bull'!O$44)</f>
        <v/>
      </c>
      <c r="Q46" s="77" t="str">
        <f>IF(Q41="","",'IS Bull'!P$44)</f>
        <v/>
      </c>
      <c r="R46" s="77" t="str">
        <f>IF(R41="","",'IS Bull'!Q$44)</f>
        <v/>
      </c>
    </row>
    <row r="47" spans="1:18">
      <c r="A47" s="233"/>
      <c r="B47" s="52" t="s">
        <v>155</v>
      </c>
      <c r="C47" s="76">
        <f>C45/(1+C43)^COUNTA($I41:$R41)</f>
        <v>111033.08117835443</v>
      </c>
      <c r="E47" s="52" t="s">
        <v>155</v>
      </c>
      <c r="F47" s="76">
        <f>F45/(1+F43)^COUNTA($I41:$R41)</f>
        <v>163550.73576578006</v>
      </c>
      <c r="H47" s="58" t="s">
        <v>32</v>
      </c>
      <c r="I47" s="77">
        <f>IF(I41="","",'IS Bull'!H$47)</f>
        <v>4142.1616399007571</v>
      </c>
      <c r="J47" s="77">
        <f>IF(J41="","",'IS Bull'!I$47)</f>
        <v>4349.2697218957956</v>
      </c>
      <c r="K47" s="77">
        <f>IF(K41="","",'IS Bull'!J$47)</f>
        <v>4566.7332079905855</v>
      </c>
      <c r="L47" s="77">
        <f>IF(L41="","",'IS Bull'!K$47)</f>
        <v>4795.0698683901146</v>
      </c>
      <c r="M47" s="77">
        <f>IF(M41="","",'IS Bull'!L$47)</f>
        <v>5034.823361809621</v>
      </c>
      <c r="N47" s="77" t="str">
        <f>IF(N41="","",'IS Bull'!M$47)</f>
        <v/>
      </c>
      <c r="O47" s="77" t="str">
        <f>IF(O41="","",'IS Bull'!N$47)</f>
        <v/>
      </c>
      <c r="P47" s="77" t="str">
        <f>IF(P41="","",'IS Bull'!O$47)</f>
        <v/>
      </c>
      <c r="Q47" s="77" t="str">
        <f>IF(Q41="","",'IS Bull'!P$47)</f>
        <v/>
      </c>
      <c r="R47" s="77" t="str">
        <f>IF(R41="","",'IS Bull'!Q$47)</f>
        <v/>
      </c>
    </row>
    <row r="48" spans="1:18">
      <c r="A48" s="233"/>
      <c r="B48" s="75" t="s">
        <v>180</v>
      </c>
      <c r="C48" s="77">
        <f>SUM($I56:$R56)</f>
        <v>44615.747383702692</v>
      </c>
      <c r="E48" s="75" t="s">
        <v>180</v>
      </c>
      <c r="F48" s="77">
        <f>SUM($I56:$R56)</f>
        <v>44615.747383702692</v>
      </c>
      <c r="H48" s="58"/>
      <c r="I48" s="77"/>
      <c r="J48" s="77"/>
      <c r="K48" s="77"/>
      <c r="L48" s="77"/>
      <c r="M48" s="77"/>
      <c r="N48" s="77"/>
      <c r="O48" s="77"/>
      <c r="P48" s="77"/>
      <c r="Q48" s="77"/>
      <c r="R48" s="77"/>
    </row>
    <row r="49" spans="1:18">
      <c r="A49" s="233"/>
      <c r="B49" s="49" t="s">
        <v>156</v>
      </c>
      <c r="C49" s="78">
        <f>C47+C48</f>
        <v>155648.82856205711</v>
      </c>
      <c r="E49" s="49" t="s">
        <v>156</v>
      </c>
      <c r="F49" s="78">
        <f>F47+F48</f>
        <v>208166.48314948275</v>
      </c>
      <c r="H49" s="11"/>
      <c r="I49" s="12"/>
      <c r="J49" s="12"/>
      <c r="K49" s="12"/>
      <c r="L49" s="12"/>
      <c r="M49" s="12"/>
      <c r="N49" s="12"/>
      <c r="O49" s="12"/>
      <c r="P49" s="12"/>
      <c r="Q49" s="12"/>
      <c r="R49" s="12"/>
    </row>
    <row r="50" spans="1:18">
      <c r="A50" s="233"/>
      <c r="C50" s="12"/>
      <c r="F50" s="12"/>
      <c r="H50" s="58" t="s">
        <v>260</v>
      </c>
      <c r="I50" s="77">
        <f>IF(I41="","",'BS Bull'!H$47-'BS Bull'!G$47)</f>
        <v>-10374.923642896107</v>
      </c>
      <c r="J50" s="77">
        <f>IF(J41="","",'BS Bull'!I$47-'BS Bull'!H$47)</f>
        <v>-1718.4089676342119</v>
      </c>
      <c r="K50" s="77">
        <f>IF(K41="","",'BS Bull'!J$47-'BS Bull'!I$47)</f>
        <v>-1953.951933100303</v>
      </c>
      <c r="L50" s="77">
        <f>IF(L41="","",'BS Bull'!K$47-'BS Bull'!J$47)</f>
        <v>-1087.2817605885139</v>
      </c>
      <c r="M50" s="77">
        <f>IF(M41="","",'BS Bull'!L$47-'BS Bull'!K$47)</f>
        <v>-2259.0437402713942</v>
      </c>
      <c r="N50" s="77" t="str">
        <f>IF(N41="","",'BS Bull'!M$47-'BS Bull'!L$47)</f>
        <v/>
      </c>
      <c r="O50" s="77" t="str">
        <f>IF(O41="","",'BS Bull'!N$47-'BS Bull'!M$47)</f>
        <v/>
      </c>
      <c r="P50" s="77" t="str">
        <f>IF(P41="","",'BS Bull'!O$47-'BS Bull'!N$47)</f>
        <v/>
      </c>
      <c r="Q50" s="77" t="str">
        <f>IF(Q41="","",'BS Bull'!P$47-'BS Bull'!O$47)</f>
        <v/>
      </c>
      <c r="R50" s="77" t="str">
        <f>IF(R41="","",'BS Bull'!Q$47-'BS Bull'!P$47)</f>
        <v/>
      </c>
    </row>
    <row r="51" spans="1:18">
      <c r="A51" s="233"/>
      <c r="B51" s="48" t="s">
        <v>120</v>
      </c>
      <c r="C51" s="77">
        <f>+'Balance Sheet'!$G$48</f>
        <v>80875.899999999994</v>
      </c>
      <c r="E51" s="48" t="s">
        <v>120</v>
      </c>
      <c r="F51" s="77">
        <f>+'Balance Sheet'!$G$48</f>
        <v>80875.899999999994</v>
      </c>
      <c r="H51" s="58" t="s">
        <v>254</v>
      </c>
      <c r="I51" s="12">
        <f>IF(I41="","",Assumptions!I$303*'IS Bull'!H$4)</f>
        <v>1278.7038081710161</v>
      </c>
      <c r="J51" s="12">
        <f>IF(J41="","",Assumptions!J$303*'IS Bull'!I$4)</f>
        <v>1459.8842933223434</v>
      </c>
      <c r="K51" s="12">
        <f>IF(K41="","",Assumptions!K$303*'IS Bull'!J$4)</f>
        <v>1659.7638999211742</v>
      </c>
      <c r="L51" s="12">
        <f>IF(L41="","",Assumptions!L$303*'IS Bull'!K$4)</f>
        <v>1721.8258452514317</v>
      </c>
      <c r="M51" s="12">
        <f>IF(M41="","",Assumptions!M$303*'IS Bull'!L$4)</f>
        <v>1728.9245401555097</v>
      </c>
      <c r="N51" s="12" t="str">
        <f>IF(N41="","",Assumptions!N$303*'IS Bull'!M$4)</f>
        <v/>
      </c>
      <c r="O51" s="12" t="str">
        <f>IF(O41="","",Assumptions!O$303*'IS Bull'!N$4)</f>
        <v/>
      </c>
      <c r="P51" s="12" t="str">
        <f>IF(P41="","",Assumptions!P$303*'IS Bull'!O$4)</f>
        <v/>
      </c>
      <c r="Q51" s="12" t="str">
        <f>IF(Q41="","",Assumptions!Q$303*'IS Bull'!P$4)</f>
        <v/>
      </c>
      <c r="R51" s="12" t="str">
        <f>IF(R41="","",Assumptions!R$303*'IS Bull'!Q$4)</f>
        <v/>
      </c>
    </row>
    <row r="52" spans="1:18">
      <c r="A52" s="233"/>
      <c r="B52" s="48" t="s">
        <v>157</v>
      </c>
      <c r="C52" s="86">
        <f>+'Balance Sheet'!$G$37</f>
        <v>3029</v>
      </c>
      <c r="E52" s="48" t="s">
        <v>157</v>
      </c>
      <c r="F52" s="86">
        <f>+'Balance Sheet'!$G$37</f>
        <v>3029</v>
      </c>
      <c r="H52" s="58"/>
      <c r="I52" s="77"/>
      <c r="J52" s="77"/>
      <c r="K52" s="77"/>
      <c r="L52" s="77"/>
      <c r="M52" s="77"/>
      <c r="N52" s="77"/>
      <c r="O52" s="77"/>
      <c r="P52" s="77"/>
      <c r="Q52" s="77"/>
      <c r="R52" s="77"/>
    </row>
    <row r="53" spans="1:18">
      <c r="A53" s="233"/>
      <c r="B53" s="49" t="s">
        <v>158</v>
      </c>
      <c r="C53" s="78">
        <f>+C49-C51-C52</f>
        <v>71743.928562057117</v>
      </c>
      <c r="E53" s="49" t="s">
        <v>158</v>
      </c>
      <c r="F53" s="78">
        <f>+F49-F51-F52</f>
        <v>124261.58314948276</v>
      </c>
      <c r="H53" s="79" t="s">
        <v>259</v>
      </c>
      <c r="I53" s="78">
        <f>IF(I41="","",I44-I46+I47-I50+I51)</f>
        <v>17421.582873984953</v>
      </c>
      <c r="J53" s="78">
        <f t="shared" ref="J53:R53" si="5">IF(J41="","",J44-J46+J47-J50+J51)</f>
        <v>9200.0872235524457</v>
      </c>
      <c r="K53" s="78">
        <f t="shared" si="5"/>
        <v>9901.7976052908325</v>
      </c>
      <c r="L53" s="78">
        <f t="shared" si="5"/>
        <v>9365.8270016301649</v>
      </c>
      <c r="M53" s="78">
        <f t="shared" si="5"/>
        <v>10836.738717257427</v>
      </c>
      <c r="N53" s="78" t="str">
        <f t="shared" si="5"/>
        <v/>
      </c>
      <c r="O53" s="78" t="str">
        <f t="shared" si="5"/>
        <v/>
      </c>
      <c r="P53" s="78" t="str">
        <f t="shared" si="5"/>
        <v/>
      </c>
      <c r="Q53" s="78" t="str">
        <f t="shared" si="5"/>
        <v/>
      </c>
      <c r="R53" s="78" t="str">
        <f t="shared" si="5"/>
        <v/>
      </c>
    </row>
    <row r="54" spans="1:18">
      <c r="A54" s="233"/>
    </row>
    <row r="55" spans="1:18">
      <c r="A55" s="233"/>
      <c r="B55" s="48" t="s">
        <v>159</v>
      </c>
      <c r="C55" s="86">
        <f>+Assumptions!$C$23</f>
        <v>2178</v>
      </c>
      <c r="E55" s="48" t="s">
        <v>159</v>
      </c>
      <c r="F55" s="86">
        <f>+Assumptions!$C$23</f>
        <v>2178</v>
      </c>
      <c r="H55" s="59" t="s">
        <v>178</v>
      </c>
      <c r="I55" s="89">
        <f>IF(I41="","",1/((1+$C43)^COUNTA($I41:I41)))</f>
        <v>0.91397985431547668</v>
      </c>
      <c r="J55" s="89">
        <f>IF(J41="","",1/((1+$C43)^COUNTA($I41:J41)))</f>
        <v>0.83535917409454008</v>
      </c>
      <c r="K55" s="89">
        <f>IF(K41="","",1/((1+$C43)^COUNTA($I41:K41)))</f>
        <v>0.76350145624002463</v>
      </c>
      <c r="L55" s="89">
        <f>IF(L41="","",1/((1+$C43)^COUNTA($I41:L41)))</f>
        <v>0.69782494974391207</v>
      </c>
      <c r="M55" s="89">
        <f>IF(M41="","",1/((1+$C43)^COUNTA($I41:M41)))</f>
        <v>0.63779794590464556</v>
      </c>
      <c r="N55" s="89" t="str">
        <f>IF(N41="","",1/((1+$C43)^COUNTA($I41:N41)))</f>
        <v/>
      </c>
      <c r="O55" s="89" t="str">
        <f>IF(O41="","",1/((1+$C43)^COUNTA($I41:O41)))</f>
        <v/>
      </c>
      <c r="P55" s="89" t="str">
        <f>IF(P41="","",1/((1+$C43)^COUNTA($I41:P41)))</f>
        <v/>
      </c>
      <c r="Q55" s="89" t="str">
        <f>IF(Q41="","",1/((1+$C43)^COUNTA($I41:Q41)))</f>
        <v/>
      </c>
      <c r="R55" s="89" t="str">
        <f>IF(R41="","",1/((1+$C43)^COUNTA($I41:R41)))</f>
        <v/>
      </c>
    </row>
    <row r="56" spans="1:18" ht="12" thickBot="1">
      <c r="A56" s="233"/>
      <c r="B56" s="54" t="s">
        <v>186</v>
      </c>
      <c r="C56" s="88">
        <f>+C53/C55</f>
        <v>32.940279413249364</v>
      </c>
      <c r="E56" s="54" t="s">
        <v>186</v>
      </c>
      <c r="F56" s="88">
        <f>+F53/F55</f>
        <v>57.053068480019633</v>
      </c>
      <c r="H56" s="54" t="s">
        <v>258</v>
      </c>
      <c r="I56" s="88">
        <f t="shared" ref="I56:R56" si="6">IF(I41="","",I53*I55)</f>
        <v>15922.97577710977</v>
      </c>
      <c r="J56" s="88">
        <f t="shared" si="6"/>
        <v>7685.3772646645011</v>
      </c>
      <c r="K56" s="88">
        <f t="shared" si="6"/>
        <v>7560.0368910335392</v>
      </c>
      <c r="L56" s="88">
        <f t="shared" si="6"/>
        <v>6535.7077567227443</v>
      </c>
      <c r="M56" s="88">
        <f t="shared" si="6"/>
        <v>6911.6496941721307</v>
      </c>
      <c r="N56" s="88" t="str">
        <f t="shared" si="6"/>
        <v/>
      </c>
      <c r="O56" s="88" t="str">
        <f t="shared" si="6"/>
        <v/>
      </c>
      <c r="P56" s="88" t="str">
        <f t="shared" si="6"/>
        <v/>
      </c>
      <c r="Q56" s="88" t="str">
        <f t="shared" si="6"/>
        <v/>
      </c>
      <c r="R56" s="88" t="str">
        <f t="shared" si="6"/>
        <v/>
      </c>
    </row>
    <row r="57" spans="1:18" ht="12" thickTop="1"/>
    <row r="59" spans="1:18">
      <c r="B59" s="30" t="s">
        <v>189</v>
      </c>
      <c r="C59" s="30"/>
      <c r="E59" s="30" t="s">
        <v>188</v>
      </c>
      <c r="F59" s="30"/>
    </row>
    <row r="60" spans="1:18">
      <c r="B60" s="61" t="s">
        <v>165</v>
      </c>
      <c r="C60" s="61"/>
      <c r="E60" s="61" t="s">
        <v>165</v>
      </c>
      <c r="F60" s="61"/>
    </row>
    <row r="61" spans="1:18">
      <c r="A61" s="80" t="s">
        <v>3</v>
      </c>
      <c r="B61" s="10" t="str">
        <f>B5</f>
        <v>Perpetuity Growth Method - Base</v>
      </c>
      <c r="C61" s="126">
        <f>C20</f>
        <v>24.988468825316719</v>
      </c>
      <c r="E61" s="10" t="str">
        <f>E5</f>
        <v>EBITDA Multiple Method - Base</v>
      </c>
      <c r="F61" s="126">
        <f>F20</f>
        <v>48.822150221462373</v>
      </c>
    </row>
    <row r="62" spans="1:18">
      <c r="A62" s="80" t="s">
        <v>2</v>
      </c>
      <c r="B62" s="10" t="str">
        <f>B23</f>
        <v>Perpetuity Growth Method - Bear</v>
      </c>
      <c r="C62" s="126">
        <f>C38</f>
        <v>17.608195222508929</v>
      </c>
      <c r="E62" s="10" t="str">
        <f>E23</f>
        <v>EBITDA Multiple Method - Bear</v>
      </c>
      <c r="F62" s="126">
        <f>F38</f>
        <v>41.172470396589581</v>
      </c>
    </row>
    <row r="63" spans="1:18">
      <c r="A63" s="80" t="s">
        <v>4</v>
      </c>
      <c r="B63" s="10" t="str">
        <f>B41</f>
        <v>Perpetuity Growth Method - Bull</v>
      </c>
      <c r="C63" s="126">
        <f>C56</f>
        <v>32.940279413249364</v>
      </c>
      <c r="E63" s="10" t="str">
        <f>E41</f>
        <v>EBITDA Multiple Method - Bull</v>
      </c>
      <c r="F63" s="126">
        <f>F56</f>
        <v>57.053068480019633</v>
      </c>
    </row>
    <row r="66" spans="1:3">
      <c r="B66" s="30" t="s">
        <v>189</v>
      </c>
      <c r="C66" s="30"/>
    </row>
    <row r="67" spans="1:3">
      <c r="B67" s="61" t="s">
        <v>165</v>
      </c>
      <c r="C67" s="61"/>
    </row>
    <row r="68" spans="1:3">
      <c r="A68" s="80" t="s">
        <v>3</v>
      </c>
      <c r="B68" s="10" t="str">
        <f>"Free Cash Flow to Firm DCF "&amp;A68</f>
        <v>Free Cash Flow to Firm DCF Base</v>
      </c>
      <c r="C68" s="205">
        <f>AVERAGE(C61,F61)</f>
        <v>36.905309523389548</v>
      </c>
    </row>
    <row r="69" spans="1:3">
      <c r="A69" s="80" t="s">
        <v>2</v>
      </c>
      <c r="B69" s="10" t="str">
        <f t="shared" ref="B69:B70" si="7">"Free Cash Flow to Firm DCF "&amp;A69</f>
        <v>Free Cash Flow to Firm DCF Bear</v>
      </c>
      <c r="C69" s="205">
        <f t="shared" ref="C69:C70" si="8">AVERAGE(C62,F62)</f>
        <v>29.390332809549257</v>
      </c>
    </row>
    <row r="70" spans="1:3">
      <c r="A70" s="80" t="s">
        <v>4</v>
      </c>
      <c r="B70" s="10" t="str">
        <f t="shared" si="7"/>
        <v>Free Cash Flow to Firm DCF Bull</v>
      </c>
      <c r="C70" s="205">
        <f t="shared" si="8"/>
        <v>44.996673946634502</v>
      </c>
    </row>
  </sheetData>
  <mergeCells count="4">
    <mergeCell ref="A5:A20"/>
    <mergeCell ref="A23:A38"/>
    <mergeCell ref="A41:A56"/>
    <mergeCell ref="B1:R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B6B3F-5848-42CB-A791-37D26CBF3595}">
  <sheetPr>
    <tabColor rgb="FF92D050"/>
  </sheetPr>
  <dimension ref="A1:R70"/>
  <sheetViews>
    <sheetView zoomScaleNormal="100" workbookViewId="0">
      <pane xSplit="1" ySplit="4" topLeftCell="B5" activePane="bottomRight" state="frozen"/>
      <selection pane="topRight" activeCell="B1" sqref="B1"/>
      <selection pane="bottomLeft" activeCell="A3" sqref="A3"/>
      <selection pane="bottomRight" activeCell="E70" sqref="E70"/>
    </sheetView>
  </sheetViews>
  <sheetFormatPr baseColWidth="10" defaultColWidth="8.6640625" defaultRowHeight="11"/>
  <cols>
    <col min="1" max="1" width="4" style="1" bestFit="1" customWidth="1"/>
    <col min="2" max="2" width="31.1640625" style="1" bestFit="1" customWidth="1"/>
    <col min="3" max="3" width="9.6640625" style="1" bestFit="1" customWidth="1"/>
    <col min="4" max="4" width="2.1640625" style="1" customWidth="1"/>
    <col min="5" max="5" width="31.1640625" style="1" bestFit="1" customWidth="1"/>
    <col min="6" max="6" width="9.6640625" style="1" bestFit="1" customWidth="1"/>
    <col min="7" max="7" width="2.1640625" style="1" customWidth="1"/>
    <col min="8" max="8" width="31.1640625" style="1" bestFit="1" customWidth="1"/>
    <col min="9" max="9" width="9.1640625" style="1" bestFit="1" customWidth="1"/>
    <col min="10" max="18" width="8.6640625" style="1" customWidth="1"/>
    <col min="19" max="16384" width="8.6640625" style="1"/>
  </cols>
  <sheetData>
    <row r="1" spans="1:18">
      <c r="B1" s="234" t="str">
        <f>H4</f>
        <v>Levered Discounted Cash Flow (FCFE) Analysis</v>
      </c>
      <c r="C1" s="234"/>
      <c r="D1" s="234"/>
      <c r="E1" s="234"/>
      <c r="F1" s="234"/>
      <c r="G1" s="234"/>
      <c r="H1" s="234"/>
      <c r="I1" s="234"/>
      <c r="J1" s="234"/>
      <c r="K1" s="234"/>
      <c r="L1" s="234"/>
      <c r="M1" s="234"/>
      <c r="N1" s="234"/>
      <c r="O1" s="234"/>
      <c r="P1" s="234"/>
      <c r="Q1" s="234"/>
      <c r="R1" s="234"/>
    </row>
    <row r="2" spans="1:18">
      <c r="B2" s="234"/>
      <c r="C2" s="234"/>
      <c r="D2" s="234"/>
      <c r="E2" s="234"/>
      <c r="F2" s="234"/>
      <c r="G2" s="234"/>
      <c r="H2" s="234"/>
      <c r="I2" s="234"/>
      <c r="J2" s="234"/>
      <c r="K2" s="234"/>
      <c r="L2" s="234"/>
      <c r="M2" s="234"/>
      <c r="N2" s="234"/>
      <c r="O2" s="234"/>
      <c r="P2" s="234"/>
      <c r="Q2" s="234"/>
      <c r="R2" s="234"/>
    </row>
    <row r="4" spans="1:18" s="10" customFormat="1">
      <c r="B4" s="30" t="s">
        <v>179</v>
      </c>
      <c r="C4" s="30"/>
      <c r="D4" s="57"/>
      <c r="E4" s="30" t="s">
        <v>185</v>
      </c>
      <c r="F4" s="30"/>
      <c r="G4" s="57"/>
      <c r="H4" s="56" t="s">
        <v>263</v>
      </c>
      <c r="I4" s="56"/>
      <c r="J4" s="56"/>
      <c r="K4" s="56"/>
      <c r="L4" s="56"/>
      <c r="M4" s="56"/>
      <c r="N4" s="56"/>
      <c r="O4" s="56"/>
      <c r="P4" s="56"/>
      <c r="Q4" s="56"/>
      <c r="R4" s="56"/>
    </row>
    <row r="5" spans="1:18">
      <c r="A5" s="231" t="s">
        <v>3</v>
      </c>
      <c r="B5" s="61" t="str">
        <f>_xlfn.TEXTBEFORE(B$4," - ")&amp;" - "&amp;$A5</f>
        <v>Perpetuity Growth Method - Base</v>
      </c>
      <c r="C5" s="61"/>
      <c r="E5" s="61" t="str">
        <f>_xlfn.TEXTBEFORE(E$4," - ")&amp;" - "&amp;$A5</f>
        <v>EBITDA Multiple Method - Base</v>
      </c>
      <c r="F5" s="61"/>
      <c r="H5" s="14" t="str">
        <f>Assumptions!$B$113</f>
        <v>Year Ending December 31, In CAD Millions</v>
      </c>
      <c r="I5" s="60" cm="1">
        <f t="array" ref="I5:M5">_xlfn.SEQUENCE(1,Assumptions!$C$21,(YEAR(Assumptions!$C$20)))</f>
        <v>2024</v>
      </c>
      <c r="J5" s="60">
        <v>2025</v>
      </c>
      <c r="K5" s="60">
        <v>2026</v>
      </c>
      <c r="L5" s="60">
        <v>2027</v>
      </c>
      <c r="M5" s="60">
        <v>2028</v>
      </c>
      <c r="N5" s="60"/>
      <c r="O5" s="60"/>
      <c r="P5" s="60"/>
      <c r="Q5" s="60"/>
      <c r="R5" s="60"/>
    </row>
    <row r="6" spans="1:18">
      <c r="A6" s="231"/>
      <c r="B6" s="55" t="str">
        <f>"Free Cash Flow at Year "&amp;COUNTA($I5:$R5)</f>
        <v>Free Cash Flow at Year 5</v>
      </c>
      <c r="C6" s="76" cm="1">
        <f t="array" ref="C6">LOOKUP(2,1/($I17:$R17&lt;&gt;""),$I17:$R17)</f>
        <v>8250.0432136889995</v>
      </c>
      <c r="E6" s="55" t="str">
        <f>"Terminal EBITDA at Year  "&amp;COUNTA($I5:$R5)</f>
        <v>Terminal EBITDA at Year  5</v>
      </c>
      <c r="F6" s="76" cm="1">
        <f t="array" ref="F6">LOOKUP(2,1/($I6:$R6&lt;&gt;""),$I6:$R6)</f>
        <v>13997.668116972311</v>
      </c>
      <c r="H6" s="10" t="s">
        <v>49</v>
      </c>
      <c r="I6" s="13">
        <f>IF(I5="","",'Income Statement'!H$53)</f>
        <v>12436.746822952291</v>
      </c>
      <c r="J6" s="13">
        <f>IF(J5="","",'Income Statement'!I$53)</f>
        <v>12809.849227640858</v>
      </c>
      <c r="K6" s="13">
        <f>IF(K5="","",'Income Statement'!J$53)</f>
        <v>13194.144704470084</v>
      </c>
      <c r="L6" s="13">
        <f>IF(L5="","",'Income Statement'!K$53)</f>
        <v>13589.969045604186</v>
      </c>
      <c r="M6" s="13">
        <f>IF(M5="","",'Income Statement'!L$53)</f>
        <v>13997.668116972311</v>
      </c>
      <c r="N6" s="13" t="str">
        <f>IF(N5="","",'Income Statement'!M$53)</f>
        <v/>
      </c>
      <c r="O6" s="13" t="str">
        <f>IF(O5="","",'Income Statement'!N$53)</f>
        <v/>
      </c>
      <c r="P6" s="13" t="str">
        <f>IF(P5="","",'Income Statement'!O$53)</f>
        <v/>
      </c>
      <c r="Q6" s="13" t="str">
        <f>IF(Q5="","",'Income Statement'!P$53)</f>
        <v/>
      </c>
      <c r="R6" s="13" t="str">
        <f>IF(R5="","",'Income Statement'!Q$53)</f>
        <v/>
      </c>
    </row>
    <row r="7" spans="1:18">
      <c r="A7" s="231"/>
      <c r="B7" s="48" t="s">
        <v>220</v>
      </c>
      <c r="C7" s="51">
        <f>Assumptions!$C$102</f>
        <v>0.14960647843942504</v>
      </c>
      <c r="E7" s="48" t="s">
        <v>220</v>
      </c>
      <c r="F7" s="51">
        <f>Assumptions!$C$102</f>
        <v>0.14960647843942504</v>
      </c>
      <c r="I7" s="12"/>
      <c r="J7" s="12"/>
      <c r="K7" s="12"/>
      <c r="L7" s="12"/>
      <c r="M7" s="12"/>
      <c r="N7" s="12"/>
      <c r="O7" s="12"/>
      <c r="P7" s="12"/>
      <c r="Q7" s="12"/>
      <c r="R7" s="12"/>
    </row>
    <row r="8" spans="1:18">
      <c r="A8" s="231"/>
      <c r="B8" s="48" t="s">
        <v>154</v>
      </c>
      <c r="C8" s="50">
        <f>Assumptions!$C$114</f>
        <v>0.03</v>
      </c>
      <c r="E8" s="48" t="s">
        <v>187</v>
      </c>
      <c r="F8" s="67">
        <f>Assumptions!$C$22</f>
        <v>16.64</v>
      </c>
      <c r="H8" s="52" t="s">
        <v>183</v>
      </c>
      <c r="I8" s="77">
        <f>IF(I5="","",'Income Statement'!H$60)</f>
        <v>7074.4246467897465</v>
      </c>
      <c r="J8" s="77">
        <f>IF(J5="","",'Income Statement'!I$60)</f>
        <v>7266.7599056926165</v>
      </c>
      <c r="K8" s="77">
        <f>IF(K5="","",'Income Statement'!J$60)</f>
        <v>7464.6644682930701</v>
      </c>
      <c r="L8" s="77">
        <f>IF(L5="","",'Income Statement'!K$60)</f>
        <v>7657.5807360604349</v>
      </c>
      <c r="M8" s="77">
        <f>IF(M5="","",'Income Statement'!L$60)</f>
        <v>7866.0878388429201</v>
      </c>
      <c r="N8" s="77" t="str">
        <f>IF(N5="","",'Income Statement'!M$60)</f>
        <v/>
      </c>
      <c r="O8" s="77" t="str">
        <f>IF(O5="","",'Income Statement'!N$60)</f>
        <v/>
      </c>
      <c r="P8" s="77" t="str">
        <f>IF(P5="","",'Income Statement'!O$60)</f>
        <v/>
      </c>
      <c r="Q8" s="77" t="str">
        <f>IF(Q5="","",'Income Statement'!P$60)</f>
        <v/>
      </c>
      <c r="R8" s="77" t="str">
        <f>IF(R5="","",'Income Statement'!Q$60)</f>
        <v/>
      </c>
    </row>
    <row r="9" spans="1:18">
      <c r="A9" s="231"/>
      <c r="B9" s="53" t="str">
        <f>+"Perpetuity Value at Year "&amp;COUNTA($I5:$R5)&amp;" ~ Terminal Value"</f>
        <v>Perpetuity Value at Year 5 ~ Terminal Value</v>
      </c>
      <c r="C9" s="74">
        <f>(C6*(1+C8))/(C7-C8)</f>
        <v>71045.854881541964</v>
      </c>
      <c r="E9" s="53" t="str">
        <f>+"Perpetuity Value at Year "&amp;COUNTA($I5:$R5)&amp;" ~ Terminal Value"</f>
        <v>Perpetuity Value at Year 5 ~ Terminal Value</v>
      </c>
      <c r="F9" s="74">
        <f>+F6*F8</f>
        <v>232921.19746641925</v>
      </c>
    </row>
    <row r="10" spans="1:18">
      <c r="A10" s="231"/>
      <c r="C10" s="12"/>
      <c r="F10" s="12"/>
      <c r="H10" s="58" t="s">
        <v>25</v>
      </c>
      <c r="I10" s="77">
        <f>IF(I5="","",'Income Statement'!H$44)</f>
        <v>5465.6347920520402</v>
      </c>
      <c r="J10" s="77">
        <f>IF(J5="","",'Income Statement'!I$44)</f>
        <v>5629.6038358136011</v>
      </c>
      <c r="K10" s="77">
        <f>IF(K5="","",'Income Statement'!J$44)</f>
        <v>5798.4919508880084</v>
      </c>
      <c r="L10" s="77">
        <f>IF(L5="","",'Income Statement'!K$44)</f>
        <v>5972.4467094146485</v>
      </c>
      <c r="M10" s="77">
        <f>IF(M5="","",'Income Statement'!L$44)</f>
        <v>6151.6201106970884</v>
      </c>
      <c r="N10" s="77" t="str">
        <f>IF(N5="","",'Income Statement'!M$44)</f>
        <v/>
      </c>
      <c r="O10" s="77" t="str">
        <f>IF(O5="","",'Income Statement'!N$44)</f>
        <v/>
      </c>
      <c r="P10" s="77" t="str">
        <f>IF(P5="","",'Income Statement'!O$44)</f>
        <v/>
      </c>
      <c r="Q10" s="77" t="str">
        <f>IF(Q5="","",'Income Statement'!P$44)</f>
        <v/>
      </c>
      <c r="R10" s="77" t="str">
        <f>IF(R5="","",'Income Statement'!Q$44)</f>
        <v/>
      </c>
    </row>
    <row r="11" spans="1:18">
      <c r="A11" s="231"/>
      <c r="B11" s="52" t="s">
        <v>155</v>
      </c>
      <c r="C11" s="76">
        <f>C9/(1+C7)^COUNTA($I5:$R5)</f>
        <v>35382.843515773886</v>
      </c>
      <c r="E11" s="52" t="s">
        <v>155</v>
      </c>
      <c r="F11" s="76">
        <f>F9/(1+F7)^COUNTA($I5:$R5)</f>
        <v>116001.33878608783</v>
      </c>
      <c r="H11" s="58" t="s">
        <v>32</v>
      </c>
      <c r="I11" s="77">
        <f>IF(I5="","",'Income Statement'!H$47)</f>
        <v>4063.2633229502667</v>
      </c>
      <c r="J11" s="77">
        <f>IF(J5="","",'Income Statement'!I$47)</f>
        <v>4185.1612226387742</v>
      </c>
      <c r="K11" s="77">
        <f>IF(K5="","",'Income Statement'!J$47)</f>
        <v>4310.7160593179369</v>
      </c>
      <c r="L11" s="77">
        <f>IF(L5="","",'Income Statement'!K$47)</f>
        <v>4440.0375410974748</v>
      </c>
      <c r="M11" s="77">
        <f>IF(M5="","",'Income Statement'!L$47)</f>
        <v>4573.2386673303999</v>
      </c>
      <c r="N11" s="77" t="str">
        <f>IF(N5="","",'Income Statement'!M$47)</f>
        <v/>
      </c>
      <c r="O11" s="77" t="str">
        <f>IF(O5="","",'Income Statement'!N$47)</f>
        <v/>
      </c>
      <c r="P11" s="77" t="str">
        <f>IF(P5="","",'Income Statement'!O$47)</f>
        <v/>
      </c>
      <c r="Q11" s="77" t="str">
        <f>IF(Q5="","",'Income Statement'!P$47)</f>
        <v/>
      </c>
      <c r="R11" s="77" t="str">
        <f>IF(R5="","",'Income Statement'!Q$47)</f>
        <v/>
      </c>
    </row>
    <row r="12" spans="1:18">
      <c r="A12" s="231"/>
      <c r="B12" s="75" t="s">
        <v>180</v>
      </c>
      <c r="C12" s="77">
        <f>SUM($I20:$R20)</f>
        <v>32402.281780327266</v>
      </c>
      <c r="E12" s="75" t="s">
        <v>180</v>
      </c>
      <c r="F12" s="77">
        <f>SUM($I20:$R20)</f>
        <v>32402.281780327266</v>
      </c>
      <c r="H12" s="58" t="s">
        <v>255</v>
      </c>
      <c r="I12" s="77">
        <f>IF(I5="","",'Balance Sheet'!H$47-'Balance Sheet'!G$47)</f>
        <v>-10235.955508291974</v>
      </c>
      <c r="J12" s="77">
        <f>IF(J5="","",'Balance Sheet'!I$47-'Balance Sheet'!H$47)</f>
        <v>-1457.62159008655</v>
      </c>
      <c r="K12" s="77">
        <f>IF(K5="","",'Balance Sheet'!J$47-'Balance Sheet'!I$47)</f>
        <v>-1562.015424737765</v>
      </c>
      <c r="L12" s="77">
        <f>IF(L5="","",'Balance Sheet'!K$47-'Balance Sheet'!J$47)</f>
        <v>-554.30257137445369</v>
      </c>
      <c r="M12" s="77">
        <f>IF(M5="","",'Balance Sheet'!L$47-'Balance Sheet'!K$47)</f>
        <v>-1574.5335598624442</v>
      </c>
      <c r="N12" s="77" t="str">
        <f>IF(N5="","",'Balance Sheet'!M$47-'Balance Sheet'!L$47)</f>
        <v/>
      </c>
      <c r="O12" s="77" t="str">
        <f>IF(O5="","",'Balance Sheet'!N$47-'Balance Sheet'!M$47)</f>
        <v/>
      </c>
      <c r="P12" s="77" t="str">
        <f>IF(P5="","",'Balance Sheet'!O$47-'Balance Sheet'!N$47)</f>
        <v/>
      </c>
      <c r="Q12" s="77" t="str">
        <f>IF(Q5="","",'Balance Sheet'!P$47-'Balance Sheet'!O$47)</f>
        <v/>
      </c>
      <c r="R12" s="77" t="str">
        <f>IF(R5="","",'Balance Sheet'!Q$47-'Balance Sheet'!P$47)</f>
        <v/>
      </c>
    </row>
    <row r="13" spans="1:18">
      <c r="A13" s="231"/>
      <c r="B13" s="49" t="s">
        <v>156</v>
      </c>
      <c r="C13" s="78">
        <f>C11+C12</f>
        <v>67785.125296101149</v>
      </c>
      <c r="E13" s="49" t="s">
        <v>156</v>
      </c>
      <c r="F13" s="78">
        <f>F11+F12</f>
        <v>148403.62056641511</v>
      </c>
      <c r="H13" s="58" t="s">
        <v>254</v>
      </c>
      <c r="I13" s="12">
        <f>IF(I5="","",Assumptions!I$303*'Income Statement'!H$4)</f>
        <v>1254.3475451582347</v>
      </c>
      <c r="J13" s="12">
        <f>IF(J5="","",Assumptions!J$303*'Income Statement'!I$4)</f>
        <v>1404.7993168124026</v>
      </c>
      <c r="K13" s="12">
        <f>IF(K5="","",Assumptions!K$303*'Income Statement'!J$4)</f>
        <v>1566.7153241068261</v>
      </c>
      <c r="L13" s="12">
        <f>IF(L5="","",Assumptions!L$303*'Income Statement'!K$4)</f>
        <v>1594.3399370560064</v>
      </c>
      <c r="M13" s="12">
        <f>IF(M5="","",Assumptions!M$303*'Income Statement'!L$4)</f>
        <v>1570.4194550121701</v>
      </c>
      <c r="N13" s="12" t="str">
        <f>IF(N5="","",Assumptions!N$303*'Income Statement'!M$4)</f>
        <v/>
      </c>
      <c r="O13" s="12" t="str">
        <f>IF(O5="","",Assumptions!O$303*'Income Statement'!N$4)</f>
        <v/>
      </c>
      <c r="P13" s="12" t="str">
        <f>IF(P5="","",Assumptions!P$303*'Income Statement'!O$4)</f>
        <v/>
      </c>
      <c r="Q13" s="12" t="str">
        <f>IF(Q5="","",Assumptions!Q$303*'Income Statement'!P$4)</f>
        <v/>
      </c>
      <c r="R13" s="12" t="str">
        <f>IF(R5="","",Assumptions!R$303*'Income Statement'!Q$4)</f>
        <v/>
      </c>
    </row>
    <row r="14" spans="1:18">
      <c r="A14" s="231"/>
      <c r="C14" s="12"/>
      <c r="F14" s="12"/>
      <c r="H14" s="58" t="s">
        <v>250</v>
      </c>
      <c r="I14" s="77">
        <f>IF(I6="","",'Income Statement'!H$51)</f>
        <v>109.94432417644335</v>
      </c>
      <c r="J14" s="77">
        <f>IF(J6="","",'Income Statement'!I$51)</f>
        <v>113.24265390173663</v>
      </c>
      <c r="K14" s="77">
        <f>IF(K6="","",'Income Statement'!J$51)</f>
        <v>116.63993351878872</v>
      </c>
      <c r="L14" s="77">
        <f>IF(L6="","",'Income Statement'!K$51)</f>
        <v>120.13913152435239</v>
      </c>
      <c r="M14" s="77">
        <f>IF(M6="","",'Income Statement'!L$51)</f>
        <v>123.74330547008296</v>
      </c>
      <c r="N14" s="77" t="str">
        <f>IF(N6="","",'Income Statement'!M$51)</f>
        <v/>
      </c>
      <c r="O14" s="77" t="str">
        <f>IF(O6="","",'Income Statement'!N$51)</f>
        <v/>
      </c>
      <c r="P14" s="77" t="str">
        <f>IF(P6="","",'Income Statement'!O$51)</f>
        <v/>
      </c>
      <c r="Q14" s="77" t="str">
        <f>IF(Q6="","",'Income Statement'!P$51)</f>
        <v/>
      </c>
      <c r="R14" s="77" t="str">
        <f>IF(R6="","",'Income Statement'!Q$51)</f>
        <v/>
      </c>
    </row>
    <row r="15" spans="1:18">
      <c r="A15" s="231"/>
      <c r="B15" s="48" t="s">
        <v>120</v>
      </c>
      <c r="C15" s="77">
        <f>+'Balance Sheet'!$G$48</f>
        <v>80875.899999999994</v>
      </c>
      <c r="E15" s="48" t="s">
        <v>120</v>
      </c>
      <c r="F15" s="77">
        <f>+'Balance Sheet'!$G$48</f>
        <v>80875.899999999994</v>
      </c>
      <c r="H15" s="11" t="s">
        <v>257</v>
      </c>
      <c r="I15" s="12">
        <f>IF(I5="","",'Income Statement'!H$25-('Income Statement'!H$4*Assumptions!I$150))</f>
        <v>1567.8619938072227</v>
      </c>
      <c r="J15" s="12">
        <f>IF(J5="","",'Income Statement'!I$25-('Income Statement'!I$4*Assumptions!J$150))</f>
        <v>1520.1479464746753</v>
      </c>
      <c r="K15" s="12">
        <f>IF(K5="","",'Income Statement'!J$25-('Income Statement'!J$4*Assumptions!K$150))</f>
        <v>1470.046505962606</v>
      </c>
      <c r="L15" s="12">
        <f>IF(L5="","",'Income Statement'!K$25-('Income Statement'!K$4*Assumptions!L$150))</f>
        <v>1366.4161569442035</v>
      </c>
      <c r="M15" s="12">
        <f>IF(M5="","",'Income Statement'!L$25-('Income Statement'!L$4*Assumptions!M$150))</f>
        <v>1306.3595021319295</v>
      </c>
      <c r="N15" s="12" t="str">
        <f>IF(N5="","",'Income Statement'!M$25-('Income Statement'!M$4*Assumptions!N$150))</f>
        <v/>
      </c>
      <c r="O15" s="12" t="str">
        <f>IF(O5="","",'Income Statement'!N$25-('Income Statement'!N$4*Assumptions!O$150))</f>
        <v/>
      </c>
      <c r="P15" s="12" t="str">
        <f>IF(P5="","",'Income Statement'!O$25-('Income Statement'!O$4*Assumptions!P$150))</f>
        <v/>
      </c>
      <c r="Q15" s="12" t="str">
        <f>IF(Q5="","",'Income Statement'!P$25-('Income Statement'!P$4*Assumptions!Q$150))</f>
        <v/>
      </c>
      <c r="R15" s="12" t="str">
        <f>IF(R5="","",'Income Statement'!Q$25-('Income Statement'!Q$4*Assumptions!R$150))</f>
        <v/>
      </c>
    </row>
    <row r="16" spans="1:18">
      <c r="A16" s="231"/>
      <c r="B16" s="48" t="s">
        <v>157</v>
      </c>
      <c r="C16" s="86">
        <f>+'Balance Sheet'!$G$37</f>
        <v>3029</v>
      </c>
      <c r="E16" s="48" t="s">
        <v>157</v>
      </c>
      <c r="F16" s="86">
        <f>+'Balance Sheet'!$G$37</f>
        <v>3029</v>
      </c>
    </row>
    <row r="17" spans="1:18">
      <c r="A17" s="231"/>
      <c r="B17" s="49" t="s">
        <v>158</v>
      </c>
      <c r="C17" s="78">
        <f>+C13-C15-C16</f>
        <v>-16119.774703898845</v>
      </c>
      <c r="E17" s="49" t="s">
        <v>158</v>
      </c>
      <c r="F17" s="78">
        <f>+F13-F15-F16</f>
        <v>64498.720566415112</v>
      </c>
      <c r="H17" s="79" t="s">
        <v>229</v>
      </c>
      <c r="I17" s="78">
        <f>IF(I5="","",I8-I10+I11+I14-I15-I12+I13)</f>
        <v>15704.438561507402</v>
      </c>
      <c r="J17" s="78">
        <f t="shared" ref="J17:R17" si="0">IF(J5="","",J8-J10+J11+J14-J15-J12+J13)</f>
        <v>7277.8329068438034</v>
      </c>
      <c r="K17" s="78">
        <f t="shared" si="0"/>
        <v>7752.2127531237729</v>
      </c>
      <c r="L17" s="78">
        <f t="shared" si="0"/>
        <v>7027.537050753871</v>
      </c>
      <c r="M17" s="78">
        <f t="shared" si="0"/>
        <v>8250.0432136889995</v>
      </c>
      <c r="N17" s="78" t="str">
        <f t="shared" si="0"/>
        <v/>
      </c>
      <c r="O17" s="78" t="str">
        <f t="shared" si="0"/>
        <v/>
      </c>
      <c r="P17" s="78" t="str">
        <f t="shared" si="0"/>
        <v/>
      </c>
      <c r="Q17" s="78" t="str">
        <f t="shared" si="0"/>
        <v/>
      </c>
      <c r="R17" s="78" t="str">
        <f t="shared" si="0"/>
        <v/>
      </c>
    </row>
    <row r="18" spans="1:18">
      <c r="A18" s="231"/>
    </row>
    <row r="19" spans="1:18">
      <c r="A19" s="231"/>
      <c r="B19" s="48" t="s">
        <v>159</v>
      </c>
      <c r="C19" s="86">
        <f>+Assumptions!$C$23</f>
        <v>2178</v>
      </c>
      <c r="E19" s="48" t="s">
        <v>159</v>
      </c>
      <c r="F19" s="86">
        <f>+Assumptions!$C$23</f>
        <v>2178</v>
      </c>
      <c r="H19" s="59" t="s">
        <v>178</v>
      </c>
      <c r="I19" s="89">
        <f>IF(I5="","",1/((1+$C7)^COUNTA($I5:I5)))</f>
        <v>0.86986287808458262</v>
      </c>
      <c r="J19" s="89">
        <f>IF(J5="","",1/((1+$C7)^COUNTA($I5:J5)))</f>
        <v>0.75666142666959346</v>
      </c>
      <c r="K19" s="89">
        <f>IF(K5="","",1/((1+$C7)^COUNTA($I5:K5)))</f>
        <v>0.65819168633839897</v>
      </c>
      <c r="L19" s="89">
        <f>IF(L5="","",1/((1+$C7)^COUNTA($I5:L5)))</f>
        <v>0.57253651460966459</v>
      </c>
      <c r="M19" s="89">
        <f>IF(M5="","",1/((1+$C7)^COUNTA($I5:M5)))</f>
        <v>0.49802826040687859</v>
      </c>
      <c r="N19" s="89" t="str">
        <f>IF(N5="","",1/((1+$C7)^COUNTA($I5:N5)))</f>
        <v/>
      </c>
      <c r="O19" s="89" t="str">
        <f>IF(O5="","",1/((1+$C7)^COUNTA($I5:O5)))</f>
        <v/>
      </c>
      <c r="P19" s="89" t="str">
        <f>IF(P5="","",1/((1+$C7)^COUNTA($I5:P5)))</f>
        <v/>
      </c>
      <c r="Q19" s="89" t="str">
        <f>IF(Q5="","",1/((1+$C7)^COUNTA($I5:Q5)))</f>
        <v/>
      </c>
      <c r="R19" s="89" t="str">
        <f>IF(R5="","",1/((1+$C7)^COUNTA($I5:R5)))</f>
        <v/>
      </c>
    </row>
    <row r="20" spans="1:18" ht="12" thickBot="1">
      <c r="A20" s="231"/>
      <c r="B20" s="54" t="s">
        <v>186</v>
      </c>
      <c r="C20" s="88">
        <f>+C17/C19</f>
        <v>-7.4011821413676975</v>
      </c>
      <c r="E20" s="54" t="s">
        <v>186</v>
      </c>
      <c r="F20" s="88">
        <f>+F17/F19</f>
        <v>29.61373763379941</v>
      </c>
      <c r="H20" s="54" t="s">
        <v>230</v>
      </c>
      <c r="I20" s="88">
        <f t="shared" ref="I20" si="1">IF(I5="","",I17*I19)</f>
        <v>13660.708125815332</v>
      </c>
      <c r="J20" s="88">
        <f t="shared" ref="J20:R20" si="2">IF(J5="","",J17*J19)</f>
        <v>5506.8554303553465</v>
      </c>
      <c r="K20" s="88">
        <f t="shared" si="2"/>
        <v>5102.4419848325788</v>
      </c>
      <c r="L20" s="88">
        <f t="shared" si="2"/>
        <v>4023.5215693289028</v>
      </c>
      <c r="M20" s="88">
        <f t="shared" si="2"/>
        <v>4108.7546699951063</v>
      </c>
      <c r="N20" s="88" t="str">
        <f t="shared" si="2"/>
        <v/>
      </c>
      <c r="O20" s="88" t="str">
        <f t="shared" si="2"/>
        <v/>
      </c>
      <c r="P20" s="88" t="str">
        <f t="shared" si="2"/>
        <v/>
      </c>
      <c r="Q20" s="88" t="str">
        <f t="shared" si="2"/>
        <v/>
      </c>
      <c r="R20" s="88" t="str">
        <f t="shared" si="2"/>
        <v/>
      </c>
    </row>
    <row r="21" spans="1:18" ht="12" thickTop="1"/>
    <row r="23" spans="1:18">
      <c r="A23" s="232" t="s">
        <v>2</v>
      </c>
      <c r="B23" s="61" t="str">
        <f>_xlfn.TEXTBEFORE(B$4," - ")&amp;" - "&amp;$A23</f>
        <v>Perpetuity Growth Method - Bear</v>
      </c>
      <c r="C23" s="61"/>
      <c r="E23" s="61" t="str">
        <f>_xlfn.TEXTBEFORE(E$4," - ")&amp;" - "&amp;$A23</f>
        <v>EBITDA Multiple Method - Bear</v>
      </c>
      <c r="F23" s="61"/>
      <c r="H23" s="14" t="str">
        <f>Assumptions!$B$113</f>
        <v>Year Ending December 31, In CAD Millions</v>
      </c>
      <c r="I23" s="60" cm="1">
        <f t="array" ref="I23:M23">_xlfn.SEQUENCE(1,Assumptions!$C$21,(YEAR(Assumptions!$C$20)))</f>
        <v>2024</v>
      </c>
      <c r="J23" s="60">
        <v>2025</v>
      </c>
      <c r="K23" s="60">
        <v>2026</v>
      </c>
      <c r="L23" s="60">
        <v>2027</v>
      </c>
      <c r="M23" s="60">
        <v>2028</v>
      </c>
      <c r="N23" s="60"/>
      <c r="O23" s="60"/>
      <c r="P23" s="60"/>
      <c r="Q23" s="60"/>
      <c r="R23" s="60"/>
    </row>
    <row r="24" spans="1:18">
      <c r="A24" s="232"/>
      <c r="B24" s="55" t="str">
        <f>"Free Cash Flow at Year "&amp;COUNTA($I23:$R23)</f>
        <v>Free Cash Flow at Year 5</v>
      </c>
      <c r="C24" s="76" cm="1">
        <f t="array" ref="C24">LOOKUP(2,1/(I35:R35&lt;&gt;""),I35:R35)</f>
        <v>6739.5684537469651</v>
      </c>
      <c r="E24" s="55" t="str">
        <f>"Terminal EBITDA at Year  "&amp;COUNTA($I23:$R23)</f>
        <v>Terminal EBITDA at Year  5</v>
      </c>
      <c r="F24" s="76" cm="1">
        <f t="array" ref="F24">LOOKUP(2,1/($I24:$R24&lt;&gt;""),$I24:$R24)</f>
        <v>12690.432914050578</v>
      </c>
      <c r="H24" s="10" t="s">
        <v>49</v>
      </c>
      <c r="I24" s="13">
        <f>IF(I23="","",'IS Bear'!H$53)</f>
        <v>12195.256593380402</v>
      </c>
      <c r="J24" s="13">
        <f>IF(J23="","",'IS Bear'!I$53)</f>
        <v>12317.209159314201</v>
      </c>
      <c r="K24" s="13">
        <f>IF(K23="","",'IS Bear'!J$53)</f>
        <v>12440.381250907347</v>
      </c>
      <c r="L24" s="13">
        <f>IF(L23="","",'IS Bear'!K$53)</f>
        <v>12564.785063416419</v>
      </c>
      <c r="M24" s="13">
        <f>IF(M23="","",'IS Bear'!L$53)</f>
        <v>12690.432914050578</v>
      </c>
      <c r="N24" s="13" t="str">
        <f>IF(N23="","",'IS Bear'!M$53)</f>
        <v/>
      </c>
      <c r="O24" s="13" t="str">
        <f>IF(O23="","",'IS Bear'!N$53)</f>
        <v/>
      </c>
      <c r="P24" s="13" t="str">
        <f>IF(P23="","",'IS Bear'!O$53)</f>
        <v/>
      </c>
      <c r="Q24" s="13" t="str">
        <f>IF(Q23="","",'IS Bear'!P$53)</f>
        <v/>
      </c>
      <c r="R24" s="13" t="str">
        <f>IF(R23="","",'IS Bear'!Q$53)</f>
        <v/>
      </c>
    </row>
    <row r="25" spans="1:18">
      <c r="A25" s="232"/>
      <c r="B25" s="48" t="s">
        <v>220</v>
      </c>
      <c r="C25" s="51">
        <f>Assumptions!$C$102</f>
        <v>0.14960647843942504</v>
      </c>
      <c r="E25" s="48" t="s">
        <v>220</v>
      </c>
      <c r="F25" s="51">
        <f>Assumptions!$C$102</f>
        <v>0.14960647843942504</v>
      </c>
      <c r="I25" s="12"/>
      <c r="J25" s="12"/>
      <c r="K25" s="12"/>
      <c r="L25" s="12"/>
      <c r="M25" s="12"/>
      <c r="N25" s="12"/>
      <c r="O25" s="12"/>
      <c r="P25" s="12"/>
      <c r="Q25" s="12"/>
      <c r="R25" s="12"/>
    </row>
    <row r="26" spans="1:18">
      <c r="A26" s="232"/>
      <c r="B26" s="48" t="s">
        <v>154</v>
      </c>
      <c r="C26" s="50">
        <f>Assumptions!$C$114</f>
        <v>0.03</v>
      </c>
      <c r="E26" s="48" t="s">
        <v>187</v>
      </c>
      <c r="F26" s="67">
        <f>Assumptions!$C$22</f>
        <v>16.64</v>
      </c>
      <c r="H26" s="52" t="s">
        <v>183</v>
      </c>
      <c r="I26" s="77">
        <f>IF(I23="","",'IS Bear'!H$60)</f>
        <v>6951.2918875967498</v>
      </c>
      <c r="J26" s="77">
        <f>IF(J23="","",'IS Bear'!I$60)</f>
        <v>7015.569076938903</v>
      </c>
      <c r="K26" s="77">
        <f>IF(K23="","",'IS Bear'!J$60)</f>
        <v>7080.3301870239729</v>
      </c>
      <c r="L26" s="77">
        <f>IF(L23="","",'IS Bear'!K$60)</f>
        <v>7134.8526214239573</v>
      </c>
      <c r="M26" s="77">
        <f>IF(M23="","",'IS Bear'!L$60)</f>
        <v>7199.5454377887536</v>
      </c>
      <c r="N26" s="77" t="str">
        <f>IF(N23="","",'IS Bear'!M$60)</f>
        <v/>
      </c>
      <c r="O26" s="77" t="str">
        <f>IF(O23="","",'IS Bear'!N$60)</f>
        <v/>
      </c>
      <c r="P26" s="77" t="str">
        <f>IF(P23="","",'IS Bear'!O$60)</f>
        <v/>
      </c>
      <c r="Q26" s="77" t="str">
        <f>IF(Q23="","",'IS Bear'!P$60)</f>
        <v/>
      </c>
      <c r="R26" s="77" t="str">
        <f>IF(R23="","",'IS Bear'!Q$60)</f>
        <v/>
      </c>
    </row>
    <row r="27" spans="1:18">
      <c r="A27" s="232"/>
      <c r="B27" s="53" t="str">
        <f>+"Perpetuity Value at Year "&amp;COUNTA($I23:$R23)&amp;" ~ Terminal Value"</f>
        <v>Perpetuity Value at Year 5 ~ Terminal Value</v>
      </c>
      <c r="C27" s="74">
        <f>(C24*(1+C26))/(C25-C26)</f>
        <v>58038.290215818379</v>
      </c>
      <c r="E27" s="53" t="str">
        <f>+"Perpetuity Value at Year "&amp;COUNTA($I23:$R23)&amp;" ~ Terminal Value"</f>
        <v>Perpetuity Value at Year 5 ~ Terminal Value</v>
      </c>
      <c r="F27" s="74">
        <f>+F24*F26</f>
        <v>211168.80368980163</v>
      </c>
    </row>
    <row r="28" spans="1:18">
      <c r="A28" s="232"/>
      <c r="C28" s="12"/>
      <c r="F28" s="12"/>
      <c r="H28" s="58" t="s">
        <v>25</v>
      </c>
      <c r="I28" s="77">
        <f>IF(I23="","",'IS Bear'!H$44)</f>
        <v>5359.5059611384077</v>
      </c>
      <c r="J28" s="77">
        <f>IF(J23="","",'IS Bear'!I$44)</f>
        <v>5413.1010207497911</v>
      </c>
      <c r="K28" s="77">
        <f>IF(K23="","",'IS Bear'!J$44)</f>
        <v>5467.2320309572888</v>
      </c>
      <c r="L28" s="77">
        <f>IF(L23="","",'IS Bear'!K$44)</f>
        <v>5521.9043512668622</v>
      </c>
      <c r="M28" s="77">
        <f>IF(M23="","",'IS Bear'!L$44)</f>
        <v>5577.1233947795308</v>
      </c>
      <c r="N28" s="77" t="str">
        <f>IF(N23="","",'IS Bear'!M$44)</f>
        <v/>
      </c>
      <c r="O28" s="77" t="str">
        <f>IF(O23="","",'IS Bear'!N$44)</f>
        <v/>
      </c>
      <c r="P28" s="77" t="str">
        <f>IF(P23="","",'IS Bear'!O$44)</f>
        <v/>
      </c>
      <c r="Q28" s="77" t="str">
        <f>IF(Q23="","",'IS Bear'!P$44)</f>
        <v/>
      </c>
      <c r="R28" s="77" t="str">
        <f>IF(R23="","",'IS Bear'!Q$44)</f>
        <v/>
      </c>
    </row>
    <row r="29" spans="1:18">
      <c r="A29" s="232"/>
      <c r="B29" s="52" t="s">
        <v>155</v>
      </c>
      <c r="C29" s="76">
        <f>C27/(1+C25)^COUNTA($I23:$R23)</f>
        <v>28904.70871317359</v>
      </c>
      <c r="E29" s="52" t="s">
        <v>155</v>
      </c>
      <c r="F29" s="76">
        <f>F27/(1+F25)^COUNTA($I23:$R23)</f>
        <v>105168.03195383355</v>
      </c>
      <c r="H29" s="58" t="s">
        <v>32</v>
      </c>
      <c r="I29" s="77">
        <f>IF(I23="","",'IS Bear'!H$47)</f>
        <v>3984.3650059997758</v>
      </c>
      <c r="J29" s="77">
        <f>IF(J23="","",'IS Bear'!I$47)</f>
        <v>4024.2086560597727</v>
      </c>
      <c r="K29" s="77">
        <f>IF(K23="","",'IS Bear'!J$47)</f>
        <v>4064.4507426203704</v>
      </c>
      <c r="L29" s="77">
        <f>IF(L23="","",'IS Bear'!K$47)</f>
        <v>4105.0952500465746</v>
      </c>
      <c r="M29" s="77">
        <f>IF(M23="","",'IS Bear'!L$47)</f>
        <v>4146.14620254704</v>
      </c>
      <c r="N29" s="77" t="str">
        <f>IF(N23="","",'IS Bear'!M$47)</f>
        <v/>
      </c>
      <c r="O29" s="77" t="str">
        <f>IF(O23="","",'IS Bear'!N$47)</f>
        <v/>
      </c>
      <c r="P29" s="77" t="str">
        <f>IF(P23="","",'IS Bear'!O$47)</f>
        <v/>
      </c>
      <c r="Q29" s="77" t="str">
        <f>IF(Q23="","",'IS Bear'!P$47)</f>
        <v/>
      </c>
      <c r="R29" s="77" t="str">
        <f>IF(R23="","",'IS Bear'!Q$47)</f>
        <v/>
      </c>
    </row>
    <row r="30" spans="1:18">
      <c r="A30" s="232"/>
      <c r="B30" s="75" t="s">
        <v>180</v>
      </c>
      <c r="C30" s="77">
        <f>SUM($I38:$R38)</f>
        <v>29677.98645135172</v>
      </c>
      <c r="E30" s="75" t="s">
        <v>180</v>
      </c>
      <c r="F30" s="77">
        <f>SUM($I38:$R38)</f>
        <v>29677.98645135172</v>
      </c>
      <c r="H30" s="58" t="s">
        <v>255</v>
      </c>
      <c r="I30" s="77">
        <f>IF(I23="","",'BS Bear'!H$47-'BS Bear'!G$47)</f>
        <v>-10096.987373687838</v>
      </c>
      <c r="J30" s="77">
        <f>IF(J23="","",'BS Bear'!I$47-'BS Bear'!H$47)</f>
        <v>-1202.3929379230576</v>
      </c>
      <c r="K30" s="77">
        <f>IF(K23="","",'BS Bear'!J$47-'BS Bear'!I$47)</f>
        <v>-1186.1247241151395</v>
      </c>
      <c r="L30" s="77">
        <f>IF(L23="","",'BS Bear'!K$47-'BS Bear'!J$47)</f>
        <v>-53.207108312199125</v>
      </c>
      <c r="M30" s="77">
        <f>IF(M23="","",'BS Bear'!L$47-'BS Bear'!K$47)</f>
        <v>-943.54511043539605</v>
      </c>
      <c r="N30" s="77" t="str">
        <f>IF(N23="","",'BS Bear'!M$47-'BS Bear'!L$47)</f>
        <v/>
      </c>
      <c r="O30" s="77" t="str">
        <f>IF(O23="","",'BS Bear'!N$47-'BS Bear'!M$47)</f>
        <v/>
      </c>
      <c r="P30" s="77" t="str">
        <f>IF(P23="","",'BS Bear'!O$47-'BS Bear'!N$47)</f>
        <v/>
      </c>
      <c r="Q30" s="77" t="str">
        <f>IF(Q23="","",'BS Bear'!P$47-'BS Bear'!O$47)</f>
        <v/>
      </c>
      <c r="R30" s="77" t="str">
        <f>IF(R23="","",'BS Bear'!Q$47-'BS Bear'!P$47)</f>
        <v/>
      </c>
    </row>
    <row r="31" spans="1:18">
      <c r="A31" s="232"/>
      <c r="B31" s="49" t="s">
        <v>156</v>
      </c>
      <c r="C31" s="78">
        <f>C29+C30</f>
        <v>58582.695164525314</v>
      </c>
      <c r="E31" s="49" t="s">
        <v>156</v>
      </c>
      <c r="F31" s="78">
        <f>F29+F30</f>
        <v>134846.01840518526</v>
      </c>
      <c r="H31" s="58" t="s">
        <v>254</v>
      </c>
      <c r="I31" s="12">
        <f>IF(I23="","",Assumptions!I$303*'IS Bear'!H$4)</f>
        <v>1229.9912821454534</v>
      </c>
      <c r="J31" s="12">
        <f>IF(J23="","",Assumptions!J$303*'IS Bear'!I$4)</f>
        <v>1350.773666773807</v>
      </c>
      <c r="K31" s="12">
        <f>IF(K23="","",Assumptions!K$303*'IS Bear'!J$4)</f>
        <v>1477.2110189851508</v>
      </c>
      <c r="L31" s="12">
        <f>IF(L23="","",Assumptions!L$303*'IS Bear'!K$4)</f>
        <v>1474.0680100084048</v>
      </c>
      <c r="M31" s="12">
        <f>IF(M23="","",Assumptions!M$303*'IS Bear'!L$4)</f>
        <v>1423.7587699759322</v>
      </c>
      <c r="N31" s="12" t="str">
        <f>IF(N23="","",Assumptions!N$303*'IS Bear'!M$4)</f>
        <v/>
      </c>
      <c r="O31" s="12" t="str">
        <f>IF(O23="","",Assumptions!O$303*'IS Bear'!N$4)</f>
        <v/>
      </c>
      <c r="P31" s="12" t="str">
        <f>IF(P23="","",Assumptions!P$303*'IS Bear'!O$4)</f>
        <v/>
      </c>
      <c r="Q31" s="12" t="str">
        <f>IF(Q23="","",Assumptions!Q$303*'IS Bear'!P$4)</f>
        <v/>
      </c>
      <c r="R31" s="12" t="str">
        <f>IF(R23="","",Assumptions!R$303*'IS Bear'!Q$4)</f>
        <v/>
      </c>
    </row>
    <row r="32" spans="1:18">
      <c r="A32" s="232"/>
      <c r="C32" s="12"/>
      <c r="F32" s="12"/>
      <c r="H32" s="58" t="s">
        <v>250</v>
      </c>
      <c r="I32" s="77">
        <f>IF(I24="","",'IS Bear'!H$51)</f>
        <v>107.8094829302988</v>
      </c>
      <c r="J32" s="77">
        <f>IF(J24="","",'IS Bear'!I$51)</f>
        <v>108.88757775960178</v>
      </c>
      <c r="K32" s="77">
        <f>IF(K24="","",'IS Bear'!J$51)</f>
        <v>109.9764535371978</v>
      </c>
      <c r="L32" s="77">
        <f>IF(L24="","",'IS Bear'!K$51)</f>
        <v>111.07621807256977</v>
      </c>
      <c r="M32" s="77">
        <f>IF(M24="","",'IS Bear'!L$51)</f>
        <v>112.18698025329547</v>
      </c>
      <c r="N32" s="77" t="str">
        <f>IF(N24="","",'IS Bear'!M$51)</f>
        <v/>
      </c>
      <c r="O32" s="77" t="str">
        <f>IF(O24="","",'IS Bear'!N$51)</f>
        <v/>
      </c>
      <c r="P32" s="77" t="str">
        <f>IF(P24="","",'IS Bear'!O$51)</f>
        <v/>
      </c>
      <c r="Q32" s="77" t="str">
        <f>IF(Q24="","",'IS Bear'!P$51)</f>
        <v/>
      </c>
      <c r="R32" s="77" t="str">
        <f>IF(R24="","",'IS Bear'!Q$51)</f>
        <v/>
      </c>
    </row>
    <row r="33" spans="1:18">
      <c r="A33" s="232"/>
      <c r="B33" s="48" t="s">
        <v>120</v>
      </c>
      <c r="C33" s="77">
        <f>+'Balance Sheet'!$G$48</f>
        <v>80875.899999999994</v>
      </c>
      <c r="E33" s="48" t="s">
        <v>120</v>
      </c>
      <c r="F33" s="77">
        <f>+'Balance Sheet'!$G$48</f>
        <v>80875.899999999994</v>
      </c>
      <c r="H33" s="11" t="s">
        <v>257</v>
      </c>
      <c r="I33" s="12">
        <f>IF(I23="","",'IS Bear'!H$25-('IS Bear'!H$4*Assumptions!I$150))</f>
        <v>1605.2024033912203</v>
      </c>
      <c r="J33" s="12">
        <f>IF(J23="","",'IS Bear'!I$25-('IS Bear'!I$4*Assumptions!J$150))</f>
        <v>1596.3223820260305</v>
      </c>
      <c r="K33" s="12">
        <f>IF(K23="","",'IS Bear'!J$25-('IS Bear'!J$4*Assumptions!K$150))</f>
        <v>1586.5971263971383</v>
      </c>
      <c r="L33" s="12">
        <f>IF(L23="","",'IS Bear'!K$25-('IS Bear'!K$4*Assumptions!L$150))</f>
        <v>1524.935157326574</v>
      </c>
      <c r="M33" s="12">
        <f>IF(M23="","",'IS Bear'!L$25-('IS Bear'!L$4*Assumptions!M$150))</f>
        <v>1508.4906524739215</v>
      </c>
      <c r="N33" s="12" t="str">
        <f>IF(N23="","",'IS Bear'!M$25-('IS Bear'!M$4*Assumptions!N$150))</f>
        <v/>
      </c>
      <c r="O33" s="12" t="str">
        <f>IF(O23="","",'IS Bear'!N$25-('IS Bear'!N$4*Assumptions!O$150))</f>
        <v/>
      </c>
      <c r="P33" s="12" t="str">
        <f>IF(P23="","",'IS Bear'!O$25-('IS Bear'!O$4*Assumptions!P$150))</f>
        <v/>
      </c>
      <c r="Q33" s="12" t="str">
        <f>IF(Q23="","",'IS Bear'!P$25-('IS Bear'!P$4*Assumptions!Q$150))</f>
        <v/>
      </c>
      <c r="R33" s="12" t="str">
        <f>IF(R23="","",'IS Bear'!Q$25-('IS Bear'!Q$4*Assumptions!R$150))</f>
        <v/>
      </c>
    </row>
    <row r="34" spans="1:18">
      <c r="A34" s="232"/>
      <c r="B34" s="48" t="s">
        <v>157</v>
      </c>
      <c r="C34" s="86">
        <f>+'Balance Sheet'!$G$37</f>
        <v>3029</v>
      </c>
      <c r="E34" s="48" t="s">
        <v>157</v>
      </c>
      <c r="F34" s="86">
        <f>+'Balance Sheet'!$G$37</f>
        <v>3029</v>
      </c>
    </row>
    <row r="35" spans="1:18">
      <c r="A35" s="232"/>
      <c r="B35" s="49" t="s">
        <v>158</v>
      </c>
      <c r="C35" s="78">
        <f>+C31-C33-C34</f>
        <v>-25322.20483547468</v>
      </c>
      <c r="E35" s="49" t="s">
        <v>158</v>
      </c>
      <c r="F35" s="78">
        <f>+F31-F33-F34</f>
        <v>50941.118405185262</v>
      </c>
      <c r="H35" s="79" t="s">
        <v>229</v>
      </c>
      <c r="I35" s="78">
        <f>IF(I23="","",I26-I28+I29+I32-I33-I30+I31)</f>
        <v>15405.736667830488</v>
      </c>
      <c r="J35" s="78">
        <f t="shared" ref="J35:R35" si="3">IF(J23="","",J26-J28+J29+J32-J33-J30+J31)</f>
        <v>6692.4085126793207</v>
      </c>
      <c r="K35" s="78">
        <f t="shared" si="3"/>
        <v>6864.2639689274047</v>
      </c>
      <c r="L35" s="78">
        <f t="shared" si="3"/>
        <v>5831.4596992702691</v>
      </c>
      <c r="M35" s="78">
        <f t="shared" si="3"/>
        <v>6739.5684537469651</v>
      </c>
      <c r="N35" s="78" t="str">
        <f t="shared" si="3"/>
        <v/>
      </c>
      <c r="O35" s="78" t="str">
        <f t="shared" si="3"/>
        <v/>
      </c>
      <c r="P35" s="78" t="str">
        <f t="shared" si="3"/>
        <v/>
      </c>
      <c r="Q35" s="78" t="str">
        <f t="shared" si="3"/>
        <v/>
      </c>
      <c r="R35" s="78" t="str">
        <f t="shared" si="3"/>
        <v/>
      </c>
    </row>
    <row r="36" spans="1:18">
      <c r="A36" s="232"/>
    </row>
    <row r="37" spans="1:18">
      <c r="A37" s="232"/>
      <c r="B37" s="48" t="s">
        <v>159</v>
      </c>
      <c r="C37" s="86">
        <f>+Assumptions!$C$23</f>
        <v>2178</v>
      </c>
      <c r="E37" s="48" t="s">
        <v>159</v>
      </c>
      <c r="F37" s="86">
        <f>+Assumptions!$C$23</f>
        <v>2178</v>
      </c>
      <c r="H37" s="59" t="s">
        <v>178</v>
      </c>
      <c r="I37" s="89">
        <f>IF(I23="","",1/((1+$C25)^COUNTA($I23:I23)))</f>
        <v>0.86986287808458262</v>
      </c>
      <c r="J37" s="89">
        <f>IF(J23="","",1/((1+$C25)^COUNTA($I23:J23)))</f>
        <v>0.75666142666959346</v>
      </c>
      <c r="K37" s="89">
        <f>IF(K23="","",1/((1+$C25)^COUNTA($I23:K23)))</f>
        <v>0.65819168633839897</v>
      </c>
      <c r="L37" s="89">
        <f>IF(L23="","",1/((1+$C25)^COUNTA($I23:L23)))</f>
        <v>0.57253651460966459</v>
      </c>
      <c r="M37" s="89">
        <f>IF(M23="","",1/((1+$C25)^COUNTA($I23:M23)))</f>
        <v>0.49802826040687859</v>
      </c>
      <c r="N37" s="89" t="str">
        <f>IF(N23="","",1/((1+$C25)^COUNTA($I23:N23)))</f>
        <v/>
      </c>
      <c r="O37" s="89" t="str">
        <f>IF(O23="","",1/((1+$C25)^COUNTA($I23:O23)))</f>
        <v/>
      </c>
      <c r="P37" s="89" t="str">
        <f>IF(P23="","",1/((1+$C25)^COUNTA($I23:P23)))</f>
        <v/>
      </c>
      <c r="Q37" s="89" t="str">
        <f>IF(Q23="","",1/((1+$C25)^COUNTA($I23:Q23)))</f>
        <v/>
      </c>
      <c r="R37" s="89" t="str">
        <f>IF(R23="","",1/((1+$C25)^COUNTA($I23:R23)))</f>
        <v/>
      </c>
    </row>
    <row r="38" spans="1:18" ht="12" thickBot="1">
      <c r="A38" s="232"/>
      <c r="B38" s="54" t="s">
        <v>186</v>
      </c>
      <c r="C38" s="88">
        <f>+C35/C37</f>
        <v>-11.626356673771662</v>
      </c>
      <c r="E38" s="54" t="s">
        <v>186</v>
      </c>
      <c r="F38" s="88">
        <f>+F35/F37</f>
        <v>23.388943253069449</v>
      </c>
      <c r="H38" s="54" t="s">
        <v>230</v>
      </c>
      <c r="I38" s="88">
        <f t="shared" ref="I38:R38" si="4">IF(I23="","",I35*I37)</f>
        <v>13400.878436892215</v>
      </c>
      <c r="J38" s="88">
        <f t="shared" si="4"/>
        <v>5063.887373059667</v>
      </c>
      <c r="K38" s="88">
        <f t="shared" si="4"/>
        <v>4518.0014771802398</v>
      </c>
      <c r="L38" s="88">
        <f t="shared" si="4"/>
        <v>3338.7236113069225</v>
      </c>
      <c r="M38" s="88">
        <f t="shared" si="4"/>
        <v>3356.4955529126778</v>
      </c>
      <c r="N38" s="88" t="str">
        <f t="shared" si="4"/>
        <v/>
      </c>
      <c r="O38" s="88" t="str">
        <f t="shared" si="4"/>
        <v/>
      </c>
      <c r="P38" s="88" t="str">
        <f t="shared" si="4"/>
        <v/>
      </c>
      <c r="Q38" s="88" t="str">
        <f t="shared" si="4"/>
        <v/>
      </c>
      <c r="R38" s="88" t="str">
        <f t="shared" si="4"/>
        <v/>
      </c>
    </row>
    <row r="39" spans="1:18" ht="12" thickTop="1"/>
    <row r="41" spans="1:18">
      <c r="A41" s="233" t="s">
        <v>4</v>
      </c>
      <c r="B41" s="61" t="str">
        <f>_xlfn.TEXTBEFORE(B$4," - ")&amp;" - "&amp;$A41</f>
        <v>Perpetuity Growth Method - Bull</v>
      </c>
      <c r="C41" s="61"/>
      <c r="E41" s="61" t="str">
        <f>_xlfn.TEXTBEFORE(E$4," - ")&amp;" - "&amp;$A41</f>
        <v>EBITDA Multiple Method - Bull</v>
      </c>
      <c r="F41" s="61"/>
      <c r="H41" s="14" t="str">
        <f>Assumptions!$B$113</f>
        <v>Year Ending December 31, In CAD Millions</v>
      </c>
      <c r="I41" s="60" cm="1">
        <f t="array" ref="I41:M41">_xlfn.SEQUENCE(1,Assumptions!$C$21,(YEAR(Assumptions!$C$20)))</f>
        <v>2024</v>
      </c>
      <c r="J41" s="60">
        <v>2025</v>
      </c>
      <c r="K41" s="60">
        <v>2026</v>
      </c>
      <c r="L41" s="60">
        <v>2027</v>
      </c>
      <c r="M41" s="60">
        <v>2028</v>
      </c>
      <c r="N41" s="60"/>
      <c r="O41" s="60"/>
      <c r="P41" s="60"/>
      <c r="Q41" s="60"/>
      <c r="R41" s="60"/>
    </row>
    <row r="42" spans="1:18">
      <c r="A42" s="233"/>
      <c r="B42" s="55" t="str">
        <f>"Free Cash Flow at Year "&amp;COUNTA($I41:$R41)</f>
        <v>Free Cash Flow at Year 5</v>
      </c>
      <c r="C42" s="76" cm="1">
        <f t="array" ref="C42">LOOKUP(2,1/(I53:R53&lt;&gt;""),I53:R53)</f>
        <v>9885.0675178805777</v>
      </c>
      <c r="E42" s="55" t="str">
        <f>"Terminal EBITDA at Year  "&amp;COUNTA($I41:$R41)</f>
        <v>Terminal EBITDA at Year  5</v>
      </c>
      <c r="F42" s="76" cm="1">
        <f t="array" ref="F42">LOOKUP(2,1/($I42:$R42&lt;&gt;""),$I42:$R42)</f>
        <v>15410.476376324725</v>
      </c>
      <c r="H42" s="10" t="s">
        <v>49</v>
      </c>
      <c r="I42" s="13">
        <f>IF(I41="","",'IS Bull'!H$53)</f>
        <v>12678.23705252418</v>
      </c>
      <c r="J42" s="13">
        <f>IF(J41="","",'IS Bull'!I$53)</f>
        <v>13312.148905150392</v>
      </c>
      <c r="K42" s="13">
        <f>IF(K41="","",'IS Bull'!J$53)</f>
        <v>13977.756350407908</v>
      </c>
      <c r="L42" s="13">
        <f>IF(L41="","",'IS Bull'!K$53)</f>
        <v>14676.644167928309</v>
      </c>
      <c r="M42" s="13">
        <f>IF(M41="","",'IS Bull'!L$53)</f>
        <v>15410.476376324725</v>
      </c>
      <c r="N42" s="13" t="str">
        <f>IF(N41="","",'IS Bull'!M$53)</f>
        <v/>
      </c>
      <c r="O42" s="13" t="str">
        <f>IF(O41="","",'IS Bull'!N$53)</f>
        <v/>
      </c>
      <c r="P42" s="13" t="str">
        <f>IF(P41="","",'IS Bull'!O$53)</f>
        <v/>
      </c>
      <c r="Q42" s="13" t="str">
        <f>IF(Q41="","",'IS Bull'!P$53)</f>
        <v/>
      </c>
      <c r="R42" s="13" t="str">
        <f>IF(R41="","",'IS Bull'!Q$53)</f>
        <v/>
      </c>
    </row>
    <row r="43" spans="1:18">
      <c r="A43" s="233"/>
      <c r="B43" s="48" t="s">
        <v>220</v>
      </c>
      <c r="C43" s="51">
        <f>Assumptions!$C$102</f>
        <v>0.14960647843942504</v>
      </c>
      <c r="E43" s="48" t="s">
        <v>220</v>
      </c>
      <c r="F43" s="51">
        <f>Assumptions!$C$102</f>
        <v>0.14960647843942504</v>
      </c>
      <c r="I43" s="12"/>
      <c r="J43" s="12"/>
      <c r="K43" s="12"/>
      <c r="L43" s="12"/>
      <c r="M43" s="12"/>
      <c r="N43" s="12"/>
      <c r="O43" s="12"/>
      <c r="P43" s="12"/>
      <c r="Q43" s="12"/>
      <c r="R43" s="12"/>
    </row>
    <row r="44" spans="1:18">
      <c r="A44" s="233"/>
      <c r="B44" s="48" t="s">
        <v>154</v>
      </c>
      <c r="C44" s="50">
        <f>Assumptions!$C$114</f>
        <v>0.03</v>
      </c>
      <c r="E44" s="48" t="s">
        <v>187</v>
      </c>
      <c r="F44" s="67">
        <f>Assumptions!$C$22</f>
        <v>16.64</v>
      </c>
      <c r="H44" s="52" t="s">
        <v>183</v>
      </c>
      <c r="I44" s="77">
        <f>IF(I41="","",'IS Bull'!H$60)</f>
        <v>7197.5574059827431</v>
      </c>
      <c r="J44" s="77">
        <f>IF(J41="","",'IS Bull'!I$60)</f>
        <v>7522.8760448140511</v>
      </c>
      <c r="K44" s="77">
        <f>IF(K41="","",'IS Bull'!J$60)</f>
        <v>7864.217958598424</v>
      </c>
      <c r="L44" s="77">
        <f>IF(L41="","",'IS Bull'!K$60)</f>
        <v>8211.6623914357424</v>
      </c>
      <c r="M44" s="77">
        <f>IF(M41="","",'IS Bull'!L$60)</f>
        <v>8586.4605822583217</v>
      </c>
      <c r="N44" s="77" t="str">
        <f>IF(N41="","",'IS Bull'!M$60)</f>
        <v/>
      </c>
      <c r="O44" s="77" t="str">
        <f>IF(O41="","",'IS Bull'!N$60)</f>
        <v/>
      </c>
      <c r="P44" s="77" t="str">
        <f>IF(P41="","",'IS Bull'!O$60)</f>
        <v/>
      </c>
      <c r="Q44" s="77" t="str">
        <f>IF(Q41="","",'IS Bull'!P$60)</f>
        <v/>
      </c>
      <c r="R44" s="77" t="str">
        <f>IF(R41="","",'IS Bull'!Q$60)</f>
        <v/>
      </c>
    </row>
    <row r="45" spans="1:18">
      <c r="A45" s="233"/>
      <c r="B45" s="53" t="str">
        <f>+"Perpetuity Value at Year "&amp;COUNTA($I41:$R41)&amp;" ~ Terminal Value"</f>
        <v>Perpetuity Value at Year 5 ~ Terminal Value</v>
      </c>
      <c r="C45" s="74">
        <f>(C42*(1+C44))/(C43-C44)</f>
        <v>85125.987122624778</v>
      </c>
      <c r="E45" s="53" t="str">
        <f>+"Perpetuity Value at Year "&amp;COUNTA($I41:$R41)&amp;" ~ Terminal Value"</f>
        <v>Perpetuity Value at Year 5 ~ Terminal Value</v>
      </c>
      <c r="F45" s="74">
        <f>+F42*F44</f>
        <v>256430.32690204342</v>
      </c>
    </row>
    <row r="46" spans="1:18">
      <c r="A46" s="233"/>
      <c r="C46" s="12"/>
      <c r="F46" s="12"/>
      <c r="H46" s="58" t="s">
        <v>25</v>
      </c>
      <c r="I46" s="77">
        <f>IF(I41="","",'IS Bull'!H$44)</f>
        <v>5571.7636229656719</v>
      </c>
      <c r="J46" s="77">
        <f>IF(J41="","",'IS Bull'!I$44)</f>
        <v>5850.351804113956</v>
      </c>
      <c r="K46" s="77">
        <f>IF(K41="","",'IS Bull'!J$44)</f>
        <v>6142.869394319654</v>
      </c>
      <c r="L46" s="77">
        <f>IF(L41="","",'IS Bull'!K$44)</f>
        <v>6450.012864035637</v>
      </c>
      <c r="M46" s="77">
        <f>IF(M41="","",'IS Bull'!L$44)</f>
        <v>6772.5135072374196</v>
      </c>
      <c r="N46" s="77" t="str">
        <f>IF(N41="","",'IS Bull'!M$44)</f>
        <v/>
      </c>
      <c r="O46" s="77" t="str">
        <f>IF(O41="","",'IS Bull'!N$44)</f>
        <v/>
      </c>
      <c r="P46" s="77" t="str">
        <f>IF(P41="","",'IS Bull'!O$44)</f>
        <v/>
      </c>
      <c r="Q46" s="77" t="str">
        <f>IF(Q41="","",'IS Bull'!P$44)</f>
        <v/>
      </c>
      <c r="R46" s="77" t="str">
        <f>IF(R41="","",'IS Bull'!Q$44)</f>
        <v/>
      </c>
    </row>
    <row r="47" spans="1:18">
      <c r="A47" s="233"/>
      <c r="B47" s="52" t="s">
        <v>155</v>
      </c>
      <c r="C47" s="76">
        <f>C45/(1+C43)^COUNTA($I41:$R41)</f>
        <v>42395.147282099162</v>
      </c>
      <c r="E47" s="52" t="s">
        <v>155</v>
      </c>
      <c r="F47" s="76">
        <f>F45/(1+F43)^COUNTA($I41:$R41)</f>
        <v>127709.54962259188</v>
      </c>
      <c r="H47" s="58" t="s">
        <v>32</v>
      </c>
      <c r="I47" s="77">
        <f>IF(I41="","",'IS Bull'!H$47)</f>
        <v>4142.1616399007571</v>
      </c>
      <c r="J47" s="77">
        <f>IF(J41="","",'IS Bull'!I$47)</f>
        <v>4349.2697218957956</v>
      </c>
      <c r="K47" s="77">
        <f>IF(K41="","",'IS Bull'!J$47)</f>
        <v>4566.7332079905855</v>
      </c>
      <c r="L47" s="77">
        <f>IF(L41="","",'IS Bull'!K$47)</f>
        <v>4795.0698683901146</v>
      </c>
      <c r="M47" s="77">
        <f>IF(M41="","",'IS Bull'!L$47)</f>
        <v>5034.823361809621</v>
      </c>
      <c r="N47" s="77" t="str">
        <f>IF(N41="","",'IS Bull'!M$47)</f>
        <v/>
      </c>
      <c r="O47" s="77" t="str">
        <f>IF(O41="","",'IS Bull'!N$47)</f>
        <v/>
      </c>
      <c r="P47" s="77" t="str">
        <f>IF(P41="","",'IS Bull'!O$47)</f>
        <v/>
      </c>
      <c r="Q47" s="77" t="str">
        <f>IF(Q41="","",'IS Bull'!P$47)</f>
        <v/>
      </c>
      <c r="R47" s="77" t="str">
        <f>IF(R41="","",'IS Bull'!Q$47)</f>
        <v/>
      </c>
    </row>
    <row r="48" spans="1:18">
      <c r="A48" s="233"/>
      <c r="B48" s="75" t="s">
        <v>180</v>
      </c>
      <c r="C48" s="77">
        <f>SUM($I56:$R56)</f>
        <v>35263.739672026626</v>
      </c>
      <c r="E48" s="75" t="s">
        <v>180</v>
      </c>
      <c r="F48" s="77">
        <f>SUM($I56:$R56)</f>
        <v>35263.739672026626</v>
      </c>
      <c r="H48" s="58" t="s">
        <v>255</v>
      </c>
      <c r="I48" s="77">
        <f>IF(I41="","",'BS Bull'!H$47-'BS Bull'!G$47)</f>
        <v>-10374.923642896107</v>
      </c>
      <c r="J48" s="77">
        <f>IF(J41="","",'BS Bull'!I$47-'BS Bull'!H$47)</f>
        <v>-1718.4089676342119</v>
      </c>
      <c r="K48" s="77">
        <f>IF(K41="","",'BS Bull'!J$47-'BS Bull'!I$47)</f>
        <v>-1953.951933100303</v>
      </c>
      <c r="L48" s="77">
        <f>IF(L41="","",'BS Bull'!K$47-'BS Bull'!J$47)</f>
        <v>-1087.2817605885139</v>
      </c>
      <c r="M48" s="77">
        <f>IF(M41="","",'BS Bull'!L$47-'BS Bull'!K$47)</f>
        <v>-2259.0437402713942</v>
      </c>
      <c r="N48" s="77" t="str">
        <f>IF(N41="","",'BS Bull'!M$47-'BS Bull'!L$47)</f>
        <v/>
      </c>
      <c r="O48" s="77" t="str">
        <f>IF(O41="","",'BS Bull'!N$47-'BS Bull'!M$47)</f>
        <v/>
      </c>
      <c r="P48" s="77" t="str">
        <f>IF(P41="","",'BS Bull'!O$47-'BS Bull'!N$47)</f>
        <v/>
      </c>
      <c r="Q48" s="77" t="str">
        <f>IF(Q41="","",'BS Bull'!P$47-'BS Bull'!O$47)</f>
        <v/>
      </c>
      <c r="R48" s="77" t="str">
        <f>IF(R41="","",'BS Bull'!Q$47-'BS Bull'!P$47)</f>
        <v/>
      </c>
    </row>
    <row r="49" spans="1:18">
      <c r="A49" s="233"/>
      <c r="B49" s="49" t="s">
        <v>156</v>
      </c>
      <c r="C49" s="78">
        <f>C47+C48</f>
        <v>77658.886954125788</v>
      </c>
      <c r="E49" s="49" t="s">
        <v>156</v>
      </c>
      <c r="F49" s="78">
        <f>F47+F48</f>
        <v>162973.2892946185</v>
      </c>
      <c r="H49" s="58" t="s">
        <v>254</v>
      </c>
      <c r="I49" s="12">
        <f>IF(I41="","",Assumptions!I$303*'IS Bull'!H$4)</f>
        <v>1278.7038081710161</v>
      </c>
      <c r="J49" s="12">
        <f>IF(J41="","",Assumptions!J$303*'IS Bull'!I$4)</f>
        <v>1459.8842933223434</v>
      </c>
      <c r="K49" s="12">
        <f>IF(K41="","",Assumptions!K$303*'IS Bull'!J$4)</f>
        <v>1659.7638999211742</v>
      </c>
      <c r="L49" s="12">
        <f>IF(L41="","",Assumptions!L$303*'IS Bull'!K$4)</f>
        <v>1721.8258452514317</v>
      </c>
      <c r="M49" s="12">
        <f>IF(M41="","",Assumptions!M$303*'IS Bull'!L$4)</f>
        <v>1728.9245401555097</v>
      </c>
      <c r="N49" s="12" t="str">
        <f>IF(N41="","",Assumptions!N$303*'IS Bull'!M$4)</f>
        <v/>
      </c>
      <c r="O49" s="12" t="str">
        <f>IF(O41="","",Assumptions!O$303*'IS Bull'!N$4)</f>
        <v/>
      </c>
      <c r="P49" s="12" t="str">
        <f>IF(P41="","",Assumptions!P$303*'IS Bull'!O$4)</f>
        <v/>
      </c>
      <c r="Q49" s="12" t="str">
        <f>IF(Q41="","",Assumptions!Q$303*'IS Bull'!P$4)</f>
        <v/>
      </c>
      <c r="R49" s="12" t="str">
        <f>IF(R41="","",Assumptions!R$303*'IS Bull'!Q$4)</f>
        <v/>
      </c>
    </row>
    <row r="50" spans="1:18">
      <c r="A50" s="233"/>
      <c r="C50" s="12"/>
      <c r="F50" s="12"/>
      <c r="H50" s="58" t="s">
        <v>250</v>
      </c>
      <c r="I50" s="77">
        <f>IF(I42="","",'IS Bull'!H$51)</f>
        <v>112.07916542258788</v>
      </c>
      <c r="J50" s="77">
        <f>IF(J42="","",'IS Bull'!I$51)</f>
        <v>117.68312369371728</v>
      </c>
      <c r="K50" s="77">
        <f>IF(K42="","",'IS Bull'!J$51)</f>
        <v>123.56727987840316</v>
      </c>
      <c r="L50" s="77">
        <f>IF(L42="","",'IS Bull'!K$51)</f>
        <v>129.74564387232331</v>
      </c>
      <c r="M50" s="77">
        <f>IF(M42="","",'IS Bull'!L$51)</f>
        <v>136.23292606593949</v>
      </c>
      <c r="N50" s="77" t="str">
        <f>IF(N42="","",'IS Bull'!M$51)</f>
        <v/>
      </c>
      <c r="O50" s="77" t="str">
        <f>IF(O42="","",'IS Bull'!N$51)</f>
        <v/>
      </c>
      <c r="P50" s="77" t="str">
        <f>IF(P42="","",'IS Bull'!O$51)</f>
        <v/>
      </c>
      <c r="Q50" s="77" t="str">
        <f>IF(Q42="","",'IS Bull'!P$51)</f>
        <v/>
      </c>
      <c r="R50" s="77" t="str">
        <f>IF(R42="","",'IS Bull'!Q$51)</f>
        <v/>
      </c>
    </row>
    <row r="51" spans="1:18">
      <c r="A51" s="233"/>
      <c r="B51" s="48" t="s">
        <v>120</v>
      </c>
      <c r="C51" s="77">
        <f>+'Balance Sheet'!$G$48</f>
        <v>80875.899999999994</v>
      </c>
      <c r="E51" s="48" t="s">
        <v>120</v>
      </c>
      <c r="F51" s="77">
        <f>+'Balance Sheet'!$G$48</f>
        <v>80875.899999999994</v>
      </c>
      <c r="H51" s="11" t="s">
        <v>257</v>
      </c>
      <c r="I51" s="12">
        <f>IF(I41="","",'IS Bull'!H$25-('IS Bull'!H$4*Assumptions!I$150))</f>
        <v>1530.5215842232249</v>
      </c>
      <c r="J51" s="12">
        <f>IF(J41="","",'IS Bull'!I$25-('IS Bull'!I$4*Assumptions!J$150))</f>
        <v>1442.4798945399596</v>
      </c>
      <c r="K51" s="12">
        <f>IF(K41="","",'IS Bull'!J$25-('IS Bull'!J$4*Assumptions!K$150))</f>
        <v>1348.8806109034908</v>
      </c>
      <c r="L51" s="12">
        <f>IF(L41="","",'IS Bull'!K$25-('IS Bull'!K$4*Assumptions!L$150))</f>
        <v>1198.3890933886396</v>
      </c>
      <c r="M51" s="12">
        <f>IF(M41="","",'IS Bull'!L$25-('IS Bull'!L$4*Assumptions!M$150))</f>
        <v>1087.9041254427889</v>
      </c>
      <c r="N51" s="12" t="str">
        <f>IF(N41="","",'IS Bull'!M$25-('IS Bull'!M$4*Assumptions!N$150))</f>
        <v/>
      </c>
      <c r="O51" s="12" t="str">
        <f>IF(O41="","",'IS Bull'!N$25-('IS Bull'!N$4*Assumptions!O$150))</f>
        <v/>
      </c>
      <c r="P51" s="12" t="str">
        <f>IF(P41="","",'IS Bull'!O$25-('IS Bull'!O$4*Assumptions!P$150))</f>
        <v/>
      </c>
      <c r="Q51" s="12" t="str">
        <f>IF(Q41="","",'IS Bull'!P$25-('IS Bull'!P$4*Assumptions!Q$150))</f>
        <v/>
      </c>
      <c r="R51" s="12" t="str">
        <f>IF(R41="","",'IS Bull'!Q$25-('IS Bull'!Q$4*Assumptions!R$150))</f>
        <v/>
      </c>
    </row>
    <row r="52" spans="1:18">
      <c r="A52" s="233"/>
      <c r="B52" s="48" t="s">
        <v>157</v>
      </c>
      <c r="C52" s="86">
        <f>+'Balance Sheet'!$G$37</f>
        <v>3029</v>
      </c>
      <c r="E52" s="48" t="s">
        <v>157</v>
      </c>
      <c r="F52" s="86">
        <f>+'Balance Sheet'!$G$37</f>
        <v>3029</v>
      </c>
    </row>
    <row r="53" spans="1:18">
      <c r="A53" s="233"/>
      <c r="B53" s="49" t="s">
        <v>158</v>
      </c>
      <c r="C53" s="78">
        <f>+C49-C51-C52</f>
        <v>-6246.013045874206</v>
      </c>
      <c r="E53" s="49" t="s">
        <v>158</v>
      </c>
      <c r="F53" s="78">
        <f>+F49-F51-F52</f>
        <v>79068.389294618508</v>
      </c>
      <c r="H53" s="79" t="s">
        <v>229</v>
      </c>
      <c r="I53" s="78">
        <f>IF(I41="","",I44-I46+I47+I50-I51-I48+I49)</f>
        <v>16003.140455184315</v>
      </c>
      <c r="J53" s="78">
        <f t="shared" ref="J53:R53" si="5">IF(J41="","",J44-J46+J47+J50-J51-J48+J49)</f>
        <v>7875.2904527062028</v>
      </c>
      <c r="K53" s="78">
        <f t="shared" si="5"/>
        <v>8676.4842742657456</v>
      </c>
      <c r="L53" s="78">
        <f t="shared" si="5"/>
        <v>8297.1835521138491</v>
      </c>
      <c r="M53" s="78">
        <f t="shared" si="5"/>
        <v>9885.0675178805777</v>
      </c>
      <c r="N53" s="78" t="str">
        <f t="shared" si="5"/>
        <v/>
      </c>
      <c r="O53" s="78" t="str">
        <f t="shared" si="5"/>
        <v/>
      </c>
      <c r="P53" s="78" t="str">
        <f t="shared" si="5"/>
        <v/>
      </c>
      <c r="Q53" s="78" t="str">
        <f t="shared" si="5"/>
        <v/>
      </c>
      <c r="R53" s="78" t="str">
        <f t="shared" si="5"/>
        <v/>
      </c>
    </row>
    <row r="54" spans="1:18">
      <c r="A54" s="233"/>
    </row>
    <row r="55" spans="1:18">
      <c r="A55" s="233"/>
      <c r="B55" s="48" t="s">
        <v>159</v>
      </c>
      <c r="C55" s="86">
        <f>+Assumptions!$C$23</f>
        <v>2178</v>
      </c>
      <c r="E55" s="48" t="s">
        <v>159</v>
      </c>
      <c r="F55" s="86">
        <f>+Assumptions!$C$23</f>
        <v>2178</v>
      </c>
      <c r="H55" s="59" t="s">
        <v>178</v>
      </c>
      <c r="I55" s="89">
        <f>IF(I41="","",1/((1+$C43)^COUNTA($I41:I41)))</f>
        <v>0.86986287808458262</v>
      </c>
      <c r="J55" s="89">
        <f>IF(J41="","",1/((1+$C43)^COUNTA($I41:J41)))</f>
        <v>0.75666142666959346</v>
      </c>
      <c r="K55" s="89">
        <f>IF(K41="","",1/((1+$C43)^COUNTA($I41:K41)))</f>
        <v>0.65819168633839897</v>
      </c>
      <c r="L55" s="89">
        <f>IF(L41="","",1/((1+$C43)^COUNTA($I41:L41)))</f>
        <v>0.57253651460966459</v>
      </c>
      <c r="M55" s="89">
        <f>IF(M41="","",1/((1+$C43)^COUNTA($I41:M41)))</f>
        <v>0.49802826040687859</v>
      </c>
      <c r="N55" s="89" t="str">
        <f>IF(N41="","",1/((1+$C43)^COUNTA($I41:N41)))</f>
        <v/>
      </c>
      <c r="O55" s="89" t="str">
        <f>IF(O41="","",1/((1+$C43)^COUNTA($I41:O41)))</f>
        <v/>
      </c>
      <c r="P55" s="89" t="str">
        <f>IF(P41="","",1/((1+$C43)^COUNTA($I41:P41)))</f>
        <v/>
      </c>
      <c r="Q55" s="89" t="str">
        <f>IF(Q41="","",1/((1+$C43)^COUNTA($I41:Q41)))</f>
        <v/>
      </c>
      <c r="R55" s="89" t="str">
        <f>IF(R41="","",1/((1+$C43)^COUNTA($I41:R41)))</f>
        <v/>
      </c>
    </row>
    <row r="56" spans="1:18" ht="12" thickBot="1">
      <c r="A56" s="233"/>
      <c r="B56" s="54" t="s">
        <v>186</v>
      </c>
      <c r="C56" s="88">
        <f>+C53/C55</f>
        <v>-2.8677745848825555</v>
      </c>
      <c r="E56" s="54" t="s">
        <v>186</v>
      </c>
      <c r="F56" s="88">
        <f>+F53/F55</f>
        <v>36.303209042524564</v>
      </c>
      <c r="H56" s="54" t="s">
        <v>230</v>
      </c>
      <c r="I56" s="88">
        <f t="shared" ref="I56:R56" si="6">IF(I41="","",I53*I55)</f>
        <v>13920.537814738445</v>
      </c>
      <c r="J56" s="88">
        <f t="shared" si="6"/>
        <v>5958.9285093821036</v>
      </c>
      <c r="K56" s="88">
        <f t="shared" si="6"/>
        <v>5710.7898159675706</v>
      </c>
      <c r="L56" s="88">
        <f t="shared" si="6"/>
        <v>4750.4405520038999</v>
      </c>
      <c r="M56" s="88">
        <f t="shared" si="6"/>
        <v>4923.0429799346057</v>
      </c>
      <c r="N56" s="88" t="str">
        <f t="shared" si="6"/>
        <v/>
      </c>
      <c r="O56" s="88" t="str">
        <f t="shared" si="6"/>
        <v/>
      </c>
      <c r="P56" s="88" t="str">
        <f t="shared" si="6"/>
        <v/>
      </c>
      <c r="Q56" s="88" t="str">
        <f t="shared" si="6"/>
        <v/>
      </c>
      <c r="R56" s="88" t="str">
        <f t="shared" si="6"/>
        <v/>
      </c>
    </row>
    <row r="57" spans="1:18" ht="12" thickTop="1"/>
    <row r="59" spans="1:18">
      <c r="B59" s="30" t="s">
        <v>189</v>
      </c>
      <c r="C59" s="30"/>
      <c r="E59" s="30" t="s">
        <v>188</v>
      </c>
      <c r="F59" s="30"/>
    </row>
    <row r="60" spans="1:18">
      <c r="B60" s="61" t="s">
        <v>165</v>
      </c>
      <c r="C60" s="61"/>
      <c r="E60" s="61" t="s">
        <v>165</v>
      </c>
      <c r="F60" s="61"/>
    </row>
    <row r="61" spans="1:18">
      <c r="A61" s="80" t="s">
        <v>3</v>
      </c>
      <c r="B61" s="10" t="str">
        <f>B5</f>
        <v>Perpetuity Growth Method - Base</v>
      </c>
      <c r="C61" s="126">
        <f>C20</f>
        <v>-7.4011821413676975</v>
      </c>
      <c r="E61" s="10" t="str">
        <f>E5</f>
        <v>EBITDA Multiple Method - Base</v>
      </c>
      <c r="F61" s="126">
        <f>F20</f>
        <v>29.61373763379941</v>
      </c>
    </row>
    <row r="62" spans="1:18">
      <c r="A62" s="80" t="s">
        <v>2</v>
      </c>
      <c r="B62" s="10" t="str">
        <f>B23</f>
        <v>Perpetuity Growth Method - Bear</v>
      </c>
      <c r="C62" s="126">
        <f>C38</f>
        <v>-11.626356673771662</v>
      </c>
      <c r="E62" s="10" t="str">
        <f>E23</f>
        <v>EBITDA Multiple Method - Bear</v>
      </c>
      <c r="F62" s="126">
        <f>F38</f>
        <v>23.388943253069449</v>
      </c>
    </row>
    <row r="63" spans="1:18">
      <c r="A63" s="80" t="s">
        <v>4</v>
      </c>
      <c r="B63" s="10" t="str">
        <f>B41</f>
        <v>Perpetuity Growth Method - Bull</v>
      </c>
      <c r="C63" s="126">
        <f>C56</f>
        <v>-2.8677745848825555</v>
      </c>
      <c r="E63" s="10" t="str">
        <f>E41</f>
        <v>EBITDA Multiple Method - Bull</v>
      </c>
      <c r="F63" s="126">
        <f>F56</f>
        <v>36.303209042524564</v>
      </c>
    </row>
    <row r="66" spans="1:3">
      <c r="B66" s="30" t="s">
        <v>189</v>
      </c>
      <c r="C66" s="30"/>
    </row>
    <row r="67" spans="1:3">
      <c r="B67" s="61" t="s">
        <v>165</v>
      </c>
      <c r="C67" s="61"/>
    </row>
    <row r="68" spans="1:3">
      <c r="A68" s="80" t="s">
        <v>3</v>
      </c>
      <c r="B68" s="10" t="str">
        <f>"Free Cash Flow to Equity DCF "&amp;A68</f>
        <v>Free Cash Flow to Equity DCF Base</v>
      </c>
      <c r="C68" s="205">
        <f>AVERAGE(C61,F61)</f>
        <v>11.106277746215856</v>
      </c>
    </row>
    <row r="69" spans="1:3">
      <c r="A69" s="80" t="s">
        <v>2</v>
      </c>
      <c r="B69" s="10" t="str">
        <f t="shared" ref="B69:B70" si="7">"Free Cash Flow to Equity DCF "&amp;A69</f>
        <v>Free Cash Flow to Equity DCF Bear</v>
      </c>
      <c r="C69" s="205">
        <f t="shared" ref="C69:C70" si="8">AVERAGE(C62,F62)</f>
        <v>5.8812932896488936</v>
      </c>
    </row>
    <row r="70" spans="1:3">
      <c r="A70" s="80" t="s">
        <v>4</v>
      </c>
      <c r="B70" s="10" t="str">
        <f t="shared" si="7"/>
        <v>Free Cash Flow to Equity DCF Bull</v>
      </c>
      <c r="C70" s="205">
        <f t="shared" si="8"/>
        <v>16.717717228821005</v>
      </c>
    </row>
  </sheetData>
  <mergeCells count="4">
    <mergeCell ref="A5:A20"/>
    <mergeCell ref="A23:A38"/>
    <mergeCell ref="A41:A56"/>
    <mergeCell ref="B1:R2"/>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85176-F6AE-48B6-AA02-2B5616CFEF02}">
  <sheetPr>
    <tabColor rgb="FF92D050"/>
  </sheetPr>
  <dimension ref="A2:AF32"/>
  <sheetViews>
    <sheetView topLeftCell="M1" zoomScale="58" zoomScaleNormal="100" workbookViewId="0">
      <pane ySplit="2" topLeftCell="A3" activePane="bottomLeft" state="frozen"/>
      <selection pane="bottomLeft" activeCell="D4" sqref="D4:G10"/>
    </sheetView>
  </sheetViews>
  <sheetFormatPr baseColWidth="10" defaultColWidth="9" defaultRowHeight="11"/>
  <cols>
    <col min="1" max="1" width="3.1640625" style="1" bestFit="1" customWidth="1"/>
    <col min="2" max="2" width="35.1640625" style="1" bestFit="1" customWidth="1"/>
    <col min="3" max="3" width="9.83203125" style="1" bestFit="1" customWidth="1"/>
    <col min="4" max="4" width="10.1640625" style="1" bestFit="1" customWidth="1"/>
    <col min="5" max="5" width="8.5" style="1" bestFit="1" customWidth="1"/>
    <col min="6" max="6" width="7.83203125" style="1" bestFit="1" customWidth="1"/>
    <col min="7" max="9" width="9" style="1" customWidth="1"/>
    <col min="10" max="16384" width="9" style="1"/>
  </cols>
  <sheetData>
    <row r="2" spans="2:32">
      <c r="B2" s="30" t="s">
        <v>265</v>
      </c>
      <c r="C2" s="30"/>
      <c r="D2" s="30"/>
      <c r="E2" s="30"/>
      <c r="F2" s="30"/>
      <c r="G2" s="30"/>
      <c r="H2" s="30"/>
      <c r="I2" s="30"/>
    </row>
    <row r="3" spans="2:32">
      <c r="B3" s="81" t="str">
        <f>"Market and Financial Data "&amp;Assumptions!$B$26&amp;Assumptions!$C$26&amp;", except for ratios "</f>
        <v xml:space="preserve">Market and Financial Data In CAD Millions, except for ratios </v>
      </c>
      <c r="C3" s="81"/>
      <c r="D3" s="81"/>
      <c r="E3" s="81"/>
      <c r="F3" s="81"/>
      <c r="G3" s="81"/>
      <c r="H3" s="81"/>
      <c r="I3" s="81"/>
    </row>
    <row r="4" spans="2:32">
      <c r="B4" s="97" t="s">
        <v>270</v>
      </c>
      <c r="C4" s="98"/>
      <c r="D4" s="98" t="s">
        <v>156</v>
      </c>
      <c r="E4" s="98" t="s">
        <v>267</v>
      </c>
      <c r="F4" s="98" t="s">
        <v>169</v>
      </c>
      <c r="G4" s="98" t="s">
        <v>168</v>
      </c>
      <c r="H4" s="98" t="s">
        <v>166</v>
      </c>
      <c r="I4" s="98" t="s">
        <v>167</v>
      </c>
    </row>
    <row r="5" spans="2:32" ht="17">
      <c r="B5" s="225" t="s">
        <v>312</v>
      </c>
      <c r="C5" s="226"/>
      <c r="D5" s="154">
        <f>168.97*1000</f>
        <v>168970</v>
      </c>
      <c r="E5" s="154">
        <f>35.688*1000</f>
        <v>35688</v>
      </c>
      <c r="F5" s="154">
        <v>17388</v>
      </c>
      <c r="G5" s="154">
        <v>19.8</v>
      </c>
      <c r="H5" s="67">
        <v>6</v>
      </c>
      <c r="I5" s="67">
        <v>12</v>
      </c>
    </row>
    <row r="6" spans="2:32" ht="17">
      <c r="B6" s="225" t="s">
        <v>303</v>
      </c>
      <c r="C6" s="226"/>
      <c r="D6" s="154">
        <v>33740</v>
      </c>
      <c r="E6" s="154">
        <v>10000</v>
      </c>
      <c r="F6" s="154">
        <v>4000</v>
      </c>
      <c r="G6" s="154">
        <v>18</v>
      </c>
      <c r="H6" s="67">
        <v>6.6</v>
      </c>
      <c r="I6" s="67">
        <v>10.9</v>
      </c>
    </row>
    <row r="7" spans="2:32" ht="17">
      <c r="B7" s="225" t="s">
        <v>304</v>
      </c>
      <c r="C7" s="226"/>
      <c r="D7" s="154">
        <v>70400</v>
      </c>
      <c r="E7" s="154">
        <v>15000</v>
      </c>
      <c r="F7" s="154">
        <v>7500</v>
      </c>
      <c r="G7" s="154">
        <v>17.7</v>
      </c>
      <c r="H7" s="67">
        <v>10</v>
      </c>
      <c r="I7" s="67">
        <v>14</v>
      </c>
    </row>
    <row r="8" spans="2:32" ht="17">
      <c r="B8" s="225" t="s">
        <v>313</v>
      </c>
      <c r="C8" s="226"/>
      <c r="D8" s="154">
        <v>83250</v>
      </c>
      <c r="E8" s="154">
        <v>20000</v>
      </c>
      <c r="F8" s="154">
        <v>8000</v>
      </c>
      <c r="G8" s="154">
        <v>21.5</v>
      </c>
      <c r="H8" s="67">
        <v>5.7</v>
      </c>
      <c r="I8" s="67">
        <v>11.2</v>
      </c>
    </row>
    <row r="9" spans="2:32" ht="17">
      <c r="B9" s="225" t="s">
        <v>314</v>
      </c>
      <c r="C9" s="226"/>
      <c r="D9" s="154">
        <v>94770</v>
      </c>
      <c r="E9" s="154">
        <v>14000</v>
      </c>
      <c r="F9" s="154">
        <v>6000</v>
      </c>
      <c r="G9" s="154">
        <v>26.8</v>
      </c>
      <c r="H9" s="67">
        <v>8.5</v>
      </c>
      <c r="I9" s="67">
        <v>12.8</v>
      </c>
    </row>
    <row r="10" spans="2:32" ht="16">
      <c r="B10" t="s">
        <v>315</v>
      </c>
      <c r="C10" s="226"/>
      <c r="D10" s="154">
        <v>65000</v>
      </c>
      <c r="E10" s="154">
        <v>13000</v>
      </c>
      <c r="F10" s="154">
        <v>5500</v>
      </c>
      <c r="G10" s="154">
        <v>18</v>
      </c>
      <c r="H10" s="67">
        <f t="shared" ref="H10" si="0">D10/E10</f>
        <v>5</v>
      </c>
      <c r="I10" s="67">
        <f t="shared" ref="I10" si="1">D10/F10</f>
        <v>11.818181818181818</v>
      </c>
    </row>
    <row r="11" spans="2:32">
      <c r="E11" s="45"/>
    </row>
    <row r="12" spans="2:32" ht="34">
      <c r="E12" s="45"/>
      <c r="AB12" s="225" t="s">
        <v>312</v>
      </c>
      <c r="AC12" s="226">
        <v>166880</v>
      </c>
      <c r="AD12" s="226">
        <v>48554</v>
      </c>
      <c r="AE12" s="226">
        <v>18080</v>
      </c>
      <c r="AF12" s="225">
        <v>19.559999999999999</v>
      </c>
    </row>
    <row r="13" spans="2:32" ht="68">
      <c r="B13" s="81" t="s">
        <v>280</v>
      </c>
      <c r="C13" s="81"/>
      <c r="D13" s="81"/>
      <c r="E13" s="81"/>
      <c r="F13" s="81"/>
      <c r="G13" s="81"/>
      <c r="H13" s="81"/>
      <c r="I13" s="96"/>
      <c r="AB13" s="225" t="s">
        <v>316</v>
      </c>
      <c r="AC13" s="226">
        <v>35000</v>
      </c>
      <c r="AD13" s="226">
        <v>10000</v>
      </c>
      <c r="AE13" s="226">
        <v>4000</v>
      </c>
      <c r="AF13" s="225">
        <v>12</v>
      </c>
    </row>
    <row r="14" spans="2:32" ht="68">
      <c r="B14" s="70" t="s">
        <v>173</v>
      </c>
      <c r="C14" s="204" t="s">
        <v>174</v>
      </c>
      <c r="D14" s="204" t="s">
        <v>175</v>
      </c>
      <c r="E14" s="204" t="s">
        <v>120</v>
      </c>
      <c r="F14" s="204" t="s">
        <v>158</v>
      </c>
      <c r="G14" s="204" t="s">
        <v>176</v>
      </c>
      <c r="H14" s="204" t="s">
        <v>177</v>
      </c>
      <c r="I14" s="204"/>
      <c r="AB14" s="225" t="s">
        <v>317</v>
      </c>
      <c r="AC14" s="226">
        <v>100000</v>
      </c>
      <c r="AD14" s="226">
        <v>15000</v>
      </c>
      <c r="AE14" s="226">
        <v>7500</v>
      </c>
      <c r="AF14" s="225">
        <v>20.21</v>
      </c>
    </row>
    <row r="15" spans="2:32" ht="51">
      <c r="B15" s="10" t="s">
        <v>166</v>
      </c>
      <c r="C15" s="71"/>
      <c r="D15" s="72"/>
      <c r="E15" s="72"/>
      <c r="F15" s="72"/>
      <c r="G15" s="72"/>
      <c r="H15" s="69"/>
      <c r="AB15" s="225" t="s">
        <v>313</v>
      </c>
      <c r="AC15" s="226">
        <v>90000</v>
      </c>
      <c r="AD15" s="226">
        <v>20000</v>
      </c>
      <c r="AE15" s="226">
        <v>8000</v>
      </c>
      <c r="AF15" s="225">
        <v>24.15</v>
      </c>
    </row>
    <row r="16" spans="2:32" ht="68">
      <c r="B16" s="11" t="s">
        <v>170</v>
      </c>
      <c r="C16" s="68">
        <f>AVERAGE(H$6:H$10)</f>
        <v>7.1599999999999993</v>
      </c>
      <c r="D16" s="73">
        <f>+$E$5*C16</f>
        <v>255526.08</v>
      </c>
      <c r="E16" s="73">
        <f>'Balance Sheet'!$G$48</f>
        <v>80875.899999999994</v>
      </c>
      <c r="F16" s="73">
        <f>+D16-E16</f>
        <v>174650.18</v>
      </c>
      <c r="G16" s="73">
        <f>Assumptions!$C$23</f>
        <v>2178</v>
      </c>
      <c r="H16" s="73">
        <f>+F16/G16</f>
        <v>80.188328741965108</v>
      </c>
      <c r="AB16" s="225" t="s">
        <v>318</v>
      </c>
      <c r="AC16" s="226">
        <v>80000</v>
      </c>
      <c r="AD16" s="226">
        <v>14000</v>
      </c>
      <c r="AE16" s="226">
        <v>6000</v>
      </c>
      <c r="AF16" s="225">
        <v>22</v>
      </c>
    </row>
    <row r="17" spans="1:32" ht="85">
      <c r="B17" s="11" t="s">
        <v>171</v>
      </c>
      <c r="C17" s="68">
        <f>PERCENTILE(H$6:H$10,0.25)</f>
        <v>5.7</v>
      </c>
      <c r="D17" s="73">
        <f t="shared" ref="D17:D18" si="2">+$E$5*C17</f>
        <v>203421.6</v>
      </c>
      <c r="E17" s="73">
        <f>'Balance Sheet'!$G$48</f>
        <v>80875.899999999994</v>
      </c>
      <c r="F17" s="73">
        <f>+D17-E17</f>
        <v>122545.70000000001</v>
      </c>
      <c r="G17" s="73">
        <f>Assumptions!$C$23</f>
        <v>2178</v>
      </c>
      <c r="H17" s="73">
        <f>+F17/G17</f>
        <v>56.265243342516072</v>
      </c>
      <c r="AB17" s="225" t="s">
        <v>315</v>
      </c>
      <c r="AC17" s="226">
        <v>65000</v>
      </c>
      <c r="AD17" s="226">
        <v>13000</v>
      </c>
      <c r="AE17" s="226">
        <v>5500</v>
      </c>
      <c r="AF17" s="225">
        <v>18</v>
      </c>
    </row>
    <row r="18" spans="1:32">
      <c r="B18" s="11" t="s">
        <v>172</v>
      </c>
      <c r="C18" s="68">
        <f>PERCENTILE(H$6:H$10,0.75)</f>
        <v>8.5</v>
      </c>
      <c r="D18" s="73">
        <f t="shared" si="2"/>
        <v>303348</v>
      </c>
      <c r="E18" s="73">
        <f>'Balance Sheet'!$G$48</f>
        <v>80875.899999999994</v>
      </c>
      <c r="F18" s="73">
        <f t="shared" ref="F18" si="3">+D18-E18</f>
        <v>222472.1</v>
      </c>
      <c r="G18" s="73">
        <f>Assumptions!$C$23</f>
        <v>2178</v>
      </c>
      <c r="H18" s="73">
        <f>+F18/G18</f>
        <v>102.14513314967861</v>
      </c>
    </row>
    <row r="19" spans="1:32">
      <c r="B19" s="10" t="s">
        <v>167</v>
      </c>
      <c r="C19" s="71"/>
      <c r="D19" s="73"/>
      <c r="E19" s="73"/>
      <c r="F19" s="73"/>
      <c r="G19" s="73"/>
      <c r="H19" s="73"/>
    </row>
    <row r="20" spans="1:32">
      <c r="B20" s="11" t="s">
        <v>170</v>
      </c>
      <c r="C20" s="68">
        <f>AVERAGE(I$6:I$10)</f>
        <v>12.143636363636363</v>
      </c>
      <c r="D20" s="73">
        <f>+$F$5*C20</f>
        <v>211153.54909090907</v>
      </c>
      <c r="E20" s="73">
        <f>'Balance Sheet'!$G$48</f>
        <v>80875.899999999994</v>
      </c>
      <c r="F20" s="73">
        <f>+D20-E20</f>
        <v>130277.64909090908</v>
      </c>
      <c r="G20" s="73">
        <f>Assumptions!$C$23</f>
        <v>2178</v>
      </c>
      <c r="H20" s="73">
        <f>+F20/G20</f>
        <v>59.815265881960094</v>
      </c>
    </row>
    <row r="21" spans="1:32">
      <c r="B21" s="11" t="s">
        <v>171</v>
      </c>
      <c r="C21" s="68">
        <f>PERCENTILE(I$6:I$10,0.25)</f>
        <v>11.2</v>
      </c>
      <c r="D21" s="73">
        <f t="shared" ref="D21:D22" si="4">+$F$5*C21</f>
        <v>194745.59999999998</v>
      </c>
      <c r="E21" s="73">
        <f>'Balance Sheet'!$G$48</f>
        <v>80875.899999999994</v>
      </c>
      <c r="F21" s="73">
        <f t="shared" ref="F21:F22" si="5">+D21-E21</f>
        <v>113869.69999999998</v>
      </c>
      <c r="G21" s="73">
        <f>Assumptions!$C$23</f>
        <v>2178</v>
      </c>
      <c r="H21" s="73">
        <f>+F21/G21</f>
        <v>52.281772268135896</v>
      </c>
    </row>
    <row r="22" spans="1:32">
      <c r="B22" s="11" t="s">
        <v>172</v>
      </c>
      <c r="C22" s="68">
        <f>PERCENTILE(I$6:I$10,0.75)</f>
        <v>12.8</v>
      </c>
      <c r="D22" s="73">
        <f t="shared" si="4"/>
        <v>222566.40000000002</v>
      </c>
      <c r="E22" s="73">
        <f>'Balance Sheet'!$G$48</f>
        <v>80875.899999999994</v>
      </c>
      <c r="F22" s="73">
        <f t="shared" si="5"/>
        <v>141690.50000000003</v>
      </c>
      <c r="G22" s="73">
        <f>Assumptions!$C$23</f>
        <v>2178</v>
      </c>
      <c r="H22" s="73">
        <f>+F22/G22</f>
        <v>65.055325987144187</v>
      </c>
    </row>
    <row r="23" spans="1:32">
      <c r="B23" s="10" t="s">
        <v>168</v>
      </c>
      <c r="C23" s="71"/>
      <c r="D23" s="73"/>
      <c r="E23" s="73"/>
      <c r="F23" s="73"/>
      <c r="G23" s="73"/>
      <c r="H23" s="73"/>
    </row>
    <row r="24" spans="1:32">
      <c r="B24" s="11" t="s">
        <v>170</v>
      </c>
      <c r="C24" s="68">
        <f>AVERAGE(G$6:G$10)</f>
        <v>20.399999999999999</v>
      </c>
      <c r="D24" s="73">
        <f>+$C24*'Income Statement'!$G$37</f>
        <v>126296.4</v>
      </c>
      <c r="E24" s="73">
        <f>'Balance Sheet'!$G$48</f>
        <v>80875.899999999994</v>
      </c>
      <c r="F24" s="73">
        <f>+D24-E24</f>
        <v>45420.5</v>
      </c>
      <c r="G24" s="73">
        <f>Assumptions!$C$23</f>
        <v>2178</v>
      </c>
      <c r="H24" s="73">
        <f>+F24/G24</f>
        <v>20.854224058769514</v>
      </c>
    </row>
    <row r="25" spans="1:32">
      <c r="B25" s="11" t="s">
        <v>171</v>
      </c>
      <c r="C25" s="68">
        <f>PERCENTILE(G$6:G$10,0.25)</f>
        <v>18</v>
      </c>
      <c r="D25" s="73">
        <f>+$C25*'Income Statement'!$G$37</f>
        <v>111438</v>
      </c>
      <c r="E25" s="73">
        <f>'Balance Sheet'!$G$48</f>
        <v>80875.899999999994</v>
      </c>
      <c r="F25" s="73">
        <f t="shared" ref="F25:F26" si="6">+D25-E25</f>
        <v>30562.100000000006</v>
      </c>
      <c r="G25" s="73">
        <f>Assumptions!$C$23</f>
        <v>2178</v>
      </c>
      <c r="H25" s="73">
        <f>+F25/G25</f>
        <v>14.032185491276403</v>
      </c>
    </row>
    <row r="26" spans="1:32">
      <c r="B26" s="11" t="s">
        <v>172</v>
      </c>
      <c r="C26" s="68">
        <f>PERCENTILE(G$6:G$10,0.75)</f>
        <v>21.5</v>
      </c>
      <c r="D26" s="73">
        <f>+$C26*'Income Statement'!$G$37</f>
        <v>133106.5</v>
      </c>
      <c r="E26" s="73">
        <f>'Balance Sheet'!$G$48</f>
        <v>80875.899999999994</v>
      </c>
      <c r="F26" s="73">
        <f t="shared" si="6"/>
        <v>52230.600000000006</v>
      </c>
      <c r="G26" s="73">
        <f>Assumptions!$C$23</f>
        <v>2178</v>
      </c>
      <c r="H26" s="73">
        <f>+F26/G26</f>
        <v>23.980991735537192</v>
      </c>
    </row>
    <row r="29" spans="1:32">
      <c r="B29" s="81" t="s">
        <v>279</v>
      </c>
      <c r="C29" s="81"/>
    </row>
    <row r="30" spans="1:32">
      <c r="A30" s="80" t="s">
        <v>3</v>
      </c>
      <c r="B30" s="10" t="s">
        <v>170</v>
      </c>
      <c r="C30" s="73">
        <f>+AVERAGE(H16,H20,H24)</f>
        <v>53.619272894231578</v>
      </c>
    </row>
    <row r="31" spans="1:32">
      <c r="A31" s="80" t="s">
        <v>2</v>
      </c>
      <c r="B31" s="10" t="s">
        <v>171</v>
      </c>
      <c r="C31" s="73">
        <f>+AVERAGE(H17,H21,H25)</f>
        <v>40.859733700642792</v>
      </c>
    </row>
    <row r="32" spans="1:32">
      <c r="A32" s="80" t="s">
        <v>4</v>
      </c>
      <c r="B32" s="10" t="s">
        <v>172</v>
      </c>
      <c r="C32" s="73">
        <f>+AVERAGE(H18,H22,H26)</f>
        <v>63.727150290786675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644B1-7147-496A-9633-A64ED6467B54}">
  <sheetPr>
    <tabColor rgb="FF92D050"/>
  </sheetPr>
  <dimension ref="A2:R36"/>
  <sheetViews>
    <sheetView topLeftCell="A13" zoomScale="181" zoomScaleNormal="100" workbookViewId="0">
      <selection activeCell="C5" sqref="C5"/>
    </sheetView>
  </sheetViews>
  <sheetFormatPr baseColWidth="10" defaultColWidth="8.6640625" defaultRowHeight="11"/>
  <cols>
    <col min="1" max="1" width="3" style="1" bestFit="1" customWidth="1"/>
    <col min="2" max="2" width="27.1640625" style="1" bestFit="1" customWidth="1"/>
    <col min="3" max="3" width="20.6640625" style="1" bestFit="1" customWidth="1"/>
    <col min="4" max="4" width="25.1640625" style="1" bestFit="1" customWidth="1"/>
    <col min="5" max="5" width="15" style="1" bestFit="1" customWidth="1"/>
    <col min="6" max="6" width="10.6640625" style="1" bestFit="1" customWidth="1"/>
    <col min="7" max="7" width="10.1640625" style="1" bestFit="1" customWidth="1"/>
    <col min="8" max="8" width="8.1640625" style="1" bestFit="1" customWidth="1"/>
    <col min="9" max="11" width="7.83203125" style="1" bestFit="1" customWidth="1"/>
    <col min="12" max="13" width="8.6640625" style="1"/>
    <col min="14" max="14" width="31.6640625" style="1" bestFit="1" customWidth="1"/>
    <col min="15" max="15" width="29.6640625" style="1" bestFit="1" customWidth="1"/>
    <col min="16" max="16" width="8.5" style="1" customWidth="1"/>
    <col min="17" max="16384" width="8.6640625" style="1"/>
  </cols>
  <sheetData>
    <row r="2" spans="2:18">
      <c r="B2" s="30" t="s">
        <v>277</v>
      </c>
      <c r="C2" s="30"/>
      <c r="D2" s="30"/>
      <c r="E2" s="30"/>
      <c r="F2" s="30"/>
      <c r="G2" s="30"/>
    </row>
    <row r="3" spans="2:18">
      <c r="B3" s="81" t="s">
        <v>269</v>
      </c>
      <c r="C3" s="135"/>
      <c r="D3" s="135"/>
      <c r="E3" s="135"/>
      <c r="F3" s="135"/>
      <c r="G3" s="135"/>
    </row>
    <row r="4" spans="2:18">
      <c r="B4" s="97" t="s">
        <v>266</v>
      </c>
      <c r="C4" s="97" t="s">
        <v>273</v>
      </c>
      <c r="D4" s="97" t="s">
        <v>272</v>
      </c>
      <c r="E4" s="97" t="s">
        <v>271</v>
      </c>
      <c r="F4" s="97" t="s">
        <v>274</v>
      </c>
      <c r="G4" s="97" t="s">
        <v>275</v>
      </c>
    </row>
    <row r="5" spans="2:18">
      <c r="B5" s="200">
        <v>43657</v>
      </c>
      <c r="C5" s="143" t="s">
        <v>319</v>
      </c>
      <c r="D5" s="143" t="s">
        <v>316</v>
      </c>
      <c r="E5" s="154">
        <v>4350</v>
      </c>
      <c r="F5" s="201">
        <v>8.5</v>
      </c>
      <c r="G5" s="201">
        <v>13.7</v>
      </c>
    </row>
    <row r="6" spans="2:18">
      <c r="B6" s="200">
        <v>42552</v>
      </c>
      <c r="C6" s="143" t="s">
        <v>323</v>
      </c>
      <c r="D6" s="143" t="s">
        <v>317</v>
      </c>
      <c r="E6" s="154">
        <v>17000</v>
      </c>
      <c r="F6" s="201">
        <v>7.5</v>
      </c>
      <c r="G6" s="201">
        <v>12</v>
      </c>
    </row>
    <row r="7" spans="2:18">
      <c r="B7" s="200">
        <v>42767</v>
      </c>
      <c r="C7" s="143" t="s">
        <v>326</v>
      </c>
      <c r="D7" s="143" t="s">
        <v>312</v>
      </c>
      <c r="E7" s="154">
        <v>37000</v>
      </c>
      <c r="F7" s="201">
        <v>9</v>
      </c>
      <c r="G7" s="201">
        <v>14.5</v>
      </c>
    </row>
    <row r="8" spans="2:18">
      <c r="B8" s="200">
        <v>43709</v>
      </c>
      <c r="C8" s="143" t="s">
        <v>329</v>
      </c>
      <c r="D8" s="143" t="s">
        <v>330</v>
      </c>
      <c r="E8" s="154">
        <v>6500</v>
      </c>
      <c r="F8" s="201">
        <v>7</v>
      </c>
      <c r="G8" s="201">
        <v>11.5</v>
      </c>
    </row>
    <row r="9" spans="2:18">
      <c r="B9" s="200">
        <v>44348</v>
      </c>
      <c r="C9" s="143" t="s">
        <v>333</v>
      </c>
      <c r="D9" s="143" t="s">
        <v>334</v>
      </c>
      <c r="E9" s="154">
        <v>8600</v>
      </c>
      <c r="F9" s="201">
        <v>8</v>
      </c>
      <c r="G9" s="201">
        <v>13</v>
      </c>
    </row>
    <row r="10" spans="2:18">
      <c r="B10" s="200"/>
      <c r="C10" s="143"/>
      <c r="D10" s="143"/>
      <c r="E10" s="154"/>
      <c r="F10" s="201"/>
      <c r="G10" s="201"/>
    </row>
    <row r="11" spans="2:18" ht="17">
      <c r="B11" s="200"/>
      <c r="C11" s="143"/>
      <c r="D11" s="143"/>
      <c r="E11" s="154"/>
      <c r="F11" s="201"/>
      <c r="G11" s="201"/>
      <c r="M11" s="227">
        <v>43709</v>
      </c>
      <c r="N11" s="225" t="s">
        <v>320</v>
      </c>
      <c r="O11" s="225" t="s">
        <v>316</v>
      </c>
      <c r="P11" s="225">
        <v>4.3499999999999996</v>
      </c>
      <c r="Q11" s="225" t="s">
        <v>321</v>
      </c>
      <c r="R11" s="225" t="s">
        <v>322</v>
      </c>
    </row>
    <row r="12" spans="2:18" ht="17">
      <c r="B12" s="200"/>
      <c r="C12" s="143"/>
      <c r="D12" s="143"/>
      <c r="E12" s="154"/>
      <c r="F12" s="201"/>
      <c r="G12" s="201"/>
      <c r="M12" s="227">
        <v>42552</v>
      </c>
      <c r="N12" s="225" t="s">
        <v>323</v>
      </c>
      <c r="O12" s="225" t="s">
        <v>317</v>
      </c>
      <c r="P12" s="225">
        <v>17</v>
      </c>
      <c r="Q12" s="225" t="s">
        <v>324</v>
      </c>
      <c r="R12" s="225" t="s">
        <v>325</v>
      </c>
    </row>
    <row r="13" spans="2:18" ht="17">
      <c r="B13" s="200"/>
      <c r="C13" s="143"/>
      <c r="D13" s="143"/>
      <c r="E13" s="154"/>
      <c r="F13" s="201"/>
      <c r="G13" s="201"/>
      <c r="M13" s="227">
        <v>42767</v>
      </c>
      <c r="N13" s="225" t="s">
        <v>326</v>
      </c>
      <c r="O13" s="225" t="s">
        <v>312</v>
      </c>
      <c r="P13" s="225">
        <v>37</v>
      </c>
      <c r="Q13" s="225" t="s">
        <v>327</v>
      </c>
      <c r="R13" s="225" t="s">
        <v>328</v>
      </c>
    </row>
    <row r="14" spans="2:18" ht="17">
      <c r="B14" s="200"/>
      <c r="C14" s="143"/>
      <c r="D14" s="143"/>
      <c r="E14" s="154"/>
      <c r="F14" s="201"/>
      <c r="G14" s="201"/>
      <c r="M14" s="227">
        <v>43709</v>
      </c>
      <c r="N14" s="225" t="s">
        <v>329</v>
      </c>
      <c r="O14" s="225" t="s">
        <v>330</v>
      </c>
      <c r="P14" s="225">
        <v>6.5</v>
      </c>
      <c r="Q14" s="225" t="s">
        <v>331</v>
      </c>
      <c r="R14" s="225" t="s">
        <v>332</v>
      </c>
    </row>
    <row r="15" spans="2:18" ht="17">
      <c r="M15" s="227">
        <v>44348</v>
      </c>
      <c r="N15" s="225" t="s">
        <v>333</v>
      </c>
      <c r="O15" s="225" t="s">
        <v>334</v>
      </c>
      <c r="P15" s="225">
        <v>8.6</v>
      </c>
      <c r="Q15" s="225" t="s">
        <v>335</v>
      </c>
      <c r="R15" s="225" t="s">
        <v>336</v>
      </c>
    </row>
    <row r="17" spans="1:7">
      <c r="B17" s="81" t="s">
        <v>276</v>
      </c>
      <c r="C17" s="81"/>
      <c r="D17" s="81"/>
      <c r="E17" s="81"/>
      <c r="F17" s="81"/>
      <c r="G17" s="81"/>
    </row>
    <row r="18" spans="1:7">
      <c r="B18" s="70" t="s">
        <v>173</v>
      </c>
      <c r="C18" s="70" t="s">
        <v>174</v>
      </c>
      <c r="D18" s="70" t="s">
        <v>175</v>
      </c>
      <c r="E18" s="70" t="s">
        <v>158</v>
      </c>
      <c r="F18" s="70" t="s">
        <v>176</v>
      </c>
      <c r="G18" s="70" t="s">
        <v>177</v>
      </c>
    </row>
    <row r="19" spans="1:7">
      <c r="B19" s="11" t="str">
        <f>F4</f>
        <v>TV / Revenue</v>
      </c>
      <c r="C19" s="67"/>
      <c r="D19" s="203"/>
      <c r="E19" s="203"/>
      <c r="F19" s="203"/>
      <c r="G19" s="203"/>
    </row>
    <row r="20" spans="1:7">
      <c r="B20" s="202" t="s">
        <v>170</v>
      </c>
      <c r="C20" s="67">
        <f>AVERAGE(F5:F14)</f>
        <v>8</v>
      </c>
      <c r="D20" s="203">
        <f>C20*Comps!$E$5</f>
        <v>285504</v>
      </c>
      <c r="E20" s="203">
        <f>D20-'Balance Sheet'!$G$48</f>
        <v>204628.1</v>
      </c>
      <c r="F20" s="73">
        <f>Assumptions!$C$23</f>
        <v>2178</v>
      </c>
      <c r="G20" s="203">
        <f>E20/F20</f>
        <v>93.952295684113864</v>
      </c>
    </row>
    <row r="21" spans="1:7">
      <c r="B21" s="202" t="s">
        <v>171</v>
      </c>
      <c r="C21" s="67">
        <f>PERCENTILE(F5:F14,0.25)</f>
        <v>7.5</v>
      </c>
      <c r="D21" s="203">
        <f>C21*Comps!$E$5</f>
        <v>267660</v>
      </c>
      <c r="E21" s="203">
        <f>D21-'Balance Sheet'!$G$48</f>
        <v>186784.1</v>
      </c>
      <c r="F21" s="73">
        <f>Assumptions!$C$23</f>
        <v>2178</v>
      </c>
      <c r="G21" s="203">
        <f>E21/F21</f>
        <v>85.759458218549128</v>
      </c>
    </row>
    <row r="22" spans="1:7">
      <c r="B22" s="202" t="s">
        <v>172</v>
      </c>
      <c r="C22" s="67">
        <f>PERCENTILE(F5:F14,0.75)</f>
        <v>8.5</v>
      </c>
      <c r="D22" s="203">
        <f>C22*Comps!$E$5</f>
        <v>303348</v>
      </c>
      <c r="E22" s="203">
        <f>D22-'Balance Sheet'!$G$48</f>
        <v>222472.1</v>
      </c>
      <c r="F22" s="73">
        <f>Assumptions!$C$23</f>
        <v>2178</v>
      </c>
      <c r="G22" s="203">
        <f>E22/F22</f>
        <v>102.14513314967861</v>
      </c>
    </row>
    <row r="23" spans="1:7">
      <c r="C23" s="67"/>
      <c r="D23" s="203"/>
      <c r="E23" s="203"/>
      <c r="F23" s="73"/>
    </row>
    <row r="24" spans="1:7">
      <c r="B24" s="11" t="str">
        <f>G4</f>
        <v>TV / EBITDA</v>
      </c>
      <c r="C24" s="67"/>
      <c r="D24" s="203"/>
      <c r="E24" s="203"/>
      <c r="F24" s="73"/>
      <c r="G24" s="203"/>
    </row>
    <row r="25" spans="1:7">
      <c r="B25" s="202" t="s">
        <v>170</v>
      </c>
      <c r="C25" s="67">
        <f>AVERAGE(G5:G14)</f>
        <v>12.940000000000001</v>
      </c>
      <c r="D25" s="203">
        <f>C25*Comps!$F$5</f>
        <v>225000.72000000003</v>
      </c>
      <c r="E25" s="203">
        <f>D25-'Balance Sheet'!$G$48</f>
        <v>144124.82000000004</v>
      </c>
      <c r="F25" s="73">
        <f>Assumptions!$C$23</f>
        <v>2178</v>
      </c>
      <c r="G25" s="203">
        <f>E25/F25</f>
        <v>66.173011937557405</v>
      </c>
    </row>
    <row r="26" spans="1:7">
      <c r="B26" s="202" t="s">
        <v>171</v>
      </c>
      <c r="C26" s="67">
        <f>PERCENTILE(G5:G14,0.25)</f>
        <v>12</v>
      </c>
      <c r="D26" s="203">
        <f>C26*Comps!$F$5</f>
        <v>208656</v>
      </c>
      <c r="E26" s="203">
        <f>D26-'Balance Sheet'!$G$48</f>
        <v>127780.1</v>
      </c>
      <c r="F26" s="73">
        <f>Assumptions!$C$23</f>
        <v>2178</v>
      </c>
      <c r="G26" s="203">
        <f>E26/F26</f>
        <v>58.668549127640041</v>
      </c>
    </row>
    <row r="27" spans="1:7">
      <c r="B27" s="202" t="s">
        <v>172</v>
      </c>
      <c r="C27" s="67">
        <f>PERCENTILE(G5:G14,0.75)</f>
        <v>13.7</v>
      </c>
      <c r="D27" s="203">
        <f>C27*Comps!$F$5</f>
        <v>238215.59999999998</v>
      </c>
      <c r="E27" s="203">
        <f>D27-'Balance Sheet'!$G$48</f>
        <v>157339.69999999998</v>
      </c>
      <c r="F27" s="73">
        <f>Assumptions!$C$23</f>
        <v>2178</v>
      </c>
      <c r="G27" s="203">
        <f>E27/F27</f>
        <v>72.240449954086316</v>
      </c>
    </row>
    <row r="30" spans="1:7">
      <c r="B30" s="30" t="s">
        <v>278</v>
      </c>
      <c r="C30" s="30"/>
    </row>
    <row r="31" spans="1:7">
      <c r="B31" s="81" t="s">
        <v>186</v>
      </c>
      <c r="C31" s="81"/>
    </row>
    <row r="32" spans="1:7">
      <c r="A32" s="80" t="s">
        <v>3</v>
      </c>
      <c r="B32" s="10" t="s">
        <v>170</v>
      </c>
      <c r="C32" s="203">
        <f>AVERAGE(G20,G25)</f>
        <v>80.062653810835627</v>
      </c>
    </row>
    <row r="33" spans="1:3">
      <c r="A33" s="80" t="s">
        <v>2</v>
      </c>
      <c r="B33" s="10" t="s">
        <v>171</v>
      </c>
      <c r="C33" s="203">
        <f>AVERAGE(G21,G26)</f>
        <v>72.214003673094581</v>
      </c>
    </row>
    <row r="34" spans="1:3">
      <c r="A34" s="80" t="s">
        <v>4</v>
      </c>
      <c r="B34" s="10" t="s">
        <v>172</v>
      </c>
      <c r="C34" s="203">
        <f>AVERAGE(G22,G27)</f>
        <v>87.192791551882465</v>
      </c>
    </row>
    <row r="35" spans="1:3">
      <c r="C35" s="203"/>
    </row>
    <row r="36" spans="1:3">
      <c r="C36" s="203"/>
    </row>
  </sheetData>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9E49F-CAB0-4695-9EB7-5E156BC6956B}">
  <sheetPr>
    <tabColor rgb="FF92D050"/>
  </sheetPr>
  <dimension ref="A2:H55"/>
  <sheetViews>
    <sheetView zoomScale="200" zoomScaleNormal="115" workbookViewId="0">
      <pane xSplit="1" ySplit="2" topLeftCell="B26" activePane="bottomRight" state="frozen"/>
      <selection pane="topRight" activeCell="B1" sqref="B1"/>
      <selection pane="bottomLeft" activeCell="A3" sqref="A3"/>
      <selection pane="bottomRight" activeCell="D25" sqref="D25"/>
    </sheetView>
  </sheetViews>
  <sheetFormatPr baseColWidth="10" defaultColWidth="8.6640625" defaultRowHeight="11"/>
  <cols>
    <col min="1" max="1" width="4" style="1" bestFit="1" customWidth="1"/>
    <col min="2" max="2" width="28" style="1" bestFit="1" customWidth="1"/>
    <col min="3" max="8" width="8.6640625" style="1" customWidth="1"/>
    <col min="9" max="16384" width="8.6640625" style="1"/>
  </cols>
  <sheetData>
    <row r="2" spans="1:8">
      <c r="B2" s="30" t="s">
        <v>219</v>
      </c>
      <c r="C2" s="29"/>
      <c r="D2" s="29"/>
      <c r="E2" s="29"/>
      <c r="F2" s="29"/>
      <c r="G2" s="29"/>
      <c r="H2" s="29"/>
    </row>
    <row r="3" spans="1:8" ht="10.5" customHeight="1">
      <c r="A3" s="231" t="s">
        <v>3</v>
      </c>
      <c r="B3" s="14" t="str">
        <f>"DDM - "&amp;A3&amp;" - "&amp;Assumptions!$C$48</f>
        <v>DDM - Base - CAGR</v>
      </c>
      <c r="C3" s="14" cm="1">
        <f t="array" ref="C3:H3">_xlfn.SEQUENCE(1,6,(YEAR(Assumptions!$C$20)-1))</f>
        <v>2023</v>
      </c>
      <c r="D3" s="60">
        <v>2024</v>
      </c>
      <c r="E3" s="60">
        <v>2025</v>
      </c>
      <c r="F3" s="60">
        <v>2026</v>
      </c>
      <c r="G3" s="60">
        <v>2027</v>
      </c>
      <c r="H3" s="60">
        <v>2028</v>
      </c>
    </row>
    <row r="4" spans="1:8">
      <c r="A4" s="231"/>
      <c r="B4" s="10"/>
      <c r="C4" s="83">
        <v>0</v>
      </c>
      <c r="D4" s="83">
        <v>1</v>
      </c>
      <c r="E4" s="83">
        <v>2</v>
      </c>
      <c r="F4" s="83">
        <v>3</v>
      </c>
      <c r="G4" s="83">
        <v>4</v>
      </c>
      <c r="H4" s="83">
        <v>5</v>
      </c>
    </row>
    <row r="5" spans="1:8">
      <c r="A5" s="231"/>
      <c r="B5" s="23" t="s">
        <v>221</v>
      </c>
      <c r="C5" s="91">
        <f>Assumptions!$C$50</f>
        <v>3.55</v>
      </c>
      <c r="D5" s="91">
        <f>C5*(1+$C9)</f>
        <v>3.6795028340083462</v>
      </c>
      <c r="E5" s="91">
        <f t="shared" ref="E5:H5" si="0">D5*(1+$C9)</f>
        <v>3.8137298888663245</v>
      </c>
      <c r="F5" s="91">
        <f t="shared" si="0"/>
        <v>3.9528535025988667</v>
      </c>
      <c r="G5" s="91">
        <f t="shared" si="0"/>
        <v>4.0970523000654504</v>
      </c>
      <c r="H5" s="91">
        <f t="shared" si="0"/>
        <v>4.246511422301757</v>
      </c>
    </row>
    <row r="6" spans="1:8">
      <c r="A6" s="231"/>
      <c r="B6" s="23" t="s">
        <v>220</v>
      </c>
      <c r="C6" s="90">
        <f>Assumptions!$C$51</f>
        <v>0.14960647843942504</v>
      </c>
      <c r="D6" s="90"/>
      <c r="E6" s="90"/>
      <c r="F6" s="90"/>
      <c r="G6" s="90"/>
      <c r="H6" s="90"/>
    </row>
    <row r="7" spans="1:8">
      <c r="A7" s="231"/>
      <c r="B7" s="31" t="s">
        <v>224</v>
      </c>
      <c r="C7" s="92">
        <f>C5/(1+$C6)^C4</f>
        <v>3.55</v>
      </c>
      <c r="D7" s="92">
        <f t="shared" ref="D7:H7" si="1">D5/(1+$C6)^D4</f>
        <v>3.2006629251108785</v>
      </c>
      <c r="E7" s="92">
        <f t="shared" si="1"/>
        <v>2.8857022986420633</v>
      </c>
      <c r="F7" s="92">
        <f t="shared" si="1"/>
        <v>2.6017353127241947</v>
      </c>
      <c r="G7" s="92">
        <f t="shared" si="1"/>
        <v>2.3457120440529828</v>
      </c>
      <c r="H7" s="92">
        <f t="shared" si="1"/>
        <v>2.1148826964468839</v>
      </c>
    </row>
    <row r="8" spans="1:8">
      <c r="A8" s="231"/>
    </row>
    <row r="9" spans="1:8">
      <c r="A9" s="231"/>
      <c r="B9" s="10" t="s">
        <v>222</v>
      </c>
      <c r="C9" s="93">
        <f>IF(Assumptions!$C$48="CAGR",Assumptions!$C$40,Assumptions!$C$44)</f>
        <v>3.6479671551646886E-2</v>
      </c>
    </row>
    <row r="10" spans="1:8">
      <c r="A10" s="231"/>
      <c r="B10" s="10" t="s">
        <v>223</v>
      </c>
      <c r="C10" s="84">
        <f>Assumptions!$C$114</f>
        <v>0.03</v>
      </c>
      <c r="E10" s="41"/>
    </row>
    <row r="11" spans="1:8">
      <c r="A11" s="231"/>
    </row>
    <row r="12" spans="1:8">
      <c r="A12" s="231"/>
      <c r="B12" s="23" t="s">
        <v>225</v>
      </c>
      <c r="C12" s="45">
        <f>SUM(D7:H7)</f>
        <v>13.148695276977003</v>
      </c>
    </row>
    <row r="13" spans="1:8">
      <c r="A13" s="231"/>
      <c r="B13" s="23" t="s">
        <v>226</v>
      </c>
      <c r="C13" s="45">
        <f>H5*(1+$C10)</f>
        <v>4.3739067649708101</v>
      </c>
    </row>
    <row r="14" spans="1:8">
      <c r="A14" s="231"/>
      <c r="B14" s="23" t="s">
        <v>227</v>
      </c>
      <c r="C14" s="45">
        <f>C13/(C6-C10)</f>
        <v>36.569145936237767</v>
      </c>
    </row>
    <row r="15" spans="1:8">
      <c r="A15" s="231"/>
      <c r="B15" s="23" t="s">
        <v>228</v>
      </c>
      <c r="C15" s="45">
        <f>C14/(1+C6)^H4</f>
        <v>18.212468135189766</v>
      </c>
    </row>
    <row r="16" spans="1:8" ht="12" thickBot="1">
      <c r="A16" s="231"/>
      <c r="B16" s="54" t="s">
        <v>186</v>
      </c>
      <c r="C16" s="87">
        <f>SUM(C12,C15)</f>
        <v>31.361163412166768</v>
      </c>
    </row>
    <row r="19" spans="1:8" ht="10.5" customHeight="1">
      <c r="A19" s="232" t="s">
        <v>2</v>
      </c>
      <c r="B19" s="14" t="str">
        <f>"DDM - "&amp;A19&amp;" - "&amp;Assumptions!$C$48</f>
        <v>DDM - Bear - CAGR</v>
      </c>
      <c r="C19" s="14" cm="1">
        <f t="array" ref="C19:H19">_xlfn.SEQUENCE(1,6,(YEAR(Assumptions!$C$20)-1))</f>
        <v>2023</v>
      </c>
      <c r="D19" s="60">
        <v>2024</v>
      </c>
      <c r="E19" s="60">
        <v>2025</v>
      </c>
      <c r="F19" s="60">
        <v>2026</v>
      </c>
      <c r="G19" s="60">
        <v>2027</v>
      </c>
      <c r="H19" s="60">
        <v>2028</v>
      </c>
    </row>
    <row r="20" spans="1:8">
      <c r="A20" s="232"/>
      <c r="B20" s="10"/>
      <c r="C20" s="83">
        <v>0</v>
      </c>
      <c r="D20" s="83">
        <v>1</v>
      </c>
      <c r="E20" s="83">
        <v>2</v>
      </c>
      <c r="F20" s="83">
        <v>3</v>
      </c>
      <c r="G20" s="83">
        <v>4</v>
      </c>
      <c r="H20" s="83">
        <v>5</v>
      </c>
    </row>
    <row r="21" spans="1:8">
      <c r="A21" s="232"/>
      <c r="B21" s="23" t="s">
        <v>221</v>
      </c>
      <c r="C21" s="91">
        <f>Assumptions!$C$50</f>
        <v>3.55</v>
      </c>
      <c r="D21" s="91">
        <f>C21*(1+$C25)</f>
        <v>3.6440028340083463</v>
      </c>
      <c r="E21" s="91">
        <f>D21*(1+$C25)</f>
        <v>3.7404948321861577</v>
      </c>
      <c r="F21" s="91">
        <f>E21*(1+$C25)</f>
        <v>3.8395419067830798</v>
      </c>
      <c r="G21" s="91">
        <f>F21*(1+$C25)</f>
        <v>3.9412117153834796</v>
      </c>
      <c r="H21" s="91">
        <f>G21*(1+$C25)</f>
        <v>4.0455737071223368</v>
      </c>
    </row>
    <row r="22" spans="1:8">
      <c r="A22" s="232"/>
      <c r="B22" s="23" t="s">
        <v>220</v>
      </c>
      <c r="C22" s="90">
        <f>Assumptions!$C$51</f>
        <v>0.14960647843942504</v>
      </c>
      <c r="D22" s="90">
        <f>C22</f>
        <v>0.14960647843942504</v>
      </c>
      <c r="E22" s="90">
        <f t="shared" ref="E22:H22" si="2">D22</f>
        <v>0.14960647843942504</v>
      </c>
      <c r="F22" s="90">
        <f t="shared" si="2"/>
        <v>0.14960647843942504</v>
      </c>
      <c r="G22" s="90">
        <f t="shared" si="2"/>
        <v>0.14960647843942504</v>
      </c>
      <c r="H22" s="90">
        <f t="shared" si="2"/>
        <v>0.14960647843942504</v>
      </c>
    </row>
    <row r="23" spans="1:8">
      <c r="A23" s="232"/>
      <c r="B23" s="31" t="s">
        <v>224</v>
      </c>
      <c r="C23" s="92">
        <f>C21/(1+C22)^C20</f>
        <v>3.55</v>
      </c>
      <c r="D23" s="92">
        <f t="shared" ref="D23" si="3">D21/(1+D22)^D20</f>
        <v>3.169782792938876</v>
      </c>
      <c r="E23" s="92">
        <f t="shared" ref="E23" si="4">E21/(1+E22)^E20</f>
        <v>2.83028815617222</v>
      </c>
      <c r="F23" s="92">
        <f t="shared" ref="F23" si="5">F21/(1+F22)^F20</f>
        <v>2.5271545623925071</v>
      </c>
      <c r="G23" s="92">
        <f t="shared" ref="G23" si="6">G21/(1+G22)^G20</f>
        <v>2.2564876188644352</v>
      </c>
      <c r="H23" s="92">
        <f t="shared" ref="H23" si="7">H21/(1+H22)^H20</f>
        <v>2.0148100357059442</v>
      </c>
    </row>
    <row r="24" spans="1:8">
      <c r="A24" s="232"/>
    </row>
    <row r="25" spans="1:8">
      <c r="A25" s="232"/>
      <c r="B25" s="10" t="s">
        <v>222</v>
      </c>
      <c r="C25" s="93">
        <f>IF(Assumptions!$C$48="CAGR",Assumptions!$C$41,Assumptions!$C$45)</f>
        <v>2.6479671551646884E-2</v>
      </c>
    </row>
    <row r="26" spans="1:8">
      <c r="A26" s="232"/>
      <c r="B26" s="10" t="s">
        <v>223</v>
      </c>
      <c r="C26" s="84">
        <f>Assumptions!$C$114</f>
        <v>0.03</v>
      </c>
    </row>
    <row r="27" spans="1:8">
      <c r="A27" s="232"/>
    </row>
    <row r="28" spans="1:8">
      <c r="A28" s="232"/>
      <c r="B28" s="23" t="s">
        <v>225</v>
      </c>
      <c r="C28" s="45">
        <f>SUM(D23:H23)</f>
        <v>12.798523166073982</v>
      </c>
    </row>
    <row r="29" spans="1:8">
      <c r="A29" s="232"/>
      <c r="B29" s="23" t="s">
        <v>226</v>
      </c>
      <c r="C29" s="45">
        <f>H21*(1+$C26)</f>
        <v>4.1669409183360067</v>
      </c>
    </row>
    <row r="30" spans="1:8">
      <c r="A30" s="232"/>
      <c r="B30" s="23" t="s">
        <v>227</v>
      </c>
      <c r="C30" s="45">
        <f>C29/(C22-C26)</f>
        <v>34.838755999712532</v>
      </c>
    </row>
    <row r="31" spans="1:8">
      <c r="A31" s="232"/>
      <c r="B31" s="23" t="s">
        <v>228</v>
      </c>
      <c r="C31" s="45">
        <f>C30/(1+C22)^H20</f>
        <v>17.350685045276535</v>
      </c>
    </row>
    <row r="32" spans="1:8" ht="12" thickBot="1">
      <c r="A32" s="232"/>
      <c r="B32" s="54" t="s">
        <v>186</v>
      </c>
      <c r="C32" s="87">
        <f>SUM(C28,C31)</f>
        <v>30.149208211350519</v>
      </c>
    </row>
    <row r="35" spans="1:8" ht="10.5" customHeight="1">
      <c r="A35" s="233" t="s">
        <v>4</v>
      </c>
      <c r="B35" s="14" t="str">
        <f>"DDM - "&amp;A35&amp;" - "&amp;Assumptions!$C$48</f>
        <v>DDM - Bull - CAGR</v>
      </c>
      <c r="C35" s="14" cm="1">
        <f t="array" ref="C35:H35">_xlfn.SEQUENCE(1,6,(YEAR(Assumptions!$C$20)-1))</f>
        <v>2023</v>
      </c>
      <c r="D35" s="60">
        <v>2024</v>
      </c>
      <c r="E35" s="60">
        <v>2025</v>
      </c>
      <c r="F35" s="60">
        <v>2026</v>
      </c>
      <c r="G35" s="60">
        <v>2027</v>
      </c>
      <c r="H35" s="60">
        <v>2028</v>
      </c>
    </row>
    <row r="36" spans="1:8">
      <c r="A36" s="233"/>
      <c r="B36" s="10"/>
      <c r="C36" s="83">
        <v>0</v>
      </c>
      <c r="D36" s="83">
        <v>1</v>
      </c>
      <c r="E36" s="83">
        <v>2</v>
      </c>
      <c r="F36" s="83">
        <v>3</v>
      </c>
      <c r="G36" s="83">
        <v>4</v>
      </c>
      <c r="H36" s="83">
        <v>5</v>
      </c>
    </row>
    <row r="37" spans="1:8">
      <c r="A37" s="233"/>
      <c r="B37" s="23" t="s">
        <v>221</v>
      </c>
      <c r="C37" s="91">
        <f>Assumptions!$C$50</f>
        <v>3.55</v>
      </c>
      <c r="D37" s="91">
        <f>C37*(1+$C41)</f>
        <v>3.7150028340083461</v>
      </c>
      <c r="E37" s="91">
        <f t="shared" ref="E37:H37" si="8">D37*(1+$C41)</f>
        <v>3.8876749455464914</v>
      </c>
      <c r="F37" s="91">
        <f t="shared" si="8"/>
        <v>4.0683728001150588</v>
      </c>
      <c r="G37" s="91">
        <f t="shared" si="8"/>
        <v>4.2574694316140604</v>
      </c>
      <c r="H37" s="91">
        <f t="shared" si="8"/>
        <v>4.4553552124366584</v>
      </c>
    </row>
    <row r="38" spans="1:8">
      <c r="A38" s="233"/>
      <c r="B38" s="23" t="s">
        <v>220</v>
      </c>
      <c r="C38" s="90">
        <f>Assumptions!$C$51</f>
        <v>0.14960647843942504</v>
      </c>
      <c r="D38" s="90">
        <f>C38</f>
        <v>0.14960647843942504</v>
      </c>
      <c r="E38" s="90">
        <f t="shared" ref="E38:H38" si="9">D38</f>
        <v>0.14960647843942504</v>
      </c>
      <c r="F38" s="90">
        <f t="shared" si="9"/>
        <v>0.14960647843942504</v>
      </c>
      <c r="G38" s="90">
        <f t="shared" si="9"/>
        <v>0.14960647843942504</v>
      </c>
      <c r="H38" s="90">
        <f t="shared" si="9"/>
        <v>0.14960647843942504</v>
      </c>
    </row>
    <row r="39" spans="1:8">
      <c r="A39" s="233"/>
      <c r="B39" s="31" t="s">
        <v>224</v>
      </c>
      <c r="C39" s="92">
        <f>C37/(1+C38)^C36</f>
        <v>3.55</v>
      </c>
      <c r="D39" s="92">
        <f t="shared" ref="D39" si="10">D37/(1+D38)^D36</f>
        <v>3.2315430572828809</v>
      </c>
      <c r="E39" s="92">
        <f t="shared" ref="E39" si="11">E37/(1+E38)^E36</f>
        <v>2.9416536707248424</v>
      </c>
      <c r="F39" s="92">
        <f t="shared" ref="F39" si="12">F37/(1+F38)^F36</f>
        <v>2.6777691539610045</v>
      </c>
      <c r="G39" s="92">
        <f t="shared" ref="G39" si="13">G37/(1+G38)^G36</f>
        <v>2.4375567094335042</v>
      </c>
      <c r="H39" s="92">
        <f t="shared" ref="H39" si="14">H37/(1+H38)^H36</f>
        <v>2.2188928059445479</v>
      </c>
    </row>
    <row r="40" spans="1:8">
      <c r="A40" s="233"/>
    </row>
    <row r="41" spans="1:8">
      <c r="A41" s="233"/>
      <c r="B41" s="10" t="s">
        <v>222</v>
      </c>
      <c r="C41" s="93">
        <f>IF(Assumptions!$C$48="CAGR",Assumptions!$C$42,Assumptions!$C$46)</f>
        <v>4.6479671551646888E-2</v>
      </c>
    </row>
    <row r="42" spans="1:8">
      <c r="A42" s="233"/>
      <c r="B42" s="10" t="s">
        <v>223</v>
      </c>
      <c r="C42" s="84">
        <f>Assumptions!$C$114</f>
        <v>0.03</v>
      </c>
    </row>
    <row r="43" spans="1:8">
      <c r="A43" s="233"/>
    </row>
    <row r="44" spans="1:8">
      <c r="A44" s="233"/>
      <c r="B44" s="23" t="s">
        <v>225</v>
      </c>
      <c r="C44" s="45">
        <f>SUM(D39:H39)</f>
        <v>13.507415397346779</v>
      </c>
    </row>
    <row r="45" spans="1:8">
      <c r="A45" s="233"/>
      <c r="B45" s="23" t="s">
        <v>226</v>
      </c>
      <c r="C45" s="45">
        <f>H37*(1+$C42)</f>
        <v>4.5890158688097582</v>
      </c>
    </row>
    <row r="46" spans="1:8">
      <c r="A46" s="233"/>
      <c r="B46" s="23" t="s">
        <v>227</v>
      </c>
      <c r="C46" s="45">
        <f>C45/(C38-C42)</f>
        <v>38.367619619650242</v>
      </c>
    </row>
    <row r="47" spans="1:8">
      <c r="A47" s="233"/>
      <c r="B47" s="23" t="s">
        <v>228</v>
      </c>
      <c r="C47" s="45">
        <f>C46/(1+C38)^H36</f>
        <v>19.108158855127233</v>
      </c>
    </row>
    <row r="48" spans="1:8" ht="12" thickBot="1">
      <c r="A48" s="233"/>
      <c r="B48" s="54" t="s">
        <v>186</v>
      </c>
      <c r="C48" s="87">
        <f>SUM(C44,C47)</f>
        <v>32.615574252474012</v>
      </c>
    </row>
    <row r="51" spans="1:3">
      <c r="B51" s="30" t="s">
        <v>231</v>
      </c>
      <c r="C51" s="30"/>
    </row>
    <row r="52" spans="1:3">
      <c r="B52" s="61" t="s">
        <v>165</v>
      </c>
      <c r="C52" s="61"/>
    </row>
    <row r="53" spans="1:3">
      <c r="A53" s="80" t="s">
        <v>3</v>
      </c>
      <c r="B53" s="94" t="str">
        <f>B3</f>
        <v>DDM - Base - CAGR</v>
      </c>
      <c r="C53" s="45">
        <f>C16</f>
        <v>31.361163412166768</v>
      </c>
    </row>
    <row r="54" spans="1:3">
      <c r="A54" s="80" t="s">
        <v>2</v>
      </c>
      <c r="B54" s="94" t="str">
        <f>B19</f>
        <v>DDM - Bear - CAGR</v>
      </c>
      <c r="C54" s="45">
        <f>C32</f>
        <v>30.149208211350519</v>
      </c>
    </row>
    <row r="55" spans="1:3">
      <c r="A55" s="80" t="s">
        <v>4</v>
      </c>
      <c r="B55" s="94" t="str">
        <f>B35</f>
        <v>DDM - Bull - CAGR</v>
      </c>
      <c r="C55" s="45">
        <f>C48</f>
        <v>32.615574252474012</v>
      </c>
    </row>
  </sheetData>
  <mergeCells count="3">
    <mergeCell ref="A19:A32"/>
    <mergeCell ref="A35:A48"/>
    <mergeCell ref="A3:A16"/>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B2782-D757-4BCA-90AF-9BC053A84828}">
  <sheetPr>
    <tabColor theme="4"/>
  </sheetPr>
  <dimension ref="B2:Q60"/>
  <sheetViews>
    <sheetView zoomScale="85" zoomScaleNormal="85"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8.6640625" defaultRowHeight="11" outlineLevelCol="1"/>
  <cols>
    <col min="1" max="1" width="2.1640625" style="1" customWidth="1"/>
    <col min="2" max="2" width="41.6640625" style="1" bestFit="1" customWidth="1"/>
    <col min="3" max="7" width="8.6640625" style="1" customWidth="1" outlineLevel="1"/>
    <col min="8" max="8" width="8.6640625" style="1" customWidth="1"/>
    <col min="9" max="16384" width="8.6640625" style="1"/>
  </cols>
  <sheetData>
    <row r="2" spans="2:17">
      <c r="B2" s="30" t="s">
        <v>33</v>
      </c>
      <c r="C2" s="30"/>
      <c r="D2" s="30"/>
      <c r="E2" s="30"/>
      <c r="F2" s="30"/>
      <c r="G2" s="30"/>
      <c r="H2" s="30"/>
      <c r="I2" s="30"/>
      <c r="J2" s="30"/>
      <c r="K2" s="30"/>
      <c r="L2" s="30"/>
      <c r="M2" s="30"/>
      <c r="N2" s="30"/>
      <c r="O2" s="30"/>
      <c r="P2" s="30"/>
      <c r="Q2" s="30"/>
    </row>
    <row r="3" spans="2:17">
      <c r="B3" s="14" t="str">
        <f>Assumptions!$B$113</f>
        <v>Year Ending December 31, In CAD Millions</v>
      </c>
      <c r="C3" s="14" cm="1">
        <f t="array" ref="C3:L3">_xlfn.SEQUENCE(1,5+Assumptions!$C$21,(YEAR('Valuation Summary'!$C$4)-5))</f>
        <v>2019</v>
      </c>
      <c r="D3" s="14">
        <v>2020</v>
      </c>
      <c r="E3" s="14">
        <v>2021</v>
      </c>
      <c r="F3" s="14">
        <v>2022</v>
      </c>
      <c r="G3" s="14">
        <v>2023</v>
      </c>
      <c r="H3" s="15">
        <v>2024</v>
      </c>
      <c r="I3" s="15">
        <v>2025</v>
      </c>
      <c r="J3" s="15">
        <v>2026</v>
      </c>
      <c r="K3" s="15">
        <v>2027</v>
      </c>
      <c r="L3" s="15">
        <v>2028</v>
      </c>
      <c r="M3" s="15"/>
      <c r="N3" s="15"/>
      <c r="O3" s="15"/>
      <c r="P3" s="15"/>
      <c r="Q3" s="15"/>
    </row>
    <row r="4" spans="2:17">
      <c r="B4" s="10" t="str">
        <f>Assumptions!B117</f>
        <v>Revenue</v>
      </c>
      <c r="C4" s="110">
        <f>Assumptions!D117</f>
        <v>50069</v>
      </c>
      <c r="D4" s="110">
        <f>Assumptions!E117</f>
        <v>39087</v>
      </c>
      <c r="E4" s="110">
        <f>Assumptions!F117</f>
        <v>47071</v>
      </c>
      <c r="F4" s="110">
        <f>Assumptions!G117</f>
        <v>53309</v>
      </c>
      <c r="G4" s="110">
        <f>Assumptions!H117</f>
        <v>43649</v>
      </c>
      <c r="H4" s="13">
        <f>IF(H3="",0,G4*(1+H6))</f>
        <v>44958.47</v>
      </c>
      <c r="I4" s="13">
        <f t="shared" ref="I4:Q4" si="0">IF(I3="",0,H4*(1+I6))</f>
        <v>46307.224099999999</v>
      </c>
      <c r="J4" s="13">
        <f t="shared" si="0"/>
        <v>47696.440822999997</v>
      </c>
      <c r="K4" s="13">
        <f t="shared" si="0"/>
        <v>49127.334047689998</v>
      </c>
      <c r="L4" s="13">
        <f t="shared" si="0"/>
        <v>50601.154069120697</v>
      </c>
      <c r="M4" s="13">
        <f t="shared" si="0"/>
        <v>0</v>
      </c>
      <c r="N4" s="13">
        <f t="shared" si="0"/>
        <v>0</v>
      </c>
      <c r="O4" s="13">
        <f t="shared" si="0"/>
        <v>0</v>
      </c>
      <c r="P4" s="13">
        <f t="shared" si="0"/>
        <v>0</v>
      </c>
      <c r="Q4" s="13">
        <f t="shared" si="0"/>
        <v>0</v>
      </c>
    </row>
    <row r="5" spans="2:17">
      <c r="B5" s="19" t="str">
        <f>"% of "&amp;$B$4</f>
        <v>% of Revenue</v>
      </c>
      <c r="C5" s="120">
        <f>IFERROR(C4/C$4,0)</f>
        <v>1</v>
      </c>
      <c r="D5" s="120">
        <f t="shared" ref="D5" si="1">D4/D$4</f>
        <v>1</v>
      </c>
      <c r="E5" s="120">
        <f t="shared" ref="E5" si="2">E4/E$4</f>
        <v>1</v>
      </c>
      <c r="F5" s="120">
        <f t="shared" ref="F5" si="3">F4/F$4</f>
        <v>1</v>
      </c>
      <c r="G5" s="120">
        <f t="shared" ref="G5" si="4">G4/G$4</f>
        <v>1</v>
      </c>
      <c r="H5" s="20">
        <f>IFERROR(H4/H$4,0)</f>
        <v>1</v>
      </c>
      <c r="I5" s="20">
        <f t="shared" ref="I5:Q5" si="5">IFERROR(I4/I$4,0)</f>
        <v>1</v>
      </c>
      <c r="J5" s="20">
        <f t="shared" si="5"/>
        <v>1</v>
      </c>
      <c r="K5" s="20">
        <f t="shared" si="5"/>
        <v>1</v>
      </c>
      <c r="L5" s="20">
        <f t="shared" si="5"/>
        <v>1</v>
      </c>
      <c r="M5" s="20">
        <f t="shared" si="5"/>
        <v>0</v>
      </c>
      <c r="N5" s="20">
        <f t="shared" si="5"/>
        <v>0</v>
      </c>
      <c r="O5" s="20">
        <f t="shared" si="5"/>
        <v>0</v>
      </c>
      <c r="P5" s="20">
        <f t="shared" si="5"/>
        <v>0</v>
      </c>
      <c r="Q5" s="20">
        <f t="shared" si="5"/>
        <v>0</v>
      </c>
    </row>
    <row r="6" spans="2:17">
      <c r="B6" s="19" t="s">
        <v>208</v>
      </c>
      <c r="C6" s="120"/>
      <c r="D6" s="120">
        <f>D4/C4-1</f>
        <v>-0.21933731450598171</v>
      </c>
      <c r="E6" s="120">
        <f t="shared" ref="E6:G6" si="6">E4/D4-1</f>
        <v>0.20426228669378577</v>
      </c>
      <c r="F6" s="120">
        <f t="shared" si="6"/>
        <v>0.13252320961951103</v>
      </c>
      <c r="G6" s="120">
        <f t="shared" si="6"/>
        <v>-0.18120767600217602</v>
      </c>
      <c r="H6" s="20">
        <f>Assumptions!I$118</f>
        <v>0.03</v>
      </c>
      <c r="I6" s="20">
        <f>Assumptions!J$118</f>
        <v>0.03</v>
      </c>
      <c r="J6" s="20">
        <f>Assumptions!K$118</f>
        <v>0.03</v>
      </c>
      <c r="K6" s="20">
        <f>Assumptions!L$118</f>
        <v>0.03</v>
      </c>
      <c r="L6" s="20">
        <f>Assumptions!M$118</f>
        <v>0.03</v>
      </c>
      <c r="M6" s="20">
        <f>Assumptions!N$118</f>
        <v>0</v>
      </c>
      <c r="N6" s="20">
        <f>Assumptions!O$118</f>
        <v>0</v>
      </c>
      <c r="O6" s="20">
        <f>Assumptions!P$118</f>
        <v>0</v>
      </c>
      <c r="P6" s="20">
        <f>Assumptions!Q$118</f>
        <v>0</v>
      </c>
      <c r="Q6" s="20">
        <f>Assumptions!R$118</f>
        <v>0</v>
      </c>
    </row>
    <row r="7" spans="2:17">
      <c r="B7" s="27"/>
      <c r="C7" s="114"/>
      <c r="D7" s="114"/>
      <c r="E7" s="114"/>
      <c r="F7" s="114"/>
      <c r="G7" s="114"/>
    </row>
    <row r="8" spans="2:17">
      <c r="B8" s="27" t="str">
        <f>Assumptions!B123</f>
        <v>Cost of Revenue ~ Cost of Goods Sold</v>
      </c>
      <c r="C8" s="109">
        <f>Assumptions!D123</f>
        <v>31004</v>
      </c>
      <c r="D8" s="109">
        <f>Assumptions!E123</f>
        <v>20669</v>
      </c>
      <c r="E8" s="109">
        <f>Assumptions!F123</f>
        <v>28702</v>
      </c>
      <c r="F8" s="109">
        <f>Assumptions!G123</f>
        <v>32589</v>
      </c>
      <c r="G8" s="109">
        <f>Assumptions!H123</f>
        <v>21366</v>
      </c>
      <c r="H8" s="12">
        <f>H$4*H9</f>
        <v>25703.641628676272</v>
      </c>
      <c r="I8" s="12">
        <f t="shared" ref="I8:Q8" si="7">I$4*I9</f>
        <v>26474.75087753656</v>
      </c>
      <c r="J8" s="12">
        <f t="shared" si="7"/>
        <v>27268.993403862656</v>
      </c>
      <c r="K8" s="12">
        <f t="shared" si="7"/>
        <v>28087.063205978535</v>
      </c>
      <c r="L8" s="12">
        <f t="shared" si="7"/>
        <v>28929.675102157893</v>
      </c>
      <c r="M8" s="12">
        <f t="shared" si="7"/>
        <v>0</v>
      </c>
      <c r="N8" s="12">
        <f t="shared" si="7"/>
        <v>0</v>
      </c>
      <c r="O8" s="12">
        <f t="shared" si="7"/>
        <v>0</v>
      </c>
      <c r="P8" s="12">
        <f t="shared" si="7"/>
        <v>0</v>
      </c>
      <c r="Q8" s="12">
        <f t="shared" si="7"/>
        <v>0</v>
      </c>
    </row>
    <row r="9" spans="2:17">
      <c r="B9" s="28" t="str">
        <f>"% of "&amp;$B$4</f>
        <v>% of Revenue</v>
      </c>
      <c r="C9" s="120">
        <f>IFERROR(C8/C$4,0)</f>
        <v>0.61922546885298291</v>
      </c>
      <c r="D9" s="120">
        <f t="shared" ref="D9" si="8">D8/D$4</f>
        <v>0.52879473993911019</v>
      </c>
      <c r="E9" s="120">
        <f t="shared" ref="E9" si="9">E8/E$4</f>
        <v>0.60975972467124129</v>
      </c>
      <c r="F9" s="120">
        <f t="shared" ref="F9" si="10">F8/F$4</f>
        <v>0.6113226659663471</v>
      </c>
      <c r="G9" s="120">
        <f t="shared" ref="G9" si="11">G8/G$4</f>
        <v>0.48949575018900776</v>
      </c>
      <c r="H9" s="125">
        <f>Assumptions!I$124</f>
        <v>0.57171966992373791</v>
      </c>
      <c r="I9" s="125">
        <f>Assumptions!J$124</f>
        <v>0.57171966992373791</v>
      </c>
      <c r="J9" s="125">
        <f>Assumptions!K$124</f>
        <v>0.57171966992373791</v>
      </c>
      <c r="K9" s="125">
        <f>Assumptions!L$124</f>
        <v>0.57171966992373791</v>
      </c>
      <c r="L9" s="125">
        <f>Assumptions!M$124</f>
        <v>0.57171966992373791</v>
      </c>
      <c r="M9" s="125">
        <f>Assumptions!N$124</f>
        <v>0</v>
      </c>
      <c r="N9" s="125">
        <f>Assumptions!O$124</f>
        <v>0</v>
      </c>
      <c r="O9" s="125">
        <f>Assumptions!P$124</f>
        <v>0</v>
      </c>
      <c r="P9" s="125">
        <f>Assumptions!Q$124</f>
        <v>0</v>
      </c>
      <c r="Q9" s="125">
        <f>Assumptions!R$124</f>
        <v>0</v>
      </c>
    </row>
    <row r="10" spans="2:17">
      <c r="B10" s="28" t="s">
        <v>208</v>
      </c>
      <c r="C10" s="120"/>
      <c r="D10" s="120">
        <f>D8/C8-1</f>
        <v>-0.3333440846342407</v>
      </c>
      <c r="E10" s="120">
        <f t="shared" ref="E10:G10" si="12">E8/D8-1</f>
        <v>0.38864966858580474</v>
      </c>
      <c r="F10" s="120">
        <f t="shared" si="12"/>
        <v>0.13542610271061251</v>
      </c>
      <c r="G10" s="120">
        <f t="shared" si="12"/>
        <v>-0.34438000552333614</v>
      </c>
      <c r="H10" s="132">
        <f>IF(H$3="",0,H8/G8-1)</f>
        <v>0.20301608296715679</v>
      </c>
      <c r="I10" s="132">
        <f t="shared" ref="I10:Q10" si="13">IF(I$3="",0,I8/H8-1)</f>
        <v>3.0000000000000027E-2</v>
      </c>
      <c r="J10" s="132">
        <f t="shared" si="13"/>
        <v>3.0000000000000027E-2</v>
      </c>
      <c r="K10" s="132">
        <f t="shared" si="13"/>
        <v>3.0000000000000027E-2</v>
      </c>
      <c r="L10" s="132">
        <f t="shared" si="13"/>
        <v>3.0000000000000027E-2</v>
      </c>
      <c r="M10" s="132">
        <f t="shared" si="13"/>
        <v>0</v>
      </c>
      <c r="N10" s="132">
        <f t="shared" si="13"/>
        <v>0</v>
      </c>
      <c r="O10" s="132">
        <f t="shared" si="13"/>
        <v>0</v>
      </c>
      <c r="P10" s="132">
        <f t="shared" si="13"/>
        <v>0</v>
      </c>
      <c r="Q10" s="132">
        <f t="shared" si="13"/>
        <v>0</v>
      </c>
    </row>
    <row r="11" spans="2:17">
      <c r="B11" s="27"/>
      <c r="C11" s="114"/>
      <c r="D11" s="114"/>
      <c r="E11" s="114"/>
      <c r="F11" s="114"/>
      <c r="G11" s="114"/>
    </row>
    <row r="12" spans="2:17">
      <c r="B12" s="25" t="s">
        <v>23</v>
      </c>
      <c r="C12" s="121">
        <f t="shared" ref="C12:Q12" si="14">C4-C8</f>
        <v>19065</v>
      </c>
      <c r="D12" s="121">
        <f t="shared" si="14"/>
        <v>18418</v>
      </c>
      <c r="E12" s="121">
        <f t="shared" si="14"/>
        <v>18369</v>
      </c>
      <c r="F12" s="121">
        <f t="shared" si="14"/>
        <v>20720</v>
      </c>
      <c r="G12" s="121">
        <f t="shared" si="14"/>
        <v>22283</v>
      </c>
      <c r="H12" s="17">
        <f t="shared" si="14"/>
        <v>19254.828371323729</v>
      </c>
      <c r="I12" s="17">
        <f t="shared" si="14"/>
        <v>19832.473222463439</v>
      </c>
      <c r="J12" s="17">
        <f t="shared" si="14"/>
        <v>20427.447419137341</v>
      </c>
      <c r="K12" s="17">
        <f t="shared" si="14"/>
        <v>21040.270841711463</v>
      </c>
      <c r="L12" s="17">
        <f t="shared" si="14"/>
        <v>21671.478966962804</v>
      </c>
      <c r="M12" s="17">
        <f t="shared" si="14"/>
        <v>0</v>
      </c>
      <c r="N12" s="17">
        <f t="shared" si="14"/>
        <v>0</v>
      </c>
      <c r="O12" s="17">
        <f t="shared" si="14"/>
        <v>0</v>
      </c>
      <c r="P12" s="17">
        <f t="shared" si="14"/>
        <v>0</v>
      </c>
      <c r="Q12" s="17">
        <f t="shared" si="14"/>
        <v>0</v>
      </c>
    </row>
    <row r="13" spans="2:17">
      <c r="B13" s="24" t="str">
        <f>"% of "&amp;$B$4</f>
        <v>% of Revenue</v>
      </c>
      <c r="C13" s="122">
        <f>IFERROR(C12/C$4,0)</f>
        <v>0.38077453114701709</v>
      </c>
      <c r="D13" s="122">
        <f t="shared" ref="D13" si="15">D12/D$4</f>
        <v>0.47120526006088981</v>
      </c>
      <c r="E13" s="122">
        <f t="shared" ref="E13" si="16">E12/E$4</f>
        <v>0.39024027532875866</v>
      </c>
      <c r="F13" s="122">
        <f t="shared" ref="F13" si="17">F12/F$4</f>
        <v>0.38867733403365284</v>
      </c>
      <c r="G13" s="122">
        <f t="shared" ref="G13" si="18">G12/G$4</f>
        <v>0.51050424981099218</v>
      </c>
      <c r="H13" s="20">
        <f>IFERROR(H12/H$4,0)</f>
        <v>0.42828033007626209</v>
      </c>
      <c r="I13" s="20">
        <f t="shared" ref="I13" si="19">IFERROR(I12/I$4,0)</f>
        <v>0.42828033007626209</v>
      </c>
      <c r="J13" s="20">
        <f t="shared" ref="J13" si="20">IFERROR(J12/J$4,0)</f>
        <v>0.42828033007626209</v>
      </c>
      <c r="K13" s="20">
        <f t="shared" ref="K13" si="21">IFERROR(K12/K$4,0)</f>
        <v>0.42828033007626215</v>
      </c>
      <c r="L13" s="20">
        <f t="shared" ref="L13" si="22">IFERROR(L12/L$4,0)</f>
        <v>0.42828033007626209</v>
      </c>
      <c r="M13" s="20">
        <f t="shared" ref="M13" si="23">IFERROR(M12/M$4,0)</f>
        <v>0</v>
      </c>
      <c r="N13" s="20">
        <f t="shared" ref="N13" si="24">IFERROR(N12/N$4,0)</f>
        <v>0</v>
      </c>
      <c r="O13" s="20">
        <f t="shared" ref="O13" si="25">IFERROR(O12/O$4,0)</f>
        <v>0</v>
      </c>
      <c r="P13" s="20">
        <f t="shared" ref="P13" si="26">IFERROR(P12/P$4,0)</f>
        <v>0</v>
      </c>
      <c r="Q13" s="20">
        <f t="shared" ref="Q13" si="27">IFERROR(Q12/Q$4,0)</f>
        <v>0</v>
      </c>
    </row>
    <row r="14" spans="2:17" ht="12" thickBot="1">
      <c r="B14" s="26" t="s">
        <v>208</v>
      </c>
      <c r="C14" s="123"/>
      <c r="D14" s="123">
        <f>D12/C12-1</f>
        <v>-3.3936532913716233E-2</v>
      </c>
      <c r="E14" s="123">
        <f t="shared" ref="E14:G14" si="28">E12/D12-1</f>
        <v>-2.6604408730589446E-3</v>
      </c>
      <c r="F14" s="123">
        <f t="shared" si="28"/>
        <v>0.12798737002558669</v>
      </c>
      <c r="G14" s="123">
        <f t="shared" si="28"/>
        <v>7.5434362934363008E-2</v>
      </c>
      <c r="H14" s="18">
        <f>IF(H3="",0,H12/G12-1)</f>
        <v>-0.13589604760024554</v>
      </c>
      <c r="I14" s="18">
        <f t="shared" ref="I14:Q14" si="29">IF(I3="",0,I12/H12-1)</f>
        <v>2.9999999999999805E-2</v>
      </c>
      <c r="J14" s="18">
        <f t="shared" si="29"/>
        <v>3.0000000000000027E-2</v>
      </c>
      <c r="K14" s="18">
        <f t="shared" si="29"/>
        <v>3.0000000000000027E-2</v>
      </c>
      <c r="L14" s="18">
        <f t="shared" si="29"/>
        <v>2.9999999999999805E-2</v>
      </c>
      <c r="M14" s="18">
        <f t="shared" si="29"/>
        <v>0</v>
      </c>
      <c r="N14" s="18">
        <f t="shared" si="29"/>
        <v>0</v>
      </c>
      <c r="O14" s="18">
        <f t="shared" si="29"/>
        <v>0</v>
      </c>
      <c r="P14" s="18">
        <f t="shared" si="29"/>
        <v>0</v>
      </c>
      <c r="Q14" s="18">
        <f t="shared" si="29"/>
        <v>0</v>
      </c>
    </row>
    <row r="15" spans="2:17">
      <c r="B15" s="27"/>
      <c r="C15" s="114"/>
      <c r="D15" s="114"/>
      <c r="E15" s="114"/>
      <c r="F15" s="114"/>
      <c r="G15" s="114"/>
    </row>
    <row r="16" spans="2:17">
      <c r="B16" s="27" t="str">
        <f>Assumptions!B127</f>
        <v>Other Operating Income</v>
      </c>
      <c r="C16" s="109">
        <f>Assumptions!D127</f>
        <v>0</v>
      </c>
      <c r="D16" s="109">
        <f>Assumptions!E127</f>
        <v>0</v>
      </c>
      <c r="E16" s="109">
        <f>Assumptions!F127</f>
        <v>0</v>
      </c>
      <c r="F16" s="109">
        <f>Assumptions!G127</f>
        <v>0</v>
      </c>
      <c r="G16" s="109">
        <f>Assumptions!H127</f>
        <v>0</v>
      </c>
      <c r="H16" s="12">
        <f>H$4*H17</f>
        <v>0</v>
      </c>
      <c r="I16" s="12">
        <f t="shared" ref="I16" si="30">I$4*I17</f>
        <v>0</v>
      </c>
      <c r="J16" s="12">
        <f t="shared" ref="J16" si="31">J$4*J17</f>
        <v>0</v>
      </c>
      <c r="K16" s="12">
        <f t="shared" ref="K16" si="32">K$4*K17</f>
        <v>0</v>
      </c>
      <c r="L16" s="12">
        <f t="shared" ref="L16" si="33">L$4*L17</f>
        <v>0</v>
      </c>
      <c r="M16" s="12">
        <f t="shared" ref="M16" si="34">M$4*M17</f>
        <v>0</v>
      </c>
      <c r="N16" s="12">
        <f t="shared" ref="N16" si="35">N$4*N17</f>
        <v>0</v>
      </c>
      <c r="O16" s="12">
        <f t="shared" ref="O16" si="36">O$4*O17</f>
        <v>0</v>
      </c>
      <c r="P16" s="12">
        <f t="shared" ref="P16" si="37">P$4*P17</f>
        <v>0</v>
      </c>
      <c r="Q16" s="12">
        <f t="shared" ref="Q16" si="38">Q$4*Q17</f>
        <v>0</v>
      </c>
    </row>
    <row r="17" spans="2:17">
      <c r="B17" s="28" t="str">
        <f>"% of "&amp;$B$4</f>
        <v>% of Revenue</v>
      </c>
      <c r="C17" s="120">
        <f>IFERROR(C16/C$4,0)</f>
        <v>0</v>
      </c>
      <c r="D17" s="120">
        <f t="shared" ref="D17" si="39">D16/D$4</f>
        <v>0</v>
      </c>
      <c r="E17" s="120">
        <f t="shared" ref="E17" si="40">E16/E$4</f>
        <v>0</v>
      </c>
      <c r="F17" s="120">
        <f t="shared" ref="F17" si="41">F16/F$4</f>
        <v>0</v>
      </c>
      <c r="G17" s="120">
        <f t="shared" ref="G17" si="42">G16/G$4</f>
        <v>0</v>
      </c>
      <c r="H17" s="20">
        <f>Assumptions!I$128</f>
        <v>0</v>
      </c>
      <c r="I17" s="20">
        <f>Assumptions!J$128</f>
        <v>0</v>
      </c>
      <c r="J17" s="20">
        <f>Assumptions!K$128</f>
        <v>0</v>
      </c>
      <c r="K17" s="20">
        <f>Assumptions!L$128</f>
        <v>0</v>
      </c>
      <c r="L17" s="20">
        <f>Assumptions!M$128</f>
        <v>0</v>
      </c>
      <c r="M17" s="20">
        <f>Assumptions!N$128</f>
        <v>0</v>
      </c>
      <c r="N17" s="20">
        <f>Assumptions!O$128</f>
        <v>0</v>
      </c>
      <c r="O17" s="20">
        <f>Assumptions!P$128</f>
        <v>0</v>
      </c>
      <c r="P17" s="20">
        <f>Assumptions!Q$128</f>
        <v>0</v>
      </c>
      <c r="Q17" s="20">
        <f>Assumptions!R$128</f>
        <v>0</v>
      </c>
    </row>
    <row r="18" spans="2:17">
      <c r="B18" s="27"/>
      <c r="C18" s="109"/>
      <c r="D18" s="109"/>
      <c r="E18" s="109"/>
      <c r="F18" s="109"/>
      <c r="G18" s="109"/>
      <c r="H18" s="12"/>
      <c r="I18" s="12"/>
      <c r="J18" s="12"/>
      <c r="K18" s="12"/>
      <c r="L18" s="12"/>
      <c r="M18" s="12"/>
      <c r="N18" s="12"/>
      <c r="O18" s="12"/>
      <c r="P18" s="12"/>
      <c r="Q18" s="12"/>
    </row>
    <row r="19" spans="2:17">
      <c r="B19" s="27" t="str">
        <f>Assumptions!B131</f>
        <v>Operating Expenses</v>
      </c>
      <c r="C19" s="109">
        <f>Assumptions!D131</f>
        <v>10332</v>
      </c>
      <c r="D19" s="109">
        <f>Assumptions!E131</f>
        <v>10268</v>
      </c>
      <c r="E19" s="109">
        <f>Assumptions!F131</f>
        <v>10246</v>
      </c>
      <c r="F19" s="109">
        <f>Assumptions!G131</f>
        <v>12400</v>
      </c>
      <c r="G19" s="109">
        <f>Assumptions!H131</f>
        <v>13228</v>
      </c>
      <c r="H19" s="12">
        <f>H$4*H20</f>
        <v>10991.289195498148</v>
      </c>
      <c r="I19" s="12">
        <f t="shared" ref="I19" si="43">I$4*I20</f>
        <v>11321.027871363092</v>
      </c>
      <c r="J19" s="12">
        <f t="shared" ref="J19" si="44">J$4*J20</f>
        <v>11660.658707503984</v>
      </c>
      <c r="K19" s="12">
        <f t="shared" ref="K19" si="45">K$4*K20</f>
        <v>12010.478468729103</v>
      </c>
      <c r="L19" s="12">
        <f t="shared" ref="L19" si="46">L$4*L20</f>
        <v>12370.792822790976</v>
      </c>
      <c r="M19" s="12">
        <f t="shared" ref="M19" si="47">M$4*M20</f>
        <v>0</v>
      </c>
      <c r="N19" s="12">
        <f t="shared" ref="N19" si="48">N$4*N20</f>
        <v>0</v>
      </c>
      <c r="O19" s="12">
        <f t="shared" ref="O19" si="49">O$4*O20</f>
        <v>0</v>
      </c>
      <c r="P19" s="12">
        <f t="shared" ref="P19" si="50">P$4*P20</f>
        <v>0</v>
      </c>
      <c r="Q19" s="12">
        <f t="shared" ref="Q19" si="51">Q$4*Q20</f>
        <v>0</v>
      </c>
    </row>
    <row r="20" spans="2:17">
      <c r="B20" s="28" t="str">
        <f>"% of "&amp;$B$4</f>
        <v>% of Revenue</v>
      </c>
      <c r="C20" s="120">
        <f>IFERROR(C19/C$4,0)</f>
        <v>0.20635522978289961</v>
      </c>
      <c r="D20" s="120">
        <f t="shared" ref="D20" si="52">D19/D$4</f>
        <v>0.26269603704556505</v>
      </c>
      <c r="E20" s="120">
        <f t="shared" ref="E20" si="53">E19/E$4</f>
        <v>0.21767117758280044</v>
      </c>
      <c r="F20" s="120">
        <f t="shared" ref="F20" si="54">F19/F$4</f>
        <v>0.23260612654523627</v>
      </c>
      <c r="G20" s="120">
        <f t="shared" ref="G20" si="55">G19/G$4</f>
        <v>0.30305390730600928</v>
      </c>
      <c r="H20" s="20">
        <f>Assumptions!I$132</f>
        <v>0.24447649565250212</v>
      </c>
      <c r="I20" s="20">
        <f>Assumptions!J$132</f>
        <v>0.24447649565250212</v>
      </c>
      <c r="J20" s="20">
        <f>Assumptions!K$132</f>
        <v>0.24447649565250212</v>
      </c>
      <c r="K20" s="20">
        <f>Assumptions!L$132</f>
        <v>0.24447649565250212</v>
      </c>
      <c r="L20" s="20">
        <f>Assumptions!M$132</f>
        <v>0.24447649565250212</v>
      </c>
      <c r="M20" s="20">
        <f>Assumptions!N$132</f>
        <v>0</v>
      </c>
      <c r="N20" s="20">
        <f>Assumptions!O$132</f>
        <v>0</v>
      </c>
      <c r="O20" s="20">
        <f>Assumptions!P$132</f>
        <v>0</v>
      </c>
      <c r="P20" s="20">
        <f>Assumptions!Q$132</f>
        <v>0</v>
      </c>
      <c r="Q20" s="20">
        <f>Assumptions!R$132</f>
        <v>0</v>
      </c>
    </row>
    <row r="21" spans="2:17">
      <c r="B21" s="27"/>
      <c r="C21" s="114"/>
      <c r="D21" s="114"/>
      <c r="E21" s="114"/>
      <c r="F21" s="114"/>
      <c r="G21" s="114"/>
    </row>
    <row r="22" spans="2:17">
      <c r="B22" s="25" t="s">
        <v>34</v>
      </c>
      <c r="C22" s="121">
        <f>C12+C16-C19</f>
        <v>8733</v>
      </c>
      <c r="D22" s="121">
        <f t="shared" ref="D22:Q22" si="56">D12+D16-D19</f>
        <v>8150</v>
      </c>
      <c r="E22" s="121">
        <f t="shared" si="56"/>
        <v>8123</v>
      </c>
      <c r="F22" s="121">
        <f t="shared" si="56"/>
        <v>8320</v>
      </c>
      <c r="G22" s="121">
        <f t="shared" si="56"/>
        <v>9055</v>
      </c>
      <c r="H22" s="17">
        <f t="shared" si="56"/>
        <v>8263.539175825581</v>
      </c>
      <c r="I22" s="17">
        <f t="shared" si="56"/>
        <v>8511.4453511003467</v>
      </c>
      <c r="J22" s="17">
        <f t="shared" si="56"/>
        <v>8766.7887116333568</v>
      </c>
      <c r="K22" s="17">
        <f t="shared" si="56"/>
        <v>9029.7923729823597</v>
      </c>
      <c r="L22" s="17">
        <f t="shared" si="56"/>
        <v>9300.6861441718283</v>
      </c>
      <c r="M22" s="17">
        <f t="shared" si="56"/>
        <v>0</v>
      </c>
      <c r="N22" s="17">
        <f t="shared" si="56"/>
        <v>0</v>
      </c>
      <c r="O22" s="17">
        <f t="shared" si="56"/>
        <v>0</v>
      </c>
      <c r="P22" s="17">
        <f t="shared" si="56"/>
        <v>0</v>
      </c>
      <c r="Q22" s="17">
        <f t="shared" si="56"/>
        <v>0</v>
      </c>
    </row>
    <row r="23" spans="2:17" ht="12" thickBot="1">
      <c r="B23" s="26" t="str">
        <f>"% of "&amp;$B$4</f>
        <v>% of Revenue</v>
      </c>
      <c r="C23" s="123">
        <f>IFERROR(C22/C$4,0)</f>
        <v>0.17441930136411751</v>
      </c>
      <c r="D23" s="123">
        <f t="shared" ref="D23" si="57">D22/D$4</f>
        <v>0.20850922301532479</v>
      </c>
      <c r="E23" s="123">
        <f t="shared" ref="E23" si="58">E22/E$4</f>
        <v>0.17256909774595824</v>
      </c>
      <c r="F23" s="123">
        <f t="shared" ref="F23" si="59">F22/F$4</f>
        <v>0.1560712074884166</v>
      </c>
      <c r="G23" s="123">
        <f t="shared" ref="G23" si="60">G22/G$4</f>
        <v>0.20745034250498293</v>
      </c>
      <c r="H23" s="18">
        <f>IFERROR(H22/H$4,0)</f>
        <v>0.18380383442376</v>
      </c>
      <c r="I23" s="18">
        <f t="shared" ref="I23:Q23" si="61">IFERROR(I22/I$4,0)</f>
        <v>0.18380383442375997</v>
      </c>
      <c r="J23" s="18">
        <f t="shared" si="61"/>
        <v>0.18380383442375997</v>
      </c>
      <c r="K23" s="18">
        <f t="shared" si="61"/>
        <v>0.18380383442376</v>
      </c>
      <c r="L23" s="18">
        <f t="shared" si="61"/>
        <v>0.18380383442375997</v>
      </c>
      <c r="M23" s="18">
        <f t="shared" si="61"/>
        <v>0</v>
      </c>
      <c r="N23" s="18">
        <f t="shared" si="61"/>
        <v>0</v>
      </c>
      <c r="O23" s="18">
        <f t="shared" si="61"/>
        <v>0</v>
      </c>
      <c r="P23" s="18">
        <f t="shared" si="61"/>
        <v>0</v>
      </c>
      <c r="Q23" s="18">
        <f t="shared" si="61"/>
        <v>0</v>
      </c>
    </row>
    <row r="24" spans="2:17">
      <c r="B24" s="27"/>
      <c r="C24" s="114"/>
      <c r="D24" s="114"/>
      <c r="E24" s="114"/>
      <c r="F24" s="114"/>
      <c r="G24" s="114"/>
    </row>
    <row r="25" spans="2:17">
      <c r="B25" s="27" t="str">
        <f>Assumptions!B135</f>
        <v>Non-Operating (Income) Loss, Net Abnormal Losses (Gains)</v>
      </c>
      <c r="C25" s="109">
        <f>Assumptions!D135</f>
        <v>1198</v>
      </c>
      <c r="D25" s="109">
        <f>Assumptions!E135</f>
        <v>3960</v>
      </c>
      <c r="E25" s="109">
        <f>Assumptions!F135</f>
        <v>394</v>
      </c>
      <c r="F25" s="109">
        <f>Assumptions!G135</f>
        <v>3778</v>
      </c>
      <c r="G25" s="109">
        <f>Assumptions!H135</f>
        <v>1176</v>
      </c>
      <c r="H25" s="12">
        <f>+Assumptions!I$135+H4*Assumptions!$I$148+H4*Assumptions!I$150</f>
        <v>2601.089037559701</v>
      </c>
      <c r="I25" s="12">
        <f>+Assumptions!J$135+I4*Assumptions!$I$148+I4*Assumptions!J$150</f>
        <v>2584.371801539728</v>
      </c>
      <c r="J25" s="12">
        <f>+Assumptions!K$135+J4*Assumptions!$I$148+J4*Assumptions!K$150</f>
        <v>2566.1970766796103</v>
      </c>
      <c r="K25" s="12">
        <f>+Assumptions!L$135+K4*Assumptions!$I$148+K4*Assumptions!L$150</f>
        <v>2495.4512447827178</v>
      </c>
      <c r="L25" s="12">
        <f>+Assumptions!M$135+L4*Assumptions!$I$148+L4*Assumptions!M$150</f>
        <v>2469.2656426055992</v>
      </c>
      <c r="M25" s="12">
        <f>+Assumptions!N$135+M4*Assumptions!$I$148+M4*Assumptions!N$150</f>
        <v>0</v>
      </c>
      <c r="N25" s="12">
        <f>+Assumptions!O$135+N4*Assumptions!$I$148+N4*Assumptions!O$150</f>
        <v>0</v>
      </c>
      <c r="O25" s="12">
        <f>+Assumptions!P$135+O4*Assumptions!$I$148+O4*Assumptions!P$150</f>
        <v>0</v>
      </c>
      <c r="P25" s="12">
        <f>+Assumptions!Q$135+P4*Assumptions!$I$148+P4*Assumptions!Q$150</f>
        <v>0</v>
      </c>
      <c r="Q25" s="12">
        <f>+Assumptions!R$135+Q4*Assumptions!$I$148+Q4*Assumptions!R$150</f>
        <v>0</v>
      </c>
    </row>
    <row r="26" spans="2:17">
      <c r="B26" s="28" t="str">
        <f>"% of "&amp;$B$4</f>
        <v>% of Revenue</v>
      </c>
      <c r="C26" s="120">
        <f>IFERROR(C25/C$4,0)</f>
        <v>2.392698076654217E-2</v>
      </c>
      <c r="D26" s="120">
        <f t="shared" ref="D26" si="62">D25/D$4</f>
        <v>0.10131245682707805</v>
      </c>
      <c r="E26" s="120">
        <f t="shared" ref="E26" si="63">E25/E$4</f>
        <v>8.3703341760319513E-3</v>
      </c>
      <c r="F26" s="120">
        <f t="shared" ref="F26" si="64">F25/F$4</f>
        <v>7.0869834361927633E-2</v>
      </c>
      <c r="G26" s="120">
        <f t="shared" ref="G26" si="65">G25/G$4</f>
        <v>2.6942197988499162E-2</v>
      </c>
      <c r="H26" s="20">
        <f>IFERROR(H25/H$4,0)</f>
        <v>5.7855372693058744E-2</v>
      </c>
      <c r="I26" s="20">
        <f t="shared" ref="I26" si="66">IFERROR(I25/I$4,0)</f>
        <v>5.5809257664825737E-2</v>
      </c>
      <c r="J26" s="20">
        <f t="shared" ref="J26" si="67">IFERROR(J25/J$4,0)</f>
        <v>5.3802695387747852E-2</v>
      </c>
      <c r="K26" s="20">
        <f t="shared" ref="K26" si="68">IFERROR(K25/K$4,0)</f>
        <v>5.0795576294864218E-2</v>
      </c>
      <c r="L26" s="20">
        <f t="shared" ref="L26" si="69">IFERROR(L25/L$4,0)</f>
        <v>4.8798603273605294E-2</v>
      </c>
      <c r="M26" s="20">
        <f t="shared" ref="M26" si="70">IFERROR(M25/M$4,0)</f>
        <v>0</v>
      </c>
      <c r="N26" s="20">
        <f t="shared" ref="N26" si="71">IFERROR(N25/N$4,0)</f>
        <v>0</v>
      </c>
      <c r="O26" s="20">
        <f t="shared" ref="O26" si="72">IFERROR(O25/O$4,0)</f>
        <v>0</v>
      </c>
      <c r="P26" s="20">
        <f t="shared" ref="P26" si="73">IFERROR(P25/P$4,0)</f>
        <v>0</v>
      </c>
      <c r="Q26" s="20">
        <f t="shared" ref="Q26" si="74">IFERROR(Q25/Q$4,0)</f>
        <v>0</v>
      </c>
    </row>
    <row r="27" spans="2:17">
      <c r="B27" s="27"/>
      <c r="C27" s="114"/>
      <c r="D27" s="114"/>
      <c r="E27" s="114"/>
      <c r="F27" s="114"/>
      <c r="G27" s="114"/>
    </row>
    <row r="28" spans="2:17">
      <c r="B28" s="25" t="s">
        <v>47</v>
      </c>
      <c r="C28" s="121">
        <f>C22-C25</f>
        <v>7535</v>
      </c>
      <c r="D28" s="121">
        <f t="shared" ref="D28:Q28" si="75">D22-D25</f>
        <v>4190</v>
      </c>
      <c r="E28" s="121">
        <f t="shared" si="75"/>
        <v>7729</v>
      </c>
      <c r="F28" s="121">
        <f t="shared" si="75"/>
        <v>4542</v>
      </c>
      <c r="G28" s="121">
        <f>G22-G25</f>
        <v>7879</v>
      </c>
      <c r="H28" s="17">
        <f t="shared" si="75"/>
        <v>5662.45013826588</v>
      </c>
      <c r="I28" s="17">
        <f t="shared" si="75"/>
        <v>5927.0735495606186</v>
      </c>
      <c r="J28" s="17">
        <f t="shared" si="75"/>
        <v>6200.5916349537465</v>
      </c>
      <c r="K28" s="17">
        <f t="shared" si="75"/>
        <v>6534.3411281996414</v>
      </c>
      <c r="L28" s="17">
        <f t="shared" si="75"/>
        <v>6831.4205015662292</v>
      </c>
      <c r="M28" s="17">
        <f t="shared" si="75"/>
        <v>0</v>
      </c>
      <c r="N28" s="17">
        <f t="shared" si="75"/>
        <v>0</v>
      </c>
      <c r="O28" s="17">
        <f t="shared" si="75"/>
        <v>0</v>
      </c>
      <c r="P28" s="17">
        <f t="shared" si="75"/>
        <v>0</v>
      </c>
      <c r="Q28" s="17">
        <f t="shared" si="75"/>
        <v>0</v>
      </c>
    </row>
    <row r="29" spans="2:17" ht="12" thickBot="1">
      <c r="B29" s="26" t="str">
        <f>"% of "&amp;$B$4</f>
        <v>% of Revenue</v>
      </c>
      <c r="C29" s="123">
        <f>IFERROR(C28/C$4,0)</f>
        <v>0.15049232059757534</v>
      </c>
      <c r="D29" s="123">
        <f t="shared" ref="D29" si="76">D28/D$4</f>
        <v>0.10719676618824674</v>
      </c>
      <c r="E29" s="123">
        <f t="shared" ref="E29" si="77">E28/E$4</f>
        <v>0.16419876356992627</v>
      </c>
      <c r="F29" s="123">
        <f t="shared" ref="F29" si="78">F28/F$4</f>
        <v>8.5201373126488955E-2</v>
      </c>
      <c r="G29" s="123">
        <f t="shared" ref="G29" si="79">G28/G$4</f>
        <v>0.18050814451648378</v>
      </c>
      <c r="H29" s="18">
        <f>IFERROR(H28/H$4,0)</f>
        <v>0.12594846173070123</v>
      </c>
      <c r="I29" s="18">
        <f t="shared" ref="I29:Q29" si="80">IFERROR(I28/I$4,0)</f>
        <v>0.12799457675893422</v>
      </c>
      <c r="J29" s="18">
        <f t="shared" si="80"/>
        <v>0.1300011390360121</v>
      </c>
      <c r="K29" s="18">
        <f t="shared" si="80"/>
        <v>0.13300825812889577</v>
      </c>
      <c r="L29" s="18">
        <f t="shared" si="80"/>
        <v>0.13500523115015467</v>
      </c>
      <c r="M29" s="18">
        <f t="shared" si="80"/>
        <v>0</v>
      </c>
      <c r="N29" s="18">
        <f t="shared" si="80"/>
        <v>0</v>
      </c>
      <c r="O29" s="18">
        <f t="shared" si="80"/>
        <v>0</v>
      </c>
      <c r="P29" s="18">
        <f t="shared" si="80"/>
        <v>0</v>
      </c>
      <c r="Q29" s="18">
        <f t="shared" si="80"/>
        <v>0</v>
      </c>
    </row>
    <row r="30" spans="2:17">
      <c r="B30" s="27"/>
      <c r="C30" s="114"/>
      <c r="D30" s="114"/>
      <c r="E30" s="114"/>
      <c r="F30" s="114"/>
      <c r="G30" s="114"/>
    </row>
    <row r="31" spans="2:17">
      <c r="B31" s="27" t="str">
        <f>Assumptions!B153</f>
        <v>Income Tax Expense (Benefit)</v>
      </c>
      <c r="C31" s="109">
        <f>Assumptions!D153</f>
        <v>1708</v>
      </c>
      <c r="D31" s="109">
        <f>Assumptions!E153</f>
        <v>774</v>
      </c>
      <c r="E31" s="109">
        <f>Assumptions!F153</f>
        <v>1415</v>
      </c>
      <c r="F31" s="109">
        <f>Assumptions!G153</f>
        <v>1604</v>
      </c>
      <c r="G31" s="109">
        <f>Assumptions!H153</f>
        <v>1821</v>
      </c>
      <c r="H31" s="12">
        <f>H28*Assumptions!I155</f>
        <v>1189.1145290358347</v>
      </c>
      <c r="I31" s="12">
        <f>I28*Assumptions!J155</f>
        <v>1244.68544540773</v>
      </c>
      <c r="J31" s="12">
        <f>J28*Assumptions!K155</f>
        <v>1302.1242433402867</v>
      </c>
      <c r="K31" s="12">
        <f>K28*Assumptions!L155</f>
        <v>1372.2116369219245</v>
      </c>
      <c r="L31" s="12">
        <f>L28*Assumptions!M155</f>
        <v>1434.5983053289081</v>
      </c>
      <c r="M31" s="12">
        <f>M28*Assumptions!N155</f>
        <v>0</v>
      </c>
      <c r="N31" s="12">
        <f>N28*Assumptions!O155</f>
        <v>0</v>
      </c>
      <c r="O31" s="12">
        <f>O28*Assumptions!P155</f>
        <v>0</v>
      </c>
      <c r="P31" s="12">
        <f>P28*Assumptions!Q155</f>
        <v>0</v>
      </c>
      <c r="Q31" s="12">
        <f>Q28*Assumptions!R155</f>
        <v>0</v>
      </c>
    </row>
    <row r="32" spans="2:17">
      <c r="B32" s="28" t="str">
        <f>"% of "&amp;$B$4</f>
        <v>% of Revenue</v>
      </c>
      <c r="C32" s="120">
        <f>IFERROR(C31/C$4,0)</f>
        <v>3.411292416465278E-2</v>
      </c>
      <c r="D32" s="120">
        <f t="shared" ref="D32" si="81">D31/D$4</f>
        <v>1.9801980198019802E-2</v>
      </c>
      <c r="E32" s="120">
        <f t="shared" ref="E32" si="82">E31/E$4</f>
        <v>3.0060971723566528E-2</v>
      </c>
      <c r="F32" s="120">
        <f t="shared" ref="F32" si="83">F31/F$4</f>
        <v>3.0088727982141853E-2</v>
      </c>
      <c r="G32" s="120">
        <f t="shared" ref="G32" si="84">G31/G$4</f>
        <v>4.1719168824028041E-2</v>
      </c>
      <c r="H32" s="20">
        <f>IFERROR(H31/H$4,0)</f>
        <v>2.6449176963447257E-2</v>
      </c>
      <c r="I32" s="20">
        <f t="shared" ref="I32:Q32" si="85">IFERROR(I31/I$4,0)</f>
        <v>2.6878861119376186E-2</v>
      </c>
      <c r="J32" s="20">
        <f t="shared" si="85"/>
        <v>2.7300239197562543E-2</v>
      </c>
      <c r="K32" s="20">
        <f t="shared" si="85"/>
        <v>2.7931734207068109E-2</v>
      </c>
      <c r="L32" s="20">
        <f t="shared" si="85"/>
        <v>2.835109854153248E-2</v>
      </c>
      <c r="M32" s="20">
        <f t="shared" si="85"/>
        <v>0</v>
      </c>
      <c r="N32" s="20">
        <f t="shared" si="85"/>
        <v>0</v>
      </c>
      <c r="O32" s="20">
        <f t="shared" si="85"/>
        <v>0</v>
      </c>
      <c r="P32" s="20">
        <f t="shared" si="85"/>
        <v>0</v>
      </c>
      <c r="Q32" s="20">
        <f t="shared" si="85"/>
        <v>0</v>
      </c>
    </row>
    <row r="34" spans="2:17">
      <c r="B34" s="27" t="str">
        <f>Assumptions!B158</f>
        <v>Miscellaneous After Tax Expenditures</v>
      </c>
      <c r="C34" s="109">
        <f>Assumptions!D158</f>
        <v>122</v>
      </c>
      <c r="D34" s="109">
        <f>Assumptions!E158</f>
        <v>53</v>
      </c>
      <c r="E34" s="109">
        <f>Assumptions!F158</f>
        <v>125</v>
      </c>
      <c r="F34" s="109">
        <f>Assumptions!G158</f>
        <v>-65</v>
      </c>
      <c r="G34" s="109">
        <f>Assumptions!H158</f>
        <v>-133</v>
      </c>
      <c r="H34" s="12">
        <f>H$4*H35</f>
        <v>19.618161205855614</v>
      </c>
      <c r="I34" s="12">
        <f t="shared" ref="I34" si="86">I$4*I35</f>
        <v>20.206706042031282</v>
      </c>
      <c r="J34" s="12">
        <f t="shared" ref="J34" si="87">J$4*J35</f>
        <v>20.812907223292218</v>
      </c>
      <c r="K34" s="12">
        <f t="shared" ref="K34" si="88">K$4*K35</f>
        <v>21.437294439990985</v>
      </c>
      <c r="L34" s="12">
        <f t="shared" ref="L34" si="89">L$4*L35</f>
        <v>22.080413273190715</v>
      </c>
      <c r="M34" s="12">
        <f t="shared" ref="M34" si="90">M$4*M35</f>
        <v>0</v>
      </c>
      <c r="N34" s="12">
        <f t="shared" ref="N34" si="91">N$4*N35</f>
        <v>0</v>
      </c>
      <c r="O34" s="12">
        <f t="shared" ref="O34" si="92">O$4*O35</f>
        <v>0</v>
      </c>
      <c r="P34" s="12">
        <f t="shared" ref="P34" si="93">P$4*P35</f>
        <v>0</v>
      </c>
      <c r="Q34" s="12">
        <f t="shared" ref="Q34" si="94">Q$4*Q35</f>
        <v>0</v>
      </c>
    </row>
    <row r="35" spans="2:17">
      <c r="B35" s="28" t="str">
        <f>"% of "&amp;$B$4</f>
        <v>% of Revenue</v>
      </c>
      <c r="C35" s="120">
        <f>IFERROR(C34/C$4,0)</f>
        <v>2.4366374403323415E-3</v>
      </c>
      <c r="D35" s="120">
        <f t="shared" ref="D35" si="95">D34/D$4</f>
        <v>1.3559495484432164E-3</v>
      </c>
      <c r="E35" s="120">
        <f t="shared" ref="E35" si="96">E34/E$4</f>
        <v>2.6555628731065838E-3</v>
      </c>
      <c r="F35" s="120">
        <f t="shared" ref="F35" si="97">F34/F$4</f>
        <v>-1.2193063085032547E-3</v>
      </c>
      <c r="G35" s="120">
        <f t="shared" ref="G35" si="98">G34/G$4</f>
        <v>-3.047034296318358E-3</v>
      </c>
      <c r="H35" s="20">
        <f>Assumptions!I159</f>
        <v>4.3636185141210571E-4</v>
      </c>
      <c r="I35" s="20">
        <f>Assumptions!J159</f>
        <v>4.3636185141210571E-4</v>
      </c>
      <c r="J35" s="20">
        <f>Assumptions!K159</f>
        <v>4.3636185141210571E-4</v>
      </c>
      <c r="K35" s="20">
        <f>Assumptions!L159</f>
        <v>4.3636185141210571E-4</v>
      </c>
      <c r="L35" s="20">
        <f>Assumptions!M159</f>
        <v>4.3636185141210571E-4</v>
      </c>
      <c r="M35" s="20">
        <f>Assumptions!N159</f>
        <v>0</v>
      </c>
      <c r="N35" s="20">
        <f>Assumptions!O159</f>
        <v>0</v>
      </c>
      <c r="O35" s="20">
        <f>Assumptions!P159</f>
        <v>0</v>
      </c>
      <c r="P35" s="20">
        <f>Assumptions!Q159</f>
        <v>0</v>
      </c>
      <c r="Q35" s="20">
        <f>Assumptions!R159</f>
        <v>0</v>
      </c>
    </row>
    <row r="36" spans="2:17">
      <c r="B36" s="27"/>
      <c r="C36" s="114"/>
      <c r="D36" s="114"/>
      <c r="E36" s="114"/>
      <c r="F36" s="114"/>
      <c r="G36" s="114"/>
    </row>
    <row r="37" spans="2:17">
      <c r="B37" s="16" t="s">
        <v>45</v>
      </c>
      <c r="C37" s="121">
        <f>C28-C31-C34</f>
        <v>5705</v>
      </c>
      <c r="D37" s="121">
        <f t="shared" ref="D37:Q37" si="99">D28-D31-D34</f>
        <v>3363</v>
      </c>
      <c r="E37" s="121">
        <f t="shared" si="99"/>
        <v>6189</v>
      </c>
      <c r="F37" s="121">
        <f t="shared" si="99"/>
        <v>3003</v>
      </c>
      <c r="G37" s="121">
        <f t="shared" si="99"/>
        <v>6191</v>
      </c>
      <c r="H37" s="17">
        <f t="shared" si="99"/>
        <v>4453.7174480241902</v>
      </c>
      <c r="I37" s="17">
        <f t="shared" si="99"/>
        <v>4662.1813981108571</v>
      </c>
      <c r="J37" s="17">
        <f t="shared" si="99"/>
        <v>4877.6544843901675</v>
      </c>
      <c r="K37" s="17">
        <f t="shared" si="99"/>
        <v>5140.6921968377255</v>
      </c>
      <c r="L37" s="17">
        <f t="shared" si="99"/>
        <v>5374.7417829641299</v>
      </c>
      <c r="M37" s="17">
        <f t="shared" si="99"/>
        <v>0</v>
      </c>
      <c r="N37" s="17">
        <f t="shared" si="99"/>
        <v>0</v>
      </c>
      <c r="O37" s="17">
        <f t="shared" si="99"/>
        <v>0</v>
      </c>
      <c r="P37" s="17">
        <f t="shared" si="99"/>
        <v>0</v>
      </c>
      <c r="Q37" s="17">
        <f t="shared" si="99"/>
        <v>0</v>
      </c>
    </row>
    <row r="38" spans="2:17">
      <c r="B38" s="19" t="str">
        <f>"% of "&amp;$B$4</f>
        <v>% of Revenue</v>
      </c>
      <c r="C38" s="122">
        <f>IFERROR(C37/C$4,0)</f>
        <v>0.11394275899259022</v>
      </c>
      <c r="D38" s="122">
        <f t="shared" ref="D38:G38" si="100">D37/D$4</f>
        <v>8.6038836441783714E-2</v>
      </c>
      <c r="E38" s="122">
        <f t="shared" si="100"/>
        <v>0.13148222897325318</v>
      </c>
      <c r="F38" s="122">
        <f t="shared" si="100"/>
        <v>5.633195145285036E-2</v>
      </c>
      <c r="G38" s="122">
        <f t="shared" si="100"/>
        <v>0.14183600998877408</v>
      </c>
      <c r="H38" s="82">
        <f>IFERROR(H37/H$4,0)</f>
        <v>9.9062922915841886E-2</v>
      </c>
      <c r="I38" s="82">
        <f t="shared" ref="I38:Q38" si="101">IFERROR(I37/I$4,0)</f>
        <v>0.10067935378814592</v>
      </c>
      <c r="J38" s="82">
        <f t="shared" si="101"/>
        <v>0.10226453798703745</v>
      </c>
      <c r="K38" s="82">
        <f t="shared" si="101"/>
        <v>0.10464016207041556</v>
      </c>
      <c r="L38" s="82">
        <f t="shared" si="101"/>
        <v>0.10621777075721008</v>
      </c>
      <c r="M38" s="82">
        <f t="shared" si="101"/>
        <v>0</v>
      </c>
      <c r="N38" s="82">
        <f t="shared" si="101"/>
        <v>0</v>
      </c>
      <c r="O38" s="82">
        <f t="shared" si="101"/>
        <v>0</v>
      </c>
      <c r="P38" s="82">
        <f t="shared" si="101"/>
        <v>0</v>
      </c>
      <c r="Q38" s="82">
        <f t="shared" si="101"/>
        <v>0</v>
      </c>
    </row>
    <row r="39" spans="2:17" ht="12" thickBot="1">
      <c r="B39" s="21" t="s">
        <v>208</v>
      </c>
      <c r="C39" s="124"/>
      <c r="D39" s="124">
        <f>D37/C37-1</f>
        <v>-0.41051709027169148</v>
      </c>
      <c r="E39" s="124">
        <f t="shared" ref="E39:G39" si="102">E37/D37-1</f>
        <v>0.84032114183764506</v>
      </c>
      <c r="F39" s="124">
        <f t="shared" si="102"/>
        <v>-0.51478429471643239</v>
      </c>
      <c r="G39" s="124">
        <f t="shared" si="102"/>
        <v>1.0616050616050616</v>
      </c>
      <c r="H39" s="22">
        <f>IF(H$3="",0,H37/G37-1)</f>
        <v>-0.28061420642477952</v>
      </c>
      <c r="I39" s="22">
        <f t="shared" ref="I39:Q39" si="103">IF(I$3="",0,I37/H37-1)</f>
        <v>4.6806730000159336E-2</v>
      </c>
      <c r="J39" s="22">
        <f t="shared" si="103"/>
        <v>4.6217224916778488E-2</v>
      </c>
      <c r="K39" s="22">
        <f t="shared" si="103"/>
        <v>5.3927090016185231E-2</v>
      </c>
      <c r="L39" s="22">
        <f t="shared" si="103"/>
        <v>4.5528807632244428E-2</v>
      </c>
      <c r="M39" s="22">
        <f t="shared" si="103"/>
        <v>0</v>
      </c>
      <c r="N39" s="22">
        <f t="shared" si="103"/>
        <v>0</v>
      </c>
      <c r="O39" s="22">
        <f t="shared" si="103"/>
        <v>0</v>
      </c>
      <c r="P39" s="22">
        <f t="shared" si="103"/>
        <v>0</v>
      </c>
      <c r="Q39" s="22">
        <f t="shared" si="103"/>
        <v>0</v>
      </c>
    </row>
    <row r="40" spans="2:17" ht="12" thickTop="1"/>
    <row r="42" spans="2:17">
      <c r="B42" s="30" t="s">
        <v>48</v>
      </c>
      <c r="C42" s="30"/>
      <c r="D42" s="30"/>
      <c r="E42" s="30"/>
      <c r="F42" s="30"/>
      <c r="G42" s="30"/>
      <c r="H42" s="30"/>
      <c r="I42" s="30"/>
      <c r="J42" s="30"/>
      <c r="K42" s="30"/>
      <c r="L42" s="30"/>
      <c r="M42" s="30"/>
      <c r="N42" s="30"/>
      <c r="O42" s="30"/>
      <c r="P42" s="30"/>
      <c r="Q42" s="30"/>
    </row>
    <row r="43" spans="2:17">
      <c r="B43" s="10" t="str">
        <f>B$22</f>
        <v>Operating Income (Loss) ~ EBIT</v>
      </c>
      <c r="C43" s="13">
        <f>C$22</f>
        <v>8733</v>
      </c>
      <c r="D43" s="13">
        <f t="shared" ref="D43:Q43" si="104">D$22</f>
        <v>8150</v>
      </c>
      <c r="E43" s="13">
        <f t="shared" si="104"/>
        <v>8123</v>
      </c>
      <c r="F43" s="13">
        <f t="shared" si="104"/>
        <v>8320</v>
      </c>
      <c r="G43" s="13">
        <f t="shared" si="104"/>
        <v>9055</v>
      </c>
      <c r="H43" s="13">
        <f t="shared" si="104"/>
        <v>8263.539175825581</v>
      </c>
      <c r="I43" s="13">
        <f t="shared" si="104"/>
        <v>8511.4453511003467</v>
      </c>
      <c r="J43" s="13">
        <f t="shared" si="104"/>
        <v>8766.7887116333568</v>
      </c>
      <c r="K43" s="13">
        <f t="shared" si="104"/>
        <v>9029.7923729823597</v>
      </c>
      <c r="L43" s="13">
        <f t="shared" si="104"/>
        <v>9300.6861441718283</v>
      </c>
      <c r="M43" s="13">
        <f t="shared" si="104"/>
        <v>0</v>
      </c>
      <c r="N43" s="13">
        <f t="shared" si="104"/>
        <v>0</v>
      </c>
      <c r="O43" s="13">
        <f t="shared" si="104"/>
        <v>0</v>
      </c>
      <c r="P43" s="13">
        <f t="shared" si="104"/>
        <v>0</v>
      </c>
      <c r="Q43" s="13">
        <f t="shared" si="104"/>
        <v>0</v>
      </c>
    </row>
    <row r="44" spans="2:17">
      <c r="B44" s="23" t="str">
        <f>Assumptions!B168</f>
        <v>Capital Expenditures</v>
      </c>
      <c r="C44" s="12">
        <f>Assumptions!D168</f>
        <v>5492</v>
      </c>
      <c r="D44" s="12">
        <f>Assumptions!E168</f>
        <v>5405</v>
      </c>
      <c r="E44" s="12">
        <f>Assumptions!F168</f>
        <v>7818</v>
      </c>
      <c r="F44" s="12">
        <f>Assumptions!G168</f>
        <v>4647</v>
      </c>
      <c r="G44" s="12">
        <f>Assumptions!H168</f>
        <v>4654</v>
      </c>
      <c r="H44" s="12">
        <f>H4*H45</f>
        <v>5465.6347920520402</v>
      </c>
      <c r="I44" s="12">
        <f t="shared" ref="I44:Q44" si="105">I4*I45</f>
        <v>5629.6038358136011</v>
      </c>
      <c r="J44" s="12">
        <f t="shared" si="105"/>
        <v>5798.4919508880084</v>
      </c>
      <c r="K44" s="12">
        <f t="shared" si="105"/>
        <v>5972.4467094146485</v>
      </c>
      <c r="L44" s="12">
        <f t="shared" si="105"/>
        <v>6151.6201106970884</v>
      </c>
      <c r="M44" s="12">
        <f t="shared" si="105"/>
        <v>0</v>
      </c>
      <c r="N44" s="12">
        <f t="shared" si="105"/>
        <v>0</v>
      </c>
      <c r="O44" s="12">
        <f t="shared" si="105"/>
        <v>0</v>
      </c>
      <c r="P44" s="12">
        <f t="shared" si="105"/>
        <v>0</v>
      </c>
      <c r="Q44" s="12">
        <f t="shared" si="105"/>
        <v>0</v>
      </c>
    </row>
    <row r="45" spans="2:17">
      <c r="B45" s="24" t="str">
        <f>"% of "&amp;$B$4</f>
        <v>% of Revenue</v>
      </c>
      <c r="C45" s="20">
        <f>IFERROR(C44/C$4,0)</f>
        <v>0.10968862969102638</v>
      </c>
      <c r="D45" s="20">
        <f t="shared" ref="D45" si="106">D44/D$4</f>
        <v>0.13828126998746387</v>
      </c>
      <c r="E45" s="20">
        <f t="shared" ref="E45" si="107">E44/E$4</f>
        <v>0.16608952433557816</v>
      </c>
      <c r="F45" s="20">
        <f t="shared" ref="F45" si="108">F44/F$4</f>
        <v>8.7171021778686519E-2</v>
      </c>
      <c r="G45" s="20">
        <f t="shared" ref="G45" si="109">G44/G$4</f>
        <v>0.10662329033883938</v>
      </c>
      <c r="H45" s="20">
        <f>Assumptions!I$169</f>
        <v>0.12157074722631886</v>
      </c>
      <c r="I45" s="20">
        <f>Assumptions!J169</f>
        <v>0.12157074722631886</v>
      </c>
      <c r="J45" s="20">
        <f>Assumptions!K169</f>
        <v>0.12157074722631886</v>
      </c>
      <c r="K45" s="20">
        <f>Assumptions!L169</f>
        <v>0.12157074722631886</v>
      </c>
      <c r="L45" s="20">
        <f>Assumptions!M169</f>
        <v>0.12157074722631886</v>
      </c>
      <c r="M45" s="20">
        <f>Assumptions!N169</f>
        <v>0</v>
      </c>
      <c r="N45" s="20">
        <f>Assumptions!O169</f>
        <v>0</v>
      </c>
      <c r="O45" s="20">
        <f>Assumptions!P169</f>
        <v>0</v>
      </c>
      <c r="P45" s="20">
        <f>Assumptions!Q169</f>
        <v>0</v>
      </c>
      <c r="Q45" s="20">
        <f>Assumptions!R169</f>
        <v>0</v>
      </c>
    </row>
    <row r="46" spans="2:17">
      <c r="B46" s="23"/>
      <c r="C46" s="12"/>
      <c r="D46" s="12"/>
      <c r="E46" s="12"/>
      <c r="F46" s="12"/>
      <c r="G46" s="12"/>
      <c r="H46" s="12"/>
      <c r="I46" s="12"/>
      <c r="J46" s="12"/>
      <c r="K46" s="12"/>
      <c r="L46" s="12"/>
      <c r="M46" s="12"/>
      <c r="N46" s="12"/>
      <c r="O46" s="12"/>
      <c r="P46" s="12"/>
      <c r="Q46" s="12"/>
    </row>
    <row r="47" spans="2:17">
      <c r="B47" s="23" t="str">
        <f>Assumptions!B172</f>
        <v>Depreciation and Amortization</v>
      </c>
      <c r="C47" s="12">
        <f>Assumptions!D172</f>
        <v>3391</v>
      </c>
      <c r="D47" s="12">
        <f>Assumptions!E172</f>
        <v>3712</v>
      </c>
      <c r="E47" s="12">
        <f>Assumptions!F172</f>
        <v>3852</v>
      </c>
      <c r="F47" s="12">
        <f>Assumptions!G172</f>
        <v>4317</v>
      </c>
      <c r="G47" s="12">
        <f>Assumptions!H172</f>
        <v>4613</v>
      </c>
      <c r="H47" s="12">
        <f>H44*H49</f>
        <v>4063.2633229502667</v>
      </c>
      <c r="I47" s="12">
        <f t="shared" ref="I47:Q47" si="110">I44*I49</f>
        <v>4185.1612226387742</v>
      </c>
      <c r="J47" s="12">
        <f t="shared" si="110"/>
        <v>4310.7160593179369</v>
      </c>
      <c r="K47" s="12">
        <f t="shared" si="110"/>
        <v>4440.0375410974748</v>
      </c>
      <c r="L47" s="12">
        <f>L44*L49</f>
        <v>4573.2386673303999</v>
      </c>
      <c r="M47" s="12">
        <f t="shared" si="110"/>
        <v>0</v>
      </c>
      <c r="N47" s="12">
        <f t="shared" si="110"/>
        <v>0</v>
      </c>
      <c r="O47" s="12">
        <f t="shared" si="110"/>
        <v>0</v>
      </c>
      <c r="P47" s="12">
        <f t="shared" si="110"/>
        <v>0</v>
      </c>
      <c r="Q47" s="12">
        <f t="shared" si="110"/>
        <v>0</v>
      </c>
    </row>
    <row r="48" spans="2:17">
      <c r="B48" s="24" t="str">
        <f>"% of "&amp;$B$4</f>
        <v>% of Revenue</v>
      </c>
      <c r="C48" s="20">
        <f>IFERROR(C47/C$4,0)</f>
        <v>6.7726537378417787E-2</v>
      </c>
      <c r="D48" s="20">
        <f t="shared" ref="D48" si="111">D47/D$4</f>
        <v>9.4967636298513569E-2</v>
      </c>
      <c r="E48" s="20">
        <f t="shared" ref="E48" si="112">E47/E$4</f>
        <v>8.1833825497652488E-2</v>
      </c>
      <c r="F48" s="20">
        <f t="shared" ref="F48" si="113">F47/F$4</f>
        <v>8.098069744320846E-2</v>
      </c>
      <c r="G48" s="20">
        <f t="shared" ref="G48" si="114">G47/G$4</f>
        <v>0.10568397901441041</v>
      </c>
      <c r="H48" s="20">
        <f>IFERROR(H47/H$4,0)</f>
        <v>9.0378149499977786E-2</v>
      </c>
      <c r="I48" s="20">
        <f t="shared" ref="I48" si="115">IFERROR(I47/I$4,0)</f>
        <v>9.0378149499977786E-2</v>
      </c>
      <c r="J48" s="20">
        <f t="shared" ref="J48" si="116">IFERROR(J47/J$4,0)</f>
        <v>9.0378149499977772E-2</v>
      </c>
      <c r="K48" s="20">
        <f t="shared" ref="K48" si="117">IFERROR(K47/K$4,0)</f>
        <v>9.0378149499977772E-2</v>
      </c>
      <c r="L48" s="20">
        <f t="shared" ref="L48" si="118">IFERROR(L47/L$4,0)</f>
        <v>9.0378149499977786E-2</v>
      </c>
      <c r="M48" s="20">
        <f t="shared" ref="M48" si="119">IFERROR(M47/M$4,0)</f>
        <v>0</v>
      </c>
      <c r="N48" s="20">
        <f t="shared" ref="N48" si="120">IFERROR(N47/N$4,0)</f>
        <v>0</v>
      </c>
      <c r="O48" s="20">
        <f t="shared" ref="O48" si="121">IFERROR(O47/O$4,0)</f>
        <v>0</v>
      </c>
      <c r="P48" s="20">
        <f t="shared" ref="P48" si="122">IFERROR(P47/P$4,0)</f>
        <v>0</v>
      </c>
      <c r="Q48" s="20">
        <f t="shared" ref="Q48" si="123">IFERROR(Q47/Q$4,0)</f>
        <v>0</v>
      </c>
    </row>
    <row r="49" spans="2:17">
      <c r="B49" s="24" t="str">
        <f>"% of "&amp;B44</f>
        <v>% of Capital Expenditures</v>
      </c>
      <c r="C49" s="20">
        <f>IFERROR(C47/C44,0)</f>
        <v>0.61744355426074293</v>
      </c>
      <c r="D49" s="20">
        <f t="shared" ref="D49:G49" si="124">IFERROR(D47/D44,0)</f>
        <v>0.68677150786308971</v>
      </c>
      <c r="E49" s="20">
        <f t="shared" si="124"/>
        <v>0.49270913277052952</v>
      </c>
      <c r="F49" s="20">
        <f t="shared" si="124"/>
        <v>0.92898644286636545</v>
      </c>
      <c r="G49" s="20">
        <f t="shared" si="124"/>
        <v>0.99119037387193809</v>
      </c>
      <c r="H49" s="20">
        <f>Assumptions!I$173</f>
        <v>0.74342020232653316</v>
      </c>
      <c r="I49" s="20">
        <f>Assumptions!J$173</f>
        <v>0.74342020232653316</v>
      </c>
      <c r="J49" s="20">
        <f>Assumptions!K$173</f>
        <v>0.74342020232653316</v>
      </c>
      <c r="K49" s="20">
        <f>Assumptions!L$173</f>
        <v>0.74342020232653316</v>
      </c>
      <c r="L49" s="20">
        <f>Assumptions!M$173</f>
        <v>0.74342020232653316</v>
      </c>
      <c r="M49" s="20">
        <f>Assumptions!N$173</f>
        <v>0</v>
      </c>
      <c r="N49" s="20">
        <f>Assumptions!O$173</f>
        <v>0</v>
      </c>
      <c r="O49" s="20">
        <f>Assumptions!P$173</f>
        <v>0</v>
      </c>
      <c r="P49" s="20">
        <f>Assumptions!Q$173</f>
        <v>0</v>
      </c>
      <c r="Q49" s="20">
        <f>Assumptions!R$173</f>
        <v>0</v>
      </c>
    </row>
    <row r="50" spans="2:17">
      <c r="B50" s="23"/>
      <c r="C50" s="12"/>
      <c r="D50" s="12"/>
      <c r="E50" s="12"/>
      <c r="F50" s="12"/>
      <c r="G50" s="12"/>
      <c r="H50" s="12"/>
      <c r="I50" s="12"/>
      <c r="J50" s="12"/>
      <c r="K50" s="12"/>
      <c r="L50" s="12"/>
      <c r="M50" s="12"/>
      <c r="N50" s="12"/>
      <c r="O50" s="12"/>
      <c r="P50" s="12"/>
      <c r="Q50" s="12"/>
    </row>
    <row r="51" spans="2:17">
      <c r="B51" s="23" t="str">
        <f>_xlfn.TEXTBEFORE(Assumptions!B176," [")</f>
        <v>Cost of Capitalized Leases</v>
      </c>
      <c r="C51" s="12">
        <f>Assumptions!D176</f>
        <v>113</v>
      </c>
      <c r="D51" s="12">
        <f>Assumptions!E176</f>
        <v>107</v>
      </c>
      <c r="E51" s="12">
        <f>Assumptions!F176</f>
        <v>95</v>
      </c>
      <c r="F51" s="12">
        <f>Assumptions!G176</f>
        <v>118</v>
      </c>
      <c r="G51" s="12">
        <f>Assumptions!H176</f>
        <v>131</v>
      </c>
      <c r="H51" s="12">
        <f>H$4*H52</f>
        <v>109.94432417644335</v>
      </c>
      <c r="I51" s="12">
        <f t="shared" ref="I51:Q51" si="125">I$4*I52</f>
        <v>113.24265390173663</v>
      </c>
      <c r="J51" s="12">
        <f t="shared" si="125"/>
        <v>116.63993351878872</v>
      </c>
      <c r="K51" s="12">
        <f t="shared" si="125"/>
        <v>120.13913152435239</v>
      </c>
      <c r="L51" s="12">
        <f t="shared" si="125"/>
        <v>123.74330547008296</v>
      </c>
      <c r="M51" s="12">
        <f t="shared" si="125"/>
        <v>0</v>
      </c>
      <c r="N51" s="12">
        <f t="shared" si="125"/>
        <v>0</v>
      </c>
      <c r="O51" s="12">
        <f t="shared" si="125"/>
        <v>0</v>
      </c>
      <c r="P51" s="12">
        <f t="shared" si="125"/>
        <v>0</v>
      </c>
      <c r="Q51" s="12">
        <f t="shared" si="125"/>
        <v>0</v>
      </c>
    </row>
    <row r="52" spans="2:17">
      <c r="B52" s="24" t="str">
        <f>"% of "&amp;$B$4</f>
        <v>% of Revenue</v>
      </c>
      <c r="C52" s="20">
        <f>IFERROR(C51/C$4,0)</f>
        <v>2.2568854980127423E-3</v>
      </c>
      <c r="D52" s="20">
        <f t="shared" ref="D52" si="126">D51/D$4</f>
        <v>2.7374830506306444E-3</v>
      </c>
      <c r="E52" s="20">
        <f t="shared" ref="E52" si="127">E51/E$4</f>
        <v>2.0182277835610034E-3</v>
      </c>
      <c r="F52" s="20">
        <f t="shared" ref="F52" si="128">F51/F$4</f>
        <v>2.213509913898216E-3</v>
      </c>
      <c r="G52" s="20">
        <f t="shared" ref="G52" si="129">G51/G$4</f>
        <v>3.0012142317120665E-3</v>
      </c>
      <c r="H52" s="20">
        <f>+Assumptions!I177</f>
        <v>2.4454640955629348E-3</v>
      </c>
      <c r="I52" s="20">
        <f>+Assumptions!J177</f>
        <v>2.4454640955629348E-3</v>
      </c>
      <c r="J52" s="20">
        <f>+Assumptions!K177</f>
        <v>2.4454640955629348E-3</v>
      </c>
      <c r="K52" s="20">
        <f>+Assumptions!L177</f>
        <v>2.4454640955629348E-3</v>
      </c>
      <c r="L52" s="20">
        <f>+Assumptions!M177</f>
        <v>2.4454640955629348E-3</v>
      </c>
      <c r="M52" s="20">
        <f>+Assumptions!N177</f>
        <v>0</v>
      </c>
      <c r="N52" s="20">
        <f>+Assumptions!O177</f>
        <v>0</v>
      </c>
      <c r="O52" s="20">
        <f>+Assumptions!P177</f>
        <v>0</v>
      </c>
      <c r="P52" s="20">
        <f>+Assumptions!Q177</f>
        <v>0</v>
      </c>
      <c r="Q52" s="20">
        <f>+Assumptions!R177</f>
        <v>0</v>
      </c>
    </row>
    <row r="53" spans="2:17">
      <c r="B53" s="31" t="s">
        <v>49</v>
      </c>
      <c r="C53" s="32">
        <f>SUM(C43,C47,C51)</f>
        <v>12237</v>
      </c>
      <c r="D53" s="32">
        <f t="shared" ref="D53:Q53" si="130">SUM(D43,D47,D51)</f>
        <v>11969</v>
      </c>
      <c r="E53" s="32">
        <f t="shared" si="130"/>
        <v>12070</v>
      </c>
      <c r="F53" s="32">
        <f t="shared" si="130"/>
        <v>12755</v>
      </c>
      <c r="G53" s="32">
        <f t="shared" si="130"/>
        <v>13799</v>
      </c>
      <c r="H53" s="32">
        <f t="shared" si="130"/>
        <v>12436.746822952291</v>
      </c>
      <c r="I53" s="32">
        <f t="shared" si="130"/>
        <v>12809.849227640858</v>
      </c>
      <c r="J53" s="32">
        <f t="shared" si="130"/>
        <v>13194.144704470084</v>
      </c>
      <c r="K53" s="32">
        <f t="shared" si="130"/>
        <v>13589.969045604186</v>
      </c>
      <c r="L53" s="32">
        <f t="shared" si="130"/>
        <v>13997.668116972311</v>
      </c>
      <c r="M53" s="32">
        <f t="shared" si="130"/>
        <v>0</v>
      </c>
      <c r="N53" s="32">
        <f t="shared" si="130"/>
        <v>0</v>
      </c>
      <c r="O53" s="32">
        <f t="shared" si="130"/>
        <v>0</v>
      </c>
      <c r="P53" s="32">
        <f t="shared" si="130"/>
        <v>0</v>
      </c>
      <c r="Q53" s="32">
        <f t="shared" si="130"/>
        <v>0</v>
      </c>
    </row>
    <row r="56" spans="2:17">
      <c r="B56" s="30" t="s">
        <v>181</v>
      </c>
      <c r="C56" s="30"/>
      <c r="D56" s="30"/>
      <c r="E56" s="30"/>
      <c r="F56" s="30"/>
      <c r="G56" s="30"/>
      <c r="H56" s="30"/>
      <c r="I56" s="30"/>
      <c r="J56" s="30"/>
      <c r="K56" s="30"/>
      <c r="L56" s="30"/>
      <c r="M56" s="30"/>
      <c r="N56" s="30"/>
      <c r="O56" s="30"/>
      <c r="P56" s="30"/>
      <c r="Q56" s="30"/>
    </row>
    <row r="57" spans="2:17">
      <c r="B57" s="10" t="str">
        <f>B$22</f>
        <v>Operating Income (Loss) ~ EBIT</v>
      </c>
      <c r="C57" s="13">
        <f>C$22</f>
        <v>8733</v>
      </c>
      <c r="D57" s="13">
        <f t="shared" ref="D57:Q57" si="131">D$22</f>
        <v>8150</v>
      </c>
      <c r="E57" s="13">
        <f t="shared" si="131"/>
        <v>8123</v>
      </c>
      <c r="F57" s="13">
        <f t="shared" si="131"/>
        <v>8320</v>
      </c>
      <c r="G57" s="13">
        <f t="shared" si="131"/>
        <v>9055</v>
      </c>
      <c r="H57" s="13">
        <f t="shared" si="131"/>
        <v>8263.539175825581</v>
      </c>
      <c r="I57" s="13">
        <f t="shared" si="131"/>
        <v>8511.4453511003467</v>
      </c>
      <c r="J57" s="13">
        <f t="shared" si="131"/>
        <v>8766.7887116333568</v>
      </c>
      <c r="K57" s="13">
        <f t="shared" si="131"/>
        <v>9029.7923729823597</v>
      </c>
      <c r="L57" s="13">
        <f t="shared" si="131"/>
        <v>9300.6861441718283</v>
      </c>
      <c r="M57" s="13">
        <f t="shared" si="131"/>
        <v>0</v>
      </c>
      <c r="N57" s="13">
        <f t="shared" si="131"/>
        <v>0</v>
      </c>
      <c r="O57" s="13">
        <f t="shared" si="131"/>
        <v>0</v>
      </c>
      <c r="P57" s="13">
        <f t="shared" si="131"/>
        <v>0</v>
      </c>
      <c r="Q57" s="13">
        <f t="shared" si="131"/>
        <v>0</v>
      </c>
    </row>
    <row r="58" spans="2:17">
      <c r="B58" s="23" t="str">
        <f>B$31</f>
        <v>Income Tax Expense (Benefit)</v>
      </c>
      <c r="C58" s="12">
        <f t="shared" ref="C58:Q58" si="132">C$31</f>
        <v>1708</v>
      </c>
      <c r="D58" s="12">
        <f t="shared" si="132"/>
        <v>774</v>
      </c>
      <c r="E58" s="12">
        <f t="shared" si="132"/>
        <v>1415</v>
      </c>
      <c r="F58" s="12">
        <f t="shared" si="132"/>
        <v>1604</v>
      </c>
      <c r="G58" s="12">
        <f t="shared" si="132"/>
        <v>1821</v>
      </c>
      <c r="H58" s="12">
        <f t="shared" si="132"/>
        <v>1189.1145290358347</v>
      </c>
      <c r="I58" s="12">
        <f t="shared" si="132"/>
        <v>1244.68544540773</v>
      </c>
      <c r="J58" s="12">
        <f t="shared" si="132"/>
        <v>1302.1242433402867</v>
      </c>
      <c r="K58" s="12">
        <f t="shared" si="132"/>
        <v>1372.2116369219245</v>
      </c>
      <c r="L58" s="12">
        <f t="shared" si="132"/>
        <v>1434.5983053289081</v>
      </c>
      <c r="M58" s="12">
        <f t="shared" si="132"/>
        <v>0</v>
      </c>
      <c r="N58" s="12">
        <f t="shared" si="132"/>
        <v>0</v>
      </c>
      <c r="O58" s="12">
        <f t="shared" si="132"/>
        <v>0</v>
      </c>
      <c r="P58" s="12">
        <f t="shared" si="132"/>
        <v>0</v>
      </c>
      <c r="Q58" s="12">
        <f t="shared" si="132"/>
        <v>0</v>
      </c>
    </row>
    <row r="59" spans="2:17">
      <c r="B59" s="23" t="s">
        <v>35</v>
      </c>
      <c r="C59" s="12">
        <f>Assumptions!D149</f>
        <v>-723</v>
      </c>
      <c r="D59" s="12">
        <f>Assumptions!E149</f>
        <v>1827</v>
      </c>
      <c r="E59" s="12">
        <f>Assumptions!F149</f>
        <v>-140</v>
      </c>
      <c r="F59" s="12">
        <f>Assumptions!G149</f>
        <v>5510</v>
      </c>
      <c r="G59" s="12">
        <f>Assumptions!H149</f>
        <v>-776</v>
      </c>
      <c r="H59" s="12">
        <f>H4*Assumptions!I$150</f>
        <v>1033.2270437524783</v>
      </c>
      <c r="I59" s="12">
        <f>I4*Assumptions!J$150</f>
        <v>1064.2238550650527</v>
      </c>
      <c r="J59" s="12">
        <f>J4*Assumptions!K$150</f>
        <v>1096.1505707170043</v>
      </c>
      <c r="K59" s="12">
        <f>K4*Assumptions!L$150</f>
        <v>1129.0350878385143</v>
      </c>
      <c r="L59" s="12">
        <f>L4*Assumptions!M$150</f>
        <v>1162.9061404736697</v>
      </c>
      <c r="M59" s="12">
        <f>M4*Assumptions!N$150</f>
        <v>0</v>
      </c>
      <c r="N59" s="12">
        <f>N4*Assumptions!O$150</f>
        <v>0</v>
      </c>
      <c r="O59" s="12">
        <f>O4*Assumptions!P$150</f>
        <v>0</v>
      </c>
      <c r="P59" s="12">
        <f>P4*Assumptions!Q$150</f>
        <v>0</v>
      </c>
      <c r="Q59" s="12">
        <f>Q4*Assumptions!R$150</f>
        <v>0</v>
      </c>
    </row>
    <row r="60" spans="2:17">
      <c r="B60" s="31" t="s">
        <v>182</v>
      </c>
      <c r="C60" s="32">
        <f>C57-C58</f>
        <v>7025</v>
      </c>
      <c r="D60" s="32">
        <f t="shared" ref="D60:Q60" si="133">D57-D58</f>
        <v>7376</v>
      </c>
      <c r="E60" s="32">
        <f t="shared" si="133"/>
        <v>6708</v>
      </c>
      <c r="F60" s="32">
        <f t="shared" si="133"/>
        <v>6716</v>
      </c>
      <c r="G60" s="32">
        <f t="shared" si="133"/>
        <v>7234</v>
      </c>
      <c r="H60" s="32">
        <f t="shared" si="133"/>
        <v>7074.4246467897465</v>
      </c>
      <c r="I60" s="32">
        <f t="shared" si="133"/>
        <v>7266.7599056926165</v>
      </c>
      <c r="J60" s="32">
        <f t="shared" si="133"/>
        <v>7464.6644682930701</v>
      </c>
      <c r="K60" s="32">
        <f t="shared" si="133"/>
        <v>7657.5807360604349</v>
      </c>
      <c r="L60" s="32">
        <f t="shared" si="133"/>
        <v>7866.0878388429201</v>
      </c>
      <c r="M60" s="32">
        <f t="shared" si="133"/>
        <v>0</v>
      </c>
      <c r="N60" s="32">
        <f t="shared" si="133"/>
        <v>0</v>
      </c>
      <c r="O60" s="32">
        <f t="shared" si="133"/>
        <v>0</v>
      </c>
      <c r="P60" s="32">
        <f t="shared" si="133"/>
        <v>0</v>
      </c>
      <c r="Q60" s="32">
        <f t="shared" si="133"/>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EE949-740F-4DBE-8445-F9CDB5BC754F}">
  <sheetPr>
    <tabColor theme="4" tint="0.79998168889431442"/>
  </sheetPr>
  <dimension ref="B2:Q60"/>
  <sheetViews>
    <sheetView zoomScale="85" zoomScaleNormal="85" workbookViewId="0">
      <pane xSplit="1" ySplit="3" topLeftCell="B10" activePane="bottomRight" state="frozen"/>
      <selection pane="topRight" activeCell="B1" sqref="B1"/>
      <selection pane="bottomLeft" activeCell="A4" sqref="A4"/>
      <selection pane="bottomRight" activeCell="C2" sqref="C2"/>
    </sheetView>
  </sheetViews>
  <sheetFormatPr baseColWidth="10" defaultColWidth="8.6640625" defaultRowHeight="11" outlineLevelCol="1"/>
  <cols>
    <col min="1" max="1" width="2.1640625" style="1" customWidth="1"/>
    <col min="2" max="2" width="41.6640625" style="1" bestFit="1" customWidth="1"/>
    <col min="3" max="7" width="8.6640625" style="1" customWidth="1" outlineLevel="1"/>
    <col min="8" max="17" width="8.6640625" style="1" customWidth="1"/>
    <col min="18" max="16384" width="8.6640625" style="1"/>
  </cols>
  <sheetData>
    <row r="2" spans="2:17">
      <c r="B2" s="30" t="s">
        <v>164</v>
      </c>
      <c r="C2" s="30"/>
      <c r="D2" s="30"/>
      <c r="E2" s="30"/>
      <c r="F2" s="30"/>
      <c r="G2" s="30"/>
      <c r="H2" s="30"/>
      <c r="I2" s="30"/>
      <c r="J2" s="30"/>
      <c r="K2" s="30"/>
      <c r="L2" s="30"/>
      <c r="M2" s="30"/>
      <c r="N2" s="30"/>
      <c r="O2" s="30"/>
      <c r="P2" s="30"/>
      <c r="Q2" s="30"/>
    </row>
    <row r="3" spans="2:17">
      <c r="B3" s="14" t="str">
        <f>Assumptions!$B$113</f>
        <v>Year Ending December 31, In CAD Millions</v>
      </c>
      <c r="C3" s="14" cm="1">
        <f t="array" ref="C3:L3">_xlfn.SEQUENCE(1,5+Assumptions!$C$21,(YEAR('Valuation Summary'!$C$4)-5))</f>
        <v>2019</v>
      </c>
      <c r="D3" s="14">
        <v>2020</v>
      </c>
      <c r="E3" s="14">
        <v>2021</v>
      </c>
      <c r="F3" s="14">
        <v>2022</v>
      </c>
      <c r="G3" s="14">
        <v>2023</v>
      </c>
      <c r="H3" s="15">
        <v>2024</v>
      </c>
      <c r="I3" s="15">
        <v>2025</v>
      </c>
      <c r="J3" s="15">
        <v>2026</v>
      </c>
      <c r="K3" s="15">
        <v>2027</v>
      </c>
      <c r="L3" s="15">
        <v>2028</v>
      </c>
      <c r="M3" s="15"/>
      <c r="N3" s="15"/>
      <c r="O3" s="15"/>
      <c r="P3" s="15"/>
      <c r="Q3" s="15"/>
    </row>
    <row r="4" spans="2:17">
      <c r="B4" s="10" t="str">
        <f>Assumptions!B117</f>
        <v>Revenue</v>
      </c>
      <c r="C4" s="110">
        <f>Assumptions!D117</f>
        <v>50069</v>
      </c>
      <c r="D4" s="110">
        <f>Assumptions!E117</f>
        <v>39087</v>
      </c>
      <c r="E4" s="110">
        <f>Assumptions!F117</f>
        <v>47071</v>
      </c>
      <c r="F4" s="110">
        <f>Assumptions!G117</f>
        <v>53309</v>
      </c>
      <c r="G4" s="110">
        <f>Assumptions!H117</f>
        <v>43649</v>
      </c>
      <c r="H4" s="13">
        <f>IF(H3="",0,G4*(1+H6))</f>
        <v>44085.49</v>
      </c>
      <c r="I4" s="13">
        <f t="shared" ref="I4:Q4" si="0">IF(I3="",0,H4*(1+I6))</f>
        <v>44526.344899999996</v>
      </c>
      <c r="J4" s="13">
        <f t="shared" si="0"/>
        <v>44971.608348999995</v>
      </c>
      <c r="K4" s="13">
        <f t="shared" si="0"/>
        <v>45421.324432489993</v>
      </c>
      <c r="L4" s="13">
        <f t="shared" si="0"/>
        <v>45875.537676814893</v>
      </c>
      <c r="M4" s="13">
        <f t="shared" si="0"/>
        <v>0</v>
      </c>
      <c r="N4" s="13">
        <f t="shared" si="0"/>
        <v>0</v>
      </c>
      <c r="O4" s="13">
        <f t="shared" si="0"/>
        <v>0</v>
      </c>
      <c r="P4" s="13">
        <f t="shared" si="0"/>
        <v>0</v>
      </c>
      <c r="Q4" s="13">
        <f t="shared" si="0"/>
        <v>0</v>
      </c>
    </row>
    <row r="5" spans="2:17">
      <c r="B5" s="19" t="str">
        <f>"% of "&amp;$B$4</f>
        <v>% of Revenue</v>
      </c>
      <c r="C5" s="120">
        <f>IFERROR(C4/C$4,0)</f>
        <v>1</v>
      </c>
      <c r="D5" s="120">
        <f t="shared" ref="D5:G5" si="1">D4/D$4</f>
        <v>1</v>
      </c>
      <c r="E5" s="120">
        <f t="shared" si="1"/>
        <v>1</v>
      </c>
      <c r="F5" s="120">
        <f t="shared" si="1"/>
        <v>1</v>
      </c>
      <c r="G5" s="120">
        <f t="shared" si="1"/>
        <v>1</v>
      </c>
      <c r="H5" s="20">
        <f>IFERROR(H4/H$4,0)</f>
        <v>1</v>
      </c>
      <c r="I5" s="20">
        <f t="shared" ref="I5:Q5" si="2">IFERROR(I4/I$4,0)</f>
        <v>1</v>
      </c>
      <c r="J5" s="20">
        <f t="shared" si="2"/>
        <v>1</v>
      </c>
      <c r="K5" s="20">
        <f t="shared" si="2"/>
        <v>1</v>
      </c>
      <c r="L5" s="20">
        <f t="shared" si="2"/>
        <v>1</v>
      </c>
      <c r="M5" s="20">
        <f t="shared" si="2"/>
        <v>0</v>
      </c>
      <c r="N5" s="20">
        <f t="shared" si="2"/>
        <v>0</v>
      </c>
      <c r="O5" s="20">
        <f t="shared" si="2"/>
        <v>0</v>
      </c>
      <c r="P5" s="20">
        <f t="shared" si="2"/>
        <v>0</v>
      </c>
      <c r="Q5" s="20">
        <f t="shared" si="2"/>
        <v>0</v>
      </c>
    </row>
    <row r="6" spans="2:17">
      <c r="B6" s="19" t="s">
        <v>208</v>
      </c>
      <c r="C6" s="120"/>
      <c r="D6" s="120">
        <f>D4/C4-1</f>
        <v>-0.21933731450598171</v>
      </c>
      <c r="E6" s="120">
        <f t="shared" ref="E6:G6" si="3">E4/D4-1</f>
        <v>0.20426228669378577</v>
      </c>
      <c r="F6" s="120">
        <f t="shared" si="3"/>
        <v>0.13252320961951103</v>
      </c>
      <c r="G6" s="120">
        <f t="shared" si="3"/>
        <v>-0.18120767600217602</v>
      </c>
      <c r="H6" s="20">
        <f>Assumptions!I$119</f>
        <v>9.9999999999999985E-3</v>
      </c>
      <c r="I6" s="20">
        <f>Assumptions!J$119</f>
        <v>9.9999999999999985E-3</v>
      </c>
      <c r="J6" s="20">
        <f>Assumptions!K$119</f>
        <v>9.9999999999999985E-3</v>
      </c>
      <c r="K6" s="20">
        <f>Assumptions!L$119</f>
        <v>9.9999999999999985E-3</v>
      </c>
      <c r="L6" s="20">
        <f>Assumptions!M$119</f>
        <v>9.9999999999999985E-3</v>
      </c>
      <c r="M6" s="20">
        <f>Assumptions!N$119</f>
        <v>0</v>
      </c>
      <c r="N6" s="20">
        <f>Assumptions!O$119</f>
        <v>0</v>
      </c>
      <c r="O6" s="20">
        <f>Assumptions!P$119</f>
        <v>0</v>
      </c>
      <c r="P6" s="20">
        <f>Assumptions!Q$119</f>
        <v>0</v>
      </c>
      <c r="Q6" s="20">
        <f>Assumptions!R$119</f>
        <v>0</v>
      </c>
    </row>
    <row r="7" spans="2:17">
      <c r="B7" s="27"/>
      <c r="C7" s="114"/>
      <c r="D7" s="114"/>
      <c r="E7" s="114"/>
      <c r="F7" s="114"/>
      <c r="G7" s="114"/>
    </row>
    <row r="8" spans="2:17">
      <c r="B8" s="27" t="str">
        <f>Assumptions!B123</f>
        <v>Cost of Revenue ~ Cost of Goods Sold</v>
      </c>
      <c r="C8" s="109">
        <f>Assumptions!D123</f>
        <v>31004</v>
      </c>
      <c r="D8" s="109">
        <f>Assumptions!E123</f>
        <v>20669</v>
      </c>
      <c r="E8" s="109">
        <f>Assumptions!F123</f>
        <v>28702</v>
      </c>
      <c r="F8" s="109">
        <f>Assumptions!G123</f>
        <v>32589</v>
      </c>
      <c r="G8" s="109">
        <f>Assumptions!H123</f>
        <v>21366</v>
      </c>
      <c r="H8" s="12">
        <f>H$4*H9</f>
        <v>25204.541791226246</v>
      </c>
      <c r="I8" s="12">
        <f t="shared" ref="I8:Q8" si="4">I$4*I9</f>
        <v>25456.58720913851</v>
      </c>
      <c r="J8" s="12">
        <f t="shared" si="4"/>
        <v>25711.153081229892</v>
      </c>
      <c r="K8" s="12">
        <f t="shared" si="4"/>
        <v>25968.264612042192</v>
      </c>
      <c r="L8" s="12">
        <f t="shared" si="4"/>
        <v>26227.947258162614</v>
      </c>
      <c r="M8" s="12">
        <f t="shared" si="4"/>
        <v>0</v>
      </c>
      <c r="N8" s="12">
        <f t="shared" si="4"/>
        <v>0</v>
      </c>
      <c r="O8" s="12">
        <f t="shared" si="4"/>
        <v>0</v>
      </c>
      <c r="P8" s="12">
        <f t="shared" si="4"/>
        <v>0</v>
      </c>
      <c r="Q8" s="12">
        <f t="shared" si="4"/>
        <v>0</v>
      </c>
    </row>
    <row r="9" spans="2:17">
      <c r="B9" s="28" t="str">
        <f>"% of "&amp;$B$4</f>
        <v>% of Revenue</v>
      </c>
      <c r="C9" s="120">
        <f>IFERROR(C8/C$4,0)</f>
        <v>0.61922546885298291</v>
      </c>
      <c r="D9" s="120">
        <f t="shared" ref="D9:G9" si="5">D8/D$4</f>
        <v>0.52879473993911019</v>
      </c>
      <c r="E9" s="120">
        <f t="shared" si="5"/>
        <v>0.60975972467124129</v>
      </c>
      <c r="F9" s="120">
        <f t="shared" si="5"/>
        <v>0.6113226659663471</v>
      </c>
      <c r="G9" s="120">
        <f t="shared" si="5"/>
        <v>0.48949575018900776</v>
      </c>
      <c r="H9" s="125">
        <f>Assumptions!I$124</f>
        <v>0.57171966992373791</v>
      </c>
      <c r="I9" s="125">
        <f>Assumptions!J$124</f>
        <v>0.57171966992373791</v>
      </c>
      <c r="J9" s="125">
        <f>Assumptions!K$124</f>
        <v>0.57171966992373791</v>
      </c>
      <c r="K9" s="125">
        <f>Assumptions!L$124</f>
        <v>0.57171966992373791</v>
      </c>
      <c r="L9" s="125">
        <f>Assumptions!M$124</f>
        <v>0.57171966992373791</v>
      </c>
      <c r="M9" s="125">
        <f>Assumptions!N$124</f>
        <v>0</v>
      </c>
      <c r="N9" s="125">
        <f>Assumptions!O$124</f>
        <v>0</v>
      </c>
      <c r="O9" s="125">
        <f>Assumptions!P$124</f>
        <v>0</v>
      </c>
      <c r="P9" s="125">
        <f>Assumptions!Q$124</f>
        <v>0</v>
      </c>
      <c r="Q9" s="125">
        <f>Assumptions!R$124</f>
        <v>0</v>
      </c>
    </row>
    <row r="10" spans="2:17">
      <c r="B10" s="28" t="s">
        <v>208</v>
      </c>
      <c r="C10" s="120"/>
      <c r="D10" s="120">
        <f t="array" ref="D10">D8/C8-1</f>
        <v>-0.3333440846342407</v>
      </c>
      <c r="E10" s="120">
        <f t="array" ref="E10">E8/D8-1</f>
        <v>0.38864966858580474</v>
      </c>
      <c r="F10" s="120">
        <f t="array" ref="F10">F8/E8-1</f>
        <v>0.13542610271061251</v>
      </c>
      <c r="G10" s="120">
        <f t="array" ref="G10">G8/F8-1</f>
        <v>-0.34438000552333614</v>
      </c>
      <c r="H10" s="132">
        <f>IF(H$3="",0,H8/G8-1)</f>
        <v>0.17965654737556136</v>
      </c>
      <c r="I10" s="132">
        <f t="shared" ref="I10:Q10" si="6">IF(I$3="",0,I8/H8-1)</f>
        <v>1.0000000000000009E-2</v>
      </c>
      <c r="J10" s="132">
        <f t="shared" si="6"/>
        <v>9.9999999999997868E-3</v>
      </c>
      <c r="K10" s="132">
        <f t="shared" si="6"/>
        <v>1.0000000000000009E-2</v>
      </c>
      <c r="L10" s="132">
        <f t="shared" si="6"/>
        <v>1.0000000000000009E-2</v>
      </c>
      <c r="M10" s="132">
        <f t="shared" si="6"/>
        <v>0</v>
      </c>
      <c r="N10" s="132">
        <f t="shared" si="6"/>
        <v>0</v>
      </c>
      <c r="O10" s="132">
        <f t="shared" si="6"/>
        <v>0</v>
      </c>
      <c r="P10" s="132">
        <f t="shared" si="6"/>
        <v>0</v>
      </c>
      <c r="Q10" s="132">
        <f t="shared" si="6"/>
        <v>0</v>
      </c>
    </row>
    <row r="11" spans="2:17">
      <c r="B11" s="27"/>
      <c r="C11" s="114"/>
      <c r="D11" s="114"/>
      <c r="E11" s="114"/>
      <c r="F11" s="114"/>
      <c r="G11" s="114"/>
    </row>
    <row r="12" spans="2:17">
      <c r="B12" s="25" t="s">
        <v>23</v>
      </c>
      <c r="C12" s="121">
        <f>C4-C8</f>
        <v>19065</v>
      </c>
      <c r="D12" s="121">
        <f t="shared" ref="D12:H12" si="7">D4-D8</f>
        <v>18418</v>
      </c>
      <c r="E12" s="121">
        <f t="shared" si="7"/>
        <v>18369</v>
      </c>
      <c r="F12" s="121">
        <f t="shared" si="7"/>
        <v>20720</v>
      </c>
      <c r="G12" s="121">
        <f t="shared" si="7"/>
        <v>22283</v>
      </c>
      <c r="H12" s="17">
        <f t="shared" si="7"/>
        <v>18880.948208773752</v>
      </c>
      <c r="I12" s="17">
        <f t="shared" ref="I12:Q12" si="8">I4-I8</f>
        <v>19069.757690861486</v>
      </c>
      <c r="J12" s="17">
        <f t="shared" si="8"/>
        <v>19260.455267770103</v>
      </c>
      <c r="K12" s="17">
        <f t="shared" si="8"/>
        <v>19453.059820447801</v>
      </c>
      <c r="L12" s="17">
        <f t="shared" si="8"/>
        <v>19647.590418652278</v>
      </c>
      <c r="M12" s="17">
        <f t="shared" si="8"/>
        <v>0</v>
      </c>
      <c r="N12" s="17">
        <f t="shared" si="8"/>
        <v>0</v>
      </c>
      <c r="O12" s="17">
        <f t="shared" si="8"/>
        <v>0</v>
      </c>
      <c r="P12" s="17">
        <f t="shared" si="8"/>
        <v>0</v>
      </c>
      <c r="Q12" s="17">
        <f t="shared" si="8"/>
        <v>0</v>
      </c>
    </row>
    <row r="13" spans="2:17">
      <c r="B13" s="24" t="str">
        <f>"% of "&amp;$B$4</f>
        <v>% of Revenue</v>
      </c>
      <c r="C13" s="122">
        <f>IFERROR(C12/C$4,0)</f>
        <v>0.38077453114701709</v>
      </c>
      <c r="D13" s="122">
        <f t="shared" ref="D13:G13" si="9">D12/D$4</f>
        <v>0.47120526006088981</v>
      </c>
      <c r="E13" s="122">
        <f t="shared" si="9"/>
        <v>0.39024027532875866</v>
      </c>
      <c r="F13" s="122">
        <f t="shared" si="9"/>
        <v>0.38867733403365284</v>
      </c>
      <c r="G13" s="122">
        <f t="shared" si="9"/>
        <v>0.51050424981099218</v>
      </c>
      <c r="H13" s="20">
        <f>IFERROR(H12/H$4,0)</f>
        <v>0.42828033007626215</v>
      </c>
      <c r="I13" s="20">
        <f t="shared" ref="I13:Q13" si="10">IFERROR(I12/I$4,0)</f>
        <v>0.42828033007626204</v>
      </c>
      <c r="J13" s="20">
        <f t="shared" si="10"/>
        <v>0.42828033007626209</v>
      </c>
      <c r="K13" s="20">
        <f t="shared" si="10"/>
        <v>0.42828033007626204</v>
      </c>
      <c r="L13" s="20">
        <f t="shared" si="10"/>
        <v>0.42828033007626204</v>
      </c>
      <c r="M13" s="20">
        <f t="shared" si="10"/>
        <v>0</v>
      </c>
      <c r="N13" s="20">
        <f t="shared" si="10"/>
        <v>0</v>
      </c>
      <c r="O13" s="20">
        <f t="shared" si="10"/>
        <v>0</v>
      </c>
      <c r="P13" s="20">
        <f t="shared" si="10"/>
        <v>0</v>
      </c>
      <c r="Q13" s="20">
        <f t="shared" si="10"/>
        <v>0</v>
      </c>
    </row>
    <row r="14" spans="2:17" ht="12" thickBot="1">
      <c r="B14" s="26" t="s">
        <v>208</v>
      </c>
      <c r="C14" s="123"/>
      <c r="D14" s="123">
        <f>D12/C12-1</f>
        <v>-3.3936532913716233E-2</v>
      </c>
      <c r="E14" s="123">
        <f t="shared" ref="E14:G14" si="11">E12/D12-1</f>
        <v>-2.6604408730589446E-3</v>
      </c>
      <c r="F14" s="123">
        <f t="shared" si="11"/>
        <v>0.12798737002558669</v>
      </c>
      <c r="G14" s="123">
        <f t="shared" si="11"/>
        <v>7.5434362934363008E-2</v>
      </c>
      <c r="H14" s="18">
        <f>IF(H3="",0,H12/G12-1)</f>
        <v>-0.15267476512257094</v>
      </c>
      <c r="I14" s="18">
        <f t="shared" ref="I14:Q14" si="12">IF(I3="",0,I12/H12-1)</f>
        <v>9.9999999999997868E-3</v>
      </c>
      <c r="J14" s="18">
        <f t="shared" si="12"/>
        <v>1.0000000000000009E-2</v>
      </c>
      <c r="K14" s="18">
        <f t="shared" si="12"/>
        <v>9.9999999999997868E-3</v>
      </c>
      <c r="L14" s="18">
        <f t="shared" si="12"/>
        <v>1.0000000000000009E-2</v>
      </c>
      <c r="M14" s="18">
        <f t="shared" si="12"/>
        <v>0</v>
      </c>
      <c r="N14" s="18">
        <f t="shared" si="12"/>
        <v>0</v>
      </c>
      <c r="O14" s="18">
        <f t="shared" si="12"/>
        <v>0</v>
      </c>
      <c r="P14" s="18">
        <f t="shared" si="12"/>
        <v>0</v>
      </c>
      <c r="Q14" s="18">
        <f t="shared" si="12"/>
        <v>0</v>
      </c>
    </row>
    <row r="15" spans="2:17">
      <c r="B15" s="27"/>
      <c r="C15" s="114"/>
      <c r="D15" s="114"/>
      <c r="E15" s="114"/>
      <c r="F15" s="114"/>
      <c r="G15" s="114"/>
    </row>
    <row r="16" spans="2:17">
      <c r="B16" s="27" t="str">
        <f>Assumptions!B127</f>
        <v>Other Operating Income</v>
      </c>
      <c r="C16" s="109">
        <f>Assumptions!D127</f>
        <v>0</v>
      </c>
      <c r="D16" s="109">
        <f>Assumptions!E127</f>
        <v>0</v>
      </c>
      <c r="E16" s="109">
        <f>Assumptions!F127</f>
        <v>0</v>
      </c>
      <c r="F16" s="109">
        <f>Assumptions!G127</f>
        <v>0</v>
      </c>
      <c r="G16" s="109">
        <f>Assumptions!H127</f>
        <v>0</v>
      </c>
      <c r="H16" s="12">
        <f>H$4*H17</f>
        <v>0</v>
      </c>
      <c r="I16" s="12">
        <f t="shared" ref="I16:Q16" si="13">I$4*I17</f>
        <v>0</v>
      </c>
      <c r="J16" s="12">
        <f t="shared" si="13"/>
        <v>0</v>
      </c>
      <c r="K16" s="12">
        <f t="shared" si="13"/>
        <v>0</v>
      </c>
      <c r="L16" s="12">
        <f t="shared" si="13"/>
        <v>0</v>
      </c>
      <c r="M16" s="12">
        <f t="shared" si="13"/>
        <v>0</v>
      </c>
      <c r="N16" s="12">
        <f t="shared" si="13"/>
        <v>0</v>
      </c>
      <c r="O16" s="12">
        <f t="shared" si="13"/>
        <v>0</v>
      </c>
      <c r="P16" s="12">
        <f t="shared" si="13"/>
        <v>0</v>
      </c>
      <c r="Q16" s="12">
        <f t="shared" si="13"/>
        <v>0</v>
      </c>
    </row>
    <row r="17" spans="2:17">
      <c r="B17" s="28" t="str">
        <f>"% of "&amp;$B$4</f>
        <v>% of Revenue</v>
      </c>
      <c r="C17" s="120">
        <f>IFERROR(C16/C$4,0)</f>
        <v>0</v>
      </c>
      <c r="D17" s="120">
        <f t="shared" ref="D17:G17" si="14">D16/D$4</f>
        <v>0</v>
      </c>
      <c r="E17" s="120">
        <f t="shared" si="14"/>
        <v>0</v>
      </c>
      <c r="F17" s="120">
        <f t="shared" si="14"/>
        <v>0</v>
      </c>
      <c r="G17" s="120">
        <f t="shared" si="14"/>
        <v>0</v>
      </c>
      <c r="H17" s="20">
        <f>Assumptions!I$128</f>
        <v>0</v>
      </c>
      <c r="I17" s="20">
        <f>Assumptions!J$128</f>
        <v>0</v>
      </c>
      <c r="J17" s="20">
        <f>Assumptions!K$128</f>
        <v>0</v>
      </c>
      <c r="K17" s="20">
        <f>Assumptions!L$128</f>
        <v>0</v>
      </c>
      <c r="L17" s="20">
        <f>Assumptions!M$128</f>
        <v>0</v>
      </c>
      <c r="M17" s="20">
        <f>Assumptions!N$128</f>
        <v>0</v>
      </c>
      <c r="N17" s="20">
        <f>Assumptions!O$128</f>
        <v>0</v>
      </c>
      <c r="O17" s="20">
        <f>Assumptions!P$128</f>
        <v>0</v>
      </c>
      <c r="P17" s="20">
        <f>Assumptions!Q$128</f>
        <v>0</v>
      </c>
      <c r="Q17" s="20">
        <f>Assumptions!R$128</f>
        <v>0</v>
      </c>
    </row>
    <row r="18" spans="2:17">
      <c r="B18" s="27"/>
      <c r="C18" s="109"/>
      <c r="D18" s="109"/>
      <c r="E18" s="109"/>
      <c r="F18" s="109"/>
      <c r="G18" s="109"/>
      <c r="H18" s="12"/>
      <c r="I18" s="12"/>
      <c r="J18" s="12"/>
      <c r="K18" s="12"/>
      <c r="L18" s="12"/>
      <c r="M18" s="12"/>
      <c r="N18" s="12"/>
      <c r="O18" s="12"/>
      <c r="P18" s="12"/>
      <c r="Q18" s="12"/>
    </row>
    <row r="19" spans="2:17">
      <c r="B19" s="27" t="str">
        <f>Assumptions!B131</f>
        <v>Operating Expenses</v>
      </c>
      <c r="C19" s="109">
        <f>Assumptions!D131</f>
        <v>10332</v>
      </c>
      <c r="D19" s="109">
        <f>Assumptions!E131</f>
        <v>10268</v>
      </c>
      <c r="E19" s="109">
        <f>Assumptions!F131</f>
        <v>10246</v>
      </c>
      <c r="F19" s="109">
        <f>Assumptions!G131</f>
        <v>12400</v>
      </c>
      <c r="G19" s="109">
        <f>Assumptions!H131</f>
        <v>13228</v>
      </c>
      <c r="H19" s="12">
        <f>H$4*H20</f>
        <v>10777.866104323426</v>
      </c>
      <c r="I19" s="12">
        <f t="shared" ref="I19:Q19" si="15">I$4*I20</f>
        <v>10885.64476536666</v>
      </c>
      <c r="J19" s="12">
        <f t="shared" si="15"/>
        <v>10994.501213020325</v>
      </c>
      <c r="K19" s="12">
        <f t="shared" si="15"/>
        <v>11104.446225150528</v>
      </c>
      <c r="L19" s="12">
        <f t="shared" si="15"/>
        <v>11215.490687402034</v>
      </c>
      <c r="M19" s="12">
        <f t="shared" si="15"/>
        <v>0</v>
      </c>
      <c r="N19" s="12">
        <f t="shared" si="15"/>
        <v>0</v>
      </c>
      <c r="O19" s="12">
        <f t="shared" si="15"/>
        <v>0</v>
      </c>
      <c r="P19" s="12">
        <f t="shared" si="15"/>
        <v>0</v>
      </c>
      <c r="Q19" s="12">
        <f t="shared" si="15"/>
        <v>0</v>
      </c>
    </row>
    <row r="20" spans="2:17">
      <c r="B20" s="28" t="str">
        <f>"% of "&amp;$B$4</f>
        <v>% of Revenue</v>
      </c>
      <c r="C20" s="120">
        <f>IFERROR(C19/C$4,0)</f>
        <v>0.20635522978289961</v>
      </c>
      <c r="D20" s="120">
        <f t="shared" ref="D20:G20" si="16">D19/D$4</f>
        <v>0.26269603704556505</v>
      </c>
      <c r="E20" s="120">
        <f t="shared" si="16"/>
        <v>0.21767117758280044</v>
      </c>
      <c r="F20" s="120">
        <f t="shared" si="16"/>
        <v>0.23260612654523627</v>
      </c>
      <c r="G20" s="120">
        <f t="shared" si="16"/>
        <v>0.30305390730600928</v>
      </c>
      <c r="H20" s="20">
        <f>Assumptions!I$132</f>
        <v>0.24447649565250212</v>
      </c>
      <c r="I20" s="20">
        <f>Assumptions!J$132</f>
        <v>0.24447649565250212</v>
      </c>
      <c r="J20" s="20">
        <f>Assumptions!K$132</f>
        <v>0.24447649565250212</v>
      </c>
      <c r="K20" s="20">
        <f>Assumptions!L$132</f>
        <v>0.24447649565250212</v>
      </c>
      <c r="L20" s="20">
        <f>Assumptions!M$132</f>
        <v>0.24447649565250212</v>
      </c>
      <c r="M20" s="20">
        <f>Assumptions!N$132</f>
        <v>0</v>
      </c>
      <c r="N20" s="20">
        <f>Assumptions!O$132</f>
        <v>0</v>
      </c>
      <c r="O20" s="20">
        <f>Assumptions!P$132</f>
        <v>0</v>
      </c>
      <c r="P20" s="20">
        <f>Assumptions!Q$132</f>
        <v>0</v>
      </c>
      <c r="Q20" s="20">
        <f>Assumptions!R$132</f>
        <v>0</v>
      </c>
    </row>
    <row r="21" spans="2:17">
      <c r="B21" s="27"/>
      <c r="C21" s="114"/>
      <c r="D21" s="114"/>
      <c r="E21" s="114"/>
      <c r="F21" s="114"/>
      <c r="G21" s="114"/>
    </row>
    <row r="22" spans="2:17">
      <c r="B22" s="25" t="s">
        <v>34</v>
      </c>
      <c r="C22" s="121">
        <f>C12+C16-C19</f>
        <v>8733</v>
      </c>
      <c r="D22" s="121">
        <f t="shared" ref="D22:H22" si="17">D12+D16-D19</f>
        <v>8150</v>
      </c>
      <c r="E22" s="121">
        <f t="shared" si="17"/>
        <v>8123</v>
      </c>
      <c r="F22" s="121">
        <f t="shared" si="17"/>
        <v>8320</v>
      </c>
      <c r="G22" s="121">
        <f t="shared" si="17"/>
        <v>9055</v>
      </c>
      <c r="H22" s="17">
        <f t="shared" si="17"/>
        <v>8103.0821044503264</v>
      </c>
      <c r="I22" s="17">
        <f t="shared" ref="I22:Q22" si="18">I12+I16-I19</f>
        <v>8184.1129254948264</v>
      </c>
      <c r="J22" s="17">
        <f t="shared" si="18"/>
        <v>8265.9540547497782</v>
      </c>
      <c r="K22" s="17">
        <f t="shared" si="18"/>
        <v>8348.6135952972727</v>
      </c>
      <c r="L22" s="17">
        <f t="shared" si="18"/>
        <v>8432.0997312502441</v>
      </c>
      <c r="M22" s="17">
        <f t="shared" si="18"/>
        <v>0</v>
      </c>
      <c r="N22" s="17">
        <f t="shared" si="18"/>
        <v>0</v>
      </c>
      <c r="O22" s="17">
        <f t="shared" si="18"/>
        <v>0</v>
      </c>
      <c r="P22" s="17">
        <f t="shared" si="18"/>
        <v>0</v>
      </c>
      <c r="Q22" s="17">
        <f t="shared" si="18"/>
        <v>0</v>
      </c>
    </row>
    <row r="23" spans="2:17" ht="12" thickBot="1">
      <c r="B23" s="26" t="str">
        <f>"% of "&amp;$B$4</f>
        <v>% of Revenue</v>
      </c>
      <c r="C23" s="123">
        <f>IFERROR(C22/C$4,0)</f>
        <v>0.17441930136411751</v>
      </c>
      <c r="D23" s="123">
        <f t="shared" ref="D23:G23" si="19">D22/D$4</f>
        <v>0.20850922301532479</v>
      </c>
      <c r="E23" s="123">
        <f t="shared" si="19"/>
        <v>0.17256909774595824</v>
      </c>
      <c r="F23" s="123">
        <f t="shared" si="19"/>
        <v>0.1560712074884166</v>
      </c>
      <c r="G23" s="123">
        <f t="shared" si="19"/>
        <v>0.20745034250498293</v>
      </c>
      <c r="H23" s="18">
        <f>IFERROR(H22/H$4,0)</f>
        <v>0.18380383442376</v>
      </c>
      <c r="I23" s="18">
        <f t="shared" ref="I23:Q23" si="20">IFERROR(I22/I$4,0)</f>
        <v>0.18380383442375992</v>
      </c>
      <c r="J23" s="18">
        <f t="shared" si="20"/>
        <v>0.18380383442376</v>
      </c>
      <c r="K23" s="18">
        <f t="shared" si="20"/>
        <v>0.18380383442375994</v>
      </c>
      <c r="L23" s="18">
        <f t="shared" si="20"/>
        <v>0.18380383442375992</v>
      </c>
      <c r="M23" s="18">
        <f t="shared" si="20"/>
        <v>0</v>
      </c>
      <c r="N23" s="18">
        <f t="shared" si="20"/>
        <v>0</v>
      </c>
      <c r="O23" s="18">
        <f t="shared" si="20"/>
        <v>0</v>
      </c>
      <c r="P23" s="18">
        <f t="shared" si="20"/>
        <v>0</v>
      </c>
      <c r="Q23" s="18">
        <f t="shared" si="20"/>
        <v>0</v>
      </c>
    </row>
    <row r="24" spans="2:17">
      <c r="B24" s="27"/>
      <c r="C24" s="114"/>
      <c r="D24" s="114"/>
      <c r="E24" s="114"/>
      <c r="F24" s="114"/>
      <c r="G24" s="114"/>
    </row>
    <row r="25" spans="2:17">
      <c r="B25" s="27" t="str">
        <f>Assumptions!B135</f>
        <v>Non-Operating (Income) Loss, Net Abnormal Losses (Gains)</v>
      </c>
      <c r="C25" s="109">
        <f>Assumptions!D135</f>
        <v>1198</v>
      </c>
      <c r="D25" s="109">
        <f>Assumptions!E135</f>
        <v>3960</v>
      </c>
      <c r="E25" s="109">
        <f>Assumptions!F135</f>
        <v>394</v>
      </c>
      <c r="F25" s="109">
        <f>Assumptions!G135</f>
        <v>3778</v>
      </c>
      <c r="G25" s="109">
        <f>Assumptions!H135</f>
        <v>1176</v>
      </c>
      <c r="H25" s="12">
        <f>+Assumptions!I$135+H4*Assumptions!$I$148+H4*Assumptions!I$150</f>
        <v>2618.3667860999612</v>
      </c>
      <c r="I25" s="12">
        <f>+Assumptions!J$135+I4*Assumptions!$I$148+I4*Assumptions!J$150</f>
        <v>2619.6184085618588</v>
      </c>
      <c r="J25" s="12">
        <f>+Assumptions!K$135+J4*Assumptions!$I$148+J4*Assumptions!K$150</f>
        <v>2620.1261131983247</v>
      </c>
      <c r="K25" s="12">
        <f>+Assumptions!L$135+K4*Assumptions!$I$148+K4*Assumptions!L$150</f>
        <v>2568.7994339957722</v>
      </c>
      <c r="L25" s="12">
        <f>+Assumptions!M$135+L4*Assumptions!$I$148+L4*Assumptions!M$150</f>
        <v>2562.7935719098118</v>
      </c>
      <c r="M25" s="12">
        <f>+Assumptions!N$135+M4*Assumptions!$I$148+M4*Assumptions!N$150</f>
        <v>0</v>
      </c>
      <c r="N25" s="12">
        <f>+Assumptions!O$135+N4*Assumptions!$I$148+N4*Assumptions!O$150</f>
        <v>0</v>
      </c>
      <c r="O25" s="12">
        <f>+Assumptions!P$135+O4*Assumptions!$I$148+O4*Assumptions!P$150</f>
        <v>0</v>
      </c>
      <c r="P25" s="12">
        <f>+Assumptions!Q$135+P4*Assumptions!$I$148+P4*Assumptions!Q$150</f>
        <v>0</v>
      </c>
      <c r="Q25" s="12">
        <f>+Assumptions!R$135+Q4*Assumptions!$I$148+Q4*Assumptions!R$150</f>
        <v>0</v>
      </c>
    </row>
    <row r="26" spans="2:17">
      <c r="B26" s="28" t="str">
        <f>"% of "&amp;$B$4</f>
        <v>% of Revenue</v>
      </c>
      <c r="C26" s="120">
        <f>IFERROR(C25/C$4,0)</f>
        <v>2.392698076654217E-2</v>
      </c>
      <c r="D26" s="120">
        <f t="shared" ref="D26:G26" si="21">D25/D$4</f>
        <v>0.10131245682707805</v>
      </c>
      <c r="E26" s="120">
        <f t="shared" si="21"/>
        <v>8.3703341760319513E-3</v>
      </c>
      <c r="F26" s="120">
        <f t="shared" si="21"/>
        <v>7.0869834361927633E-2</v>
      </c>
      <c r="G26" s="120">
        <f t="shared" si="21"/>
        <v>2.6942197988499162E-2</v>
      </c>
      <c r="H26" s="20">
        <f>IFERROR(H25/H$4,0)</f>
        <v>5.9392938268350001E-2</v>
      </c>
      <c r="I26" s="20">
        <f t="shared" ref="I26:Q26" si="22">IFERROR(I25/I$4,0)</f>
        <v>5.8832999080547906E-2</v>
      </c>
      <c r="J26" s="20">
        <f t="shared" si="22"/>
        <v>5.8261783587212679E-2</v>
      </c>
      <c r="K26" s="20">
        <f t="shared" si="22"/>
        <v>5.6554921418326215E-2</v>
      </c>
      <c r="L26" s="20">
        <f t="shared" si="22"/>
        <v>5.586405526109018E-2</v>
      </c>
      <c r="M26" s="20">
        <f t="shared" si="22"/>
        <v>0</v>
      </c>
      <c r="N26" s="20">
        <f t="shared" si="22"/>
        <v>0</v>
      </c>
      <c r="O26" s="20">
        <f t="shared" si="22"/>
        <v>0</v>
      </c>
      <c r="P26" s="20">
        <f t="shared" si="22"/>
        <v>0</v>
      </c>
      <c r="Q26" s="20">
        <f t="shared" si="22"/>
        <v>0</v>
      </c>
    </row>
    <row r="27" spans="2:17">
      <c r="B27" s="27"/>
      <c r="C27" s="114"/>
      <c r="D27" s="114"/>
      <c r="E27" s="114"/>
      <c r="F27" s="114"/>
      <c r="G27" s="114"/>
    </row>
    <row r="28" spans="2:17">
      <c r="B28" s="25" t="s">
        <v>47</v>
      </c>
      <c r="C28" s="121">
        <f>C22-C25</f>
        <v>7535</v>
      </c>
      <c r="D28" s="121">
        <f t="shared" ref="D28:H28" si="23">D22-D25</f>
        <v>4190</v>
      </c>
      <c r="E28" s="121">
        <f t="shared" si="23"/>
        <v>7729</v>
      </c>
      <c r="F28" s="121">
        <f t="shared" si="23"/>
        <v>4542</v>
      </c>
      <c r="G28" s="121">
        <f t="shared" si="23"/>
        <v>7879</v>
      </c>
      <c r="H28" s="17">
        <f t="shared" si="23"/>
        <v>5484.7153183503651</v>
      </c>
      <c r="I28" s="17">
        <f t="shared" ref="I28:Q28" si="24">I22-I25</f>
        <v>5564.4945169329676</v>
      </c>
      <c r="J28" s="17">
        <f t="shared" si="24"/>
        <v>5645.8279415514535</v>
      </c>
      <c r="K28" s="17">
        <f t="shared" si="24"/>
        <v>5779.8141613015005</v>
      </c>
      <c r="L28" s="17">
        <f t="shared" si="24"/>
        <v>5869.3061593404327</v>
      </c>
      <c r="M28" s="17">
        <f t="shared" si="24"/>
        <v>0</v>
      </c>
      <c r="N28" s="17">
        <f t="shared" si="24"/>
        <v>0</v>
      </c>
      <c r="O28" s="17">
        <f t="shared" si="24"/>
        <v>0</v>
      </c>
      <c r="P28" s="17">
        <f t="shared" si="24"/>
        <v>0</v>
      </c>
      <c r="Q28" s="17">
        <f t="shared" si="24"/>
        <v>0</v>
      </c>
    </row>
    <row r="29" spans="2:17" ht="12" thickBot="1">
      <c r="B29" s="26" t="str">
        <f>"% of "&amp;$B$4</f>
        <v>% of Revenue</v>
      </c>
      <c r="C29" s="123">
        <f>IFERROR(C28/C$4,0)</f>
        <v>0.15049232059757534</v>
      </c>
      <c r="D29" s="123">
        <f t="shared" ref="D29:G29" si="25">D28/D$4</f>
        <v>0.10719676618824674</v>
      </c>
      <c r="E29" s="123">
        <f t="shared" si="25"/>
        <v>0.16419876356992627</v>
      </c>
      <c r="F29" s="123">
        <f t="shared" si="25"/>
        <v>8.5201373126488955E-2</v>
      </c>
      <c r="G29" s="123">
        <f t="shared" si="25"/>
        <v>0.18050814451648378</v>
      </c>
      <c r="H29" s="18">
        <f>IFERROR(H28/H$4,0)</f>
        <v>0.12441089615540998</v>
      </c>
      <c r="I29" s="18">
        <f t="shared" ref="I29:Q29" si="26">IFERROR(I28/I$4,0)</f>
        <v>0.12497083534321202</v>
      </c>
      <c r="J29" s="18">
        <f t="shared" si="26"/>
        <v>0.12554205083654732</v>
      </c>
      <c r="K29" s="18">
        <f t="shared" si="26"/>
        <v>0.12724891300543373</v>
      </c>
      <c r="L29" s="18">
        <f t="shared" si="26"/>
        <v>0.12793977916266974</v>
      </c>
      <c r="M29" s="18">
        <f t="shared" si="26"/>
        <v>0</v>
      </c>
      <c r="N29" s="18">
        <f t="shared" si="26"/>
        <v>0</v>
      </c>
      <c r="O29" s="18">
        <f t="shared" si="26"/>
        <v>0</v>
      </c>
      <c r="P29" s="18">
        <f t="shared" si="26"/>
        <v>0</v>
      </c>
      <c r="Q29" s="18">
        <f t="shared" si="26"/>
        <v>0</v>
      </c>
    </row>
    <row r="30" spans="2:17">
      <c r="B30" s="27"/>
      <c r="C30" s="114"/>
      <c r="D30" s="114"/>
      <c r="E30" s="114"/>
      <c r="F30" s="114"/>
      <c r="G30" s="114"/>
    </row>
    <row r="31" spans="2:17">
      <c r="B31" s="27" t="str">
        <f>Assumptions!B153</f>
        <v>Income Tax Expense (Benefit)</v>
      </c>
      <c r="C31" s="109">
        <f>Assumptions!D153</f>
        <v>1708</v>
      </c>
      <c r="D31" s="109">
        <f>Assumptions!E153</f>
        <v>774</v>
      </c>
      <c r="E31" s="109">
        <f>Assumptions!F153</f>
        <v>1415</v>
      </c>
      <c r="F31" s="109">
        <f>Assumptions!G153</f>
        <v>1604</v>
      </c>
      <c r="G31" s="109">
        <f>Assumptions!H153</f>
        <v>1821</v>
      </c>
      <c r="H31" s="12">
        <f>H28*Assumptions!I155</f>
        <v>1151.7902168535766</v>
      </c>
      <c r="I31" s="12">
        <f>I28*Assumptions!J155</f>
        <v>1168.5438485559232</v>
      </c>
      <c r="J31" s="12">
        <f>J28*Assumptions!K155</f>
        <v>1185.6238677258052</v>
      </c>
      <c r="K31" s="12">
        <f>K28*Assumptions!L155</f>
        <v>1213.7609738733152</v>
      </c>
      <c r="L31" s="12">
        <f>L28*Assumptions!M155</f>
        <v>1232.5542934614907</v>
      </c>
      <c r="M31" s="12">
        <f>M28*Assumptions!N155</f>
        <v>0</v>
      </c>
      <c r="N31" s="12">
        <f>N28*Assumptions!O155</f>
        <v>0</v>
      </c>
      <c r="O31" s="12">
        <f>O28*Assumptions!P155</f>
        <v>0</v>
      </c>
      <c r="P31" s="12">
        <f>P28*Assumptions!Q155</f>
        <v>0</v>
      </c>
      <c r="Q31" s="12">
        <f>Q28*Assumptions!R155</f>
        <v>0</v>
      </c>
    </row>
    <row r="32" spans="2:17">
      <c r="B32" s="28" t="str">
        <f>"% of "&amp;$B$4</f>
        <v>% of Revenue</v>
      </c>
      <c r="C32" s="120">
        <f>IFERROR(C31/C$4,0)</f>
        <v>3.411292416465278E-2</v>
      </c>
      <c r="D32" s="120">
        <f t="shared" ref="D32:G32" si="27">D31/D$4</f>
        <v>1.9801980198019802E-2</v>
      </c>
      <c r="E32" s="120">
        <f t="shared" si="27"/>
        <v>3.0060971723566528E-2</v>
      </c>
      <c r="F32" s="120">
        <f t="shared" si="27"/>
        <v>3.0088727982141853E-2</v>
      </c>
      <c r="G32" s="120">
        <f t="shared" si="27"/>
        <v>4.1719168824028041E-2</v>
      </c>
      <c r="H32" s="20">
        <f>IFERROR(H31/H$4,0)</f>
        <v>2.6126288192636096E-2</v>
      </c>
      <c r="I32" s="20">
        <f t="shared" ref="I32:Q32" si="28">IFERROR(I31/I$4,0)</f>
        <v>2.6243875422074524E-2</v>
      </c>
      <c r="J32" s="20">
        <f t="shared" si="28"/>
        <v>2.6363830675674937E-2</v>
      </c>
      <c r="K32" s="20">
        <f t="shared" si="28"/>
        <v>2.6722271731141084E-2</v>
      </c>
      <c r="L32" s="20">
        <f t="shared" si="28"/>
        <v>2.6867353624160643E-2</v>
      </c>
      <c r="M32" s="20">
        <f t="shared" si="28"/>
        <v>0</v>
      </c>
      <c r="N32" s="20">
        <f t="shared" si="28"/>
        <v>0</v>
      </c>
      <c r="O32" s="20">
        <f t="shared" si="28"/>
        <v>0</v>
      </c>
      <c r="P32" s="20">
        <f t="shared" si="28"/>
        <v>0</v>
      </c>
      <c r="Q32" s="20">
        <f t="shared" si="28"/>
        <v>0</v>
      </c>
    </row>
    <row r="34" spans="2:17">
      <c r="B34" s="27" t="str">
        <f>Assumptions!B158</f>
        <v>Miscellaneous After Tax Expenditures</v>
      </c>
      <c r="C34" s="109">
        <f>Assumptions!D158</f>
        <v>122</v>
      </c>
      <c r="D34" s="109">
        <f>Assumptions!E158</f>
        <v>53</v>
      </c>
      <c r="E34" s="109">
        <f>Assumptions!F158</f>
        <v>125</v>
      </c>
      <c r="F34" s="109">
        <f>Assumptions!G158</f>
        <v>-65</v>
      </c>
      <c r="G34" s="109">
        <f>Assumptions!H158</f>
        <v>-133</v>
      </c>
      <c r="H34" s="12">
        <f>H$4*H35</f>
        <v>19.237226036809872</v>
      </c>
      <c r="I34" s="12">
        <f t="shared" ref="I34:Q34" si="29">I$4*I35</f>
        <v>19.429598297177968</v>
      </c>
      <c r="J34" s="12">
        <f t="shared" si="29"/>
        <v>19.623894280149749</v>
      </c>
      <c r="K34" s="12">
        <f t="shared" si="29"/>
        <v>19.820133222951245</v>
      </c>
      <c r="L34" s="12">
        <f t="shared" si="29"/>
        <v>20.018334555180758</v>
      </c>
      <c r="M34" s="12">
        <f t="shared" si="29"/>
        <v>0</v>
      </c>
      <c r="N34" s="12">
        <f t="shared" si="29"/>
        <v>0</v>
      </c>
      <c r="O34" s="12">
        <f t="shared" si="29"/>
        <v>0</v>
      </c>
      <c r="P34" s="12">
        <f t="shared" si="29"/>
        <v>0</v>
      </c>
      <c r="Q34" s="12">
        <f t="shared" si="29"/>
        <v>0</v>
      </c>
    </row>
    <row r="35" spans="2:17">
      <c r="B35" s="28" t="str">
        <f>"% of "&amp;$B$4</f>
        <v>% of Revenue</v>
      </c>
      <c r="C35" s="120">
        <f>IFERROR(C34/C$4,0)</f>
        <v>2.4366374403323415E-3</v>
      </c>
      <c r="D35" s="120">
        <f t="shared" ref="D35:G35" si="30">D34/D$4</f>
        <v>1.3559495484432164E-3</v>
      </c>
      <c r="E35" s="120">
        <f t="shared" si="30"/>
        <v>2.6555628731065838E-3</v>
      </c>
      <c r="F35" s="120">
        <f t="shared" si="30"/>
        <v>-1.2193063085032547E-3</v>
      </c>
      <c r="G35" s="120">
        <f t="shared" si="30"/>
        <v>-3.047034296318358E-3</v>
      </c>
      <c r="H35" s="20">
        <f>Assumptions!I159</f>
        <v>4.3636185141210571E-4</v>
      </c>
      <c r="I35" s="20">
        <f>Assumptions!J159</f>
        <v>4.3636185141210571E-4</v>
      </c>
      <c r="J35" s="20">
        <f>Assumptions!K159</f>
        <v>4.3636185141210571E-4</v>
      </c>
      <c r="K35" s="20">
        <f>Assumptions!L159</f>
        <v>4.3636185141210571E-4</v>
      </c>
      <c r="L35" s="20">
        <f>Assumptions!M159</f>
        <v>4.3636185141210571E-4</v>
      </c>
      <c r="M35" s="20">
        <f>Assumptions!N159</f>
        <v>0</v>
      </c>
      <c r="N35" s="20">
        <f>Assumptions!O159</f>
        <v>0</v>
      </c>
      <c r="O35" s="20">
        <f>Assumptions!P159</f>
        <v>0</v>
      </c>
      <c r="P35" s="20">
        <f>Assumptions!Q159</f>
        <v>0</v>
      </c>
      <c r="Q35" s="20">
        <f>Assumptions!R159</f>
        <v>0</v>
      </c>
    </row>
    <row r="36" spans="2:17">
      <c r="B36" s="27"/>
      <c r="C36" s="114"/>
      <c r="D36" s="114"/>
      <c r="E36" s="114"/>
      <c r="F36" s="114"/>
      <c r="G36" s="114"/>
    </row>
    <row r="37" spans="2:17">
      <c r="B37" s="16" t="s">
        <v>45</v>
      </c>
      <c r="C37" s="121">
        <f>C28-C31-C34</f>
        <v>5705</v>
      </c>
      <c r="D37" s="121">
        <f t="shared" ref="D37:H37" si="31">D28-D31-D34</f>
        <v>3363</v>
      </c>
      <c r="E37" s="121">
        <f t="shared" si="31"/>
        <v>6189</v>
      </c>
      <c r="F37" s="121">
        <f t="shared" si="31"/>
        <v>3003</v>
      </c>
      <c r="G37" s="121">
        <f t="shared" si="31"/>
        <v>6191</v>
      </c>
      <c r="H37" s="17">
        <f t="shared" si="31"/>
        <v>4313.6878754599784</v>
      </c>
      <c r="I37" s="17">
        <f t="shared" ref="I37:Q37" si="32">I28-I31-I34</f>
        <v>4376.5210700798661</v>
      </c>
      <c r="J37" s="17">
        <f t="shared" si="32"/>
        <v>4440.5801795454981</v>
      </c>
      <c r="K37" s="17">
        <f t="shared" si="32"/>
        <v>4546.2330542052341</v>
      </c>
      <c r="L37" s="17">
        <f t="shared" si="32"/>
        <v>4616.7335313237618</v>
      </c>
      <c r="M37" s="17">
        <f t="shared" si="32"/>
        <v>0</v>
      </c>
      <c r="N37" s="17">
        <f t="shared" si="32"/>
        <v>0</v>
      </c>
      <c r="O37" s="17">
        <f t="shared" si="32"/>
        <v>0</v>
      </c>
      <c r="P37" s="17">
        <f t="shared" si="32"/>
        <v>0</v>
      </c>
      <c r="Q37" s="17">
        <f t="shared" si="32"/>
        <v>0</v>
      </c>
    </row>
    <row r="38" spans="2:17">
      <c r="B38" s="19" t="str">
        <f>"% of "&amp;$B$4</f>
        <v>% of Revenue</v>
      </c>
      <c r="C38" s="122">
        <f>IFERROR(C37/C$4,0)</f>
        <v>0.11394275899259022</v>
      </c>
      <c r="D38" s="122">
        <f t="shared" ref="D38:G38" si="33">D37/D$4</f>
        <v>8.6038836441783714E-2</v>
      </c>
      <c r="E38" s="122">
        <f t="shared" si="33"/>
        <v>0.13148222897325318</v>
      </c>
      <c r="F38" s="122">
        <f t="shared" si="33"/>
        <v>5.633195145285036E-2</v>
      </c>
      <c r="G38" s="122">
        <f t="shared" si="33"/>
        <v>0.14183600998877408</v>
      </c>
      <c r="H38" s="82">
        <f>IFERROR(H37/H$4,0)</f>
        <v>9.7848246111361781E-2</v>
      </c>
      <c r="I38" s="82">
        <f t="shared" ref="I38:Q38" si="34">IFERROR(I37/I$4,0)</f>
        <v>9.8290598069725385E-2</v>
      </c>
      <c r="J38" s="82">
        <f t="shared" si="34"/>
        <v>9.8741858309460279E-2</v>
      </c>
      <c r="K38" s="82">
        <f t="shared" si="34"/>
        <v>0.10009027942288054</v>
      </c>
      <c r="L38" s="82">
        <f t="shared" si="34"/>
        <v>0.100636063687097</v>
      </c>
      <c r="M38" s="82">
        <f t="shared" si="34"/>
        <v>0</v>
      </c>
      <c r="N38" s="82">
        <f t="shared" si="34"/>
        <v>0</v>
      </c>
      <c r="O38" s="82">
        <f t="shared" si="34"/>
        <v>0</v>
      </c>
      <c r="P38" s="82">
        <f t="shared" si="34"/>
        <v>0</v>
      </c>
      <c r="Q38" s="82">
        <f t="shared" si="34"/>
        <v>0</v>
      </c>
    </row>
    <row r="39" spans="2:17" ht="12" thickBot="1">
      <c r="B39" s="21" t="s">
        <v>208</v>
      </c>
      <c r="C39" s="124"/>
      <c r="D39" s="124">
        <f>D37/C37-1</f>
        <v>-0.41051709027169148</v>
      </c>
      <c r="E39" s="124">
        <f t="shared" ref="E39:G39" si="35">E37/D37-1</f>
        <v>0.84032114183764506</v>
      </c>
      <c r="F39" s="124">
        <f t="shared" si="35"/>
        <v>-0.51478429471643239</v>
      </c>
      <c r="G39" s="124">
        <f t="shared" si="35"/>
        <v>1.0616050616050616</v>
      </c>
      <c r="H39" s="22">
        <f>IF(H$3="",0,H37/G37-1)</f>
        <v>-0.30323245429494772</v>
      </c>
      <c r="I39" s="22">
        <f t="shared" ref="I39:Q39" si="36">IF(I$3="",0,I37/H37-1)</f>
        <v>1.4566003946956396E-2</v>
      </c>
      <c r="J39" s="22">
        <f t="shared" si="36"/>
        <v>1.4636993273852372E-2</v>
      </c>
      <c r="K39" s="22">
        <f t="shared" si="36"/>
        <v>2.3792583488617458E-2</v>
      </c>
      <c r="L39" s="22">
        <f t="shared" si="36"/>
        <v>1.5507448975435878E-2</v>
      </c>
      <c r="M39" s="22">
        <f t="shared" si="36"/>
        <v>0</v>
      </c>
      <c r="N39" s="22">
        <f t="shared" si="36"/>
        <v>0</v>
      </c>
      <c r="O39" s="22">
        <f t="shared" si="36"/>
        <v>0</v>
      </c>
      <c r="P39" s="22">
        <f t="shared" si="36"/>
        <v>0</v>
      </c>
      <c r="Q39" s="22">
        <f t="shared" si="36"/>
        <v>0</v>
      </c>
    </row>
    <row r="40" spans="2:17" ht="12" thickTop="1"/>
    <row r="42" spans="2:17">
      <c r="B42" s="30" t="s">
        <v>48</v>
      </c>
      <c r="C42" s="30"/>
      <c r="D42" s="30"/>
      <c r="E42" s="30"/>
      <c r="F42" s="30"/>
      <c r="G42" s="30"/>
      <c r="H42" s="30"/>
      <c r="I42" s="30"/>
      <c r="J42" s="30"/>
      <c r="K42" s="30"/>
      <c r="L42" s="30"/>
      <c r="M42" s="30"/>
      <c r="N42" s="30"/>
      <c r="O42" s="30"/>
      <c r="P42" s="30"/>
      <c r="Q42" s="30"/>
    </row>
    <row r="43" spans="2:17">
      <c r="B43" s="10" t="str">
        <f>B$22</f>
        <v>Operating Income (Loss) ~ EBIT</v>
      </c>
      <c r="C43" s="13">
        <f>C$22</f>
        <v>8733</v>
      </c>
      <c r="D43" s="13">
        <f t="shared" ref="D43:Q43" si="37">D$22</f>
        <v>8150</v>
      </c>
      <c r="E43" s="13">
        <f t="shared" si="37"/>
        <v>8123</v>
      </c>
      <c r="F43" s="13">
        <f t="shared" si="37"/>
        <v>8320</v>
      </c>
      <c r="G43" s="13">
        <f t="shared" si="37"/>
        <v>9055</v>
      </c>
      <c r="H43" s="13">
        <f t="shared" si="37"/>
        <v>8103.0821044503264</v>
      </c>
      <c r="I43" s="13">
        <f t="shared" si="37"/>
        <v>8184.1129254948264</v>
      </c>
      <c r="J43" s="13">
        <f t="shared" si="37"/>
        <v>8265.9540547497782</v>
      </c>
      <c r="K43" s="13">
        <f t="shared" si="37"/>
        <v>8348.6135952972727</v>
      </c>
      <c r="L43" s="13">
        <f t="shared" si="37"/>
        <v>8432.0997312502441</v>
      </c>
      <c r="M43" s="13">
        <f t="shared" si="37"/>
        <v>0</v>
      </c>
      <c r="N43" s="13">
        <f t="shared" si="37"/>
        <v>0</v>
      </c>
      <c r="O43" s="13">
        <f t="shared" si="37"/>
        <v>0</v>
      </c>
      <c r="P43" s="13">
        <f t="shared" si="37"/>
        <v>0</v>
      </c>
      <c r="Q43" s="13">
        <f t="shared" si="37"/>
        <v>0</v>
      </c>
    </row>
    <row r="44" spans="2:17">
      <c r="B44" s="23" t="str">
        <f>Assumptions!B168</f>
        <v>Capital Expenditures</v>
      </c>
      <c r="C44" s="12">
        <f>Assumptions!D168</f>
        <v>5492</v>
      </c>
      <c r="D44" s="12">
        <f>Assumptions!E168</f>
        <v>5405</v>
      </c>
      <c r="E44" s="12">
        <f>Assumptions!F168</f>
        <v>7818</v>
      </c>
      <c r="F44" s="12">
        <f>Assumptions!G168</f>
        <v>4647</v>
      </c>
      <c r="G44" s="12">
        <f>Assumptions!H168</f>
        <v>4654</v>
      </c>
      <c r="H44" s="12">
        <f>H4*H45</f>
        <v>5359.5059611384077</v>
      </c>
      <c r="I44" s="12">
        <f t="shared" ref="I44:Q44" si="38">I4*I45</f>
        <v>5413.1010207497911</v>
      </c>
      <c r="J44" s="12">
        <f t="shared" si="38"/>
        <v>5467.2320309572888</v>
      </c>
      <c r="K44" s="12">
        <f t="shared" si="38"/>
        <v>5521.9043512668622</v>
      </c>
      <c r="L44" s="12">
        <f t="shared" si="38"/>
        <v>5577.1233947795308</v>
      </c>
      <c r="M44" s="12">
        <f t="shared" si="38"/>
        <v>0</v>
      </c>
      <c r="N44" s="12">
        <f t="shared" si="38"/>
        <v>0</v>
      </c>
      <c r="O44" s="12">
        <f t="shared" si="38"/>
        <v>0</v>
      </c>
      <c r="P44" s="12">
        <f t="shared" si="38"/>
        <v>0</v>
      </c>
      <c r="Q44" s="12">
        <f t="shared" si="38"/>
        <v>0</v>
      </c>
    </row>
    <row r="45" spans="2:17">
      <c r="B45" s="24" t="str">
        <f>"% of "&amp;$B$4</f>
        <v>% of Revenue</v>
      </c>
      <c r="C45" s="20">
        <f>IFERROR(C44/C$4,0)</f>
        <v>0.10968862969102638</v>
      </c>
      <c r="D45" s="20">
        <f t="shared" ref="D45:G45" si="39">D44/D$4</f>
        <v>0.13828126998746387</v>
      </c>
      <c r="E45" s="20">
        <f t="shared" si="39"/>
        <v>0.16608952433557816</v>
      </c>
      <c r="F45" s="20">
        <f t="shared" si="39"/>
        <v>8.7171021778686519E-2</v>
      </c>
      <c r="G45" s="20">
        <f t="shared" si="39"/>
        <v>0.10662329033883938</v>
      </c>
      <c r="H45" s="20">
        <f>Assumptions!I$169</f>
        <v>0.12157074722631886</v>
      </c>
      <c r="I45" s="20">
        <f>Assumptions!J169</f>
        <v>0.12157074722631886</v>
      </c>
      <c r="J45" s="20">
        <f>Assumptions!K169</f>
        <v>0.12157074722631886</v>
      </c>
      <c r="K45" s="20">
        <f>Assumptions!L169</f>
        <v>0.12157074722631886</v>
      </c>
      <c r="L45" s="20">
        <f>Assumptions!M169</f>
        <v>0.12157074722631886</v>
      </c>
      <c r="M45" s="20">
        <f>Assumptions!N169</f>
        <v>0</v>
      </c>
      <c r="N45" s="20">
        <f>Assumptions!O169</f>
        <v>0</v>
      </c>
      <c r="O45" s="20">
        <f>Assumptions!P169</f>
        <v>0</v>
      </c>
      <c r="P45" s="20">
        <f>Assumptions!Q169</f>
        <v>0</v>
      </c>
      <c r="Q45" s="20">
        <f>Assumptions!R169</f>
        <v>0</v>
      </c>
    </row>
    <row r="46" spans="2:17">
      <c r="B46" s="23"/>
      <c r="C46" s="12"/>
      <c r="D46" s="12"/>
      <c r="E46" s="12"/>
      <c r="F46" s="12"/>
      <c r="G46" s="12"/>
      <c r="H46" s="12"/>
      <c r="I46" s="12"/>
      <c r="J46" s="12"/>
      <c r="K46" s="12"/>
      <c r="L46" s="12"/>
      <c r="M46" s="12"/>
      <c r="N46" s="12"/>
      <c r="O46" s="12"/>
      <c r="P46" s="12"/>
      <c r="Q46" s="12"/>
    </row>
    <row r="47" spans="2:17">
      <c r="B47" s="23" t="str">
        <f>Assumptions!B172</f>
        <v>Depreciation and Amortization</v>
      </c>
      <c r="C47" s="12">
        <f>Assumptions!D172</f>
        <v>3391</v>
      </c>
      <c r="D47" s="12">
        <f>Assumptions!E172</f>
        <v>3712</v>
      </c>
      <c r="E47" s="12">
        <f>Assumptions!F172</f>
        <v>3852</v>
      </c>
      <c r="F47" s="12">
        <f>Assumptions!G172</f>
        <v>4317</v>
      </c>
      <c r="G47" s="12">
        <f>Assumptions!H172</f>
        <v>4613</v>
      </c>
      <c r="H47" s="12">
        <f>H44*H49</f>
        <v>3984.3650059997758</v>
      </c>
      <c r="I47" s="12">
        <f t="shared" ref="I47:Q47" si="40">I44*I49</f>
        <v>4024.2086560597727</v>
      </c>
      <c r="J47" s="12">
        <f t="shared" si="40"/>
        <v>4064.4507426203704</v>
      </c>
      <c r="K47" s="12">
        <f t="shared" si="40"/>
        <v>4105.0952500465746</v>
      </c>
      <c r="L47" s="12">
        <f>L44*L49</f>
        <v>4146.14620254704</v>
      </c>
      <c r="M47" s="12">
        <f t="shared" si="40"/>
        <v>0</v>
      </c>
      <c r="N47" s="12">
        <f t="shared" si="40"/>
        <v>0</v>
      </c>
      <c r="O47" s="12">
        <f t="shared" si="40"/>
        <v>0</v>
      </c>
      <c r="P47" s="12">
        <f t="shared" si="40"/>
        <v>0</v>
      </c>
      <c r="Q47" s="12">
        <f t="shared" si="40"/>
        <v>0</v>
      </c>
    </row>
    <row r="48" spans="2:17">
      <c r="B48" s="24" t="str">
        <f>"% of "&amp;$B$4</f>
        <v>% of Revenue</v>
      </c>
      <c r="C48" s="20">
        <f>IFERROR(C47/C$4,0)</f>
        <v>6.7726537378417787E-2</v>
      </c>
      <c r="D48" s="20">
        <f t="shared" ref="D48:G48" si="41">D47/D$4</f>
        <v>9.4967636298513569E-2</v>
      </c>
      <c r="E48" s="20">
        <f t="shared" si="41"/>
        <v>8.1833825497652488E-2</v>
      </c>
      <c r="F48" s="20">
        <f t="shared" si="41"/>
        <v>8.098069744320846E-2</v>
      </c>
      <c r="G48" s="20">
        <f t="shared" si="41"/>
        <v>0.10568397901441041</v>
      </c>
      <c r="H48" s="20">
        <f>IFERROR(H47/H$4,0)</f>
        <v>9.0378149499977786E-2</v>
      </c>
      <c r="I48" s="20">
        <f t="shared" ref="I48:Q48" si="42">IFERROR(I47/I$4,0)</f>
        <v>9.0378149499977772E-2</v>
      </c>
      <c r="J48" s="20">
        <f t="shared" si="42"/>
        <v>9.0378149499977786E-2</v>
      </c>
      <c r="K48" s="20">
        <f t="shared" si="42"/>
        <v>9.03781494999778E-2</v>
      </c>
      <c r="L48" s="20">
        <f t="shared" si="42"/>
        <v>9.0378149499977786E-2</v>
      </c>
      <c r="M48" s="20">
        <f t="shared" si="42"/>
        <v>0</v>
      </c>
      <c r="N48" s="20">
        <f t="shared" si="42"/>
        <v>0</v>
      </c>
      <c r="O48" s="20">
        <f t="shared" si="42"/>
        <v>0</v>
      </c>
      <c r="P48" s="20">
        <f t="shared" si="42"/>
        <v>0</v>
      </c>
      <c r="Q48" s="20">
        <f t="shared" si="42"/>
        <v>0</v>
      </c>
    </row>
    <row r="49" spans="2:17">
      <c r="B49" s="24" t="str">
        <f>"% of "&amp;B44</f>
        <v>% of Capital Expenditures</v>
      </c>
      <c r="C49" s="20">
        <f>IFERROR(C47/C44,0)</f>
        <v>0.61744355426074293</v>
      </c>
      <c r="D49" s="20">
        <f t="shared" ref="D49:G49" si="43">IFERROR(D47/D44,0)</f>
        <v>0.68677150786308971</v>
      </c>
      <c r="E49" s="20">
        <f t="shared" si="43"/>
        <v>0.49270913277052952</v>
      </c>
      <c r="F49" s="20">
        <f t="shared" si="43"/>
        <v>0.92898644286636545</v>
      </c>
      <c r="G49" s="20">
        <f t="shared" si="43"/>
        <v>0.99119037387193809</v>
      </c>
      <c r="H49" s="20">
        <f>Assumptions!I$173</f>
        <v>0.74342020232653316</v>
      </c>
      <c r="I49" s="20">
        <f>Assumptions!J$173</f>
        <v>0.74342020232653316</v>
      </c>
      <c r="J49" s="20">
        <f>Assumptions!K$173</f>
        <v>0.74342020232653316</v>
      </c>
      <c r="K49" s="20">
        <f>Assumptions!L$173</f>
        <v>0.74342020232653316</v>
      </c>
      <c r="L49" s="20">
        <f>Assumptions!M$173</f>
        <v>0.74342020232653316</v>
      </c>
      <c r="M49" s="20">
        <f>Assumptions!N$173</f>
        <v>0</v>
      </c>
      <c r="N49" s="20">
        <f>Assumptions!O$173</f>
        <v>0</v>
      </c>
      <c r="O49" s="20">
        <f>Assumptions!P$173</f>
        <v>0</v>
      </c>
      <c r="P49" s="20">
        <f>Assumptions!Q$173</f>
        <v>0</v>
      </c>
      <c r="Q49" s="20">
        <f>Assumptions!R$173</f>
        <v>0</v>
      </c>
    </row>
    <row r="50" spans="2:17">
      <c r="B50" s="23"/>
      <c r="C50" s="12"/>
      <c r="D50" s="12"/>
      <c r="E50" s="12"/>
      <c r="F50" s="12"/>
      <c r="G50" s="12"/>
      <c r="H50" s="12"/>
      <c r="I50" s="12"/>
      <c r="J50" s="12"/>
      <c r="K50" s="12"/>
      <c r="L50" s="12"/>
      <c r="M50" s="12"/>
      <c r="N50" s="12"/>
      <c r="O50" s="12"/>
      <c r="P50" s="12"/>
      <c r="Q50" s="12"/>
    </row>
    <row r="51" spans="2:17">
      <c r="B51" s="23" t="str">
        <f>_xlfn.TEXTBEFORE(Assumptions!B176," [")</f>
        <v>Cost of Capitalized Leases</v>
      </c>
      <c r="C51" s="12">
        <f>Assumptions!D176</f>
        <v>113</v>
      </c>
      <c r="D51" s="12">
        <f>Assumptions!E176</f>
        <v>107</v>
      </c>
      <c r="E51" s="12">
        <f>Assumptions!F176</f>
        <v>95</v>
      </c>
      <c r="F51" s="12">
        <f>Assumptions!G176</f>
        <v>118</v>
      </c>
      <c r="G51" s="12">
        <f>Assumptions!H176</f>
        <v>131</v>
      </c>
      <c r="H51" s="12">
        <f>H$4*H52</f>
        <v>107.8094829302988</v>
      </c>
      <c r="I51" s="12">
        <f t="shared" ref="I51:Q51" si="44">I$4*I52</f>
        <v>108.88757775960178</v>
      </c>
      <c r="J51" s="12">
        <f t="shared" si="44"/>
        <v>109.9764535371978</v>
      </c>
      <c r="K51" s="12">
        <f t="shared" si="44"/>
        <v>111.07621807256977</v>
      </c>
      <c r="L51" s="12">
        <f t="shared" si="44"/>
        <v>112.18698025329547</v>
      </c>
      <c r="M51" s="12">
        <f t="shared" si="44"/>
        <v>0</v>
      </c>
      <c r="N51" s="12">
        <f t="shared" si="44"/>
        <v>0</v>
      </c>
      <c r="O51" s="12">
        <f t="shared" si="44"/>
        <v>0</v>
      </c>
      <c r="P51" s="12">
        <f t="shared" si="44"/>
        <v>0</v>
      </c>
      <c r="Q51" s="12">
        <f t="shared" si="44"/>
        <v>0</v>
      </c>
    </row>
    <row r="52" spans="2:17">
      <c r="B52" s="24" t="str">
        <f>"% of "&amp;$B$4</f>
        <v>% of Revenue</v>
      </c>
      <c r="C52" s="20">
        <f>IFERROR(C51/C$4,0)</f>
        <v>2.2568854980127423E-3</v>
      </c>
      <c r="D52" s="20">
        <f t="shared" ref="D52:G52" si="45">D51/D$4</f>
        <v>2.7374830506306444E-3</v>
      </c>
      <c r="E52" s="20">
        <f t="shared" si="45"/>
        <v>2.0182277835610034E-3</v>
      </c>
      <c r="F52" s="20">
        <f t="shared" si="45"/>
        <v>2.213509913898216E-3</v>
      </c>
      <c r="G52" s="20">
        <f t="shared" si="45"/>
        <v>3.0012142317120665E-3</v>
      </c>
      <c r="H52" s="20">
        <f>+Assumptions!I177</f>
        <v>2.4454640955629348E-3</v>
      </c>
      <c r="I52" s="20">
        <f>+Assumptions!J177</f>
        <v>2.4454640955629348E-3</v>
      </c>
      <c r="J52" s="20">
        <f>+Assumptions!K177</f>
        <v>2.4454640955629348E-3</v>
      </c>
      <c r="K52" s="20">
        <f>+Assumptions!L177</f>
        <v>2.4454640955629348E-3</v>
      </c>
      <c r="L52" s="20">
        <f>+Assumptions!M177</f>
        <v>2.4454640955629348E-3</v>
      </c>
      <c r="M52" s="20">
        <f>+Assumptions!N177</f>
        <v>0</v>
      </c>
      <c r="N52" s="20">
        <f>+Assumptions!O177</f>
        <v>0</v>
      </c>
      <c r="O52" s="20">
        <f>+Assumptions!P177</f>
        <v>0</v>
      </c>
      <c r="P52" s="20">
        <f>+Assumptions!Q177</f>
        <v>0</v>
      </c>
      <c r="Q52" s="20">
        <f>+Assumptions!R177</f>
        <v>0</v>
      </c>
    </row>
    <row r="53" spans="2:17">
      <c r="B53" s="31" t="s">
        <v>49</v>
      </c>
      <c r="C53" s="32">
        <f t="shared" ref="C53:Q53" si="46">SUM(C43,C47,C51)</f>
        <v>12237</v>
      </c>
      <c r="D53" s="32">
        <f t="shared" si="46"/>
        <v>11969</v>
      </c>
      <c r="E53" s="32">
        <f t="shared" si="46"/>
        <v>12070</v>
      </c>
      <c r="F53" s="32">
        <f t="shared" si="46"/>
        <v>12755</v>
      </c>
      <c r="G53" s="32">
        <f t="shared" si="46"/>
        <v>13799</v>
      </c>
      <c r="H53" s="32">
        <f t="shared" si="46"/>
        <v>12195.256593380402</v>
      </c>
      <c r="I53" s="32">
        <f t="shared" si="46"/>
        <v>12317.209159314201</v>
      </c>
      <c r="J53" s="32">
        <f t="shared" si="46"/>
        <v>12440.381250907347</v>
      </c>
      <c r="K53" s="32">
        <f t="shared" si="46"/>
        <v>12564.785063416419</v>
      </c>
      <c r="L53" s="32">
        <f t="shared" si="46"/>
        <v>12690.432914050578</v>
      </c>
      <c r="M53" s="32">
        <f t="shared" si="46"/>
        <v>0</v>
      </c>
      <c r="N53" s="32">
        <f t="shared" si="46"/>
        <v>0</v>
      </c>
      <c r="O53" s="32">
        <f t="shared" si="46"/>
        <v>0</v>
      </c>
      <c r="P53" s="32">
        <f t="shared" si="46"/>
        <v>0</v>
      </c>
      <c r="Q53" s="32">
        <f t="shared" si="46"/>
        <v>0</v>
      </c>
    </row>
    <row r="56" spans="2:17">
      <c r="B56" s="30" t="s">
        <v>181</v>
      </c>
      <c r="C56" s="30"/>
      <c r="D56" s="30"/>
      <c r="E56" s="30"/>
      <c r="F56" s="30"/>
      <c r="G56" s="30"/>
      <c r="H56" s="30"/>
      <c r="I56" s="30"/>
      <c r="J56" s="30"/>
      <c r="K56" s="30"/>
      <c r="L56" s="30"/>
      <c r="M56" s="30"/>
      <c r="N56" s="30"/>
      <c r="O56" s="30"/>
      <c r="P56" s="30"/>
      <c r="Q56" s="30"/>
    </row>
    <row r="57" spans="2:17">
      <c r="B57" s="10" t="str">
        <f>B$22</f>
        <v>Operating Income (Loss) ~ EBIT</v>
      </c>
      <c r="C57" s="13">
        <f>C$22</f>
        <v>8733</v>
      </c>
      <c r="D57" s="13">
        <f t="shared" ref="D57:Q57" si="47">D$22</f>
        <v>8150</v>
      </c>
      <c r="E57" s="13">
        <f t="shared" si="47"/>
        <v>8123</v>
      </c>
      <c r="F57" s="13">
        <f t="shared" si="47"/>
        <v>8320</v>
      </c>
      <c r="G57" s="13">
        <f t="shared" si="47"/>
        <v>9055</v>
      </c>
      <c r="H57" s="13">
        <f t="shared" si="47"/>
        <v>8103.0821044503264</v>
      </c>
      <c r="I57" s="13">
        <f t="shared" si="47"/>
        <v>8184.1129254948264</v>
      </c>
      <c r="J57" s="13">
        <f t="shared" si="47"/>
        <v>8265.9540547497782</v>
      </c>
      <c r="K57" s="13">
        <f t="shared" si="47"/>
        <v>8348.6135952972727</v>
      </c>
      <c r="L57" s="13">
        <f t="shared" si="47"/>
        <v>8432.0997312502441</v>
      </c>
      <c r="M57" s="13">
        <f t="shared" si="47"/>
        <v>0</v>
      </c>
      <c r="N57" s="13">
        <f t="shared" si="47"/>
        <v>0</v>
      </c>
      <c r="O57" s="13">
        <f t="shared" si="47"/>
        <v>0</v>
      </c>
      <c r="P57" s="13">
        <f t="shared" si="47"/>
        <v>0</v>
      </c>
      <c r="Q57" s="13">
        <f t="shared" si="47"/>
        <v>0</v>
      </c>
    </row>
    <row r="58" spans="2:17">
      <c r="B58" s="23" t="str">
        <f>B$31</f>
        <v>Income Tax Expense (Benefit)</v>
      </c>
      <c r="C58" s="12">
        <f t="shared" ref="C58:Q58" si="48">C$31</f>
        <v>1708</v>
      </c>
      <c r="D58" s="12">
        <f t="shared" si="48"/>
        <v>774</v>
      </c>
      <c r="E58" s="12">
        <f t="shared" si="48"/>
        <v>1415</v>
      </c>
      <c r="F58" s="12">
        <f t="shared" si="48"/>
        <v>1604</v>
      </c>
      <c r="G58" s="12">
        <f t="shared" si="48"/>
        <v>1821</v>
      </c>
      <c r="H58" s="12">
        <f t="shared" si="48"/>
        <v>1151.7902168535766</v>
      </c>
      <c r="I58" s="12">
        <f t="shared" si="48"/>
        <v>1168.5438485559232</v>
      </c>
      <c r="J58" s="12">
        <f t="shared" si="48"/>
        <v>1185.6238677258052</v>
      </c>
      <c r="K58" s="12">
        <f t="shared" si="48"/>
        <v>1213.7609738733152</v>
      </c>
      <c r="L58" s="12">
        <f t="shared" si="48"/>
        <v>1232.5542934614907</v>
      </c>
      <c r="M58" s="12">
        <f t="shared" si="48"/>
        <v>0</v>
      </c>
      <c r="N58" s="12">
        <f t="shared" si="48"/>
        <v>0</v>
      </c>
      <c r="O58" s="12">
        <f t="shared" si="48"/>
        <v>0</v>
      </c>
      <c r="P58" s="12">
        <f t="shared" si="48"/>
        <v>0</v>
      </c>
      <c r="Q58" s="12">
        <f t="shared" si="48"/>
        <v>0</v>
      </c>
    </row>
    <row r="59" spans="2:17">
      <c r="B59" s="23" t="s">
        <v>35</v>
      </c>
      <c r="C59" s="12">
        <f>Assumptions!D149</f>
        <v>-723</v>
      </c>
      <c r="D59" s="12">
        <f>Assumptions!E149</f>
        <v>1827</v>
      </c>
      <c r="E59" s="12">
        <f>Assumptions!F149</f>
        <v>-140</v>
      </c>
      <c r="F59" s="12">
        <f>Assumptions!G149</f>
        <v>5510</v>
      </c>
      <c r="G59" s="12">
        <f>Assumptions!H149</f>
        <v>-776</v>
      </c>
      <c r="H59" s="12">
        <f>H4*Assumptions!I$150</f>
        <v>1013.1643827087408</v>
      </c>
      <c r="I59" s="12">
        <f>I4*Assumptions!J$150</f>
        <v>1023.2960265358282</v>
      </c>
      <c r="J59" s="12">
        <f>J4*Assumptions!K$150</f>
        <v>1033.5289868011864</v>
      </c>
      <c r="K59" s="12">
        <f>K4*Assumptions!L$150</f>
        <v>1043.8642766691983</v>
      </c>
      <c r="L59" s="12">
        <f>L4*Assumptions!M$150</f>
        <v>1054.3029194358903</v>
      </c>
      <c r="M59" s="12">
        <f>M4*Assumptions!N$150</f>
        <v>0</v>
      </c>
      <c r="N59" s="12">
        <f>N4*Assumptions!O$150</f>
        <v>0</v>
      </c>
      <c r="O59" s="12">
        <f>O4*Assumptions!P$150</f>
        <v>0</v>
      </c>
      <c r="P59" s="12">
        <f>P4*Assumptions!Q$150</f>
        <v>0</v>
      </c>
      <c r="Q59" s="12">
        <f>Q4*Assumptions!R$150</f>
        <v>0</v>
      </c>
    </row>
    <row r="60" spans="2:17">
      <c r="B60" s="31" t="s">
        <v>182</v>
      </c>
      <c r="C60" s="32">
        <f>C57-C58</f>
        <v>7025</v>
      </c>
      <c r="D60" s="32">
        <f t="shared" ref="D60:Q60" si="49">D57-D58</f>
        <v>7376</v>
      </c>
      <c r="E60" s="32">
        <f t="shared" si="49"/>
        <v>6708</v>
      </c>
      <c r="F60" s="32">
        <f t="shared" si="49"/>
        <v>6716</v>
      </c>
      <c r="G60" s="32">
        <f t="shared" si="49"/>
        <v>7234</v>
      </c>
      <c r="H60" s="32">
        <f t="shared" si="49"/>
        <v>6951.2918875967498</v>
      </c>
      <c r="I60" s="32">
        <f t="shared" si="49"/>
        <v>7015.569076938903</v>
      </c>
      <c r="J60" s="32">
        <f t="shared" si="49"/>
        <v>7080.3301870239729</v>
      </c>
      <c r="K60" s="32">
        <f t="shared" si="49"/>
        <v>7134.8526214239573</v>
      </c>
      <c r="L60" s="32">
        <f t="shared" si="49"/>
        <v>7199.5454377887536</v>
      </c>
      <c r="M60" s="32">
        <f t="shared" si="49"/>
        <v>0</v>
      </c>
      <c r="N60" s="32">
        <f t="shared" si="49"/>
        <v>0</v>
      </c>
      <c r="O60" s="32">
        <f t="shared" si="49"/>
        <v>0</v>
      </c>
      <c r="P60" s="32">
        <f t="shared" si="49"/>
        <v>0</v>
      </c>
      <c r="Q60" s="32">
        <f t="shared" si="49"/>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00CE7-CDCC-47EB-9544-C9C0C93338F7}">
  <sheetPr>
    <tabColor theme="4" tint="0.79998168889431442"/>
  </sheetPr>
  <dimension ref="B2:Q60"/>
  <sheetViews>
    <sheetView zoomScale="85" zoomScaleNormal="85" workbookViewId="0">
      <pane xSplit="1" ySplit="3" topLeftCell="B4" activePane="bottomRight" state="frozen"/>
      <selection pane="topRight" activeCell="B1" sqref="B1"/>
      <selection pane="bottomLeft" activeCell="A4" sqref="A4"/>
      <selection pane="bottomRight" activeCell="E9" sqref="E9"/>
    </sheetView>
  </sheetViews>
  <sheetFormatPr baseColWidth="10" defaultColWidth="8.6640625" defaultRowHeight="11" outlineLevelCol="1"/>
  <cols>
    <col min="1" max="1" width="2.1640625" style="1" customWidth="1"/>
    <col min="2" max="2" width="41.6640625" style="1" bestFit="1" customWidth="1"/>
    <col min="3" max="7" width="8.6640625" style="1" customWidth="1" outlineLevel="1"/>
    <col min="8" max="17" width="8.6640625" style="1" customWidth="1"/>
    <col min="18" max="16384" width="8.6640625" style="1"/>
  </cols>
  <sheetData>
    <row r="2" spans="2:17">
      <c r="B2" s="30" t="s">
        <v>164</v>
      </c>
      <c r="C2" s="30"/>
      <c r="D2" s="30"/>
      <c r="E2" s="30"/>
      <c r="F2" s="30"/>
      <c r="G2" s="30"/>
      <c r="H2" s="30"/>
      <c r="I2" s="30"/>
      <c r="J2" s="30"/>
      <c r="K2" s="30"/>
      <c r="L2" s="30"/>
      <c r="M2" s="30"/>
      <c r="N2" s="30"/>
      <c r="O2" s="30"/>
      <c r="P2" s="30"/>
      <c r="Q2" s="30"/>
    </row>
    <row r="3" spans="2:17">
      <c r="B3" s="14" t="str">
        <f>Assumptions!$B$113</f>
        <v>Year Ending December 31, In CAD Millions</v>
      </c>
      <c r="C3" s="14" cm="1">
        <f t="array" ref="C3:L3">_xlfn.SEQUENCE(1,5+Assumptions!$C$21,(YEAR('Valuation Summary'!$C$4)-5))</f>
        <v>2019</v>
      </c>
      <c r="D3" s="14">
        <v>2020</v>
      </c>
      <c r="E3" s="14">
        <v>2021</v>
      </c>
      <c r="F3" s="14">
        <v>2022</v>
      </c>
      <c r="G3" s="14">
        <v>2023</v>
      </c>
      <c r="H3" s="15">
        <v>2024</v>
      </c>
      <c r="I3" s="15">
        <v>2025</v>
      </c>
      <c r="J3" s="15">
        <v>2026</v>
      </c>
      <c r="K3" s="15">
        <v>2027</v>
      </c>
      <c r="L3" s="15">
        <v>2028</v>
      </c>
      <c r="M3" s="15"/>
      <c r="N3" s="15"/>
      <c r="O3" s="15"/>
      <c r="P3" s="15"/>
      <c r="Q3" s="15"/>
    </row>
    <row r="4" spans="2:17">
      <c r="B4" s="10" t="str">
        <f>Assumptions!B117</f>
        <v>Revenue</v>
      </c>
      <c r="C4" s="110">
        <f>Assumptions!D117</f>
        <v>50069</v>
      </c>
      <c r="D4" s="110">
        <f>Assumptions!E117</f>
        <v>39087</v>
      </c>
      <c r="E4" s="110">
        <f>Assumptions!F117</f>
        <v>47071</v>
      </c>
      <c r="F4" s="110">
        <f>Assumptions!G117</f>
        <v>53309</v>
      </c>
      <c r="G4" s="110">
        <f>Assumptions!H117</f>
        <v>43649</v>
      </c>
      <c r="H4" s="13">
        <f>IF(H3="",0,G4*(1+H6))</f>
        <v>45831.450000000004</v>
      </c>
      <c r="I4" s="13">
        <f t="shared" ref="I4:Q4" si="0">IF(I3="",0,H4*(1+I6))</f>
        <v>48123.022500000006</v>
      </c>
      <c r="J4" s="13">
        <f t="shared" si="0"/>
        <v>50529.17362500001</v>
      </c>
      <c r="K4" s="13">
        <f t="shared" si="0"/>
        <v>53055.632306250016</v>
      </c>
      <c r="L4" s="13">
        <f t="shared" si="0"/>
        <v>55708.413921562518</v>
      </c>
      <c r="M4" s="13">
        <f t="shared" si="0"/>
        <v>0</v>
      </c>
      <c r="N4" s="13">
        <f t="shared" si="0"/>
        <v>0</v>
      </c>
      <c r="O4" s="13">
        <f t="shared" si="0"/>
        <v>0</v>
      </c>
      <c r="P4" s="13">
        <f t="shared" si="0"/>
        <v>0</v>
      </c>
      <c r="Q4" s="13">
        <f t="shared" si="0"/>
        <v>0</v>
      </c>
    </row>
    <row r="5" spans="2:17">
      <c r="B5" s="19" t="str">
        <f>"% of "&amp;$B$4</f>
        <v>% of Revenue</v>
      </c>
      <c r="C5" s="120">
        <f>IFERROR(C4/C$4,0)</f>
        <v>1</v>
      </c>
      <c r="D5" s="120">
        <f t="shared" ref="D5:G5" si="1">D4/D$4</f>
        <v>1</v>
      </c>
      <c r="E5" s="120">
        <f t="shared" si="1"/>
        <v>1</v>
      </c>
      <c r="F5" s="120">
        <f t="shared" si="1"/>
        <v>1</v>
      </c>
      <c r="G5" s="120">
        <f t="shared" si="1"/>
        <v>1</v>
      </c>
      <c r="H5" s="20">
        <f>IFERROR(H4/H$4,0)</f>
        <v>1</v>
      </c>
      <c r="I5" s="20">
        <f t="shared" ref="I5:Q5" si="2">IFERROR(I4/I$4,0)</f>
        <v>1</v>
      </c>
      <c r="J5" s="20">
        <f t="shared" si="2"/>
        <v>1</v>
      </c>
      <c r="K5" s="20">
        <f t="shared" si="2"/>
        <v>1</v>
      </c>
      <c r="L5" s="20">
        <f t="shared" si="2"/>
        <v>1</v>
      </c>
      <c r="M5" s="20">
        <f t="shared" si="2"/>
        <v>0</v>
      </c>
      <c r="N5" s="20">
        <f t="shared" si="2"/>
        <v>0</v>
      </c>
      <c r="O5" s="20">
        <f t="shared" si="2"/>
        <v>0</v>
      </c>
      <c r="P5" s="20">
        <f t="shared" si="2"/>
        <v>0</v>
      </c>
      <c r="Q5" s="20">
        <f t="shared" si="2"/>
        <v>0</v>
      </c>
    </row>
    <row r="6" spans="2:17">
      <c r="B6" s="19" t="s">
        <v>208</v>
      </c>
      <c r="C6" s="120"/>
      <c r="D6" s="120">
        <f>D4/C4-1</f>
        <v>-0.21933731450598171</v>
      </c>
      <c r="E6" s="120">
        <f t="shared" ref="E6:G6" si="3">E4/D4-1</f>
        <v>0.20426228669378577</v>
      </c>
      <c r="F6" s="120">
        <f t="shared" si="3"/>
        <v>0.13252320961951103</v>
      </c>
      <c r="G6" s="120">
        <f t="shared" si="3"/>
        <v>-0.18120767600217602</v>
      </c>
      <c r="H6" s="20">
        <f>Assumptions!I$120</f>
        <v>0.05</v>
      </c>
      <c r="I6" s="20">
        <f>Assumptions!J$120</f>
        <v>0.05</v>
      </c>
      <c r="J6" s="20">
        <f>Assumptions!K$120</f>
        <v>0.05</v>
      </c>
      <c r="K6" s="20">
        <f>Assumptions!L$120</f>
        <v>0.05</v>
      </c>
      <c r="L6" s="20">
        <f>Assumptions!M$120</f>
        <v>0.05</v>
      </c>
      <c r="M6" s="20">
        <f>Assumptions!N$120</f>
        <v>0</v>
      </c>
      <c r="N6" s="20">
        <f>Assumptions!O$120</f>
        <v>0</v>
      </c>
      <c r="O6" s="20">
        <f>Assumptions!P$120</f>
        <v>0</v>
      </c>
      <c r="P6" s="20">
        <f>Assumptions!Q$120</f>
        <v>0</v>
      </c>
      <c r="Q6" s="20">
        <f>Assumptions!R$120</f>
        <v>0</v>
      </c>
    </row>
    <row r="7" spans="2:17">
      <c r="B7" s="27"/>
      <c r="C7" s="114"/>
      <c r="D7" s="114"/>
      <c r="E7" s="114"/>
      <c r="F7" s="114"/>
      <c r="G7" s="114"/>
    </row>
    <row r="8" spans="2:17">
      <c r="B8" s="27" t="str">
        <f>Assumptions!B123</f>
        <v>Cost of Revenue ~ Cost of Goods Sold</v>
      </c>
      <c r="C8" s="109">
        <f>Assumptions!D123</f>
        <v>31004</v>
      </c>
      <c r="D8" s="109">
        <f>Assumptions!E123</f>
        <v>20669</v>
      </c>
      <c r="E8" s="109">
        <f>Assumptions!F123</f>
        <v>28702</v>
      </c>
      <c r="F8" s="109">
        <f>Assumptions!G123</f>
        <v>32589</v>
      </c>
      <c r="G8" s="109">
        <f>Assumptions!H123</f>
        <v>21366</v>
      </c>
      <c r="H8" s="12">
        <f>H$4*H9</f>
        <v>26202.741466126299</v>
      </c>
      <c r="I8" s="12">
        <f t="shared" ref="I8:Q8" si="4">I$4*I9</f>
        <v>27512.878539432615</v>
      </c>
      <c r="J8" s="12">
        <f t="shared" si="4"/>
        <v>28888.522466404251</v>
      </c>
      <c r="K8" s="12">
        <f t="shared" si="4"/>
        <v>30332.948589724463</v>
      </c>
      <c r="L8" s="12">
        <f t="shared" si="4"/>
        <v>31849.596019210687</v>
      </c>
      <c r="M8" s="12">
        <f t="shared" si="4"/>
        <v>0</v>
      </c>
      <c r="N8" s="12">
        <f t="shared" si="4"/>
        <v>0</v>
      </c>
      <c r="O8" s="12">
        <f t="shared" si="4"/>
        <v>0</v>
      </c>
      <c r="P8" s="12">
        <f t="shared" si="4"/>
        <v>0</v>
      </c>
      <c r="Q8" s="12">
        <f t="shared" si="4"/>
        <v>0</v>
      </c>
    </row>
    <row r="9" spans="2:17">
      <c r="B9" s="28" t="str">
        <f>"% of "&amp;$B$4</f>
        <v>% of Revenue</v>
      </c>
      <c r="C9" s="120">
        <f>IFERROR(C8/C$4,0)</f>
        <v>0.61922546885298291</v>
      </c>
      <c r="D9" s="120">
        <f t="shared" ref="D9:G9" si="5">D8/D$4</f>
        <v>0.52879473993911019</v>
      </c>
      <c r="E9" s="120">
        <f t="shared" si="5"/>
        <v>0.60975972467124129</v>
      </c>
      <c r="F9" s="120">
        <f t="shared" si="5"/>
        <v>0.6113226659663471</v>
      </c>
      <c r="G9" s="120">
        <f t="shared" si="5"/>
        <v>0.48949575018900776</v>
      </c>
      <c r="H9" s="125">
        <f>Assumptions!I$124</f>
        <v>0.57171966992373791</v>
      </c>
      <c r="I9" s="125">
        <f>Assumptions!J$124</f>
        <v>0.57171966992373791</v>
      </c>
      <c r="J9" s="125">
        <f>Assumptions!K$124</f>
        <v>0.57171966992373791</v>
      </c>
      <c r="K9" s="125">
        <f>Assumptions!L$124</f>
        <v>0.57171966992373791</v>
      </c>
      <c r="L9" s="125">
        <f>Assumptions!M$124</f>
        <v>0.57171966992373791</v>
      </c>
      <c r="M9" s="125">
        <f>Assumptions!N$124</f>
        <v>0</v>
      </c>
      <c r="N9" s="125">
        <f>Assumptions!O$124</f>
        <v>0</v>
      </c>
      <c r="O9" s="125">
        <f>Assumptions!P$124</f>
        <v>0</v>
      </c>
      <c r="P9" s="125">
        <f>Assumptions!Q$124</f>
        <v>0</v>
      </c>
      <c r="Q9" s="125">
        <f>Assumptions!R$124</f>
        <v>0</v>
      </c>
    </row>
    <row r="10" spans="2:17">
      <c r="B10" s="28" t="s">
        <v>208</v>
      </c>
      <c r="C10" s="120"/>
      <c r="D10" s="120">
        <f t="array" ref="D10">D8/C8-1</f>
        <v>-0.3333440846342407</v>
      </c>
      <c r="E10" s="120">
        <f t="array" ref="E10">E8/D8-1</f>
        <v>0.38864966858580474</v>
      </c>
      <c r="F10" s="120">
        <f t="array" ref="F10">F8/E8-1</f>
        <v>0.13542610271061251</v>
      </c>
      <c r="G10" s="120">
        <f t="array" ref="G10">G8/F8-1</f>
        <v>-0.34438000552333614</v>
      </c>
      <c r="H10" s="132">
        <f>IF(H$3="",0,H8/G8-1)</f>
        <v>0.22637561855875221</v>
      </c>
      <c r="I10" s="132">
        <f t="shared" ref="I10:Q10" si="6">IF(I$3="",0,I8/H8-1)</f>
        <v>5.0000000000000044E-2</v>
      </c>
      <c r="J10" s="132">
        <f t="shared" si="6"/>
        <v>5.0000000000000266E-2</v>
      </c>
      <c r="K10" s="132">
        <f t="shared" si="6"/>
        <v>5.0000000000000044E-2</v>
      </c>
      <c r="L10" s="132">
        <f t="shared" si="6"/>
        <v>5.0000000000000044E-2</v>
      </c>
      <c r="M10" s="132">
        <f t="shared" si="6"/>
        <v>0</v>
      </c>
      <c r="N10" s="132">
        <f t="shared" si="6"/>
        <v>0</v>
      </c>
      <c r="O10" s="132">
        <f t="shared" si="6"/>
        <v>0</v>
      </c>
      <c r="P10" s="132">
        <f t="shared" si="6"/>
        <v>0</v>
      </c>
      <c r="Q10" s="132">
        <f t="shared" si="6"/>
        <v>0</v>
      </c>
    </row>
    <row r="11" spans="2:17">
      <c r="B11" s="27"/>
      <c r="C11" s="114"/>
      <c r="D11" s="114"/>
      <c r="E11" s="114"/>
      <c r="F11" s="114"/>
      <c r="G11" s="114"/>
    </row>
    <row r="12" spans="2:17">
      <c r="B12" s="25" t="s">
        <v>23</v>
      </c>
      <c r="C12" s="121">
        <f>C4-C8</f>
        <v>19065</v>
      </c>
      <c r="D12" s="121">
        <f t="shared" ref="D12:Q12" si="7">D4-D8</f>
        <v>18418</v>
      </c>
      <c r="E12" s="121">
        <f t="shared" si="7"/>
        <v>18369</v>
      </c>
      <c r="F12" s="121">
        <f t="shared" si="7"/>
        <v>20720</v>
      </c>
      <c r="G12" s="121">
        <f t="shared" si="7"/>
        <v>22283</v>
      </c>
      <c r="H12" s="17">
        <f t="shared" si="7"/>
        <v>19628.708533873705</v>
      </c>
      <c r="I12" s="17">
        <f t="shared" si="7"/>
        <v>20610.143960567391</v>
      </c>
      <c r="J12" s="17">
        <f t="shared" si="7"/>
        <v>21640.65115859576</v>
      </c>
      <c r="K12" s="17">
        <f t="shared" si="7"/>
        <v>22722.683716525553</v>
      </c>
      <c r="L12" s="17">
        <f t="shared" si="7"/>
        <v>23858.817902351831</v>
      </c>
      <c r="M12" s="17">
        <f t="shared" si="7"/>
        <v>0</v>
      </c>
      <c r="N12" s="17">
        <f t="shared" si="7"/>
        <v>0</v>
      </c>
      <c r="O12" s="17">
        <f t="shared" si="7"/>
        <v>0</v>
      </c>
      <c r="P12" s="17">
        <f t="shared" si="7"/>
        <v>0</v>
      </c>
      <c r="Q12" s="17">
        <f t="shared" si="7"/>
        <v>0</v>
      </c>
    </row>
    <row r="13" spans="2:17">
      <c r="B13" s="24" t="str">
        <f>"% of "&amp;$B$4</f>
        <v>% of Revenue</v>
      </c>
      <c r="C13" s="122">
        <f>IFERROR(C12/C$4,0)</f>
        <v>0.38077453114701709</v>
      </c>
      <c r="D13" s="122">
        <f t="shared" ref="D13:G13" si="8">D12/D$4</f>
        <v>0.47120526006088981</v>
      </c>
      <c r="E13" s="122">
        <f t="shared" si="8"/>
        <v>0.39024027532875866</v>
      </c>
      <c r="F13" s="122">
        <f t="shared" si="8"/>
        <v>0.38867733403365284</v>
      </c>
      <c r="G13" s="122">
        <f t="shared" si="8"/>
        <v>0.51050424981099218</v>
      </c>
      <c r="H13" s="20">
        <f>IFERROR(H12/H$4,0)</f>
        <v>0.42828033007626209</v>
      </c>
      <c r="I13" s="20">
        <f t="shared" ref="I13:Q13" si="9">IFERROR(I12/I$4,0)</f>
        <v>0.42828033007626209</v>
      </c>
      <c r="J13" s="20">
        <f t="shared" si="9"/>
        <v>0.42828033007626204</v>
      </c>
      <c r="K13" s="20">
        <f t="shared" si="9"/>
        <v>0.42828033007626209</v>
      </c>
      <c r="L13" s="20">
        <f t="shared" si="9"/>
        <v>0.42828033007626215</v>
      </c>
      <c r="M13" s="20">
        <f t="shared" si="9"/>
        <v>0</v>
      </c>
      <c r="N13" s="20">
        <f t="shared" si="9"/>
        <v>0</v>
      </c>
      <c r="O13" s="20">
        <f t="shared" si="9"/>
        <v>0</v>
      </c>
      <c r="P13" s="20">
        <f t="shared" si="9"/>
        <v>0</v>
      </c>
      <c r="Q13" s="20">
        <f t="shared" si="9"/>
        <v>0</v>
      </c>
    </row>
    <row r="14" spans="2:17" ht="12" thickBot="1">
      <c r="B14" s="26" t="s">
        <v>208</v>
      </c>
      <c r="C14" s="123"/>
      <c r="D14" s="123">
        <f>D12/C12-1</f>
        <v>-3.3936532913716233E-2</v>
      </c>
      <c r="E14" s="123">
        <f t="shared" ref="E14:G14" si="10">E12/D12-1</f>
        <v>-2.6604408730589446E-3</v>
      </c>
      <c r="F14" s="123">
        <f t="shared" si="10"/>
        <v>0.12798737002558669</v>
      </c>
      <c r="G14" s="123">
        <f t="shared" si="10"/>
        <v>7.5434362934363008E-2</v>
      </c>
      <c r="H14" s="18">
        <f>IF(H3="",0,H12/G12-1)</f>
        <v>-0.11911733007792014</v>
      </c>
      <c r="I14" s="18">
        <f t="shared" ref="I14:Q14" si="11">IF(I3="",0,I12/H12-1)</f>
        <v>5.0000000000000044E-2</v>
      </c>
      <c r="J14" s="18">
        <f t="shared" si="11"/>
        <v>5.0000000000000044E-2</v>
      </c>
      <c r="K14" s="18">
        <f t="shared" si="11"/>
        <v>5.0000000000000266E-2</v>
      </c>
      <c r="L14" s="18">
        <f t="shared" si="11"/>
        <v>5.0000000000000044E-2</v>
      </c>
      <c r="M14" s="18">
        <f t="shared" si="11"/>
        <v>0</v>
      </c>
      <c r="N14" s="18">
        <f t="shared" si="11"/>
        <v>0</v>
      </c>
      <c r="O14" s="18">
        <f t="shared" si="11"/>
        <v>0</v>
      </c>
      <c r="P14" s="18">
        <f t="shared" si="11"/>
        <v>0</v>
      </c>
      <c r="Q14" s="18">
        <f t="shared" si="11"/>
        <v>0</v>
      </c>
    </row>
    <row r="15" spans="2:17">
      <c r="B15" s="27"/>
      <c r="C15" s="114"/>
      <c r="D15" s="114"/>
      <c r="E15" s="114"/>
      <c r="F15" s="114"/>
      <c r="G15" s="114"/>
    </row>
    <row r="16" spans="2:17">
      <c r="B16" s="27" t="str">
        <f>Assumptions!B127</f>
        <v>Other Operating Income</v>
      </c>
      <c r="C16" s="109">
        <f>Assumptions!D127</f>
        <v>0</v>
      </c>
      <c r="D16" s="109">
        <f>Assumptions!E127</f>
        <v>0</v>
      </c>
      <c r="E16" s="109">
        <f>Assumptions!F127</f>
        <v>0</v>
      </c>
      <c r="F16" s="109">
        <f>Assumptions!G127</f>
        <v>0</v>
      </c>
      <c r="G16" s="109">
        <f>Assumptions!H127</f>
        <v>0</v>
      </c>
      <c r="H16" s="12">
        <f>H$4*H17</f>
        <v>0</v>
      </c>
      <c r="I16" s="12">
        <f t="shared" ref="I16:Q16" si="12">I$4*I17</f>
        <v>0</v>
      </c>
      <c r="J16" s="12">
        <f t="shared" si="12"/>
        <v>0</v>
      </c>
      <c r="K16" s="12">
        <f t="shared" si="12"/>
        <v>0</v>
      </c>
      <c r="L16" s="12">
        <f t="shared" si="12"/>
        <v>0</v>
      </c>
      <c r="M16" s="12">
        <f t="shared" si="12"/>
        <v>0</v>
      </c>
      <c r="N16" s="12">
        <f t="shared" si="12"/>
        <v>0</v>
      </c>
      <c r="O16" s="12">
        <f t="shared" si="12"/>
        <v>0</v>
      </c>
      <c r="P16" s="12">
        <f t="shared" si="12"/>
        <v>0</v>
      </c>
      <c r="Q16" s="12">
        <f t="shared" si="12"/>
        <v>0</v>
      </c>
    </row>
    <row r="17" spans="2:17">
      <c r="B17" s="28" t="str">
        <f>"% of "&amp;$B$4</f>
        <v>% of Revenue</v>
      </c>
      <c r="C17" s="120">
        <f>IFERROR(C16/C$4,0)</f>
        <v>0</v>
      </c>
      <c r="D17" s="120">
        <f t="shared" ref="D17:G17" si="13">D16/D$4</f>
        <v>0</v>
      </c>
      <c r="E17" s="120">
        <f t="shared" si="13"/>
        <v>0</v>
      </c>
      <c r="F17" s="120">
        <f t="shared" si="13"/>
        <v>0</v>
      </c>
      <c r="G17" s="120">
        <f t="shared" si="13"/>
        <v>0</v>
      </c>
      <c r="H17" s="20">
        <f>Assumptions!I$128</f>
        <v>0</v>
      </c>
      <c r="I17" s="20">
        <f>Assumptions!J$128</f>
        <v>0</v>
      </c>
      <c r="J17" s="20">
        <f>Assumptions!K$128</f>
        <v>0</v>
      </c>
      <c r="K17" s="20">
        <f>Assumptions!L$128</f>
        <v>0</v>
      </c>
      <c r="L17" s="20">
        <f>Assumptions!M$128</f>
        <v>0</v>
      </c>
      <c r="M17" s="20">
        <f>Assumptions!N$128</f>
        <v>0</v>
      </c>
      <c r="N17" s="20">
        <f>Assumptions!O$128</f>
        <v>0</v>
      </c>
      <c r="O17" s="20">
        <f>Assumptions!P$128</f>
        <v>0</v>
      </c>
      <c r="P17" s="20">
        <f>Assumptions!Q$128</f>
        <v>0</v>
      </c>
      <c r="Q17" s="20">
        <f>Assumptions!R$128</f>
        <v>0</v>
      </c>
    </row>
    <row r="18" spans="2:17">
      <c r="B18" s="27"/>
      <c r="C18" s="109"/>
      <c r="D18" s="109"/>
      <c r="E18" s="109"/>
      <c r="F18" s="109"/>
      <c r="G18" s="109"/>
      <c r="H18" s="12"/>
      <c r="I18" s="12"/>
      <c r="J18" s="12"/>
      <c r="K18" s="12"/>
      <c r="L18" s="12"/>
      <c r="M18" s="12"/>
      <c r="N18" s="12"/>
      <c r="O18" s="12"/>
      <c r="P18" s="12"/>
      <c r="Q18" s="12"/>
    </row>
    <row r="19" spans="2:17">
      <c r="B19" s="27" t="str">
        <f>Assumptions!B131</f>
        <v>Operating Expenses</v>
      </c>
      <c r="C19" s="109">
        <f>Assumptions!D131</f>
        <v>10332</v>
      </c>
      <c r="D19" s="109">
        <f>Assumptions!E131</f>
        <v>10268</v>
      </c>
      <c r="E19" s="109">
        <f>Assumptions!F131</f>
        <v>10246</v>
      </c>
      <c r="F19" s="109">
        <f>Assumptions!G131</f>
        <v>12400</v>
      </c>
      <c r="G19" s="109">
        <f>Assumptions!H131</f>
        <v>13228</v>
      </c>
      <c r="H19" s="12">
        <f>H$4*H20</f>
        <v>11204.71228667287</v>
      </c>
      <c r="I19" s="12">
        <f t="shared" ref="I19:Q19" si="14">I$4*I20</f>
        <v>11764.947901006513</v>
      </c>
      <c r="J19" s="12">
        <f t="shared" si="14"/>
        <v>12353.19529605684</v>
      </c>
      <c r="K19" s="12">
        <f t="shared" si="14"/>
        <v>12970.855060859683</v>
      </c>
      <c r="L19" s="12">
        <f t="shared" si="14"/>
        <v>13619.397813902668</v>
      </c>
      <c r="M19" s="12">
        <f t="shared" si="14"/>
        <v>0</v>
      </c>
      <c r="N19" s="12">
        <f t="shared" si="14"/>
        <v>0</v>
      </c>
      <c r="O19" s="12">
        <f t="shared" si="14"/>
        <v>0</v>
      </c>
      <c r="P19" s="12">
        <f t="shared" si="14"/>
        <v>0</v>
      </c>
      <c r="Q19" s="12">
        <f t="shared" si="14"/>
        <v>0</v>
      </c>
    </row>
    <row r="20" spans="2:17">
      <c r="B20" s="28" t="str">
        <f>"% of "&amp;$B$4</f>
        <v>% of Revenue</v>
      </c>
      <c r="C20" s="120">
        <f>IFERROR(C19/C$4,0)</f>
        <v>0.20635522978289961</v>
      </c>
      <c r="D20" s="120">
        <f t="shared" ref="D20:G20" si="15">D19/D$4</f>
        <v>0.26269603704556505</v>
      </c>
      <c r="E20" s="120">
        <f t="shared" si="15"/>
        <v>0.21767117758280044</v>
      </c>
      <c r="F20" s="120">
        <f t="shared" si="15"/>
        <v>0.23260612654523627</v>
      </c>
      <c r="G20" s="120">
        <f t="shared" si="15"/>
        <v>0.30305390730600928</v>
      </c>
      <c r="H20" s="20">
        <f>Assumptions!I$132</f>
        <v>0.24447649565250212</v>
      </c>
      <c r="I20" s="20">
        <f>Assumptions!J$132</f>
        <v>0.24447649565250212</v>
      </c>
      <c r="J20" s="20">
        <f>Assumptions!K$132</f>
        <v>0.24447649565250212</v>
      </c>
      <c r="K20" s="20">
        <f>Assumptions!L$132</f>
        <v>0.24447649565250212</v>
      </c>
      <c r="L20" s="20">
        <f>Assumptions!M$132</f>
        <v>0.24447649565250212</v>
      </c>
      <c r="M20" s="20">
        <f>Assumptions!N$132</f>
        <v>0</v>
      </c>
      <c r="N20" s="20">
        <f>Assumptions!O$132</f>
        <v>0</v>
      </c>
      <c r="O20" s="20">
        <f>Assumptions!P$132</f>
        <v>0</v>
      </c>
      <c r="P20" s="20">
        <f>Assumptions!Q$132</f>
        <v>0</v>
      </c>
      <c r="Q20" s="20">
        <f>Assumptions!R$132</f>
        <v>0</v>
      </c>
    </row>
    <row r="21" spans="2:17">
      <c r="B21" s="27"/>
      <c r="C21" s="114"/>
      <c r="D21" s="114"/>
      <c r="E21" s="114"/>
      <c r="F21" s="114"/>
      <c r="G21" s="114"/>
    </row>
    <row r="22" spans="2:17">
      <c r="B22" s="25" t="s">
        <v>34</v>
      </c>
      <c r="C22" s="121">
        <f>C12+C16-C19</f>
        <v>8733</v>
      </c>
      <c r="D22" s="121">
        <f t="shared" ref="D22:Q22" si="16">D12+D16-D19</f>
        <v>8150</v>
      </c>
      <c r="E22" s="121">
        <f t="shared" si="16"/>
        <v>8123</v>
      </c>
      <c r="F22" s="121">
        <f t="shared" si="16"/>
        <v>8320</v>
      </c>
      <c r="G22" s="121">
        <f t="shared" si="16"/>
        <v>9055</v>
      </c>
      <c r="H22" s="17">
        <f t="shared" si="16"/>
        <v>8423.9962472008356</v>
      </c>
      <c r="I22" s="17">
        <f t="shared" si="16"/>
        <v>8845.196059560878</v>
      </c>
      <c r="J22" s="17">
        <f t="shared" si="16"/>
        <v>9287.45586253892</v>
      </c>
      <c r="K22" s="17">
        <f t="shared" si="16"/>
        <v>9751.8286556658695</v>
      </c>
      <c r="L22" s="17">
        <f t="shared" si="16"/>
        <v>10239.420088449164</v>
      </c>
      <c r="M22" s="17">
        <f t="shared" si="16"/>
        <v>0</v>
      </c>
      <c r="N22" s="17">
        <f t="shared" si="16"/>
        <v>0</v>
      </c>
      <c r="O22" s="17">
        <f t="shared" si="16"/>
        <v>0</v>
      </c>
      <c r="P22" s="17">
        <f t="shared" si="16"/>
        <v>0</v>
      </c>
      <c r="Q22" s="17">
        <f t="shared" si="16"/>
        <v>0</v>
      </c>
    </row>
    <row r="23" spans="2:17" ht="12" thickBot="1">
      <c r="B23" s="26" t="str">
        <f>"% of "&amp;$B$4</f>
        <v>% of Revenue</v>
      </c>
      <c r="C23" s="123">
        <f>IFERROR(C22/C$4,0)</f>
        <v>0.17441930136411751</v>
      </c>
      <c r="D23" s="123">
        <f t="shared" ref="D23:G23" si="17">D22/D$4</f>
        <v>0.20850922301532479</v>
      </c>
      <c r="E23" s="123">
        <f t="shared" si="17"/>
        <v>0.17256909774595824</v>
      </c>
      <c r="F23" s="123">
        <f t="shared" si="17"/>
        <v>0.1560712074884166</v>
      </c>
      <c r="G23" s="123">
        <f t="shared" si="17"/>
        <v>0.20745034250498293</v>
      </c>
      <c r="H23" s="18">
        <f>IFERROR(H22/H$4,0)</f>
        <v>0.18380383442376</v>
      </c>
      <c r="I23" s="18">
        <f t="shared" ref="I23:Q23" si="18">IFERROR(I22/I$4,0)</f>
        <v>0.18380383442376</v>
      </c>
      <c r="J23" s="18">
        <f t="shared" si="18"/>
        <v>0.18380383442375994</v>
      </c>
      <c r="K23" s="18">
        <f t="shared" si="18"/>
        <v>0.18380383442376</v>
      </c>
      <c r="L23" s="18">
        <f t="shared" si="18"/>
        <v>0.18380383442376</v>
      </c>
      <c r="M23" s="18">
        <f t="shared" si="18"/>
        <v>0</v>
      </c>
      <c r="N23" s="18">
        <f t="shared" si="18"/>
        <v>0</v>
      </c>
      <c r="O23" s="18">
        <f t="shared" si="18"/>
        <v>0</v>
      </c>
      <c r="P23" s="18">
        <f t="shared" si="18"/>
        <v>0</v>
      </c>
      <c r="Q23" s="18">
        <f t="shared" si="18"/>
        <v>0</v>
      </c>
    </row>
    <row r="24" spans="2:17">
      <c r="B24" s="27"/>
      <c r="C24" s="114"/>
      <c r="D24" s="114"/>
      <c r="E24" s="114"/>
      <c r="F24" s="114"/>
      <c r="G24" s="114"/>
    </row>
    <row r="25" spans="2:17">
      <c r="B25" s="27" t="str">
        <f>Assumptions!B135</f>
        <v>Non-Operating (Income) Loss, Net Abnormal Losses (Gains)</v>
      </c>
      <c r="C25" s="109">
        <f>Assumptions!D135</f>
        <v>1198</v>
      </c>
      <c r="D25" s="109">
        <f>Assumptions!E135</f>
        <v>3960</v>
      </c>
      <c r="E25" s="109">
        <f>Assumptions!F135</f>
        <v>394</v>
      </c>
      <c r="F25" s="109">
        <f>Assumptions!G135</f>
        <v>3778</v>
      </c>
      <c r="G25" s="109">
        <f>Assumptions!H135</f>
        <v>1176</v>
      </c>
      <c r="H25" s="12">
        <f>+Assumptions!I$135+H4*Assumptions!$I$148+H4*Assumptions!I$150</f>
        <v>2583.8112890194407</v>
      </c>
      <c r="I25" s="12">
        <f>+Assumptions!J$135+I4*Assumptions!$I$148+I4*Assumptions!J$150</f>
        <v>2548.4340845759862</v>
      </c>
      <c r="J25" s="12">
        <f>+Assumptions!K$135+J4*Assumptions!$I$148+J4*Assumptions!K$150</f>
        <v>2510.132510441319</v>
      </c>
      <c r="K25" s="12">
        <f>+Assumptions!L$135+K4*Assumptions!$I$148+K4*Assumptions!L$150</f>
        <v>2417.7035879033592</v>
      </c>
      <c r="L25" s="12">
        <f>+Assumptions!M$135+L4*Assumptions!$I$148+L4*Assumptions!M$150</f>
        <v>2368.1843446832445</v>
      </c>
      <c r="M25" s="12">
        <f>+Assumptions!N$135+M4*Assumptions!$I$148+M4*Assumptions!N$150</f>
        <v>0</v>
      </c>
      <c r="N25" s="12">
        <f>+Assumptions!O$135+N4*Assumptions!$I$148+N4*Assumptions!O$150</f>
        <v>0</v>
      </c>
      <c r="O25" s="12">
        <f>+Assumptions!P$135+O4*Assumptions!$I$148+O4*Assumptions!P$150</f>
        <v>0</v>
      </c>
      <c r="P25" s="12">
        <f>+Assumptions!Q$135+P4*Assumptions!$I$148+P4*Assumptions!Q$150</f>
        <v>0</v>
      </c>
      <c r="Q25" s="12">
        <f>+Assumptions!R$135+Q4*Assumptions!$I$148+Q4*Assumptions!R$150</f>
        <v>0</v>
      </c>
    </row>
    <row r="26" spans="2:17">
      <c r="B26" s="28" t="str">
        <f>"% of "&amp;$B$4</f>
        <v>% of Revenue</v>
      </c>
      <c r="C26" s="120">
        <f>IFERROR(C25/C$4,0)</f>
        <v>2.392698076654217E-2</v>
      </c>
      <c r="D26" s="120">
        <f t="shared" ref="D26:G26" si="19">D25/D$4</f>
        <v>0.10131245682707805</v>
      </c>
      <c r="E26" s="120">
        <f t="shared" si="19"/>
        <v>8.3703341760319513E-3</v>
      </c>
      <c r="F26" s="120">
        <f t="shared" si="19"/>
        <v>7.0869834361927633E-2</v>
      </c>
      <c r="G26" s="120">
        <f t="shared" si="19"/>
        <v>2.6942197988499162E-2</v>
      </c>
      <c r="H26" s="20">
        <f>IFERROR(H25/H$4,0)</f>
        <v>5.6376381044445256E-2</v>
      </c>
      <c r="I26" s="20">
        <f t="shared" ref="I26:Q26" si="20">IFERROR(I25/I$4,0)</f>
        <v>5.2956650521608153E-2</v>
      </c>
      <c r="J26" s="20">
        <f t="shared" si="20"/>
        <v>4.9676896144594695E-2</v>
      </c>
      <c r="K26" s="20">
        <f t="shared" si="20"/>
        <v>4.5569216364207778E-2</v>
      </c>
      <c r="L26" s="20">
        <f t="shared" si="20"/>
        <v>4.2510353068347079E-2</v>
      </c>
      <c r="M26" s="20">
        <f t="shared" si="20"/>
        <v>0</v>
      </c>
      <c r="N26" s="20">
        <f t="shared" si="20"/>
        <v>0</v>
      </c>
      <c r="O26" s="20">
        <f t="shared" si="20"/>
        <v>0</v>
      </c>
      <c r="P26" s="20">
        <f t="shared" si="20"/>
        <v>0</v>
      </c>
      <c r="Q26" s="20">
        <f t="shared" si="20"/>
        <v>0</v>
      </c>
    </row>
    <row r="27" spans="2:17">
      <c r="B27" s="27"/>
      <c r="C27" s="114"/>
      <c r="D27" s="114"/>
      <c r="E27" s="114"/>
      <c r="F27" s="114"/>
      <c r="G27" s="114"/>
    </row>
    <row r="28" spans="2:17">
      <c r="B28" s="25" t="s">
        <v>47</v>
      </c>
      <c r="C28" s="121">
        <f>C22-C25</f>
        <v>7535</v>
      </c>
      <c r="D28" s="121">
        <f t="shared" ref="D28:Q28" si="21">D22-D25</f>
        <v>4190</v>
      </c>
      <c r="E28" s="121">
        <f t="shared" si="21"/>
        <v>7729</v>
      </c>
      <c r="F28" s="121">
        <f t="shared" si="21"/>
        <v>4542</v>
      </c>
      <c r="G28" s="121">
        <f t="shared" si="21"/>
        <v>7879</v>
      </c>
      <c r="H28" s="17">
        <f t="shared" si="21"/>
        <v>5840.1849581813949</v>
      </c>
      <c r="I28" s="17">
        <f t="shared" si="21"/>
        <v>6296.7619749848918</v>
      </c>
      <c r="J28" s="17">
        <f t="shared" si="21"/>
        <v>6777.3233520976009</v>
      </c>
      <c r="K28" s="17">
        <f t="shared" si="21"/>
        <v>7334.1250677625103</v>
      </c>
      <c r="L28" s="17">
        <f t="shared" si="21"/>
        <v>7871.2357437659193</v>
      </c>
      <c r="M28" s="17">
        <f t="shared" si="21"/>
        <v>0</v>
      </c>
      <c r="N28" s="17">
        <f t="shared" si="21"/>
        <v>0</v>
      </c>
      <c r="O28" s="17">
        <f t="shared" si="21"/>
        <v>0</v>
      </c>
      <c r="P28" s="17">
        <f t="shared" si="21"/>
        <v>0</v>
      </c>
      <c r="Q28" s="17">
        <f t="shared" si="21"/>
        <v>0</v>
      </c>
    </row>
    <row r="29" spans="2:17" ht="12" thickBot="1">
      <c r="B29" s="26" t="str">
        <f>"% of "&amp;$B$4</f>
        <v>% of Revenue</v>
      </c>
      <c r="C29" s="123">
        <f>IFERROR(C28/C$4,0)</f>
        <v>0.15049232059757534</v>
      </c>
      <c r="D29" s="123">
        <f t="shared" ref="D29:G29" si="22">D28/D$4</f>
        <v>0.10719676618824674</v>
      </c>
      <c r="E29" s="123">
        <f t="shared" si="22"/>
        <v>0.16419876356992627</v>
      </c>
      <c r="F29" s="123">
        <f t="shared" si="22"/>
        <v>8.5201373126488955E-2</v>
      </c>
      <c r="G29" s="123">
        <f t="shared" si="22"/>
        <v>0.18050814451648378</v>
      </c>
      <c r="H29" s="18">
        <f>IFERROR(H28/H$4,0)</f>
        <v>0.12742745337931474</v>
      </c>
      <c r="I29" s="18">
        <f t="shared" ref="I29:Q29" si="23">IFERROR(I28/I$4,0)</f>
        <v>0.13084718390215183</v>
      </c>
      <c r="J29" s="18">
        <f t="shared" si="23"/>
        <v>0.13412693827916525</v>
      </c>
      <c r="K29" s="18">
        <f t="shared" si="23"/>
        <v>0.1382346180595522</v>
      </c>
      <c r="L29" s="18">
        <f t="shared" si="23"/>
        <v>0.14129348135541292</v>
      </c>
      <c r="M29" s="18">
        <f t="shared" si="23"/>
        <v>0</v>
      </c>
      <c r="N29" s="18">
        <f t="shared" si="23"/>
        <v>0</v>
      </c>
      <c r="O29" s="18">
        <f t="shared" si="23"/>
        <v>0</v>
      </c>
      <c r="P29" s="18">
        <f t="shared" si="23"/>
        <v>0</v>
      </c>
      <c r="Q29" s="18">
        <f t="shared" si="23"/>
        <v>0</v>
      </c>
    </row>
    <row r="30" spans="2:17">
      <c r="B30" s="27"/>
      <c r="C30" s="114"/>
      <c r="D30" s="114"/>
      <c r="E30" s="114"/>
      <c r="F30" s="114"/>
      <c r="G30" s="114"/>
    </row>
    <row r="31" spans="2:17">
      <c r="B31" s="27" t="str">
        <f>Assumptions!B153</f>
        <v>Income Tax Expense (Benefit)</v>
      </c>
      <c r="C31" s="109">
        <f>Assumptions!D153</f>
        <v>1708</v>
      </c>
      <c r="D31" s="109">
        <f>Assumptions!E153</f>
        <v>774</v>
      </c>
      <c r="E31" s="109">
        <f>Assumptions!F153</f>
        <v>1415</v>
      </c>
      <c r="F31" s="109">
        <f>Assumptions!G153</f>
        <v>1604</v>
      </c>
      <c r="G31" s="109">
        <f>Assumptions!H153</f>
        <v>1821</v>
      </c>
      <c r="H31" s="12">
        <f>H28*Assumptions!I155</f>
        <v>1226.4388412180929</v>
      </c>
      <c r="I31" s="12">
        <f>I28*Assumptions!J155</f>
        <v>1322.3200147468272</v>
      </c>
      <c r="J31" s="12">
        <f>J28*Assumptions!K155</f>
        <v>1423.2379039404962</v>
      </c>
      <c r="K31" s="12">
        <f>K28*Assumptions!L155</f>
        <v>1540.1662642301271</v>
      </c>
      <c r="L31" s="12">
        <f>L28*Assumptions!M155</f>
        <v>1652.9595061908431</v>
      </c>
      <c r="M31" s="12">
        <f>M28*Assumptions!N155</f>
        <v>0</v>
      </c>
      <c r="N31" s="12">
        <f>N28*Assumptions!O155</f>
        <v>0</v>
      </c>
      <c r="O31" s="12">
        <f>O28*Assumptions!P155</f>
        <v>0</v>
      </c>
      <c r="P31" s="12">
        <f>P28*Assumptions!Q155</f>
        <v>0</v>
      </c>
      <c r="Q31" s="12">
        <f>Q28*Assumptions!R155</f>
        <v>0</v>
      </c>
    </row>
    <row r="32" spans="2:17">
      <c r="B32" s="28" t="str">
        <f>"% of "&amp;$B$4</f>
        <v>% of Revenue</v>
      </c>
      <c r="C32" s="120">
        <f>IFERROR(C31/C$4,0)</f>
        <v>3.411292416465278E-2</v>
      </c>
      <c r="D32" s="120">
        <f t="shared" ref="D32:G32" si="24">D31/D$4</f>
        <v>1.9801980198019802E-2</v>
      </c>
      <c r="E32" s="120">
        <f t="shared" si="24"/>
        <v>3.0060971723566528E-2</v>
      </c>
      <c r="F32" s="120">
        <f t="shared" si="24"/>
        <v>3.0088727982141853E-2</v>
      </c>
      <c r="G32" s="120">
        <f t="shared" si="24"/>
        <v>4.1719168824028041E-2</v>
      </c>
      <c r="H32" s="20">
        <f>IFERROR(H31/H$4,0)</f>
        <v>2.6759765209656092E-2</v>
      </c>
      <c r="I32" s="20">
        <f t="shared" ref="I32:Q32" si="25">IFERROR(I31/I$4,0)</f>
        <v>2.7477908619451884E-2</v>
      </c>
      <c r="J32" s="20">
        <f t="shared" si="25"/>
        <v>2.8166657038624702E-2</v>
      </c>
      <c r="K32" s="20">
        <f t="shared" si="25"/>
        <v>2.9029269792505964E-2</v>
      </c>
      <c r="L32" s="20">
        <f t="shared" si="25"/>
        <v>2.9671631084636715E-2</v>
      </c>
      <c r="M32" s="20">
        <f t="shared" si="25"/>
        <v>0</v>
      </c>
      <c r="N32" s="20">
        <f t="shared" si="25"/>
        <v>0</v>
      </c>
      <c r="O32" s="20">
        <f t="shared" si="25"/>
        <v>0</v>
      </c>
      <c r="P32" s="20">
        <f t="shared" si="25"/>
        <v>0</v>
      </c>
      <c r="Q32" s="20">
        <f t="shared" si="25"/>
        <v>0</v>
      </c>
    </row>
    <row r="34" spans="2:17">
      <c r="B34" s="27" t="str">
        <f>Assumptions!B158</f>
        <v>Miscellaneous After Tax Expenditures</v>
      </c>
      <c r="C34" s="109">
        <f>Assumptions!D158</f>
        <v>122</v>
      </c>
      <c r="D34" s="109">
        <f>Assumptions!E158</f>
        <v>53</v>
      </c>
      <c r="E34" s="109">
        <f>Assumptions!F158</f>
        <v>125</v>
      </c>
      <c r="F34" s="109">
        <f>Assumptions!G158</f>
        <v>-65</v>
      </c>
      <c r="G34" s="109">
        <f>Assumptions!H158</f>
        <v>-133</v>
      </c>
      <c r="H34" s="12">
        <f>H$4*H35</f>
        <v>19.999096374901356</v>
      </c>
      <c r="I34" s="12">
        <f t="shared" ref="I34:Q34" si="26">I$4*I35</f>
        <v>20.999051193646423</v>
      </c>
      <c r="J34" s="12">
        <f t="shared" si="26"/>
        <v>22.049003753328744</v>
      </c>
      <c r="K34" s="12">
        <f t="shared" si="26"/>
        <v>23.151453940995186</v>
      </c>
      <c r="L34" s="12">
        <f t="shared" si="26"/>
        <v>24.309026638044944</v>
      </c>
      <c r="M34" s="12">
        <f t="shared" si="26"/>
        <v>0</v>
      </c>
      <c r="N34" s="12">
        <f t="shared" si="26"/>
        <v>0</v>
      </c>
      <c r="O34" s="12">
        <f t="shared" si="26"/>
        <v>0</v>
      </c>
      <c r="P34" s="12">
        <f t="shared" si="26"/>
        <v>0</v>
      </c>
      <c r="Q34" s="12">
        <f t="shared" si="26"/>
        <v>0</v>
      </c>
    </row>
    <row r="35" spans="2:17">
      <c r="B35" s="28" t="str">
        <f>"% of "&amp;$B$4</f>
        <v>% of Revenue</v>
      </c>
      <c r="C35" s="120">
        <f>IFERROR(C34/C$4,0)</f>
        <v>2.4366374403323415E-3</v>
      </c>
      <c r="D35" s="120">
        <f t="shared" ref="D35:G35" si="27">D34/D$4</f>
        <v>1.3559495484432164E-3</v>
      </c>
      <c r="E35" s="120">
        <f t="shared" si="27"/>
        <v>2.6555628731065838E-3</v>
      </c>
      <c r="F35" s="120">
        <f t="shared" si="27"/>
        <v>-1.2193063085032547E-3</v>
      </c>
      <c r="G35" s="120">
        <f t="shared" si="27"/>
        <v>-3.047034296318358E-3</v>
      </c>
      <c r="H35" s="20">
        <f>Assumptions!I159</f>
        <v>4.3636185141210571E-4</v>
      </c>
      <c r="I35" s="20">
        <f>Assumptions!J159</f>
        <v>4.3636185141210571E-4</v>
      </c>
      <c r="J35" s="20">
        <f>Assumptions!K159</f>
        <v>4.3636185141210571E-4</v>
      </c>
      <c r="K35" s="20">
        <f>Assumptions!L159</f>
        <v>4.3636185141210571E-4</v>
      </c>
      <c r="L35" s="20">
        <f>Assumptions!M159</f>
        <v>4.3636185141210571E-4</v>
      </c>
      <c r="M35" s="20">
        <f>Assumptions!N159</f>
        <v>0</v>
      </c>
      <c r="N35" s="20">
        <f>Assumptions!O159</f>
        <v>0</v>
      </c>
      <c r="O35" s="20">
        <f>Assumptions!P159</f>
        <v>0</v>
      </c>
      <c r="P35" s="20">
        <f>Assumptions!Q159</f>
        <v>0</v>
      </c>
      <c r="Q35" s="20">
        <f>Assumptions!R159</f>
        <v>0</v>
      </c>
    </row>
    <row r="36" spans="2:17">
      <c r="B36" s="27"/>
      <c r="C36" s="114"/>
      <c r="D36" s="114"/>
      <c r="E36" s="114"/>
      <c r="F36" s="114"/>
      <c r="G36" s="114"/>
    </row>
    <row r="37" spans="2:17">
      <c r="B37" s="16" t="s">
        <v>45</v>
      </c>
      <c r="C37" s="121">
        <f>C28-C31-C34</f>
        <v>5705</v>
      </c>
      <c r="D37" s="121">
        <f t="shared" ref="D37:Q37" si="28">D28-D31-D34</f>
        <v>3363</v>
      </c>
      <c r="E37" s="121">
        <f t="shared" si="28"/>
        <v>6189</v>
      </c>
      <c r="F37" s="121">
        <f t="shared" si="28"/>
        <v>3003</v>
      </c>
      <c r="G37" s="121">
        <f t="shared" si="28"/>
        <v>6191</v>
      </c>
      <c r="H37" s="17">
        <f t="shared" si="28"/>
        <v>4593.747020588401</v>
      </c>
      <c r="I37" s="17">
        <f t="shared" si="28"/>
        <v>4953.4429090444182</v>
      </c>
      <c r="J37" s="17">
        <f t="shared" si="28"/>
        <v>5332.0364444037759</v>
      </c>
      <c r="K37" s="17">
        <f t="shared" si="28"/>
        <v>5770.8073495913877</v>
      </c>
      <c r="L37" s="17">
        <f t="shared" si="28"/>
        <v>6193.9672109370313</v>
      </c>
      <c r="M37" s="17">
        <f t="shared" si="28"/>
        <v>0</v>
      </c>
      <c r="N37" s="17">
        <f t="shared" si="28"/>
        <v>0</v>
      </c>
      <c r="O37" s="17">
        <f t="shared" si="28"/>
        <v>0</v>
      </c>
      <c r="P37" s="17">
        <f t="shared" si="28"/>
        <v>0</v>
      </c>
      <c r="Q37" s="17">
        <f t="shared" si="28"/>
        <v>0</v>
      </c>
    </row>
    <row r="38" spans="2:17">
      <c r="B38" s="19" t="str">
        <f>"% of "&amp;$B$4</f>
        <v>% of Revenue</v>
      </c>
      <c r="C38" s="122">
        <f>IFERROR(C37/C$4,0)</f>
        <v>0.11394275899259022</v>
      </c>
      <c r="D38" s="122">
        <f t="shared" ref="D38:G38" si="29">D37/D$4</f>
        <v>8.6038836441783714E-2</v>
      </c>
      <c r="E38" s="122">
        <f t="shared" si="29"/>
        <v>0.13148222897325318</v>
      </c>
      <c r="F38" s="122">
        <f t="shared" si="29"/>
        <v>5.633195145285036E-2</v>
      </c>
      <c r="G38" s="122">
        <f t="shared" si="29"/>
        <v>0.14183600998877408</v>
      </c>
      <c r="H38" s="82">
        <f>IFERROR(H37/H$4,0)</f>
        <v>0.10023132631824655</v>
      </c>
      <c r="I38" s="82">
        <f t="shared" ref="I38:Q38" si="30">IFERROR(I37/I$4,0)</f>
        <v>0.10293291343128785</v>
      </c>
      <c r="J38" s="82">
        <f t="shared" si="30"/>
        <v>0.10552391938912845</v>
      </c>
      <c r="K38" s="82">
        <f t="shared" si="30"/>
        <v>0.10876898641563414</v>
      </c>
      <c r="L38" s="82">
        <f t="shared" si="30"/>
        <v>0.1111854884193641</v>
      </c>
      <c r="M38" s="82">
        <f t="shared" si="30"/>
        <v>0</v>
      </c>
      <c r="N38" s="82">
        <f t="shared" si="30"/>
        <v>0</v>
      </c>
      <c r="O38" s="82">
        <f t="shared" si="30"/>
        <v>0</v>
      </c>
      <c r="P38" s="82">
        <f t="shared" si="30"/>
        <v>0</v>
      </c>
      <c r="Q38" s="82">
        <f t="shared" si="30"/>
        <v>0</v>
      </c>
    </row>
    <row r="39" spans="2:17" ht="12" thickBot="1">
      <c r="B39" s="21" t="s">
        <v>208</v>
      </c>
      <c r="C39" s="124"/>
      <c r="D39" s="124">
        <f>D37/C37-1</f>
        <v>-0.41051709027169148</v>
      </c>
      <c r="E39" s="124">
        <f t="shared" ref="E39:G39" si="31">E37/D37-1</f>
        <v>0.84032114183764506</v>
      </c>
      <c r="F39" s="124">
        <f t="shared" si="31"/>
        <v>-0.51478429471643239</v>
      </c>
      <c r="G39" s="124">
        <f t="shared" si="31"/>
        <v>1.0616050616050616</v>
      </c>
      <c r="H39" s="22">
        <f>IF(H$3="",0,H37/G37-1)</f>
        <v>-0.25799595855461133</v>
      </c>
      <c r="I39" s="22">
        <f t="shared" ref="I39:Q39" si="32">IF(I$3="",0,I37/H37-1)</f>
        <v>7.8301196570886633E-2</v>
      </c>
      <c r="J39" s="22">
        <f t="shared" si="32"/>
        <v>7.6430382324198964E-2</v>
      </c>
      <c r="K39" s="22">
        <f t="shared" si="32"/>
        <v>8.2289554800046849E-2</v>
      </c>
      <c r="L39" s="22">
        <f t="shared" si="32"/>
        <v>7.3327670759206098E-2</v>
      </c>
      <c r="M39" s="22">
        <f t="shared" si="32"/>
        <v>0</v>
      </c>
      <c r="N39" s="22">
        <f t="shared" si="32"/>
        <v>0</v>
      </c>
      <c r="O39" s="22">
        <f t="shared" si="32"/>
        <v>0</v>
      </c>
      <c r="P39" s="22">
        <f t="shared" si="32"/>
        <v>0</v>
      </c>
      <c r="Q39" s="22">
        <f t="shared" si="32"/>
        <v>0</v>
      </c>
    </row>
    <row r="40" spans="2:17" ht="12" thickTop="1"/>
    <row r="42" spans="2:17">
      <c r="B42" s="30" t="s">
        <v>48</v>
      </c>
      <c r="C42" s="30"/>
      <c r="D42" s="30"/>
      <c r="E42" s="30"/>
      <c r="F42" s="30"/>
      <c r="G42" s="30"/>
      <c r="H42" s="30"/>
      <c r="I42" s="30"/>
      <c r="J42" s="30"/>
      <c r="K42" s="30"/>
      <c r="L42" s="30"/>
      <c r="M42" s="30"/>
      <c r="N42" s="30"/>
      <c r="O42" s="30"/>
      <c r="P42" s="30"/>
      <c r="Q42" s="30"/>
    </row>
    <row r="43" spans="2:17">
      <c r="B43" s="10" t="str">
        <f>B$22</f>
        <v>Operating Income (Loss) ~ EBIT</v>
      </c>
      <c r="C43" s="13">
        <f>C$22</f>
        <v>8733</v>
      </c>
      <c r="D43" s="13">
        <f t="shared" ref="D43:Q43" si="33">D$22</f>
        <v>8150</v>
      </c>
      <c r="E43" s="13">
        <f t="shared" si="33"/>
        <v>8123</v>
      </c>
      <c r="F43" s="13">
        <f t="shared" si="33"/>
        <v>8320</v>
      </c>
      <c r="G43" s="13">
        <f t="shared" si="33"/>
        <v>9055</v>
      </c>
      <c r="H43" s="13">
        <f t="shared" si="33"/>
        <v>8423.9962472008356</v>
      </c>
      <c r="I43" s="13">
        <f t="shared" si="33"/>
        <v>8845.196059560878</v>
      </c>
      <c r="J43" s="13">
        <f t="shared" si="33"/>
        <v>9287.45586253892</v>
      </c>
      <c r="K43" s="13">
        <f t="shared" si="33"/>
        <v>9751.8286556658695</v>
      </c>
      <c r="L43" s="13">
        <f t="shared" si="33"/>
        <v>10239.420088449164</v>
      </c>
      <c r="M43" s="13">
        <f t="shared" si="33"/>
        <v>0</v>
      </c>
      <c r="N43" s="13">
        <f t="shared" si="33"/>
        <v>0</v>
      </c>
      <c r="O43" s="13">
        <f t="shared" si="33"/>
        <v>0</v>
      </c>
      <c r="P43" s="13">
        <f t="shared" si="33"/>
        <v>0</v>
      </c>
      <c r="Q43" s="13">
        <f t="shared" si="33"/>
        <v>0</v>
      </c>
    </row>
    <row r="44" spans="2:17">
      <c r="B44" s="23" t="str">
        <f>Assumptions!B168</f>
        <v>Capital Expenditures</v>
      </c>
      <c r="C44" s="12">
        <f>Assumptions!D168</f>
        <v>5492</v>
      </c>
      <c r="D44" s="12">
        <f>Assumptions!E168</f>
        <v>5405</v>
      </c>
      <c r="E44" s="12">
        <f>Assumptions!F168</f>
        <v>7818</v>
      </c>
      <c r="F44" s="12">
        <f>Assumptions!G168</f>
        <v>4647</v>
      </c>
      <c r="G44" s="12">
        <f>Assumptions!H168</f>
        <v>4654</v>
      </c>
      <c r="H44" s="12">
        <f>H4*H45</f>
        <v>5571.7636229656719</v>
      </c>
      <c r="I44" s="12">
        <f t="shared" ref="I44:Q44" si="34">I4*I45</f>
        <v>5850.351804113956</v>
      </c>
      <c r="J44" s="12">
        <f t="shared" si="34"/>
        <v>6142.869394319654</v>
      </c>
      <c r="K44" s="12">
        <f t="shared" si="34"/>
        <v>6450.012864035637</v>
      </c>
      <c r="L44" s="12">
        <f t="shared" si="34"/>
        <v>6772.5135072374196</v>
      </c>
      <c r="M44" s="12">
        <f t="shared" si="34"/>
        <v>0</v>
      </c>
      <c r="N44" s="12">
        <f t="shared" si="34"/>
        <v>0</v>
      </c>
      <c r="O44" s="12">
        <f t="shared" si="34"/>
        <v>0</v>
      </c>
      <c r="P44" s="12">
        <f t="shared" si="34"/>
        <v>0</v>
      </c>
      <c r="Q44" s="12">
        <f t="shared" si="34"/>
        <v>0</v>
      </c>
    </row>
    <row r="45" spans="2:17">
      <c r="B45" s="24" t="str">
        <f>"% of "&amp;$B$4</f>
        <v>% of Revenue</v>
      </c>
      <c r="C45" s="20">
        <f>IFERROR(C44/C$4,0)</f>
        <v>0.10968862969102638</v>
      </c>
      <c r="D45" s="20">
        <f t="shared" ref="D45:G45" si="35">D44/D$4</f>
        <v>0.13828126998746387</v>
      </c>
      <c r="E45" s="20">
        <f t="shared" si="35"/>
        <v>0.16608952433557816</v>
      </c>
      <c r="F45" s="20">
        <f t="shared" si="35"/>
        <v>8.7171021778686519E-2</v>
      </c>
      <c r="G45" s="20">
        <f t="shared" si="35"/>
        <v>0.10662329033883938</v>
      </c>
      <c r="H45" s="20">
        <f>Assumptions!I$169</f>
        <v>0.12157074722631886</v>
      </c>
      <c r="I45" s="20">
        <f>Assumptions!J169</f>
        <v>0.12157074722631886</v>
      </c>
      <c r="J45" s="20">
        <f>Assumptions!K169</f>
        <v>0.12157074722631886</v>
      </c>
      <c r="K45" s="20">
        <f>Assumptions!L169</f>
        <v>0.12157074722631886</v>
      </c>
      <c r="L45" s="20">
        <f>Assumptions!M169</f>
        <v>0.12157074722631886</v>
      </c>
      <c r="M45" s="20">
        <f>Assumptions!N169</f>
        <v>0</v>
      </c>
      <c r="N45" s="20">
        <f>Assumptions!O169</f>
        <v>0</v>
      </c>
      <c r="O45" s="20">
        <f>Assumptions!P169</f>
        <v>0</v>
      </c>
      <c r="P45" s="20">
        <f>Assumptions!Q169</f>
        <v>0</v>
      </c>
      <c r="Q45" s="20">
        <f>Assumptions!R169</f>
        <v>0</v>
      </c>
    </row>
    <row r="46" spans="2:17">
      <c r="B46" s="23"/>
      <c r="C46" s="12"/>
      <c r="D46" s="12"/>
      <c r="E46" s="12"/>
      <c r="F46" s="12"/>
      <c r="G46" s="12"/>
      <c r="H46" s="12"/>
      <c r="I46" s="12"/>
      <c r="J46" s="12"/>
      <c r="K46" s="12"/>
      <c r="L46" s="12"/>
      <c r="M46" s="12"/>
      <c r="N46" s="12"/>
      <c r="O46" s="12"/>
      <c r="P46" s="12"/>
      <c r="Q46" s="12"/>
    </row>
    <row r="47" spans="2:17">
      <c r="B47" s="23" t="str">
        <f>Assumptions!B172</f>
        <v>Depreciation and Amortization</v>
      </c>
      <c r="C47" s="12">
        <f>Assumptions!D172</f>
        <v>3391</v>
      </c>
      <c r="D47" s="12">
        <f>Assumptions!E172</f>
        <v>3712</v>
      </c>
      <c r="E47" s="12">
        <f>Assumptions!F172</f>
        <v>3852</v>
      </c>
      <c r="F47" s="12">
        <f>Assumptions!G172</f>
        <v>4317</v>
      </c>
      <c r="G47" s="12">
        <f>Assumptions!H172</f>
        <v>4613</v>
      </c>
      <c r="H47" s="12">
        <f>H44*H49</f>
        <v>4142.1616399007571</v>
      </c>
      <c r="I47" s="12">
        <f t="shared" ref="I47:Q47" si="36">I44*I49</f>
        <v>4349.2697218957956</v>
      </c>
      <c r="J47" s="12">
        <f t="shared" si="36"/>
        <v>4566.7332079905855</v>
      </c>
      <c r="K47" s="12">
        <f t="shared" si="36"/>
        <v>4795.0698683901146</v>
      </c>
      <c r="L47" s="12">
        <f>L44*L49</f>
        <v>5034.823361809621</v>
      </c>
      <c r="M47" s="12">
        <f t="shared" si="36"/>
        <v>0</v>
      </c>
      <c r="N47" s="12">
        <f t="shared" si="36"/>
        <v>0</v>
      </c>
      <c r="O47" s="12">
        <f t="shared" si="36"/>
        <v>0</v>
      </c>
      <c r="P47" s="12">
        <f t="shared" si="36"/>
        <v>0</v>
      </c>
      <c r="Q47" s="12">
        <f t="shared" si="36"/>
        <v>0</v>
      </c>
    </row>
    <row r="48" spans="2:17">
      <c r="B48" s="24" t="str">
        <f>"% of "&amp;$B$4</f>
        <v>% of Revenue</v>
      </c>
      <c r="C48" s="20">
        <f>IFERROR(C47/C$4,0)</f>
        <v>6.7726537378417787E-2</v>
      </c>
      <c r="D48" s="20">
        <f t="shared" ref="D48:G48" si="37">D47/D$4</f>
        <v>9.4967636298513569E-2</v>
      </c>
      <c r="E48" s="20">
        <f t="shared" si="37"/>
        <v>8.1833825497652488E-2</v>
      </c>
      <c r="F48" s="20">
        <f t="shared" si="37"/>
        <v>8.098069744320846E-2</v>
      </c>
      <c r="G48" s="20">
        <f t="shared" si="37"/>
        <v>0.10568397901441041</v>
      </c>
      <c r="H48" s="20">
        <f>IFERROR(H47/H$4,0)</f>
        <v>9.0378149499977786E-2</v>
      </c>
      <c r="I48" s="20">
        <f t="shared" ref="I48:Q48" si="38">IFERROR(I47/I$4,0)</f>
        <v>9.0378149499977786E-2</v>
      </c>
      <c r="J48" s="20">
        <f t="shared" si="38"/>
        <v>9.0378149499977786E-2</v>
      </c>
      <c r="K48" s="20">
        <f t="shared" si="38"/>
        <v>9.0378149499977772E-2</v>
      </c>
      <c r="L48" s="20">
        <f t="shared" si="38"/>
        <v>9.0378149499977786E-2</v>
      </c>
      <c r="M48" s="20">
        <f t="shared" si="38"/>
        <v>0</v>
      </c>
      <c r="N48" s="20">
        <f t="shared" si="38"/>
        <v>0</v>
      </c>
      <c r="O48" s="20">
        <f t="shared" si="38"/>
        <v>0</v>
      </c>
      <c r="P48" s="20">
        <f t="shared" si="38"/>
        <v>0</v>
      </c>
      <c r="Q48" s="20">
        <f t="shared" si="38"/>
        <v>0</v>
      </c>
    </row>
    <row r="49" spans="2:17">
      <c r="B49" s="24" t="str">
        <f>"% of "&amp;B44</f>
        <v>% of Capital Expenditures</v>
      </c>
      <c r="C49" s="20">
        <f>IFERROR(C47/C44,0)</f>
        <v>0.61744355426074293</v>
      </c>
      <c r="D49" s="20">
        <f t="shared" ref="D49:G49" si="39">IFERROR(D47/D44,0)</f>
        <v>0.68677150786308971</v>
      </c>
      <c r="E49" s="20">
        <f t="shared" si="39"/>
        <v>0.49270913277052952</v>
      </c>
      <c r="F49" s="20">
        <f t="shared" si="39"/>
        <v>0.92898644286636545</v>
      </c>
      <c r="G49" s="20">
        <f t="shared" si="39"/>
        <v>0.99119037387193809</v>
      </c>
      <c r="H49" s="20">
        <f>Assumptions!I$173</f>
        <v>0.74342020232653316</v>
      </c>
      <c r="I49" s="20">
        <f>Assumptions!J$173</f>
        <v>0.74342020232653316</v>
      </c>
      <c r="J49" s="20">
        <f>Assumptions!K$173</f>
        <v>0.74342020232653316</v>
      </c>
      <c r="K49" s="20">
        <f>Assumptions!L$173</f>
        <v>0.74342020232653316</v>
      </c>
      <c r="L49" s="20">
        <f>Assumptions!M$173</f>
        <v>0.74342020232653316</v>
      </c>
      <c r="M49" s="20">
        <f>Assumptions!N$173</f>
        <v>0</v>
      </c>
      <c r="N49" s="20">
        <f>Assumptions!O$173</f>
        <v>0</v>
      </c>
      <c r="O49" s="20">
        <f>Assumptions!P$173</f>
        <v>0</v>
      </c>
      <c r="P49" s="20">
        <f>Assumptions!Q$173</f>
        <v>0</v>
      </c>
      <c r="Q49" s="20">
        <f>Assumptions!R$173</f>
        <v>0</v>
      </c>
    </row>
    <row r="50" spans="2:17">
      <c r="B50" s="23"/>
      <c r="C50" s="12"/>
      <c r="D50" s="12"/>
      <c r="E50" s="12"/>
      <c r="F50" s="12"/>
      <c r="G50" s="12"/>
      <c r="H50" s="12"/>
      <c r="I50" s="12"/>
      <c r="J50" s="12"/>
      <c r="K50" s="12"/>
      <c r="L50" s="12"/>
      <c r="M50" s="12"/>
      <c r="N50" s="12"/>
      <c r="O50" s="12"/>
      <c r="P50" s="12"/>
      <c r="Q50" s="12"/>
    </row>
    <row r="51" spans="2:17">
      <c r="B51" s="23" t="str">
        <f>_xlfn.TEXTBEFORE(Assumptions!B176," [")</f>
        <v>Cost of Capitalized Leases</v>
      </c>
      <c r="C51" s="12">
        <f>Assumptions!D176</f>
        <v>113</v>
      </c>
      <c r="D51" s="12">
        <f>Assumptions!E176</f>
        <v>107</v>
      </c>
      <c r="E51" s="12">
        <f>Assumptions!F176</f>
        <v>95</v>
      </c>
      <c r="F51" s="12">
        <f>Assumptions!G176</f>
        <v>118</v>
      </c>
      <c r="G51" s="12">
        <f>Assumptions!H176</f>
        <v>131</v>
      </c>
      <c r="H51" s="12">
        <f>H$4*H52</f>
        <v>112.07916542258788</v>
      </c>
      <c r="I51" s="12">
        <f t="shared" ref="I51:Q51" si="40">I$4*I52</f>
        <v>117.68312369371728</v>
      </c>
      <c r="J51" s="12">
        <f t="shared" si="40"/>
        <v>123.56727987840316</v>
      </c>
      <c r="K51" s="12">
        <f t="shared" si="40"/>
        <v>129.74564387232331</v>
      </c>
      <c r="L51" s="12">
        <f t="shared" si="40"/>
        <v>136.23292606593949</v>
      </c>
      <c r="M51" s="12">
        <f t="shared" si="40"/>
        <v>0</v>
      </c>
      <c r="N51" s="12">
        <f t="shared" si="40"/>
        <v>0</v>
      </c>
      <c r="O51" s="12">
        <f t="shared" si="40"/>
        <v>0</v>
      </c>
      <c r="P51" s="12">
        <f t="shared" si="40"/>
        <v>0</v>
      </c>
      <c r="Q51" s="12">
        <f t="shared" si="40"/>
        <v>0</v>
      </c>
    </row>
    <row r="52" spans="2:17">
      <c r="B52" s="24" t="str">
        <f>"% of "&amp;$B$4</f>
        <v>% of Revenue</v>
      </c>
      <c r="C52" s="20">
        <f>IFERROR(C51/C$4,0)</f>
        <v>2.2568854980127423E-3</v>
      </c>
      <c r="D52" s="20">
        <f t="shared" ref="D52:G52" si="41">D51/D$4</f>
        <v>2.7374830506306444E-3</v>
      </c>
      <c r="E52" s="20">
        <f t="shared" si="41"/>
        <v>2.0182277835610034E-3</v>
      </c>
      <c r="F52" s="20">
        <f t="shared" si="41"/>
        <v>2.213509913898216E-3</v>
      </c>
      <c r="G52" s="20">
        <f t="shared" si="41"/>
        <v>3.0012142317120665E-3</v>
      </c>
      <c r="H52" s="20">
        <f>+Assumptions!I177</f>
        <v>2.4454640955629348E-3</v>
      </c>
      <c r="I52" s="20">
        <f>+Assumptions!J177</f>
        <v>2.4454640955629348E-3</v>
      </c>
      <c r="J52" s="20">
        <f>+Assumptions!K177</f>
        <v>2.4454640955629348E-3</v>
      </c>
      <c r="K52" s="20">
        <f>+Assumptions!L177</f>
        <v>2.4454640955629348E-3</v>
      </c>
      <c r="L52" s="20">
        <f>+Assumptions!M177</f>
        <v>2.4454640955629348E-3</v>
      </c>
      <c r="M52" s="20">
        <f>+Assumptions!N177</f>
        <v>0</v>
      </c>
      <c r="N52" s="20">
        <f>+Assumptions!O177</f>
        <v>0</v>
      </c>
      <c r="O52" s="20">
        <f>+Assumptions!P177</f>
        <v>0</v>
      </c>
      <c r="P52" s="20">
        <f>+Assumptions!Q177</f>
        <v>0</v>
      </c>
      <c r="Q52" s="20">
        <f>+Assumptions!R177</f>
        <v>0</v>
      </c>
    </row>
    <row r="53" spans="2:17">
      <c r="B53" s="31" t="s">
        <v>49</v>
      </c>
      <c r="C53" s="32">
        <f t="shared" ref="C53:Q53" si="42">SUM(C43,C47,C51)</f>
        <v>12237</v>
      </c>
      <c r="D53" s="32">
        <f t="shared" si="42"/>
        <v>11969</v>
      </c>
      <c r="E53" s="32">
        <f t="shared" si="42"/>
        <v>12070</v>
      </c>
      <c r="F53" s="32">
        <f t="shared" si="42"/>
        <v>12755</v>
      </c>
      <c r="G53" s="32">
        <f t="shared" si="42"/>
        <v>13799</v>
      </c>
      <c r="H53" s="32">
        <f t="shared" si="42"/>
        <v>12678.23705252418</v>
      </c>
      <c r="I53" s="32">
        <f t="shared" si="42"/>
        <v>13312.148905150392</v>
      </c>
      <c r="J53" s="32">
        <f t="shared" si="42"/>
        <v>13977.756350407908</v>
      </c>
      <c r="K53" s="32">
        <f t="shared" si="42"/>
        <v>14676.644167928309</v>
      </c>
      <c r="L53" s="32">
        <f t="shared" si="42"/>
        <v>15410.476376324725</v>
      </c>
      <c r="M53" s="32">
        <f t="shared" si="42"/>
        <v>0</v>
      </c>
      <c r="N53" s="32">
        <f t="shared" si="42"/>
        <v>0</v>
      </c>
      <c r="O53" s="32">
        <f t="shared" si="42"/>
        <v>0</v>
      </c>
      <c r="P53" s="32">
        <f t="shared" si="42"/>
        <v>0</v>
      </c>
      <c r="Q53" s="32">
        <f t="shared" si="42"/>
        <v>0</v>
      </c>
    </row>
    <row r="56" spans="2:17">
      <c r="B56" s="30" t="s">
        <v>181</v>
      </c>
      <c r="C56" s="30"/>
      <c r="D56" s="30"/>
      <c r="E56" s="30"/>
      <c r="F56" s="30"/>
      <c r="G56" s="30"/>
      <c r="H56" s="30"/>
      <c r="I56" s="30"/>
      <c r="J56" s="30"/>
      <c r="K56" s="30"/>
      <c r="L56" s="30"/>
      <c r="M56" s="30"/>
      <c r="N56" s="30"/>
      <c r="O56" s="30"/>
      <c r="P56" s="30"/>
      <c r="Q56" s="30"/>
    </row>
    <row r="57" spans="2:17">
      <c r="B57" s="10" t="str">
        <f>B$22</f>
        <v>Operating Income (Loss) ~ EBIT</v>
      </c>
      <c r="C57" s="13">
        <f>C$22</f>
        <v>8733</v>
      </c>
      <c r="D57" s="13">
        <f t="shared" ref="D57:Q57" si="43">D$22</f>
        <v>8150</v>
      </c>
      <c r="E57" s="13">
        <f t="shared" si="43"/>
        <v>8123</v>
      </c>
      <c r="F57" s="13">
        <f t="shared" si="43"/>
        <v>8320</v>
      </c>
      <c r="G57" s="13">
        <f t="shared" si="43"/>
        <v>9055</v>
      </c>
      <c r="H57" s="13">
        <f t="shared" si="43"/>
        <v>8423.9962472008356</v>
      </c>
      <c r="I57" s="13">
        <f t="shared" si="43"/>
        <v>8845.196059560878</v>
      </c>
      <c r="J57" s="13">
        <f t="shared" si="43"/>
        <v>9287.45586253892</v>
      </c>
      <c r="K57" s="13">
        <f t="shared" si="43"/>
        <v>9751.8286556658695</v>
      </c>
      <c r="L57" s="13">
        <f t="shared" si="43"/>
        <v>10239.420088449164</v>
      </c>
      <c r="M57" s="13">
        <f t="shared" si="43"/>
        <v>0</v>
      </c>
      <c r="N57" s="13">
        <f t="shared" si="43"/>
        <v>0</v>
      </c>
      <c r="O57" s="13">
        <f t="shared" si="43"/>
        <v>0</v>
      </c>
      <c r="P57" s="13">
        <f t="shared" si="43"/>
        <v>0</v>
      </c>
      <c r="Q57" s="13">
        <f t="shared" si="43"/>
        <v>0</v>
      </c>
    </row>
    <row r="58" spans="2:17">
      <c r="B58" s="23" t="str">
        <f>B$31</f>
        <v>Income Tax Expense (Benefit)</v>
      </c>
      <c r="C58" s="12">
        <f t="shared" ref="C58:Q58" si="44">C$31</f>
        <v>1708</v>
      </c>
      <c r="D58" s="12">
        <f t="shared" si="44"/>
        <v>774</v>
      </c>
      <c r="E58" s="12">
        <f t="shared" si="44"/>
        <v>1415</v>
      </c>
      <c r="F58" s="12">
        <f t="shared" si="44"/>
        <v>1604</v>
      </c>
      <c r="G58" s="12">
        <f t="shared" si="44"/>
        <v>1821</v>
      </c>
      <c r="H58" s="12">
        <f t="shared" si="44"/>
        <v>1226.4388412180929</v>
      </c>
      <c r="I58" s="12">
        <f t="shared" si="44"/>
        <v>1322.3200147468272</v>
      </c>
      <c r="J58" s="12">
        <f t="shared" si="44"/>
        <v>1423.2379039404962</v>
      </c>
      <c r="K58" s="12">
        <f t="shared" si="44"/>
        <v>1540.1662642301271</v>
      </c>
      <c r="L58" s="12">
        <f t="shared" si="44"/>
        <v>1652.9595061908431</v>
      </c>
      <c r="M58" s="12">
        <f t="shared" si="44"/>
        <v>0</v>
      </c>
      <c r="N58" s="12">
        <f t="shared" si="44"/>
        <v>0</v>
      </c>
      <c r="O58" s="12">
        <f t="shared" si="44"/>
        <v>0</v>
      </c>
      <c r="P58" s="12">
        <f t="shared" si="44"/>
        <v>0</v>
      </c>
      <c r="Q58" s="12">
        <f t="shared" si="44"/>
        <v>0</v>
      </c>
    </row>
    <row r="59" spans="2:17">
      <c r="B59" s="23" t="s">
        <v>35</v>
      </c>
      <c r="C59" s="12">
        <f>Assumptions!D149</f>
        <v>-723</v>
      </c>
      <c r="D59" s="12">
        <f>Assumptions!E149</f>
        <v>1827</v>
      </c>
      <c r="E59" s="12">
        <f>Assumptions!F149</f>
        <v>-140</v>
      </c>
      <c r="F59" s="12">
        <f>Assumptions!G149</f>
        <v>5510</v>
      </c>
      <c r="G59" s="12">
        <f>Assumptions!H149</f>
        <v>-776</v>
      </c>
      <c r="H59" s="12">
        <f>H4*Assumptions!I$150</f>
        <v>1053.2897047962158</v>
      </c>
      <c r="I59" s="12">
        <f>I4*Assumptions!J$150</f>
        <v>1105.9541900360266</v>
      </c>
      <c r="J59" s="12">
        <f>J4*Assumptions!K$150</f>
        <v>1161.2518995378282</v>
      </c>
      <c r="K59" s="12">
        <f>K4*Assumptions!L$150</f>
        <v>1219.3144945147196</v>
      </c>
      <c r="L59" s="12">
        <f>L4*Assumptions!M$150</f>
        <v>1280.2802192404556</v>
      </c>
      <c r="M59" s="12">
        <f>M4*Assumptions!N$150</f>
        <v>0</v>
      </c>
      <c r="N59" s="12">
        <f>N4*Assumptions!O$150</f>
        <v>0</v>
      </c>
      <c r="O59" s="12">
        <f>O4*Assumptions!P$150</f>
        <v>0</v>
      </c>
      <c r="P59" s="12">
        <f>P4*Assumptions!Q$150</f>
        <v>0</v>
      </c>
      <c r="Q59" s="12">
        <f>Q4*Assumptions!R$150</f>
        <v>0</v>
      </c>
    </row>
    <row r="60" spans="2:17">
      <c r="B60" s="31" t="s">
        <v>182</v>
      </c>
      <c r="C60" s="32">
        <f>C57-C58</f>
        <v>7025</v>
      </c>
      <c r="D60" s="32">
        <f t="shared" ref="D60:Q60" si="45">D57-D58</f>
        <v>7376</v>
      </c>
      <c r="E60" s="32">
        <f t="shared" si="45"/>
        <v>6708</v>
      </c>
      <c r="F60" s="32">
        <f t="shared" si="45"/>
        <v>6716</v>
      </c>
      <c r="G60" s="32">
        <f t="shared" si="45"/>
        <v>7234</v>
      </c>
      <c r="H60" s="32">
        <f t="shared" si="45"/>
        <v>7197.5574059827431</v>
      </c>
      <c r="I60" s="32">
        <f t="shared" si="45"/>
        <v>7522.8760448140511</v>
      </c>
      <c r="J60" s="32">
        <f t="shared" si="45"/>
        <v>7864.217958598424</v>
      </c>
      <c r="K60" s="32">
        <f t="shared" si="45"/>
        <v>8211.6623914357424</v>
      </c>
      <c r="L60" s="32">
        <f t="shared" si="45"/>
        <v>8586.4605822583217</v>
      </c>
      <c r="M60" s="32">
        <f t="shared" si="45"/>
        <v>0</v>
      </c>
      <c r="N60" s="32">
        <f t="shared" si="45"/>
        <v>0</v>
      </c>
      <c r="O60" s="32">
        <f t="shared" si="45"/>
        <v>0</v>
      </c>
      <c r="P60" s="32">
        <f t="shared" si="45"/>
        <v>0</v>
      </c>
      <c r="Q60" s="32">
        <f t="shared" si="45"/>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B88EF-17DD-4603-B209-15E15B282DC5}">
  <sheetPr>
    <tabColor theme="8"/>
  </sheetPr>
  <dimension ref="B2:Q41"/>
  <sheetViews>
    <sheetView zoomScaleNormal="100" workbookViewId="0">
      <pane xSplit="1" ySplit="3" topLeftCell="B4" activePane="bottomRight" state="frozen"/>
      <selection pane="topRight" activeCell="B1" sqref="B1"/>
      <selection pane="bottomLeft" activeCell="A4" sqref="A4"/>
      <selection pane="bottomRight" activeCell="S37" sqref="S37"/>
    </sheetView>
  </sheetViews>
  <sheetFormatPr baseColWidth="10" defaultColWidth="8.6640625" defaultRowHeight="11" outlineLevelCol="1"/>
  <cols>
    <col min="1" max="1" width="2.1640625" style="1" customWidth="1"/>
    <col min="2" max="2" width="28.1640625" style="1" bestFit="1" customWidth="1"/>
    <col min="3" max="7" width="8.6640625" style="1" customWidth="1" outlineLevel="1"/>
    <col min="8" max="17" width="8.6640625" style="1" customWidth="1"/>
    <col min="18" max="16384" width="8.6640625" style="1"/>
  </cols>
  <sheetData>
    <row r="2" spans="2:17">
      <c r="B2" s="30" t="s">
        <v>65</v>
      </c>
      <c r="C2" s="30"/>
      <c r="D2" s="30"/>
      <c r="E2" s="30"/>
      <c r="F2" s="30"/>
      <c r="G2" s="30"/>
      <c r="H2" s="30"/>
      <c r="I2" s="30"/>
      <c r="J2" s="30"/>
      <c r="K2" s="30"/>
      <c r="L2" s="30"/>
      <c r="M2" s="30"/>
      <c r="N2" s="30"/>
      <c r="O2" s="30"/>
      <c r="P2" s="30"/>
      <c r="Q2" s="30"/>
    </row>
    <row r="3" spans="2:17">
      <c r="B3" s="14" t="str">
        <f>Assumptions!$B$113</f>
        <v>Year Ending December 31, In CAD Millions</v>
      </c>
      <c r="C3" s="14" cm="1">
        <f t="array" ref="C3:L3">_xlfn.SEQUENCE(1,5+Assumptions!$C$21,(YEAR('Valuation Summary'!$C$4)-5))</f>
        <v>2019</v>
      </c>
      <c r="D3" s="14">
        <v>2020</v>
      </c>
      <c r="E3" s="14">
        <v>2021</v>
      </c>
      <c r="F3" s="14">
        <v>2022</v>
      </c>
      <c r="G3" s="14">
        <v>2023</v>
      </c>
      <c r="H3" s="15">
        <v>2024</v>
      </c>
      <c r="I3" s="15">
        <v>2025</v>
      </c>
      <c r="J3" s="15">
        <v>2026</v>
      </c>
      <c r="K3" s="15">
        <v>2027</v>
      </c>
      <c r="L3" s="15">
        <v>2028</v>
      </c>
      <c r="M3" s="15"/>
      <c r="N3" s="15"/>
      <c r="O3" s="15"/>
      <c r="P3" s="15"/>
      <c r="Q3" s="15"/>
    </row>
    <row r="4" spans="2:17">
      <c r="B4" s="10" t="s">
        <v>66</v>
      </c>
      <c r="C4" s="109"/>
      <c r="D4" s="109"/>
      <c r="E4" s="109"/>
      <c r="F4" s="109"/>
      <c r="G4" s="109"/>
      <c r="H4" s="12"/>
      <c r="I4" s="12"/>
      <c r="J4" s="12"/>
      <c r="K4" s="12"/>
      <c r="L4" s="12"/>
      <c r="M4" s="12"/>
      <c r="N4" s="12"/>
      <c r="O4" s="12"/>
      <c r="P4" s="12"/>
      <c r="Q4" s="12"/>
    </row>
    <row r="5" spans="2:17">
      <c r="B5" s="23" t="str">
        <f>'Income Statement'!B37</f>
        <v>Net Income (Loss), GAAP</v>
      </c>
      <c r="C5" s="109">
        <f>'Income Statement'!C37</f>
        <v>5705</v>
      </c>
      <c r="D5" s="109">
        <f>'Income Statement'!D37</f>
        <v>3363</v>
      </c>
      <c r="E5" s="109">
        <f>'Income Statement'!E37</f>
        <v>6189</v>
      </c>
      <c r="F5" s="109">
        <f>'Income Statement'!F37</f>
        <v>3003</v>
      </c>
      <c r="G5" s="109">
        <f>'Income Statement'!G37</f>
        <v>6191</v>
      </c>
      <c r="H5" s="12">
        <f>IF(H$3="",0,'Income Statement'!H37)</f>
        <v>4453.7174480241902</v>
      </c>
      <c r="I5" s="12">
        <f>IF(I$3="",0,'Income Statement'!I37)</f>
        <v>4662.1813981108571</v>
      </c>
      <c r="J5" s="12">
        <f>IF(J$3="",0,'Income Statement'!J37)</f>
        <v>4877.6544843901675</v>
      </c>
      <c r="K5" s="12">
        <f>IF(K$3="",0,'Income Statement'!K37)</f>
        <v>5140.6921968377255</v>
      </c>
      <c r="L5" s="12">
        <f>IF(L$3="",0,'Income Statement'!L37)</f>
        <v>5374.7417829641299</v>
      </c>
      <c r="M5" s="12">
        <f>IF(M$3="",0,'Income Statement'!M37)</f>
        <v>0</v>
      </c>
      <c r="N5" s="12">
        <f>IF(N$3="",0,'Income Statement'!N37)</f>
        <v>0</v>
      </c>
      <c r="O5" s="12">
        <f>IF(O$3="",0,'Income Statement'!O37)</f>
        <v>0</v>
      </c>
      <c r="P5" s="12">
        <f>IF(P$3="",0,'Income Statement'!P37)</f>
        <v>0</v>
      </c>
      <c r="Q5" s="12">
        <f>IF(Q$3="",0,'Income Statement'!Q37)</f>
        <v>0</v>
      </c>
    </row>
    <row r="6" spans="2:17">
      <c r="B6" s="23" t="str">
        <f>'Income Statement'!B47</f>
        <v>Depreciation and Amortization</v>
      </c>
      <c r="C6" s="109">
        <f>'Income Statement'!C47</f>
        <v>3391</v>
      </c>
      <c r="D6" s="109">
        <f>'Income Statement'!D47</f>
        <v>3712</v>
      </c>
      <c r="E6" s="109">
        <f>'Income Statement'!E47</f>
        <v>3852</v>
      </c>
      <c r="F6" s="109">
        <f>'Income Statement'!F47</f>
        <v>4317</v>
      </c>
      <c r="G6" s="109">
        <f>'Income Statement'!G47</f>
        <v>4613</v>
      </c>
      <c r="H6" s="12">
        <f>IF(H$3="",0,'Income Statement'!H47)</f>
        <v>4063.2633229502667</v>
      </c>
      <c r="I6" s="12">
        <f>IF(I$3="",0,'Income Statement'!I47)</f>
        <v>4185.1612226387742</v>
      </c>
      <c r="J6" s="12">
        <f>IF(J$3="",0,'Income Statement'!J47)</f>
        <v>4310.7160593179369</v>
      </c>
      <c r="K6" s="12">
        <f>IF(K$3="",0,'Income Statement'!K47)</f>
        <v>4440.0375410974748</v>
      </c>
      <c r="L6" s="12">
        <f>IF(L$3="",0,'Income Statement'!L47)</f>
        <v>4573.2386673303999</v>
      </c>
      <c r="M6" s="12">
        <f>IF(M$3="",0,'Income Statement'!M47)</f>
        <v>0</v>
      </c>
      <c r="N6" s="12">
        <f>IF(N$3="",0,'Income Statement'!N47)</f>
        <v>0</v>
      </c>
      <c r="O6" s="12">
        <f>IF(O$3="",0,'Income Statement'!O47)</f>
        <v>0</v>
      </c>
      <c r="P6" s="12">
        <f>IF(P$3="",0,'Income Statement'!P47)</f>
        <v>0</v>
      </c>
      <c r="Q6" s="12">
        <f>IF(Q$3="",0,'Income Statement'!Q47)</f>
        <v>0</v>
      </c>
    </row>
    <row r="7" spans="2:17">
      <c r="B7" s="23" t="str">
        <f>Assumptions!B187</f>
        <v>Non-Cash Items</v>
      </c>
      <c r="C7" s="109">
        <f>Assumptions!D187</f>
        <v>65.2</v>
      </c>
      <c r="D7" s="109">
        <f>Assumptions!E187</f>
        <v>304.7</v>
      </c>
      <c r="E7" s="109">
        <f>Assumptions!F187</f>
        <v>207.1</v>
      </c>
      <c r="F7" s="109">
        <f>Assumptions!G187</f>
        <v>-36.799999999999997</v>
      </c>
      <c r="G7" s="109">
        <f>Assumptions!H187</f>
        <v>67.900000000000006</v>
      </c>
      <c r="H7" s="12">
        <f>IF(H$3="",0,H40*Assumptions!I189)</f>
        <v>0</v>
      </c>
      <c r="I7" s="12">
        <f>IF(I$3="",0,I40*Assumptions!J189)</f>
        <v>0</v>
      </c>
      <c r="J7" s="12">
        <f>IF(J$3="",0,J40*Assumptions!K189)</f>
        <v>0</v>
      </c>
      <c r="K7" s="12">
        <f>IF(K$3="",0,K40*Assumptions!L189)</f>
        <v>0</v>
      </c>
      <c r="L7" s="12">
        <f>IF(L$3="",0,L40*Assumptions!M189)</f>
        <v>0</v>
      </c>
      <c r="M7" s="12">
        <f>IF(M$3="",0,M40*Assumptions!N189)</f>
        <v>0</v>
      </c>
      <c r="N7" s="12">
        <f>IF(N$3="",0,N40*Assumptions!O189)</f>
        <v>0</v>
      </c>
      <c r="O7" s="12">
        <f>IF(O$3="",0,O40*Assumptions!P189)</f>
        <v>0</v>
      </c>
      <c r="P7" s="12">
        <f>IF(P$3="",0,P40*Assumptions!Q189)</f>
        <v>0</v>
      </c>
      <c r="Q7" s="12">
        <f>IF(Q$3="",0,Q40*Assumptions!R189)</f>
        <v>0</v>
      </c>
    </row>
    <row r="8" spans="2:17">
      <c r="B8" s="23" t="str">
        <f>Assumptions!B194</f>
        <v>Change in Non-Cash Working Capital</v>
      </c>
      <c r="C8" s="109">
        <f>Assumptions!D194</f>
        <v>-259</v>
      </c>
      <c r="D8" s="109">
        <f>Assumptions!E194</f>
        <v>-55</v>
      </c>
      <c r="E8" s="109">
        <f>Assumptions!F194</f>
        <v>-1590</v>
      </c>
      <c r="F8" s="109">
        <f>Assumptions!G194</f>
        <v>-432</v>
      </c>
      <c r="G8" s="109">
        <f>Assumptions!H194</f>
        <v>660</v>
      </c>
      <c r="H8" s="12">
        <f>IF(H$3="",0,IFERROR(AVERAGE(C8:G8),0))</f>
        <v>-335.2</v>
      </c>
      <c r="I8" s="12">
        <f t="shared" ref="I8:Q8" si="0">IF(I$3="",0,IFERROR(AVERAGE(D8:H8),0))</f>
        <v>-350.44</v>
      </c>
      <c r="J8" s="12">
        <f t="shared" si="0"/>
        <v>-409.52800000000002</v>
      </c>
      <c r="K8" s="12">
        <f t="shared" si="0"/>
        <v>-173.43360000000001</v>
      </c>
      <c r="L8" s="12">
        <f t="shared" si="0"/>
        <v>-121.72031999999999</v>
      </c>
      <c r="M8" s="12">
        <f t="shared" si="0"/>
        <v>0</v>
      </c>
      <c r="N8" s="12">
        <f t="shared" si="0"/>
        <v>0</v>
      </c>
      <c r="O8" s="12">
        <f t="shared" si="0"/>
        <v>0</v>
      </c>
      <c r="P8" s="12">
        <f t="shared" si="0"/>
        <v>0</v>
      </c>
      <c r="Q8" s="12">
        <f t="shared" si="0"/>
        <v>0</v>
      </c>
    </row>
    <row r="9" spans="2:17">
      <c r="B9" s="23" t="str">
        <f>Assumptions!B205</f>
        <v>Net Cash from Discontinued Operations</v>
      </c>
      <c r="C9" s="109">
        <f>Assumptions!D205</f>
        <v>0</v>
      </c>
      <c r="D9" s="109">
        <f>Assumptions!E205</f>
        <v>0</v>
      </c>
      <c r="E9" s="109">
        <f>Assumptions!F205</f>
        <v>0</v>
      </c>
      <c r="F9" s="109">
        <f>Assumptions!G205</f>
        <v>0</v>
      </c>
      <c r="G9" s="109">
        <f>Assumptions!H205</f>
        <v>0</v>
      </c>
      <c r="H9" s="12">
        <f>IF(H$3="",0,Assumptions!I205)</f>
        <v>0</v>
      </c>
      <c r="I9" s="12">
        <f>IF(I$3="",0,Assumptions!J205)</f>
        <v>0</v>
      </c>
      <c r="J9" s="12">
        <f>IF(J$3="",0,Assumptions!K205)</f>
        <v>0</v>
      </c>
      <c r="K9" s="12">
        <f>IF(K$3="",0,Assumptions!L205)</f>
        <v>0</v>
      </c>
      <c r="L9" s="12">
        <f>IF(L$3="",0,Assumptions!M205)</f>
        <v>0</v>
      </c>
      <c r="M9" s="12">
        <f>IF(M$3="",0,Assumptions!N205)</f>
        <v>0</v>
      </c>
      <c r="N9" s="12">
        <f>IF(N$3="",0,Assumptions!O205)</f>
        <v>0</v>
      </c>
      <c r="O9" s="12">
        <f>IF(O$3="",0,Assumptions!P205)</f>
        <v>0</v>
      </c>
      <c r="P9" s="12">
        <f>IF(P$3="",0,Assumptions!Q205)</f>
        <v>0</v>
      </c>
      <c r="Q9" s="12">
        <f>IF(Q$3="",0,Assumptions!R205)</f>
        <v>0</v>
      </c>
    </row>
    <row r="10" spans="2:17">
      <c r="B10" s="31" t="s">
        <v>69</v>
      </c>
      <c r="C10" s="112">
        <f>SUM(C5:C9)</f>
        <v>8902.2000000000007</v>
      </c>
      <c r="D10" s="112">
        <f t="shared" ref="D10:H10" si="1">SUM(D5:D9)</f>
        <v>7324.7</v>
      </c>
      <c r="E10" s="112">
        <f t="shared" si="1"/>
        <v>8658.1</v>
      </c>
      <c r="F10" s="112">
        <f t="shared" si="1"/>
        <v>6851.2</v>
      </c>
      <c r="G10" s="112">
        <f t="shared" si="1"/>
        <v>11531.9</v>
      </c>
      <c r="H10" s="32">
        <f t="shared" si="1"/>
        <v>8181.7807709744566</v>
      </c>
      <c r="I10" s="32">
        <f t="shared" ref="I10:Q10" si="2">SUM(I5:I9)</f>
        <v>8496.9026207496299</v>
      </c>
      <c r="J10" s="32">
        <f t="shared" si="2"/>
        <v>8778.8425437081041</v>
      </c>
      <c r="K10" s="32">
        <f t="shared" si="2"/>
        <v>9407.2961379352</v>
      </c>
      <c r="L10" s="32">
        <f t="shared" si="2"/>
        <v>9826.2601302945295</v>
      </c>
      <c r="M10" s="32">
        <f t="shared" si="2"/>
        <v>0</v>
      </c>
      <c r="N10" s="32">
        <f t="shared" si="2"/>
        <v>0</v>
      </c>
      <c r="O10" s="32">
        <f t="shared" si="2"/>
        <v>0</v>
      </c>
      <c r="P10" s="32">
        <f t="shared" si="2"/>
        <v>0</v>
      </c>
      <c r="Q10" s="32">
        <f t="shared" si="2"/>
        <v>0</v>
      </c>
    </row>
    <row r="11" spans="2:17">
      <c r="C11" s="109">
        <f>9398-C10</f>
        <v>495.79999999999927</v>
      </c>
      <c r="D11" s="109"/>
      <c r="E11" s="109"/>
      <c r="F11" s="109"/>
      <c r="G11" s="109"/>
      <c r="H11" s="12"/>
      <c r="I11" s="12"/>
      <c r="J11" s="12"/>
      <c r="K11" s="12"/>
      <c r="L11" s="12"/>
      <c r="M11" s="12"/>
      <c r="N11" s="12"/>
      <c r="O11" s="12"/>
      <c r="P11" s="12"/>
      <c r="Q11" s="12"/>
    </row>
    <row r="12" spans="2:17">
      <c r="B12" s="10" t="s">
        <v>71</v>
      </c>
      <c r="C12" s="109"/>
      <c r="D12" s="109"/>
      <c r="E12" s="109"/>
      <c r="F12" s="109"/>
      <c r="G12" s="109"/>
      <c r="H12" s="12"/>
      <c r="I12" s="12"/>
      <c r="J12" s="12"/>
      <c r="K12" s="12"/>
      <c r="L12" s="12"/>
      <c r="M12" s="12"/>
      <c r="N12" s="12"/>
      <c r="O12" s="12"/>
      <c r="P12" s="12"/>
      <c r="Q12" s="12"/>
    </row>
    <row r="13" spans="2:17">
      <c r="B13" s="23" t="s">
        <v>72</v>
      </c>
      <c r="C13" s="109">
        <f>-'Income Statement'!C44+Assumptions!D210</f>
        <v>-3382</v>
      </c>
      <c r="D13" s="109">
        <f>-'Income Statement'!D44+Assumptions!E210</f>
        <v>-5140</v>
      </c>
      <c r="E13" s="109">
        <f>-'Income Statement'!E44+Assumptions!F210</f>
        <v>-6555</v>
      </c>
      <c r="F13" s="109">
        <f>-'Income Statement'!F44+Assumptions!G210</f>
        <v>-4647</v>
      </c>
      <c r="G13" s="109">
        <f>-'Income Statement'!G44+Assumptions!H210</f>
        <v>-4654</v>
      </c>
      <c r="H13" s="12">
        <f>IF(H$3="",0,-'Income Statement'!H44+('Balance Sheet'!H12*Assumptions!I211))</f>
        <v>-4658.7415043921001</v>
      </c>
      <c r="I13" s="12">
        <f>IF(I$3="",0,-'Income Statement'!I44+('Balance Sheet'!I12*Assumptions!J211))</f>
        <v>-4811.7196579845349</v>
      </c>
      <c r="J13" s="12">
        <f>IF(J$3="",0,-'Income Statement'!J44+('Balance Sheet'!J12*Assumptions!K211))</f>
        <v>-4969.2871561847423</v>
      </c>
      <c r="K13" s="12">
        <f>IF(K$3="",0,-'Income Statement'!K44+('Balance Sheet'!K12*Assumptions!L211))</f>
        <v>-5131.5816793309559</v>
      </c>
      <c r="L13" s="12">
        <f>IF(L$3="",0,-'Income Statement'!L44+('Balance Sheet'!L12*Assumptions!M211))</f>
        <v>-5298.7450381715571</v>
      </c>
      <c r="M13" s="12">
        <f>IF(M$3="",0,-'Income Statement'!M44+('Balance Sheet'!M12*Assumptions!N211))</f>
        <v>0</v>
      </c>
      <c r="N13" s="12">
        <f>IF(N$3="",0,-'Income Statement'!N44+('Balance Sheet'!N12*Assumptions!O211))</f>
        <v>0</v>
      </c>
      <c r="O13" s="12">
        <f>IF(O$3="",0,-'Income Statement'!O44+('Balance Sheet'!O12*Assumptions!P211))</f>
        <v>0</v>
      </c>
      <c r="P13" s="12">
        <f>IF(P$3="",0,-'Income Statement'!P44+('Balance Sheet'!P12*Assumptions!Q211))</f>
        <v>0</v>
      </c>
      <c r="Q13" s="12">
        <f>IF(Q$3="",0,-'Income Statement'!Q44+('Balance Sheet'!Q12*Assumptions!R211))</f>
        <v>0</v>
      </c>
    </row>
    <row r="14" spans="2:17">
      <c r="B14" s="23" t="s">
        <v>73</v>
      </c>
      <c r="C14" s="109">
        <f>Assumptions!D214</f>
        <v>-1159</v>
      </c>
      <c r="D14" s="109">
        <f>Assumptions!E214</f>
        <v>-487</v>
      </c>
      <c r="E14" s="109">
        <f>Assumptions!F214</f>
        <v>-640</v>
      </c>
      <c r="F14" s="109">
        <f>Assumptions!G214</f>
        <v>-1041</v>
      </c>
      <c r="G14" s="109">
        <f>Assumptions!H214</f>
        <v>-1276</v>
      </c>
      <c r="H14" s="12">
        <f>IF(H$3="",0,IFERROR(AVERAGE(C14:G14),0))</f>
        <v>-920.6</v>
      </c>
      <c r="I14" s="12">
        <f t="shared" ref="I14:Q14" si="3">IF(I$3="",0,IFERROR(AVERAGE(D14:H14),0))</f>
        <v>-872.92000000000007</v>
      </c>
      <c r="J14" s="12">
        <f t="shared" si="3"/>
        <v>-950.10400000000004</v>
      </c>
      <c r="K14" s="12">
        <f t="shared" si="3"/>
        <v>-1012.1248000000002</v>
      </c>
      <c r="L14" s="12">
        <f t="shared" si="3"/>
        <v>-1006.3497600000001</v>
      </c>
      <c r="M14" s="12">
        <f t="shared" si="3"/>
        <v>0</v>
      </c>
      <c r="N14" s="12">
        <f t="shared" si="3"/>
        <v>0</v>
      </c>
      <c r="O14" s="12">
        <f t="shared" si="3"/>
        <v>0</v>
      </c>
      <c r="P14" s="12">
        <f t="shared" si="3"/>
        <v>0</v>
      </c>
      <c r="Q14" s="12">
        <f t="shared" si="3"/>
        <v>0</v>
      </c>
    </row>
    <row r="15" spans="2:17">
      <c r="B15" s="23" t="s">
        <v>74</v>
      </c>
      <c r="C15" s="109">
        <f>Assumptions!D217</f>
        <v>-200</v>
      </c>
      <c r="D15" s="109">
        <f>Assumptions!E217</f>
        <v>-239</v>
      </c>
      <c r="E15" s="109">
        <f>Assumptions!F217</f>
        <v>-4060</v>
      </c>
      <c r="F15" s="109">
        <f>Assumptions!G217</f>
        <v>-480</v>
      </c>
      <c r="G15" s="109">
        <f>Assumptions!H217</f>
        <v>-1176</v>
      </c>
      <c r="H15" s="12">
        <f>IF(H$3="",0,IFERROR(AVERAGE(C15:G15),0))</f>
        <v>-1231</v>
      </c>
      <c r="I15" s="12">
        <f t="shared" ref="I15:Q15" si="4">IF(I$3="",0,IFERROR(AVERAGE(D15:H15),0))</f>
        <v>-1437.2</v>
      </c>
      <c r="J15" s="12">
        <f t="shared" si="4"/>
        <v>-1676.8400000000001</v>
      </c>
      <c r="K15" s="12">
        <f t="shared" si="4"/>
        <v>-1200.2080000000001</v>
      </c>
      <c r="L15" s="12">
        <f t="shared" si="4"/>
        <v>-1344.2495999999999</v>
      </c>
      <c r="M15" s="12">
        <f t="shared" si="4"/>
        <v>0</v>
      </c>
      <c r="N15" s="12">
        <f t="shared" si="4"/>
        <v>0</v>
      </c>
      <c r="O15" s="12">
        <f t="shared" si="4"/>
        <v>0</v>
      </c>
      <c r="P15" s="12">
        <f t="shared" si="4"/>
        <v>0</v>
      </c>
      <c r="Q15" s="12">
        <f t="shared" si="4"/>
        <v>0</v>
      </c>
    </row>
    <row r="16" spans="2:17">
      <c r="B16" s="23" t="s">
        <v>75</v>
      </c>
      <c r="C16" s="109">
        <f>Assumptions!D220</f>
        <v>83</v>
      </c>
      <c r="D16" s="109">
        <f>Assumptions!E220</f>
        <v>689</v>
      </c>
      <c r="E16" s="109">
        <f>Assumptions!F220</f>
        <v>598</v>
      </c>
      <c r="F16" s="109">
        <f>Assumptions!G220</f>
        <v>898</v>
      </c>
      <c r="G16" s="109">
        <f>Assumptions!H220</f>
        <v>1063</v>
      </c>
      <c r="H16" s="12">
        <f>IF(H$3="",0,IFERROR(AVERAGE(C16:G16),0))</f>
        <v>666.2</v>
      </c>
      <c r="I16" s="12">
        <f t="shared" ref="I16:Q16" si="5">IF(I$3="",0,IFERROR(AVERAGE(D16:H16),0))</f>
        <v>782.83999999999992</v>
      </c>
      <c r="J16" s="12">
        <f t="shared" si="5"/>
        <v>801.60799999999995</v>
      </c>
      <c r="K16" s="12">
        <f t="shared" si="5"/>
        <v>842.32960000000003</v>
      </c>
      <c r="L16" s="12">
        <f t="shared" si="5"/>
        <v>831.19551999999999</v>
      </c>
      <c r="M16" s="12">
        <f t="shared" si="5"/>
        <v>0</v>
      </c>
      <c r="N16" s="12">
        <f t="shared" si="5"/>
        <v>0</v>
      </c>
      <c r="O16" s="12">
        <f t="shared" si="5"/>
        <v>0</v>
      </c>
      <c r="P16" s="12">
        <f t="shared" si="5"/>
        <v>0</v>
      </c>
      <c r="Q16" s="12">
        <f t="shared" si="5"/>
        <v>0</v>
      </c>
    </row>
    <row r="17" spans="2:17">
      <c r="B17" s="23" t="s">
        <v>68</v>
      </c>
      <c r="C17" s="109">
        <f>Assumptions!D223</f>
        <v>0</v>
      </c>
      <c r="D17" s="109">
        <f>Assumptions!E223</f>
        <v>0</v>
      </c>
      <c r="E17" s="109">
        <f>Assumptions!F223</f>
        <v>0</v>
      </c>
      <c r="F17" s="109">
        <f>Assumptions!G223</f>
        <v>0</v>
      </c>
      <c r="G17" s="109">
        <f>Assumptions!H223</f>
        <v>0</v>
      </c>
      <c r="H17" s="12">
        <f>IF(H$3="",0,IFERROR(AVERAGE(C17:G17),0))</f>
        <v>0</v>
      </c>
      <c r="I17" s="12">
        <f t="shared" ref="I17:Q17" si="6">IF(I$3="",0,IFERROR(AVERAGE(D17:H17),0))</f>
        <v>0</v>
      </c>
      <c r="J17" s="12">
        <f t="shared" si="6"/>
        <v>0</v>
      </c>
      <c r="K17" s="12">
        <f t="shared" si="6"/>
        <v>0</v>
      </c>
      <c r="L17" s="12">
        <f t="shared" si="6"/>
        <v>0</v>
      </c>
      <c r="M17" s="12">
        <f t="shared" si="6"/>
        <v>0</v>
      </c>
      <c r="N17" s="12">
        <f t="shared" si="6"/>
        <v>0</v>
      </c>
      <c r="O17" s="12">
        <f t="shared" si="6"/>
        <v>0</v>
      </c>
      <c r="P17" s="12">
        <f t="shared" si="6"/>
        <v>0</v>
      </c>
      <c r="Q17" s="12">
        <f t="shared" si="6"/>
        <v>0</v>
      </c>
    </row>
    <row r="18" spans="2:17">
      <c r="B18" s="31" t="s">
        <v>76</v>
      </c>
      <c r="C18" s="112">
        <f>SUM(C13:C17)</f>
        <v>-4658</v>
      </c>
      <c r="D18" s="112">
        <f t="shared" ref="D18:H18" si="7">SUM(D13:D17)</f>
        <v>-5177</v>
      </c>
      <c r="E18" s="112">
        <f t="shared" si="7"/>
        <v>-10657</v>
      </c>
      <c r="F18" s="112">
        <f t="shared" si="7"/>
        <v>-5270</v>
      </c>
      <c r="G18" s="112">
        <f t="shared" si="7"/>
        <v>-6043</v>
      </c>
      <c r="H18" s="32">
        <f t="shared" si="7"/>
        <v>-6144.1415043921006</v>
      </c>
      <c r="I18" s="32">
        <f t="shared" ref="I18:Q18" si="8">SUM(I13:I17)</f>
        <v>-6338.9996579845347</v>
      </c>
      <c r="J18" s="32">
        <f t="shared" si="8"/>
        <v>-6794.6231561847426</v>
      </c>
      <c r="K18" s="32">
        <f t="shared" si="8"/>
        <v>-6501.5848793309569</v>
      </c>
      <c r="L18" s="32">
        <f t="shared" si="8"/>
        <v>-6818.148878171557</v>
      </c>
      <c r="M18" s="32">
        <f t="shared" si="8"/>
        <v>0</v>
      </c>
      <c r="N18" s="32">
        <f t="shared" si="8"/>
        <v>0</v>
      </c>
      <c r="O18" s="32">
        <f t="shared" si="8"/>
        <v>0</v>
      </c>
      <c r="P18" s="32">
        <f t="shared" si="8"/>
        <v>0</v>
      </c>
      <c r="Q18" s="32">
        <f t="shared" si="8"/>
        <v>0</v>
      </c>
    </row>
    <row r="19" spans="2:17">
      <c r="C19" s="109"/>
      <c r="D19" s="109"/>
      <c r="E19" s="109"/>
      <c r="F19" s="109"/>
      <c r="G19" s="109"/>
      <c r="H19" s="12"/>
      <c r="I19" s="12"/>
      <c r="J19" s="12"/>
      <c r="K19" s="12"/>
      <c r="L19" s="12"/>
      <c r="M19" s="12"/>
      <c r="N19" s="12"/>
      <c r="O19" s="12"/>
      <c r="P19" s="12"/>
      <c r="Q19" s="12"/>
    </row>
    <row r="20" spans="2:17">
      <c r="C20" s="109"/>
      <c r="D20" s="109"/>
      <c r="E20" s="109"/>
      <c r="F20" s="109"/>
      <c r="G20" s="109"/>
      <c r="H20" s="12"/>
      <c r="I20" s="12"/>
      <c r="J20" s="12"/>
      <c r="K20" s="12"/>
      <c r="L20" s="12"/>
      <c r="M20" s="12"/>
      <c r="N20" s="12"/>
      <c r="O20" s="12"/>
      <c r="P20" s="12"/>
      <c r="Q20" s="12"/>
    </row>
    <row r="21" spans="2:17">
      <c r="B21" s="10" t="s">
        <v>77</v>
      </c>
      <c r="C21" s="109"/>
      <c r="D21" s="109"/>
      <c r="E21" s="109"/>
      <c r="F21" s="109"/>
      <c r="G21" s="109"/>
      <c r="H21" s="12"/>
      <c r="I21" s="12"/>
      <c r="J21" s="12"/>
      <c r="K21" s="12"/>
      <c r="L21" s="12"/>
      <c r="M21" s="12"/>
      <c r="N21" s="12"/>
      <c r="O21" s="12"/>
      <c r="P21" s="12"/>
      <c r="Q21" s="12"/>
    </row>
    <row r="22" spans="2:17">
      <c r="B22" s="23" t="str">
        <f>Assumptions!B226</f>
        <v>Dividends Paid</v>
      </c>
      <c r="C22" s="109">
        <f>Assumptions!D226</f>
        <v>-6356</v>
      </c>
      <c r="D22" s="109">
        <f>Assumptions!E226</f>
        <v>-6940</v>
      </c>
      <c r="E22" s="109">
        <f>Assumptions!F226</f>
        <v>-7133</v>
      </c>
      <c r="F22" s="109">
        <f>Assumptions!G226</f>
        <v>-7306</v>
      </c>
      <c r="G22" s="109">
        <f>Assumptions!H226</f>
        <v>-7628</v>
      </c>
      <c r="H22" s="12">
        <f>IF(H$3="",0,H41*Assumptions!I227)</f>
        <v>-7121.7474660412654</v>
      </c>
      <c r="I22" s="12">
        <f>IF(I$3="",0,I41*Assumptions!J227)</f>
        <v>-7455.0931768135779</v>
      </c>
      <c r="J22" s="12">
        <f>IF(J$3="",0,J41*Assumptions!K227)</f>
        <v>-7799.6468949419113</v>
      </c>
      <c r="K22" s="12">
        <f>IF(K$3="",0,K41*Assumptions!L227)</f>
        <v>-8220.2591551399037</v>
      </c>
      <c r="L22" s="12">
        <f>IF(L$3="",0,L41*Assumptions!M227)</f>
        <v>-8594.5177529014636</v>
      </c>
      <c r="M22" s="12">
        <f>IF(M$3="",0,M41*Assumptions!N227)</f>
        <v>0</v>
      </c>
      <c r="N22" s="12">
        <f>IF(N$3="",0,N41*Assumptions!O227)</f>
        <v>0</v>
      </c>
      <c r="O22" s="12">
        <f>IF(O$3="",0,O41*Assumptions!P227)</f>
        <v>0</v>
      </c>
      <c r="P22" s="12">
        <f>IF(P$3="",0,P41*Assumptions!Q227)</f>
        <v>0</v>
      </c>
      <c r="Q22" s="12">
        <f>IF(Q$3="",0,Q41*Assumptions!R227)</f>
        <v>0</v>
      </c>
    </row>
    <row r="23" spans="2:17">
      <c r="B23" s="23" t="str">
        <f>Assumptions!B230</f>
        <v>Net Cash from (Repayment) Debt</v>
      </c>
      <c r="C23" s="109">
        <f>Assumptions!D230</f>
        <v>2206</v>
      </c>
      <c r="D23" s="109">
        <f>Assumptions!E230</f>
        <v>2532</v>
      </c>
      <c r="E23" s="109">
        <f>Assumptions!F230</f>
        <v>9122</v>
      </c>
      <c r="F23" s="109">
        <f>Assumptions!G230</f>
        <v>2497</v>
      </c>
      <c r="G23" s="109">
        <f>Assumptions!H230</f>
        <v>805</v>
      </c>
      <c r="H23" s="12">
        <f>IF(H$3="",0,IFERROR(AVERAGE(C23:G23),0))</f>
        <v>3432.4</v>
      </c>
      <c r="I23" s="12">
        <f t="shared" ref="I23:Q23" si="9">IF(I$3="",0,IFERROR(AVERAGE(D23:H23),0))</f>
        <v>3677.6800000000003</v>
      </c>
      <c r="J23" s="12">
        <f t="shared" si="9"/>
        <v>3906.8160000000003</v>
      </c>
      <c r="K23" s="12">
        <f t="shared" si="9"/>
        <v>2863.7791999999999</v>
      </c>
      <c r="L23" s="12">
        <f t="shared" si="9"/>
        <v>2937.1350400000001</v>
      </c>
      <c r="M23" s="12">
        <f t="shared" si="9"/>
        <v>0</v>
      </c>
      <c r="N23" s="12">
        <f t="shared" si="9"/>
        <v>0</v>
      </c>
      <c r="O23" s="12">
        <f t="shared" si="9"/>
        <v>0</v>
      </c>
      <c r="P23" s="12">
        <f t="shared" si="9"/>
        <v>0</v>
      </c>
      <c r="Q23" s="12">
        <f t="shared" si="9"/>
        <v>0</v>
      </c>
    </row>
    <row r="24" spans="2:17">
      <c r="B24" s="23" t="str">
        <f>Assumptions!B233</f>
        <v>Cash (Repurchase) of Equity</v>
      </c>
      <c r="C24" s="109">
        <f>Assumptions!D233</f>
        <v>-282</v>
      </c>
      <c r="D24" s="109">
        <f>Assumptions!E233</f>
        <v>5</v>
      </c>
      <c r="E24" s="109">
        <f>Assumptions!F233</f>
        <v>-410</v>
      </c>
      <c r="F24" s="109">
        <f>Assumptions!G233</f>
        <v>-1151</v>
      </c>
      <c r="G24" s="109">
        <f>Assumptions!H233</f>
        <v>4325</v>
      </c>
      <c r="H24" s="12">
        <f>IF(H$3="",0,IFERROR(AVERAGE(C24:G24),0))</f>
        <v>497.4</v>
      </c>
      <c r="I24" s="12">
        <f t="shared" ref="I24:Q24" si="10">IF(I$3="",0,IFERROR(AVERAGE(D24:H24),0))</f>
        <v>653.28</v>
      </c>
      <c r="J24" s="12">
        <f t="shared" si="10"/>
        <v>782.93600000000004</v>
      </c>
      <c r="K24" s="12">
        <f t="shared" si="10"/>
        <v>1021.5232</v>
      </c>
      <c r="L24" s="12">
        <f t="shared" si="10"/>
        <v>1456.0278399999997</v>
      </c>
      <c r="M24" s="12">
        <f t="shared" si="10"/>
        <v>0</v>
      </c>
      <c r="N24" s="12">
        <f t="shared" si="10"/>
        <v>0</v>
      </c>
      <c r="O24" s="12">
        <f t="shared" si="10"/>
        <v>0</v>
      </c>
      <c r="P24" s="12">
        <f t="shared" si="10"/>
        <v>0</v>
      </c>
      <c r="Q24" s="12">
        <f t="shared" si="10"/>
        <v>0</v>
      </c>
    </row>
    <row r="25" spans="2:17">
      <c r="B25" s="23" t="str">
        <f>Assumptions!B236</f>
        <v>Other Financing Activities</v>
      </c>
      <c r="C25" s="109">
        <f>Assumptions!D236</f>
        <v>-313</v>
      </c>
      <c r="D25" s="109">
        <f>Assumptions!E236</f>
        <v>-367</v>
      </c>
      <c r="E25" s="109">
        <f>Assumptions!F236</f>
        <v>-343</v>
      </c>
      <c r="F25" s="109">
        <f>Assumptions!G236</f>
        <v>532</v>
      </c>
      <c r="G25" s="109">
        <f>Assumptions!H236</f>
        <v>-366</v>
      </c>
      <c r="H25" s="12">
        <f>IF(H$3="",0,IFERROR(AVERAGE(C25:G25),0))</f>
        <v>-171.4</v>
      </c>
      <c r="I25" s="12">
        <f t="shared" ref="I25:Q25" si="11">IF(I$3="",0,IFERROR(AVERAGE(D25:H25),0))</f>
        <v>-143.07999999999998</v>
      </c>
      <c r="J25" s="12">
        <f t="shared" si="11"/>
        <v>-98.295999999999992</v>
      </c>
      <c r="K25" s="12">
        <f t="shared" si="11"/>
        <v>-49.355199999999996</v>
      </c>
      <c r="L25" s="12">
        <f t="shared" si="11"/>
        <v>-165.62624</v>
      </c>
      <c r="M25" s="12">
        <f t="shared" si="11"/>
        <v>0</v>
      </c>
      <c r="N25" s="12">
        <f t="shared" si="11"/>
        <v>0</v>
      </c>
      <c r="O25" s="12">
        <f t="shared" si="11"/>
        <v>0</v>
      </c>
      <c r="P25" s="12">
        <f t="shared" si="11"/>
        <v>0</v>
      </c>
      <c r="Q25" s="12">
        <f t="shared" si="11"/>
        <v>0</v>
      </c>
    </row>
    <row r="26" spans="2:17">
      <c r="B26" s="23" t="str">
        <f>Assumptions!B239</f>
        <v>Net Cash from Discontinued Operations</v>
      </c>
      <c r="C26" s="109">
        <f>Assumptions!D239</f>
        <v>0</v>
      </c>
      <c r="D26" s="109">
        <f>Assumptions!E239</f>
        <v>0</v>
      </c>
      <c r="E26" s="109">
        <f>Assumptions!F239</f>
        <v>0</v>
      </c>
      <c r="F26" s="109">
        <f>Assumptions!G239</f>
        <v>0</v>
      </c>
      <c r="G26" s="109">
        <f>Assumptions!H239</f>
        <v>0</v>
      </c>
      <c r="H26" s="12">
        <f>IF(H$3="",0,IFERROR(AVERAGE(C26:G26),0))</f>
        <v>0</v>
      </c>
      <c r="I26" s="12">
        <f t="shared" ref="I26:Q26" si="12">IF(I$3="",0,IFERROR(AVERAGE(D26:H26),0))</f>
        <v>0</v>
      </c>
      <c r="J26" s="12">
        <f t="shared" si="12"/>
        <v>0</v>
      </c>
      <c r="K26" s="12">
        <f t="shared" si="12"/>
        <v>0</v>
      </c>
      <c r="L26" s="12">
        <f t="shared" si="12"/>
        <v>0</v>
      </c>
      <c r="M26" s="12">
        <f t="shared" si="12"/>
        <v>0</v>
      </c>
      <c r="N26" s="12">
        <f t="shared" si="12"/>
        <v>0</v>
      </c>
      <c r="O26" s="12">
        <f t="shared" si="12"/>
        <v>0</v>
      </c>
      <c r="P26" s="12">
        <f t="shared" si="12"/>
        <v>0</v>
      </c>
      <c r="Q26" s="12">
        <f t="shared" si="12"/>
        <v>0</v>
      </c>
    </row>
    <row r="27" spans="2:17">
      <c r="B27" s="31" t="s">
        <v>82</v>
      </c>
      <c r="C27" s="112">
        <f>SUM(C22:C26)</f>
        <v>-4745</v>
      </c>
      <c r="D27" s="112">
        <f t="shared" ref="D27:H27" si="13">SUM(D22:D26)</f>
        <v>-4770</v>
      </c>
      <c r="E27" s="112">
        <f t="shared" si="13"/>
        <v>1236</v>
      </c>
      <c r="F27" s="112">
        <f t="shared" si="13"/>
        <v>-5428</v>
      </c>
      <c r="G27" s="112">
        <f t="shared" si="13"/>
        <v>-2864</v>
      </c>
      <c r="H27" s="32">
        <f t="shared" si="13"/>
        <v>-3363.3474660412653</v>
      </c>
      <c r="I27" s="32">
        <f t="shared" ref="I27:Q27" si="14">SUM(I22:I26)</f>
        <v>-3267.2131768135778</v>
      </c>
      <c r="J27" s="32">
        <f t="shared" si="14"/>
        <v>-3208.1908949419108</v>
      </c>
      <c r="K27" s="32">
        <f t="shared" si="14"/>
        <v>-4384.3119551399041</v>
      </c>
      <c r="L27" s="32">
        <f t="shared" si="14"/>
        <v>-4366.9811129014633</v>
      </c>
      <c r="M27" s="32">
        <f t="shared" si="14"/>
        <v>0</v>
      </c>
      <c r="N27" s="32">
        <f t="shared" si="14"/>
        <v>0</v>
      </c>
      <c r="O27" s="32">
        <f t="shared" si="14"/>
        <v>0</v>
      </c>
      <c r="P27" s="32">
        <f t="shared" si="14"/>
        <v>0</v>
      </c>
      <c r="Q27" s="32">
        <f t="shared" si="14"/>
        <v>0</v>
      </c>
    </row>
    <row r="28" spans="2:17">
      <c r="C28" s="109"/>
      <c r="D28" s="109"/>
      <c r="E28" s="109"/>
      <c r="F28" s="109"/>
      <c r="G28" s="109"/>
      <c r="H28" s="12"/>
      <c r="I28" s="12"/>
      <c r="J28" s="12"/>
      <c r="K28" s="12"/>
      <c r="L28" s="12"/>
      <c r="M28" s="12"/>
      <c r="N28" s="12"/>
      <c r="O28" s="12"/>
      <c r="P28" s="12"/>
      <c r="Q28" s="12"/>
    </row>
    <row r="29" spans="2:17">
      <c r="B29" s="38" t="str">
        <f>Assumptions!B242</f>
        <v>Effect of Foreign Exchange Rates</v>
      </c>
      <c r="C29" s="109">
        <f>+Assumptions!D242</f>
        <v>44</v>
      </c>
      <c r="D29" s="109">
        <f>+Assumptions!E242</f>
        <v>-20</v>
      </c>
      <c r="E29" s="109">
        <f>+Assumptions!F242</f>
        <v>-5</v>
      </c>
      <c r="F29" s="109">
        <f>+Assumptions!G242</f>
        <v>55</v>
      </c>
      <c r="G29" s="109">
        <f>+Assumptions!H242</f>
        <v>-216</v>
      </c>
      <c r="H29" s="12">
        <f>IF(H$3="",0,IFERROR(AVERAGE(C29:G29),0))</f>
        <v>-28.4</v>
      </c>
      <c r="I29" s="12">
        <f t="shared" ref="I29:Q29" si="15">IF(I$3="",0,IFERROR(AVERAGE(D29:H29),0))</f>
        <v>-42.88</v>
      </c>
      <c r="J29" s="12">
        <f t="shared" si="15"/>
        <v>-47.456000000000003</v>
      </c>
      <c r="K29" s="12">
        <f t="shared" si="15"/>
        <v>-55.947199999999995</v>
      </c>
      <c r="L29" s="12">
        <f t="shared" si="15"/>
        <v>-78.136640000000014</v>
      </c>
      <c r="M29" s="12">
        <f t="shared" si="15"/>
        <v>0</v>
      </c>
      <c r="N29" s="12">
        <f t="shared" si="15"/>
        <v>0</v>
      </c>
      <c r="O29" s="12">
        <f t="shared" si="15"/>
        <v>0</v>
      </c>
      <c r="P29" s="12">
        <f t="shared" si="15"/>
        <v>0</v>
      </c>
      <c r="Q29" s="12">
        <f t="shared" si="15"/>
        <v>0</v>
      </c>
    </row>
    <row r="30" spans="2:17">
      <c r="C30" s="109"/>
      <c r="D30" s="109"/>
      <c r="E30" s="109"/>
      <c r="F30" s="109"/>
      <c r="G30" s="109"/>
      <c r="H30" s="12"/>
      <c r="I30" s="12"/>
      <c r="J30" s="12"/>
      <c r="K30" s="12"/>
      <c r="L30" s="12"/>
      <c r="M30" s="12"/>
      <c r="N30" s="12"/>
      <c r="O30" s="12"/>
      <c r="P30" s="12"/>
      <c r="Q30" s="12"/>
    </row>
    <row r="31" spans="2:17" ht="12" thickBot="1">
      <c r="B31" s="44" t="s">
        <v>111</v>
      </c>
      <c r="C31" s="111">
        <f>SUM(C10,C18,C27,C29)</f>
        <v>-456.79999999999927</v>
      </c>
      <c r="D31" s="111">
        <f t="shared" ref="D31:H31" si="16">SUM(D10,D18,D27,D29)</f>
        <v>-2642.3</v>
      </c>
      <c r="E31" s="111">
        <f t="shared" si="16"/>
        <v>-767.89999999999964</v>
      </c>
      <c r="F31" s="111">
        <f t="shared" si="16"/>
        <v>-3791.8</v>
      </c>
      <c r="G31" s="111">
        <f t="shared" si="16"/>
        <v>2408.8999999999996</v>
      </c>
      <c r="H31" s="34">
        <f t="shared" si="16"/>
        <v>-1354.1081994589094</v>
      </c>
      <c r="I31" s="34">
        <f t="shared" ref="I31:Q31" si="17">SUM(I10,I18,I27,I29)</f>
        <v>-1152.1902140484826</v>
      </c>
      <c r="J31" s="34">
        <f t="shared" si="17"/>
        <v>-1271.4275074185491</v>
      </c>
      <c r="K31" s="34">
        <f t="shared" si="17"/>
        <v>-1534.547896535661</v>
      </c>
      <c r="L31" s="34">
        <f t="shared" si="17"/>
        <v>-1437.0065007784908</v>
      </c>
      <c r="M31" s="34">
        <f t="shared" si="17"/>
        <v>0</v>
      </c>
      <c r="N31" s="34">
        <f t="shared" si="17"/>
        <v>0</v>
      </c>
      <c r="O31" s="34">
        <f t="shared" si="17"/>
        <v>0</v>
      </c>
      <c r="P31" s="34">
        <f t="shared" si="17"/>
        <v>0</v>
      </c>
      <c r="Q31" s="34">
        <f t="shared" si="17"/>
        <v>0</v>
      </c>
    </row>
    <row r="32" spans="2:17">
      <c r="C32" s="114"/>
      <c r="D32" s="114"/>
      <c r="E32" s="114"/>
      <c r="F32" s="114"/>
      <c r="G32" s="114"/>
    </row>
    <row r="33" spans="2:17">
      <c r="B33" s="10" t="s">
        <v>117</v>
      </c>
      <c r="C33" s="109"/>
      <c r="D33" s="109"/>
      <c r="E33" s="109"/>
      <c r="F33" s="109"/>
      <c r="G33" s="109"/>
      <c r="H33" s="12"/>
      <c r="I33" s="12"/>
      <c r="J33" s="12"/>
      <c r="K33" s="12"/>
      <c r="L33" s="12"/>
      <c r="M33" s="12"/>
      <c r="N33" s="12"/>
      <c r="O33" s="12"/>
      <c r="P33" s="12"/>
      <c r="Q33" s="12"/>
    </row>
    <row r="34" spans="2:17">
      <c r="B34" s="23" t="str">
        <f>+Assumptions!B245</f>
        <v>Opening Cash</v>
      </c>
      <c r="C34" s="109">
        <f>+Assumptions!C246+C31</f>
        <v>49.200000000000728</v>
      </c>
      <c r="D34" s="109">
        <f>+C36</f>
        <v>48.200000000000728</v>
      </c>
      <c r="E34" s="109">
        <f t="shared" ref="E34:G34" si="18">+D36</f>
        <v>-2631.0999999999995</v>
      </c>
      <c r="F34" s="109">
        <f t="shared" si="18"/>
        <v>-3394.9999999999991</v>
      </c>
      <c r="G34" s="109">
        <f t="shared" si="18"/>
        <v>-7198.7999999999993</v>
      </c>
      <c r="H34" s="12">
        <f>IF(H$3="",0,G36)</f>
        <v>-4827.8999999999996</v>
      </c>
      <c r="I34" s="12">
        <f t="shared" ref="I34:Q34" si="19">IF(I$3="",0,H36)</f>
        <v>-6198.8081994589093</v>
      </c>
      <c r="J34" s="12">
        <f t="shared" si="19"/>
        <v>-7367.7984135073921</v>
      </c>
      <c r="K34" s="12">
        <f t="shared" si="19"/>
        <v>-8656.0259209259402</v>
      </c>
      <c r="L34" s="12">
        <f t="shared" si="19"/>
        <v>-10207.373817461601</v>
      </c>
      <c r="M34" s="12">
        <f t="shared" si="19"/>
        <v>0</v>
      </c>
      <c r="N34" s="12">
        <f t="shared" si="19"/>
        <v>0</v>
      </c>
      <c r="O34" s="12">
        <f t="shared" si="19"/>
        <v>0</v>
      </c>
      <c r="P34" s="12">
        <f t="shared" si="19"/>
        <v>0</v>
      </c>
      <c r="Q34" s="12">
        <f t="shared" si="19"/>
        <v>0</v>
      </c>
    </row>
    <row r="35" spans="2:17">
      <c r="B35" s="23" t="str">
        <f>Assumptions!B248</f>
        <v>Restricted Cash</v>
      </c>
      <c r="C35" s="109">
        <f>+Assumptions!D250</f>
        <v>1</v>
      </c>
      <c r="D35" s="109">
        <f>+Assumptions!E250</f>
        <v>37</v>
      </c>
      <c r="E35" s="109">
        <f>+Assumptions!F250</f>
        <v>-4</v>
      </c>
      <c r="F35" s="109">
        <f>+Assumptions!G250</f>
        <v>12</v>
      </c>
      <c r="G35" s="109">
        <f>+Assumptions!H250</f>
        <v>38</v>
      </c>
      <c r="H35" s="12">
        <f>IF(H$3="",0,Assumptions!I250)</f>
        <v>16.8</v>
      </c>
      <c r="I35" s="12">
        <f>IF(I$3="",0,Assumptions!J250)</f>
        <v>16.8</v>
      </c>
      <c r="J35" s="12">
        <f>IF(J$3="",0,Assumptions!K250)</f>
        <v>16.8</v>
      </c>
      <c r="K35" s="12">
        <f>IF(K$3="",0,Assumptions!L250)</f>
        <v>16.8</v>
      </c>
      <c r="L35" s="12">
        <f>IF(L$3="",0,Assumptions!M250)</f>
        <v>16.8</v>
      </c>
      <c r="M35" s="12">
        <f>IF(M$3="",0,Assumptions!N250)</f>
        <v>0</v>
      </c>
      <c r="N35" s="12">
        <f>IF(N$3="",0,Assumptions!O250)</f>
        <v>0</v>
      </c>
      <c r="O35" s="12">
        <f>IF(O$3="",0,Assumptions!P250)</f>
        <v>0</v>
      </c>
      <c r="P35" s="12">
        <f>IF(P$3="",0,Assumptions!Q250)</f>
        <v>0</v>
      </c>
      <c r="Q35" s="12">
        <f>IF(Q$3="",0,Assumptions!R250)</f>
        <v>0</v>
      </c>
    </row>
    <row r="36" spans="2:17" ht="12" thickBot="1">
      <c r="B36" s="43" t="s">
        <v>116</v>
      </c>
      <c r="C36" s="99">
        <f>+C34-C35</f>
        <v>48.200000000000728</v>
      </c>
      <c r="D36" s="99">
        <f>+D31+D34-D35</f>
        <v>-2631.0999999999995</v>
      </c>
      <c r="E36" s="99">
        <f t="shared" ref="E36:G36" si="20">+E31+E34-E35</f>
        <v>-3394.9999999999991</v>
      </c>
      <c r="F36" s="99">
        <f t="shared" si="20"/>
        <v>-7198.7999999999993</v>
      </c>
      <c r="G36" s="99">
        <f t="shared" si="20"/>
        <v>-4827.8999999999996</v>
      </c>
      <c r="H36" s="39">
        <f>+H31+H34-H35</f>
        <v>-6198.8081994589093</v>
      </c>
      <c r="I36" s="39">
        <f t="shared" ref="I36:Q36" si="21">+I31+I34-I35</f>
        <v>-7367.7984135073921</v>
      </c>
      <c r="J36" s="39">
        <f t="shared" si="21"/>
        <v>-8656.0259209259402</v>
      </c>
      <c r="K36" s="39">
        <f t="shared" si="21"/>
        <v>-10207.373817461601</v>
      </c>
      <c r="L36" s="39">
        <f t="shared" si="21"/>
        <v>-11661.180318240091</v>
      </c>
      <c r="M36" s="39">
        <f t="shared" si="21"/>
        <v>0</v>
      </c>
      <c r="N36" s="39">
        <f t="shared" si="21"/>
        <v>0</v>
      </c>
      <c r="O36" s="39">
        <f t="shared" si="21"/>
        <v>0</v>
      </c>
      <c r="P36" s="39">
        <f t="shared" si="21"/>
        <v>0</v>
      </c>
      <c r="Q36" s="39">
        <f t="shared" si="21"/>
        <v>0</v>
      </c>
    </row>
    <row r="37" spans="2:17" ht="12" thickTop="1">
      <c r="C37" s="12"/>
      <c r="D37" s="12"/>
      <c r="E37" s="12"/>
      <c r="F37" s="12"/>
      <c r="G37" s="12"/>
      <c r="H37" s="12"/>
      <c r="I37" s="12"/>
      <c r="J37" s="12"/>
      <c r="K37" s="12"/>
      <c r="L37" s="12"/>
      <c r="M37" s="12"/>
      <c r="N37" s="12"/>
      <c r="O37" s="12"/>
      <c r="P37" s="12"/>
      <c r="Q37" s="12"/>
    </row>
    <row r="38" spans="2:17">
      <c r="C38" s="12"/>
      <c r="D38" s="12"/>
      <c r="E38" s="12"/>
      <c r="F38" s="12"/>
      <c r="G38" s="12"/>
      <c r="H38" s="12"/>
      <c r="I38" s="12"/>
      <c r="J38" s="12"/>
      <c r="K38" s="12"/>
      <c r="L38" s="12"/>
      <c r="M38" s="12"/>
      <c r="N38" s="12"/>
      <c r="O38" s="12"/>
      <c r="P38" s="12"/>
      <c r="Q38" s="12"/>
    </row>
    <row r="39" spans="2:17">
      <c r="B39" s="30" t="s">
        <v>86</v>
      </c>
      <c r="C39" s="40"/>
      <c r="D39" s="40"/>
      <c r="E39" s="40"/>
      <c r="F39" s="40"/>
      <c r="G39" s="40"/>
      <c r="H39" s="40"/>
      <c r="I39" s="40"/>
      <c r="J39" s="40"/>
      <c r="K39" s="40"/>
      <c r="L39" s="40"/>
      <c r="M39" s="40"/>
      <c r="N39" s="40"/>
      <c r="O39" s="40"/>
      <c r="P39" s="40"/>
      <c r="Q39" s="40"/>
    </row>
    <row r="40" spans="2:17">
      <c r="B40" s="1" t="str">
        <f>'Income Statement'!B4</f>
        <v>Revenue</v>
      </c>
      <c r="C40" s="12">
        <f>'Income Statement'!C4</f>
        <v>50069</v>
      </c>
      <c r="D40" s="12">
        <f>'Income Statement'!D4</f>
        <v>39087</v>
      </c>
      <c r="E40" s="12">
        <f>'Income Statement'!E4</f>
        <v>47071</v>
      </c>
      <c r="F40" s="12">
        <f>'Income Statement'!F4</f>
        <v>53309</v>
      </c>
      <c r="G40" s="12">
        <f>'Income Statement'!G4</f>
        <v>43649</v>
      </c>
      <c r="H40" s="12">
        <f>'Income Statement'!H4</f>
        <v>44958.47</v>
      </c>
      <c r="I40" s="12">
        <f>'Income Statement'!I4</f>
        <v>46307.224099999999</v>
      </c>
      <c r="J40" s="12">
        <f>'Income Statement'!J4</f>
        <v>47696.440822999997</v>
      </c>
      <c r="K40" s="12">
        <f>'Income Statement'!K4</f>
        <v>49127.334047689998</v>
      </c>
      <c r="L40" s="12">
        <f>'Income Statement'!L4</f>
        <v>50601.154069120697</v>
      </c>
      <c r="M40" s="12">
        <f>'Income Statement'!M4</f>
        <v>0</v>
      </c>
      <c r="N40" s="12">
        <f>'Income Statement'!N4</f>
        <v>0</v>
      </c>
      <c r="O40" s="12">
        <f>'Income Statement'!O4</f>
        <v>0</v>
      </c>
      <c r="P40" s="12">
        <f>'Income Statement'!P4</f>
        <v>0</v>
      </c>
      <c r="Q40" s="12">
        <f>'Income Statement'!Q4</f>
        <v>0</v>
      </c>
    </row>
    <row r="41" spans="2:17">
      <c r="B41" s="1" t="str">
        <f>'Income Statement'!B37</f>
        <v>Net Income (Loss), GAAP</v>
      </c>
      <c r="C41" s="12">
        <f>'Income Statement'!C37</f>
        <v>5705</v>
      </c>
      <c r="D41" s="12">
        <f>'Income Statement'!D37</f>
        <v>3363</v>
      </c>
      <c r="E41" s="12">
        <f>'Income Statement'!E37</f>
        <v>6189</v>
      </c>
      <c r="F41" s="12">
        <f>'Income Statement'!F37</f>
        <v>3003</v>
      </c>
      <c r="G41" s="12">
        <f>'Income Statement'!G37</f>
        <v>6191</v>
      </c>
      <c r="H41" s="12">
        <f>'Income Statement'!H37</f>
        <v>4453.7174480241902</v>
      </c>
      <c r="I41" s="12">
        <f>'Income Statement'!I37</f>
        <v>4662.1813981108571</v>
      </c>
      <c r="J41" s="12">
        <f>'Income Statement'!J37</f>
        <v>4877.6544843901675</v>
      </c>
      <c r="K41" s="12">
        <f>'Income Statement'!K37</f>
        <v>5140.6921968377255</v>
      </c>
      <c r="L41" s="12">
        <f>'Income Statement'!L37</f>
        <v>5374.7417829641299</v>
      </c>
      <c r="M41" s="12">
        <f>'Income Statement'!M37</f>
        <v>0</v>
      </c>
      <c r="N41" s="12">
        <f>'Income Statement'!N37</f>
        <v>0</v>
      </c>
      <c r="O41" s="12">
        <f>'Income Statement'!O37</f>
        <v>0</v>
      </c>
      <c r="P41" s="12">
        <f>'Income Statement'!P37</f>
        <v>0</v>
      </c>
      <c r="Q41" s="12">
        <f>'Income Statement'!Q37</f>
        <v>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A8F8F-6C1E-42D5-8CB0-50A3C5D9F305}">
  <sheetPr>
    <tabColor theme="8" tint="0.79998168889431442"/>
  </sheetPr>
  <dimension ref="B2:Q41"/>
  <sheetViews>
    <sheetView zoomScaleNormal="100"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8.6640625" defaultRowHeight="11" outlineLevelCol="1"/>
  <cols>
    <col min="1" max="1" width="2.1640625" style="1" customWidth="1"/>
    <col min="2" max="2" width="28.1640625" style="1" bestFit="1" customWidth="1"/>
    <col min="3" max="7" width="8.6640625" style="1" customWidth="1" outlineLevel="1"/>
    <col min="8" max="17" width="8.6640625" style="1" customWidth="1"/>
    <col min="18" max="16384" width="8.6640625" style="1"/>
  </cols>
  <sheetData>
    <row r="2" spans="2:17">
      <c r="B2" s="30" t="s">
        <v>65</v>
      </c>
      <c r="C2" s="30"/>
      <c r="D2" s="30"/>
      <c r="E2" s="30"/>
      <c r="F2" s="30"/>
      <c r="G2" s="30"/>
      <c r="H2" s="30"/>
      <c r="I2" s="30"/>
      <c r="J2" s="30"/>
      <c r="K2" s="30"/>
      <c r="L2" s="30"/>
      <c r="M2" s="30"/>
      <c r="N2" s="30"/>
      <c r="O2" s="30"/>
      <c r="P2" s="30"/>
      <c r="Q2" s="30"/>
    </row>
    <row r="3" spans="2:17">
      <c r="B3" s="14" t="str">
        <f>Assumptions!$B$113</f>
        <v>Year Ending December 31, In CAD Millions</v>
      </c>
      <c r="C3" s="14" cm="1">
        <f t="array" ref="C3:L3">_xlfn.SEQUENCE(1,5+Assumptions!$C$21,(YEAR('Valuation Summary'!$C$4)-5))</f>
        <v>2019</v>
      </c>
      <c r="D3" s="14">
        <v>2020</v>
      </c>
      <c r="E3" s="14">
        <v>2021</v>
      </c>
      <c r="F3" s="14">
        <v>2022</v>
      </c>
      <c r="G3" s="14">
        <v>2023</v>
      </c>
      <c r="H3" s="15">
        <v>2024</v>
      </c>
      <c r="I3" s="15">
        <v>2025</v>
      </c>
      <c r="J3" s="15">
        <v>2026</v>
      </c>
      <c r="K3" s="15">
        <v>2027</v>
      </c>
      <c r="L3" s="15">
        <v>2028</v>
      </c>
      <c r="M3" s="15"/>
      <c r="N3" s="15"/>
      <c r="O3" s="15"/>
      <c r="P3" s="15"/>
      <c r="Q3" s="15"/>
    </row>
    <row r="4" spans="2:17">
      <c r="B4" s="10" t="s">
        <v>66</v>
      </c>
      <c r="C4" s="109"/>
      <c r="D4" s="109"/>
      <c r="E4" s="109"/>
      <c r="F4" s="109"/>
      <c r="G4" s="109"/>
      <c r="H4" s="12"/>
      <c r="I4" s="12"/>
      <c r="J4" s="12"/>
      <c r="K4" s="12"/>
      <c r="L4" s="12"/>
      <c r="M4" s="12"/>
      <c r="N4" s="12"/>
      <c r="O4" s="12"/>
      <c r="P4" s="12"/>
      <c r="Q4" s="12"/>
    </row>
    <row r="5" spans="2:17">
      <c r="B5" s="23" t="str">
        <f>'Income Statement'!B37</f>
        <v>Net Income (Loss), GAAP</v>
      </c>
      <c r="C5" s="109">
        <f>'IS Bear'!C37</f>
        <v>5705</v>
      </c>
      <c r="D5" s="109">
        <f>'Income Statement'!D37</f>
        <v>3363</v>
      </c>
      <c r="E5" s="109">
        <f>'Income Statement'!E37</f>
        <v>6189</v>
      </c>
      <c r="F5" s="109">
        <f>'Income Statement'!F37</f>
        <v>3003</v>
      </c>
      <c r="G5" s="109">
        <f>'Income Statement'!G37</f>
        <v>6191</v>
      </c>
      <c r="H5" s="12">
        <f>IF(H$3="",0,'IS Bear'!H37)</f>
        <v>4313.6878754599784</v>
      </c>
      <c r="I5" s="12">
        <f>IF(I$3="",0,'IS Bear'!I37)</f>
        <v>4376.5210700798661</v>
      </c>
      <c r="J5" s="12">
        <f>IF(J$3="",0,'IS Bear'!J37)</f>
        <v>4440.5801795454981</v>
      </c>
      <c r="K5" s="12">
        <f>IF(K$3="",0,'IS Bear'!K37)</f>
        <v>4546.2330542052341</v>
      </c>
      <c r="L5" s="12">
        <f>IF(L$3="",0,'IS Bear'!L37)</f>
        <v>4616.7335313237618</v>
      </c>
      <c r="M5" s="12">
        <f>IF(M$3="",0,'IS Bear'!M37)</f>
        <v>0</v>
      </c>
      <c r="N5" s="12">
        <f>IF(N$3="",0,'IS Bear'!N37)</f>
        <v>0</v>
      </c>
      <c r="O5" s="12">
        <f>IF(O$3="",0,'IS Bear'!O37)</f>
        <v>0</v>
      </c>
      <c r="P5" s="12">
        <f>IF(P$3="",0,'IS Bear'!P37)</f>
        <v>0</v>
      </c>
      <c r="Q5" s="12">
        <f>IF(Q$3="",0,'IS Bear'!Q37)</f>
        <v>0</v>
      </c>
    </row>
    <row r="6" spans="2:17">
      <c r="B6" s="23" t="str">
        <f>'Income Statement'!B47</f>
        <v>Depreciation and Amortization</v>
      </c>
      <c r="C6" s="109">
        <f>'IS Bear'!C47</f>
        <v>3391</v>
      </c>
      <c r="D6" s="109">
        <f>'Income Statement'!D47</f>
        <v>3712</v>
      </c>
      <c r="E6" s="109">
        <f>'Income Statement'!E47</f>
        <v>3852</v>
      </c>
      <c r="F6" s="109">
        <f>'Income Statement'!F47</f>
        <v>4317</v>
      </c>
      <c r="G6" s="109">
        <f>'Income Statement'!G47</f>
        <v>4613</v>
      </c>
      <c r="H6" s="12">
        <f>IF(H$3="",0,'IS Bear'!H47)</f>
        <v>3984.3650059997758</v>
      </c>
      <c r="I6" s="12">
        <f>IF(I$3="",0,'IS Bear'!I47)</f>
        <v>4024.2086560597727</v>
      </c>
      <c r="J6" s="12">
        <f>IF(J$3="",0,'IS Bear'!J47)</f>
        <v>4064.4507426203704</v>
      </c>
      <c r="K6" s="12">
        <f>IF(K$3="",0,'IS Bear'!K47)</f>
        <v>4105.0952500465746</v>
      </c>
      <c r="L6" s="12">
        <f>IF(L$3="",0,'IS Bear'!L47)</f>
        <v>4146.14620254704</v>
      </c>
      <c r="M6" s="12">
        <f>IF(M$3="",0,'IS Bear'!M47)</f>
        <v>0</v>
      </c>
      <c r="N6" s="12">
        <f>IF(N$3="",0,'IS Bear'!N47)</f>
        <v>0</v>
      </c>
      <c r="O6" s="12">
        <f>IF(O$3="",0,'IS Bear'!O47)</f>
        <v>0</v>
      </c>
      <c r="P6" s="12">
        <f>IF(P$3="",0,'IS Bear'!P47)</f>
        <v>0</v>
      </c>
      <c r="Q6" s="12">
        <f>IF(Q$3="",0,'IS Bear'!Q47)</f>
        <v>0</v>
      </c>
    </row>
    <row r="7" spans="2:17">
      <c r="B7" s="23" t="str">
        <f>Assumptions!B187</f>
        <v>Non-Cash Items</v>
      </c>
      <c r="C7" s="109">
        <f>Assumptions!D187</f>
        <v>65.2</v>
      </c>
      <c r="D7" s="109">
        <f>Assumptions!E187</f>
        <v>304.7</v>
      </c>
      <c r="E7" s="109">
        <f>Assumptions!F187</f>
        <v>207.1</v>
      </c>
      <c r="F7" s="109">
        <f>Assumptions!G187</f>
        <v>-36.799999999999997</v>
      </c>
      <c r="G7" s="109">
        <f>Assumptions!H187</f>
        <v>67.900000000000006</v>
      </c>
      <c r="H7" s="12">
        <f>IF(H$3="",0,H40*Assumptions!I189)</f>
        <v>0</v>
      </c>
      <c r="I7" s="12">
        <f>IF(I$3="",0,I40*Assumptions!J189)</f>
        <v>0</v>
      </c>
      <c r="J7" s="12">
        <f>IF(J$3="",0,J40*Assumptions!K189)</f>
        <v>0</v>
      </c>
      <c r="K7" s="12">
        <f>IF(K$3="",0,K40*Assumptions!L189)</f>
        <v>0</v>
      </c>
      <c r="L7" s="12">
        <f>IF(L$3="",0,L40*Assumptions!M189)</f>
        <v>0</v>
      </c>
      <c r="M7" s="12">
        <f>IF(M$3="",0,M40*Assumptions!N189)</f>
        <v>0</v>
      </c>
      <c r="N7" s="12">
        <f>IF(N$3="",0,N40*Assumptions!O189)</f>
        <v>0</v>
      </c>
      <c r="O7" s="12">
        <f>IF(O$3="",0,O40*Assumptions!P189)</f>
        <v>0</v>
      </c>
      <c r="P7" s="12">
        <f>IF(P$3="",0,P40*Assumptions!Q189)</f>
        <v>0</v>
      </c>
      <c r="Q7" s="12">
        <f>IF(Q$3="",0,Q40*Assumptions!R189)</f>
        <v>0</v>
      </c>
    </row>
    <row r="8" spans="2:17">
      <c r="B8" s="23" t="str">
        <f>Assumptions!B194</f>
        <v>Change in Non-Cash Working Capital</v>
      </c>
      <c r="C8" s="109">
        <f>Assumptions!D194</f>
        <v>-259</v>
      </c>
      <c r="D8" s="109">
        <f>Assumptions!E194</f>
        <v>-55</v>
      </c>
      <c r="E8" s="109">
        <f>Assumptions!F194</f>
        <v>-1590</v>
      </c>
      <c r="F8" s="109">
        <f>Assumptions!G194</f>
        <v>-432</v>
      </c>
      <c r="G8" s="109">
        <f>Assumptions!H194</f>
        <v>660</v>
      </c>
      <c r="H8" s="12">
        <f>IF(H$3="",0,IFERROR(AVERAGE(C8:G8),0))</f>
        <v>-335.2</v>
      </c>
      <c r="I8" s="12">
        <f t="shared" ref="I8:Q8" si="0">IF(I$3="",0,IFERROR(AVERAGE(D8:H8),0))</f>
        <v>-350.44</v>
      </c>
      <c r="J8" s="12">
        <f t="shared" si="0"/>
        <v>-409.52800000000002</v>
      </c>
      <c r="K8" s="12">
        <f t="shared" si="0"/>
        <v>-173.43360000000001</v>
      </c>
      <c r="L8" s="12">
        <f t="shared" si="0"/>
        <v>-121.72031999999999</v>
      </c>
      <c r="M8" s="12">
        <f t="shared" si="0"/>
        <v>0</v>
      </c>
      <c r="N8" s="12">
        <f t="shared" si="0"/>
        <v>0</v>
      </c>
      <c r="O8" s="12">
        <f t="shared" si="0"/>
        <v>0</v>
      </c>
      <c r="P8" s="12">
        <f t="shared" si="0"/>
        <v>0</v>
      </c>
      <c r="Q8" s="12">
        <f t="shared" si="0"/>
        <v>0</v>
      </c>
    </row>
    <row r="9" spans="2:17">
      <c r="B9" s="23" t="str">
        <f>Assumptions!B205</f>
        <v>Net Cash from Discontinued Operations</v>
      </c>
      <c r="C9" s="109">
        <f>Assumptions!D205</f>
        <v>0</v>
      </c>
      <c r="D9" s="109">
        <f>Assumptions!E205</f>
        <v>0</v>
      </c>
      <c r="E9" s="109">
        <f>Assumptions!F205</f>
        <v>0</v>
      </c>
      <c r="F9" s="109">
        <f>Assumptions!G205</f>
        <v>0</v>
      </c>
      <c r="G9" s="109">
        <f>Assumptions!H205</f>
        <v>0</v>
      </c>
      <c r="H9" s="12">
        <f>IF(H$3="",0,Assumptions!I205)</f>
        <v>0</v>
      </c>
      <c r="I9" s="12">
        <f>IF(I$3="",0,Assumptions!J205)</f>
        <v>0</v>
      </c>
      <c r="J9" s="12">
        <f>IF(J$3="",0,Assumptions!K205)</f>
        <v>0</v>
      </c>
      <c r="K9" s="12">
        <f>IF(K$3="",0,Assumptions!L205)</f>
        <v>0</v>
      </c>
      <c r="L9" s="12">
        <f>IF(L$3="",0,Assumptions!M205)</f>
        <v>0</v>
      </c>
      <c r="M9" s="12">
        <f>IF(M$3="",0,Assumptions!N205)</f>
        <v>0</v>
      </c>
      <c r="N9" s="12">
        <f>IF(N$3="",0,Assumptions!O205)</f>
        <v>0</v>
      </c>
      <c r="O9" s="12">
        <f>IF(O$3="",0,Assumptions!P205)</f>
        <v>0</v>
      </c>
      <c r="P9" s="12">
        <f>IF(P$3="",0,Assumptions!Q205)</f>
        <v>0</v>
      </c>
      <c r="Q9" s="12">
        <f>IF(Q$3="",0,Assumptions!R205)</f>
        <v>0</v>
      </c>
    </row>
    <row r="10" spans="2:17">
      <c r="B10" s="31" t="s">
        <v>69</v>
      </c>
      <c r="C10" s="112">
        <f>SUM(C5:C9)</f>
        <v>8902.2000000000007</v>
      </c>
      <c r="D10" s="112">
        <f t="shared" ref="D10:H10" si="1">SUM(D5:D9)</f>
        <v>7324.7</v>
      </c>
      <c r="E10" s="112">
        <f t="shared" si="1"/>
        <v>8658.1</v>
      </c>
      <c r="F10" s="112">
        <f t="shared" si="1"/>
        <v>6851.2</v>
      </c>
      <c r="G10" s="112">
        <f t="shared" si="1"/>
        <v>11531.9</v>
      </c>
      <c r="H10" s="32">
        <f t="shared" si="1"/>
        <v>7962.8528814597548</v>
      </c>
      <c r="I10" s="32">
        <f t="shared" ref="I10:Q10" si="2">SUM(I5:I9)</f>
        <v>8050.2897261396383</v>
      </c>
      <c r="J10" s="32">
        <f t="shared" si="2"/>
        <v>8095.5029221658679</v>
      </c>
      <c r="K10" s="32">
        <f t="shared" si="2"/>
        <v>8477.8947042518084</v>
      </c>
      <c r="L10" s="32">
        <f t="shared" si="2"/>
        <v>8641.1594138708024</v>
      </c>
      <c r="M10" s="32">
        <f t="shared" si="2"/>
        <v>0</v>
      </c>
      <c r="N10" s="32">
        <f t="shared" si="2"/>
        <v>0</v>
      </c>
      <c r="O10" s="32">
        <f t="shared" si="2"/>
        <v>0</v>
      </c>
      <c r="P10" s="32">
        <f t="shared" si="2"/>
        <v>0</v>
      </c>
      <c r="Q10" s="32">
        <f t="shared" si="2"/>
        <v>0</v>
      </c>
    </row>
    <row r="11" spans="2:17">
      <c r="C11" s="109"/>
      <c r="D11" s="109"/>
      <c r="E11" s="109"/>
      <c r="F11" s="109"/>
      <c r="G11" s="109"/>
      <c r="H11" s="12"/>
      <c r="I11" s="12"/>
      <c r="J11" s="12"/>
      <c r="K11" s="12"/>
      <c r="L11" s="12"/>
      <c r="M11" s="12"/>
      <c r="N11" s="12"/>
      <c r="O11" s="12"/>
      <c r="P11" s="12"/>
      <c r="Q11" s="12"/>
    </row>
    <row r="12" spans="2:17">
      <c r="B12" s="10" t="s">
        <v>71</v>
      </c>
      <c r="C12" s="109"/>
      <c r="D12" s="109"/>
      <c r="E12" s="109"/>
      <c r="F12" s="109"/>
      <c r="G12" s="109"/>
      <c r="H12" s="12"/>
      <c r="I12" s="12"/>
      <c r="J12" s="12"/>
      <c r="K12" s="12"/>
      <c r="L12" s="12"/>
      <c r="M12" s="12"/>
      <c r="N12" s="12"/>
      <c r="O12" s="12"/>
      <c r="P12" s="12"/>
      <c r="Q12" s="12"/>
    </row>
    <row r="13" spans="2:17">
      <c r="B13" s="23" t="s">
        <v>72</v>
      </c>
      <c r="C13" s="109">
        <f>-'IS Bear'!C44+Assumptions!D210</f>
        <v>-3382</v>
      </c>
      <c r="D13" s="109">
        <f>-'Income Statement'!D44+Assumptions!E210</f>
        <v>-5140</v>
      </c>
      <c r="E13" s="109">
        <f>-'Income Statement'!E44+Assumptions!F210</f>
        <v>-6555</v>
      </c>
      <c r="F13" s="109">
        <f>-'Income Statement'!F44+Assumptions!G210</f>
        <v>-4647</v>
      </c>
      <c r="G13" s="109">
        <f>-'Income Statement'!G44+Assumptions!H210</f>
        <v>-4654</v>
      </c>
      <c r="H13" s="12">
        <f>IF(H$3="",0,-'IS Bear'!H44+('BS Bear'!H12*Assumptions!I211))</f>
        <v>-4552.8198728406906</v>
      </c>
      <c r="I13" s="12">
        <f>IF(I$3="",0,-'IS Bear'!I44+('BS Bear'!I12*Assumptions!J211))</f>
        <v>-4595.8467289818827</v>
      </c>
      <c r="J13" s="12">
        <f>IF(J$3="",0,-'IS Bear'!J44+('BS Bear'!J12*Assumptions!K211))</f>
        <v>-4639.3038536844879</v>
      </c>
      <c r="K13" s="12">
        <f>IF(K$3="",0,-'IS Bear'!K44+('BS Bear'!K12*Assumptions!L211))</f>
        <v>-4683.1955496341197</v>
      </c>
      <c r="L13" s="12">
        <f>IF(L$3="",0,-'IS Bear'!L44+('BS Bear'!L12*Assumptions!M211))</f>
        <v>-4727.5261625432468</v>
      </c>
      <c r="M13" s="12">
        <f>IF(M$3="",0,-'IS Bear'!M44+('BS Bear'!M12*Assumptions!N211))</f>
        <v>0</v>
      </c>
      <c r="N13" s="12">
        <f>IF(N$3="",0,-'IS Bear'!N44+('BS Bear'!N12*Assumptions!O211))</f>
        <v>0</v>
      </c>
      <c r="O13" s="12">
        <f>IF(O$3="",0,-'IS Bear'!O44+('BS Bear'!O12*Assumptions!P211))</f>
        <v>0</v>
      </c>
      <c r="P13" s="12">
        <f>IF(P$3="",0,-'IS Bear'!P44+('BS Bear'!P12*Assumptions!Q211))</f>
        <v>0</v>
      </c>
      <c r="Q13" s="12">
        <f>IF(Q$3="",0,-'IS Bear'!Q44+('BS Bear'!Q12*Assumptions!R211))</f>
        <v>0</v>
      </c>
    </row>
    <row r="14" spans="2:17">
      <c r="B14" s="23" t="s">
        <v>73</v>
      </c>
      <c r="C14" s="109">
        <f>Assumptions!D214</f>
        <v>-1159</v>
      </c>
      <c r="D14" s="109">
        <f>Assumptions!E214</f>
        <v>-487</v>
      </c>
      <c r="E14" s="109">
        <f>Assumptions!F214</f>
        <v>-640</v>
      </c>
      <c r="F14" s="109">
        <f>Assumptions!G214</f>
        <v>-1041</v>
      </c>
      <c r="G14" s="109">
        <f>Assumptions!H214</f>
        <v>-1276</v>
      </c>
      <c r="H14" s="12">
        <f>IF(H$3="",0,IFERROR(AVERAGE(C14:G14),0))</f>
        <v>-920.6</v>
      </c>
      <c r="I14" s="12">
        <f t="shared" ref="I14:Q14" si="3">IF(I$3="",0,IFERROR(AVERAGE(D14:H14),0))</f>
        <v>-872.92000000000007</v>
      </c>
      <c r="J14" s="12">
        <f t="shared" si="3"/>
        <v>-950.10400000000004</v>
      </c>
      <c r="K14" s="12">
        <f t="shared" si="3"/>
        <v>-1012.1248000000002</v>
      </c>
      <c r="L14" s="12">
        <f t="shared" si="3"/>
        <v>-1006.3497600000001</v>
      </c>
      <c r="M14" s="12">
        <f t="shared" si="3"/>
        <v>0</v>
      </c>
      <c r="N14" s="12">
        <f t="shared" si="3"/>
        <v>0</v>
      </c>
      <c r="O14" s="12">
        <f t="shared" si="3"/>
        <v>0</v>
      </c>
      <c r="P14" s="12">
        <f t="shared" si="3"/>
        <v>0</v>
      </c>
      <c r="Q14" s="12">
        <f t="shared" si="3"/>
        <v>0</v>
      </c>
    </row>
    <row r="15" spans="2:17">
      <c r="B15" s="23" t="s">
        <v>74</v>
      </c>
      <c r="C15" s="109">
        <f>Assumptions!D217</f>
        <v>-200</v>
      </c>
      <c r="D15" s="109">
        <f>Assumptions!E217</f>
        <v>-239</v>
      </c>
      <c r="E15" s="109">
        <f>Assumptions!F217</f>
        <v>-4060</v>
      </c>
      <c r="F15" s="109">
        <f>Assumptions!G217</f>
        <v>-480</v>
      </c>
      <c r="G15" s="109">
        <f>Assumptions!H217</f>
        <v>-1176</v>
      </c>
      <c r="H15" s="12">
        <f>IF(H$3="",0,IFERROR(AVERAGE(C15:G15),0))</f>
        <v>-1231</v>
      </c>
      <c r="I15" s="12">
        <f t="shared" ref="I15:Q15" si="4">IF(I$3="",0,IFERROR(AVERAGE(D15:H15),0))</f>
        <v>-1437.2</v>
      </c>
      <c r="J15" s="12">
        <f t="shared" si="4"/>
        <v>-1676.8400000000001</v>
      </c>
      <c r="K15" s="12">
        <f t="shared" si="4"/>
        <v>-1200.2080000000001</v>
      </c>
      <c r="L15" s="12">
        <f t="shared" si="4"/>
        <v>-1344.2495999999999</v>
      </c>
      <c r="M15" s="12">
        <f t="shared" si="4"/>
        <v>0</v>
      </c>
      <c r="N15" s="12">
        <f t="shared" si="4"/>
        <v>0</v>
      </c>
      <c r="O15" s="12">
        <f t="shared" si="4"/>
        <v>0</v>
      </c>
      <c r="P15" s="12">
        <f t="shared" si="4"/>
        <v>0</v>
      </c>
      <c r="Q15" s="12">
        <f t="shared" si="4"/>
        <v>0</v>
      </c>
    </row>
    <row r="16" spans="2:17">
      <c r="B16" s="23" t="s">
        <v>75</v>
      </c>
      <c r="C16" s="109">
        <f>Assumptions!D220</f>
        <v>83</v>
      </c>
      <c r="D16" s="109">
        <f>Assumptions!E220</f>
        <v>689</v>
      </c>
      <c r="E16" s="109">
        <f>Assumptions!F220</f>
        <v>598</v>
      </c>
      <c r="F16" s="109">
        <f>Assumptions!G220</f>
        <v>898</v>
      </c>
      <c r="G16" s="109">
        <f>Assumptions!H220</f>
        <v>1063</v>
      </c>
      <c r="H16" s="12">
        <f>IF(H$3="",0,IFERROR(AVERAGE(C16:G16),0))</f>
        <v>666.2</v>
      </c>
      <c r="I16" s="12">
        <f t="shared" ref="I16:Q16" si="5">IF(I$3="",0,IFERROR(AVERAGE(D16:H16),0))</f>
        <v>782.83999999999992</v>
      </c>
      <c r="J16" s="12">
        <f t="shared" si="5"/>
        <v>801.60799999999995</v>
      </c>
      <c r="K16" s="12">
        <f t="shared" si="5"/>
        <v>842.32960000000003</v>
      </c>
      <c r="L16" s="12">
        <f t="shared" si="5"/>
        <v>831.19551999999999</v>
      </c>
      <c r="M16" s="12">
        <f t="shared" si="5"/>
        <v>0</v>
      </c>
      <c r="N16" s="12">
        <f t="shared" si="5"/>
        <v>0</v>
      </c>
      <c r="O16" s="12">
        <f t="shared" si="5"/>
        <v>0</v>
      </c>
      <c r="P16" s="12">
        <f t="shared" si="5"/>
        <v>0</v>
      </c>
      <c r="Q16" s="12">
        <f t="shared" si="5"/>
        <v>0</v>
      </c>
    </row>
    <row r="17" spans="2:17">
      <c r="B17" s="23" t="s">
        <v>68</v>
      </c>
      <c r="C17" s="109">
        <f>Assumptions!D223</f>
        <v>0</v>
      </c>
      <c r="D17" s="109">
        <f>Assumptions!E223</f>
        <v>0</v>
      </c>
      <c r="E17" s="109">
        <f>Assumptions!F223</f>
        <v>0</v>
      </c>
      <c r="F17" s="109">
        <f>Assumptions!G223</f>
        <v>0</v>
      </c>
      <c r="G17" s="109">
        <f>Assumptions!H223</f>
        <v>0</v>
      </c>
      <c r="H17" s="12">
        <f>IF(H$3="",0,IFERROR(AVERAGE(C17:G17),0))</f>
        <v>0</v>
      </c>
      <c r="I17" s="12">
        <f t="shared" ref="I17:Q17" si="6">IF(I$3="",0,IFERROR(AVERAGE(D17:H17),0))</f>
        <v>0</v>
      </c>
      <c r="J17" s="12">
        <f t="shared" si="6"/>
        <v>0</v>
      </c>
      <c r="K17" s="12">
        <f t="shared" si="6"/>
        <v>0</v>
      </c>
      <c r="L17" s="12">
        <f t="shared" si="6"/>
        <v>0</v>
      </c>
      <c r="M17" s="12">
        <f t="shared" si="6"/>
        <v>0</v>
      </c>
      <c r="N17" s="12">
        <f t="shared" si="6"/>
        <v>0</v>
      </c>
      <c r="O17" s="12">
        <f t="shared" si="6"/>
        <v>0</v>
      </c>
      <c r="P17" s="12">
        <f t="shared" si="6"/>
        <v>0</v>
      </c>
      <c r="Q17" s="12">
        <f t="shared" si="6"/>
        <v>0</v>
      </c>
    </row>
    <row r="18" spans="2:17">
      <c r="B18" s="31" t="s">
        <v>76</v>
      </c>
      <c r="C18" s="112">
        <f>SUM(C13:C17)</f>
        <v>-4658</v>
      </c>
      <c r="D18" s="112">
        <f t="shared" ref="D18:H18" si="7">SUM(D13:D17)</f>
        <v>-5177</v>
      </c>
      <c r="E18" s="112">
        <f t="shared" si="7"/>
        <v>-10657</v>
      </c>
      <c r="F18" s="112">
        <f t="shared" si="7"/>
        <v>-5270</v>
      </c>
      <c r="G18" s="112">
        <f t="shared" si="7"/>
        <v>-6043</v>
      </c>
      <c r="H18" s="32">
        <f t="shared" si="7"/>
        <v>-6038.2198728406911</v>
      </c>
      <c r="I18" s="32">
        <f t="shared" ref="I18:Q18" si="8">SUM(I13:I17)</f>
        <v>-6123.1267289818825</v>
      </c>
      <c r="J18" s="32">
        <f t="shared" si="8"/>
        <v>-6464.6398536844881</v>
      </c>
      <c r="K18" s="32">
        <f t="shared" si="8"/>
        <v>-6053.1987496341198</v>
      </c>
      <c r="L18" s="32">
        <f t="shared" si="8"/>
        <v>-6246.9300025432467</v>
      </c>
      <c r="M18" s="32">
        <f t="shared" si="8"/>
        <v>0</v>
      </c>
      <c r="N18" s="32">
        <f t="shared" si="8"/>
        <v>0</v>
      </c>
      <c r="O18" s="32">
        <f t="shared" si="8"/>
        <v>0</v>
      </c>
      <c r="P18" s="32">
        <f t="shared" si="8"/>
        <v>0</v>
      </c>
      <c r="Q18" s="32">
        <f t="shared" si="8"/>
        <v>0</v>
      </c>
    </row>
    <row r="19" spans="2:17">
      <c r="C19" s="109"/>
      <c r="D19" s="109"/>
      <c r="E19" s="109"/>
      <c r="F19" s="109"/>
      <c r="G19" s="109"/>
      <c r="H19" s="12"/>
      <c r="I19" s="12"/>
      <c r="J19" s="12"/>
      <c r="K19" s="12"/>
      <c r="L19" s="12"/>
      <c r="M19" s="12"/>
      <c r="N19" s="12"/>
      <c r="O19" s="12"/>
      <c r="P19" s="12"/>
      <c r="Q19" s="12"/>
    </row>
    <row r="20" spans="2:17">
      <c r="C20" s="109"/>
      <c r="D20" s="109"/>
      <c r="E20" s="109"/>
      <c r="F20" s="109"/>
      <c r="G20" s="109"/>
      <c r="H20" s="12"/>
      <c r="I20" s="12"/>
      <c r="J20" s="12"/>
      <c r="K20" s="12"/>
      <c r="L20" s="12"/>
      <c r="M20" s="12"/>
      <c r="N20" s="12"/>
      <c r="O20" s="12"/>
      <c r="P20" s="12"/>
      <c r="Q20" s="12"/>
    </row>
    <row r="21" spans="2:17">
      <c r="B21" s="10" t="s">
        <v>77</v>
      </c>
      <c r="C21" s="109"/>
      <c r="D21" s="109"/>
      <c r="E21" s="109"/>
      <c r="F21" s="109"/>
      <c r="G21" s="109"/>
      <c r="H21" s="12"/>
      <c r="I21" s="12"/>
      <c r="J21" s="12"/>
      <c r="K21" s="12"/>
      <c r="L21" s="12"/>
      <c r="M21" s="12"/>
      <c r="N21" s="12"/>
      <c r="O21" s="12"/>
      <c r="P21" s="12"/>
      <c r="Q21" s="12"/>
    </row>
    <row r="22" spans="2:17">
      <c r="B22" s="23" t="str">
        <f>Assumptions!B226</f>
        <v>Dividends Paid</v>
      </c>
      <c r="C22" s="109">
        <f>Assumptions!D226</f>
        <v>-6356</v>
      </c>
      <c r="D22" s="109">
        <f>Assumptions!E226</f>
        <v>-6940</v>
      </c>
      <c r="E22" s="109">
        <f>Assumptions!F226</f>
        <v>-7133</v>
      </c>
      <c r="F22" s="109">
        <f>Assumptions!G226</f>
        <v>-7306</v>
      </c>
      <c r="G22" s="109">
        <f>Assumptions!H226</f>
        <v>-7628</v>
      </c>
      <c r="H22" s="12">
        <f>IF(H$3="",0,H41*Assumptions!I227)</f>
        <v>-6897.8322165405516</v>
      </c>
      <c r="I22" s="12">
        <f>IF(I$3="",0,I41*Assumptions!J227)</f>
        <v>-6998.3060678321244</v>
      </c>
      <c r="J22" s="12">
        <f>IF(J$3="",0,J41*Assumptions!K227)</f>
        <v>-7100.7402266753425</v>
      </c>
      <c r="K22" s="12">
        <f>IF(K$3="",0,K41*Assumptions!L227)</f>
        <v>-7269.6851813495005</v>
      </c>
      <c r="L22" s="12">
        <f>IF(L$3="",0,L41*Assumptions!M227)</f>
        <v>-7382.4194533667596</v>
      </c>
      <c r="M22" s="12">
        <f>IF(M$3="",0,M41*Assumptions!N227)</f>
        <v>0</v>
      </c>
      <c r="N22" s="12">
        <f>IF(N$3="",0,N41*Assumptions!O227)</f>
        <v>0</v>
      </c>
      <c r="O22" s="12">
        <f>IF(O$3="",0,O41*Assumptions!P227)</f>
        <v>0</v>
      </c>
      <c r="P22" s="12">
        <f>IF(P$3="",0,P41*Assumptions!Q227)</f>
        <v>0</v>
      </c>
      <c r="Q22" s="12">
        <f>IF(Q$3="",0,Q41*Assumptions!R227)</f>
        <v>0</v>
      </c>
    </row>
    <row r="23" spans="2:17">
      <c r="B23" s="23" t="str">
        <f>Assumptions!B230</f>
        <v>Net Cash from (Repayment) Debt</v>
      </c>
      <c r="C23" s="109">
        <f>Assumptions!D230</f>
        <v>2206</v>
      </c>
      <c r="D23" s="109">
        <f>Assumptions!E230</f>
        <v>2532</v>
      </c>
      <c r="E23" s="109">
        <f>Assumptions!F230</f>
        <v>9122</v>
      </c>
      <c r="F23" s="109">
        <f>Assumptions!G230</f>
        <v>2497</v>
      </c>
      <c r="G23" s="109">
        <f>Assumptions!H230</f>
        <v>805</v>
      </c>
      <c r="H23" s="12">
        <f>IF(H$3="",0,IFERROR(AVERAGE(C23:G23),0))</f>
        <v>3432.4</v>
      </c>
      <c r="I23" s="12">
        <f t="shared" ref="I23:Q23" si="9">IF(I$3="",0,IFERROR(AVERAGE(D23:H23),0))</f>
        <v>3677.6800000000003</v>
      </c>
      <c r="J23" s="12">
        <f t="shared" si="9"/>
        <v>3906.8160000000003</v>
      </c>
      <c r="K23" s="12">
        <f t="shared" si="9"/>
        <v>2863.7791999999999</v>
      </c>
      <c r="L23" s="12">
        <f t="shared" si="9"/>
        <v>2937.1350400000001</v>
      </c>
      <c r="M23" s="12">
        <f t="shared" si="9"/>
        <v>0</v>
      </c>
      <c r="N23" s="12">
        <f t="shared" si="9"/>
        <v>0</v>
      </c>
      <c r="O23" s="12">
        <f t="shared" si="9"/>
        <v>0</v>
      </c>
      <c r="P23" s="12">
        <f t="shared" si="9"/>
        <v>0</v>
      </c>
      <c r="Q23" s="12">
        <f t="shared" si="9"/>
        <v>0</v>
      </c>
    </row>
    <row r="24" spans="2:17">
      <c r="B24" s="23" t="str">
        <f>Assumptions!B233</f>
        <v>Cash (Repurchase) of Equity</v>
      </c>
      <c r="C24" s="109">
        <f>Assumptions!D233</f>
        <v>-282</v>
      </c>
      <c r="D24" s="109">
        <f>Assumptions!E233</f>
        <v>5</v>
      </c>
      <c r="E24" s="109">
        <f>Assumptions!F233</f>
        <v>-410</v>
      </c>
      <c r="F24" s="109">
        <f>Assumptions!G233</f>
        <v>-1151</v>
      </c>
      <c r="G24" s="109">
        <f>Assumptions!H233</f>
        <v>4325</v>
      </c>
      <c r="H24" s="12">
        <f>IF(H$3="",0,IFERROR(AVERAGE(C24:G24),0))</f>
        <v>497.4</v>
      </c>
      <c r="I24" s="12">
        <f t="shared" ref="I24:Q24" si="10">IF(I$3="",0,IFERROR(AVERAGE(D24:H24),0))</f>
        <v>653.28</v>
      </c>
      <c r="J24" s="12">
        <f t="shared" si="10"/>
        <v>782.93600000000004</v>
      </c>
      <c r="K24" s="12">
        <f t="shared" si="10"/>
        <v>1021.5232</v>
      </c>
      <c r="L24" s="12">
        <f t="shared" si="10"/>
        <v>1456.0278399999997</v>
      </c>
      <c r="M24" s="12">
        <f t="shared" si="10"/>
        <v>0</v>
      </c>
      <c r="N24" s="12">
        <f t="shared" si="10"/>
        <v>0</v>
      </c>
      <c r="O24" s="12">
        <f t="shared" si="10"/>
        <v>0</v>
      </c>
      <c r="P24" s="12">
        <f t="shared" si="10"/>
        <v>0</v>
      </c>
      <c r="Q24" s="12">
        <f t="shared" si="10"/>
        <v>0</v>
      </c>
    </row>
    <row r="25" spans="2:17">
      <c r="B25" s="23" t="str">
        <f>Assumptions!B236</f>
        <v>Other Financing Activities</v>
      </c>
      <c r="C25" s="109">
        <f>Assumptions!D236</f>
        <v>-313</v>
      </c>
      <c r="D25" s="109">
        <f>Assumptions!E236</f>
        <v>-367</v>
      </c>
      <c r="E25" s="109">
        <f>Assumptions!F236</f>
        <v>-343</v>
      </c>
      <c r="F25" s="109">
        <f>Assumptions!G236</f>
        <v>532</v>
      </c>
      <c r="G25" s="109">
        <f>Assumptions!H236</f>
        <v>-366</v>
      </c>
      <c r="H25" s="12">
        <f>IF(H$3="",0,IFERROR(AVERAGE(C25:G25),0))</f>
        <v>-171.4</v>
      </c>
      <c r="I25" s="12">
        <f t="shared" ref="I25:Q25" si="11">IF(I$3="",0,IFERROR(AVERAGE(D25:H25),0))</f>
        <v>-143.07999999999998</v>
      </c>
      <c r="J25" s="12">
        <f t="shared" si="11"/>
        <v>-98.295999999999992</v>
      </c>
      <c r="K25" s="12">
        <f t="shared" si="11"/>
        <v>-49.355199999999996</v>
      </c>
      <c r="L25" s="12">
        <f t="shared" si="11"/>
        <v>-165.62624</v>
      </c>
      <c r="M25" s="12">
        <f t="shared" si="11"/>
        <v>0</v>
      </c>
      <c r="N25" s="12">
        <f t="shared" si="11"/>
        <v>0</v>
      </c>
      <c r="O25" s="12">
        <f t="shared" si="11"/>
        <v>0</v>
      </c>
      <c r="P25" s="12">
        <f t="shared" si="11"/>
        <v>0</v>
      </c>
      <c r="Q25" s="12">
        <f t="shared" si="11"/>
        <v>0</v>
      </c>
    </row>
    <row r="26" spans="2:17">
      <c r="B26" s="23" t="str">
        <f>Assumptions!B239</f>
        <v>Net Cash from Discontinued Operations</v>
      </c>
      <c r="C26" s="109">
        <f>Assumptions!D239</f>
        <v>0</v>
      </c>
      <c r="D26" s="109">
        <f>Assumptions!E239</f>
        <v>0</v>
      </c>
      <c r="E26" s="109">
        <f>Assumptions!F239</f>
        <v>0</v>
      </c>
      <c r="F26" s="109">
        <f>Assumptions!G239</f>
        <v>0</v>
      </c>
      <c r="G26" s="109">
        <f>Assumptions!H239</f>
        <v>0</v>
      </c>
      <c r="H26" s="12">
        <f>IF(H$3="",0,IFERROR(AVERAGE(C26:G26),0))</f>
        <v>0</v>
      </c>
      <c r="I26" s="12">
        <f t="shared" ref="I26:Q26" si="12">IF(I$3="",0,IFERROR(AVERAGE(D26:H26),0))</f>
        <v>0</v>
      </c>
      <c r="J26" s="12">
        <f t="shared" si="12"/>
        <v>0</v>
      </c>
      <c r="K26" s="12">
        <f t="shared" si="12"/>
        <v>0</v>
      </c>
      <c r="L26" s="12">
        <f t="shared" si="12"/>
        <v>0</v>
      </c>
      <c r="M26" s="12">
        <f t="shared" si="12"/>
        <v>0</v>
      </c>
      <c r="N26" s="12">
        <f t="shared" si="12"/>
        <v>0</v>
      </c>
      <c r="O26" s="12">
        <f t="shared" si="12"/>
        <v>0</v>
      </c>
      <c r="P26" s="12">
        <f t="shared" si="12"/>
        <v>0</v>
      </c>
      <c r="Q26" s="12">
        <f t="shared" si="12"/>
        <v>0</v>
      </c>
    </row>
    <row r="27" spans="2:17">
      <c r="B27" s="31" t="s">
        <v>82</v>
      </c>
      <c r="C27" s="112">
        <f>SUM(C22:C26)</f>
        <v>-4745</v>
      </c>
      <c r="D27" s="112">
        <f t="shared" ref="D27:H27" si="13">SUM(D22:D26)</f>
        <v>-4770</v>
      </c>
      <c r="E27" s="112">
        <f t="shared" si="13"/>
        <v>1236</v>
      </c>
      <c r="F27" s="112">
        <f t="shared" si="13"/>
        <v>-5428</v>
      </c>
      <c r="G27" s="112">
        <f t="shared" si="13"/>
        <v>-2864</v>
      </c>
      <c r="H27" s="32">
        <f t="shared" si="13"/>
        <v>-3139.4322165405515</v>
      </c>
      <c r="I27" s="32">
        <f t="shared" ref="I27:Q27" si="14">SUM(I22:I26)</f>
        <v>-2810.4260678321243</v>
      </c>
      <c r="J27" s="32">
        <f t="shared" si="14"/>
        <v>-2509.2842266753419</v>
      </c>
      <c r="K27" s="32">
        <f t="shared" si="14"/>
        <v>-3433.7379813495004</v>
      </c>
      <c r="L27" s="32">
        <f t="shared" si="14"/>
        <v>-3154.8828133667598</v>
      </c>
      <c r="M27" s="32">
        <f t="shared" si="14"/>
        <v>0</v>
      </c>
      <c r="N27" s="32">
        <f t="shared" si="14"/>
        <v>0</v>
      </c>
      <c r="O27" s="32">
        <f t="shared" si="14"/>
        <v>0</v>
      </c>
      <c r="P27" s="32">
        <f t="shared" si="14"/>
        <v>0</v>
      </c>
      <c r="Q27" s="32">
        <f t="shared" si="14"/>
        <v>0</v>
      </c>
    </row>
    <row r="28" spans="2:17">
      <c r="C28" s="109"/>
      <c r="D28" s="109"/>
      <c r="E28" s="109"/>
      <c r="F28" s="109"/>
      <c r="G28" s="109"/>
      <c r="H28" s="12"/>
      <c r="I28" s="12"/>
      <c r="J28" s="12"/>
      <c r="K28" s="12"/>
      <c r="L28" s="12"/>
      <c r="M28" s="12"/>
      <c r="N28" s="12"/>
      <c r="O28" s="12"/>
      <c r="P28" s="12"/>
      <c r="Q28" s="12"/>
    </row>
    <row r="29" spans="2:17">
      <c r="B29" s="38" t="str">
        <f>Assumptions!B242</f>
        <v>Effect of Foreign Exchange Rates</v>
      </c>
      <c r="C29" s="109">
        <f>+Assumptions!D242</f>
        <v>44</v>
      </c>
      <c r="D29" s="109">
        <f>+Assumptions!E242</f>
        <v>-20</v>
      </c>
      <c r="E29" s="109">
        <f>+Assumptions!F242</f>
        <v>-5</v>
      </c>
      <c r="F29" s="109">
        <f>+Assumptions!G242</f>
        <v>55</v>
      </c>
      <c r="G29" s="109">
        <f>+Assumptions!H242</f>
        <v>-216</v>
      </c>
      <c r="H29" s="12">
        <f>IF(H$3="",0,IFERROR(AVERAGE(C29:G29),0))</f>
        <v>-28.4</v>
      </c>
      <c r="I29" s="12">
        <f t="shared" ref="I29:Q29" si="15">IF(I$3="",0,IFERROR(AVERAGE(D29:H29),0))</f>
        <v>-42.88</v>
      </c>
      <c r="J29" s="12">
        <f t="shared" si="15"/>
        <v>-47.456000000000003</v>
      </c>
      <c r="K29" s="12">
        <f t="shared" si="15"/>
        <v>-55.947199999999995</v>
      </c>
      <c r="L29" s="12">
        <f t="shared" si="15"/>
        <v>-78.136640000000014</v>
      </c>
      <c r="M29" s="12">
        <f t="shared" si="15"/>
        <v>0</v>
      </c>
      <c r="N29" s="12">
        <f t="shared" si="15"/>
        <v>0</v>
      </c>
      <c r="O29" s="12">
        <f t="shared" si="15"/>
        <v>0</v>
      </c>
      <c r="P29" s="12">
        <f t="shared" si="15"/>
        <v>0</v>
      </c>
      <c r="Q29" s="12">
        <f t="shared" si="15"/>
        <v>0</v>
      </c>
    </row>
    <row r="30" spans="2:17">
      <c r="C30" s="109"/>
      <c r="D30" s="109"/>
      <c r="E30" s="109"/>
      <c r="F30" s="109"/>
      <c r="G30" s="109"/>
      <c r="H30" s="12"/>
      <c r="I30" s="12"/>
      <c r="J30" s="12"/>
      <c r="K30" s="12"/>
      <c r="L30" s="12"/>
      <c r="M30" s="12"/>
      <c r="N30" s="12"/>
      <c r="O30" s="12"/>
      <c r="P30" s="12"/>
      <c r="Q30" s="12"/>
    </row>
    <row r="31" spans="2:17" ht="12" thickBot="1">
      <c r="B31" s="44" t="s">
        <v>111</v>
      </c>
      <c r="C31" s="111">
        <f>SUM(C10,C18,C27,C29)</f>
        <v>-456.79999999999927</v>
      </c>
      <c r="D31" s="111">
        <f t="shared" ref="D31:H31" si="16">SUM(D10,D18,D27,D29)</f>
        <v>-2642.3</v>
      </c>
      <c r="E31" s="111">
        <f t="shared" si="16"/>
        <v>-767.89999999999964</v>
      </c>
      <c r="F31" s="111">
        <f t="shared" si="16"/>
        <v>-3791.8</v>
      </c>
      <c r="G31" s="111">
        <f t="shared" si="16"/>
        <v>2408.8999999999996</v>
      </c>
      <c r="H31" s="34">
        <f t="shared" si="16"/>
        <v>-1243.1992079214879</v>
      </c>
      <c r="I31" s="34">
        <f t="shared" ref="I31:Q31" si="17">SUM(I10,I18,I27,I29)</f>
        <v>-926.14307067436846</v>
      </c>
      <c r="J31" s="34">
        <f t="shared" si="17"/>
        <v>-925.87715819396215</v>
      </c>
      <c r="K31" s="34">
        <f t="shared" si="17"/>
        <v>-1064.9892267318119</v>
      </c>
      <c r="L31" s="34">
        <f t="shared" si="17"/>
        <v>-838.7900420392042</v>
      </c>
      <c r="M31" s="34">
        <f t="shared" si="17"/>
        <v>0</v>
      </c>
      <c r="N31" s="34">
        <f t="shared" si="17"/>
        <v>0</v>
      </c>
      <c r="O31" s="34">
        <f t="shared" si="17"/>
        <v>0</v>
      </c>
      <c r="P31" s="34">
        <f t="shared" si="17"/>
        <v>0</v>
      </c>
      <c r="Q31" s="34">
        <f t="shared" si="17"/>
        <v>0</v>
      </c>
    </row>
    <row r="32" spans="2:17">
      <c r="C32" s="114"/>
      <c r="D32" s="114"/>
      <c r="E32" s="114"/>
      <c r="F32" s="114"/>
      <c r="G32" s="114"/>
    </row>
    <row r="33" spans="2:17">
      <c r="B33" s="10" t="s">
        <v>117</v>
      </c>
      <c r="C33" s="109"/>
      <c r="D33" s="109"/>
      <c r="E33" s="109"/>
      <c r="F33" s="109"/>
      <c r="G33" s="109"/>
      <c r="H33" s="12"/>
      <c r="I33" s="12"/>
      <c r="J33" s="12"/>
      <c r="K33" s="12"/>
      <c r="L33" s="12"/>
      <c r="M33" s="12"/>
      <c r="N33" s="12"/>
      <c r="O33" s="12"/>
      <c r="P33" s="12"/>
      <c r="Q33" s="12"/>
    </row>
    <row r="34" spans="2:17">
      <c r="B34" s="23" t="str">
        <f>+Assumptions!B245</f>
        <v>Opening Cash</v>
      </c>
      <c r="C34" s="109">
        <f>+Assumptions!C246+C31</f>
        <v>49.200000000000728</v>
      </c>
      <c r="D34" s="109">
        <f>+C36</f>
        <v>48.200000000000728</v>
      </c>
      <c r="E34" s="109">
        <f t="shared" ref="E34:G34" si="18">+D36</f>
        <v>-2631.0999999999995</v>
      </c>
      <c r="F34" s="109">
        <f t="shared" si="18"/>
        <v>-3394.9999999999991</v>
      </c>
      <c r="G34" s="109">
        <f t="shared" si="18"/>
        <v>-7198.7999999999993</v>
      </c>
      <c r="H34" s="12">
        <f>IF(H$3="",0,+G36)</f>
        <v>-4827.8999999999996</v>
      </c>
      <c r="I34" s="12">
        <f t="shared" ref="I34:Q34" si="19">IF(I$3="",0,+H36)</f>
        <v>-6087.8992079214877</v>
      </c>
      <c r="J34" s="12">
        <f t="shared" si="19"/>
        <v>-7030.8422785958564</v>
      </c>
      <c r="K34" s="12">
        <f t="shared" si="19"/>
        <v>-7973.5194367898184</v>
      </c>
      <c r="L34" s="12">
        <f t="shared" si="19"/>
        <v>-9055.3086635216296</v>
      </c>
      <c r="M34" s="12">
        <f t="shared" si="19"/>
        <v>0</v>
      </c>
      <c r="N34" s="12">
        <f t="shared" si="19"/>
        <v>0</v>
      </c>
      <c r="O34" s="12">
        <f t="shared" si="19"/>
        <v>0</v>
      </c>
      <c r="P34" s="12">
        <f t="shared" si="19"/>
        <v>0</v>
      </c>
      <c r="Q34" s="12">
        <f t="shared" si="19"/>
        <v>0</v>
      </c>
    </row>
    <row r="35" spans="2:17">
      <c r="B35" s="23" t="str">
        <f>Assumptions!B248</f>
        <v>Restricted Cash</v>
      </c>
      <c r="C35" s="109">
        <f>+Assumptions!D250</f>
        <v>1</v>
      </c>
      <c r="D35" s="109">
        <f>+Assumptions!E250</f>
        <v>37</v>
      </c>
      <c r="E35" s="109">
        <f>+Assumptions!F250</f>
        <v>-4</v>
      </c>
      <c r="F35" s="109">
        <f>+Assumptions!G250</f>
        <v>12</v>
      </c>
      <c r="G35" s="109">
        <f>+Assumptions!H250</f>
        <v>38</v>
      </c>
      <c r="H35" s="12">
        <f>IF(H$3="",0,+Assumptions!I250)</f>
        <v>16.8</v>
      </c>
      <c r="I35" s="12">
        <f>IF(I$3="",0,+Assumptions!J250)</f>
        <v>16.8</v>
      </c>
      <c r="J35" s="12">
        <f>IF(J$3="",0,+Assumptions!K250)</f>
        <v>16.8</v>
      </c>
      <c r="K35" s="12">
        <f>IF(K$3="",0,+Assumptions!L250)</f>
        <v>16.8</v>
      </c>
      <c r="L35" s="12">
        <f>IF(L$3="",0,+Assumptions!M250)</f>
        <v>16.8</v>
      </c>
      <c r="M35" s="12">
        <f>IF(M$3="",0,+Assumptions!N250)</f>
        <v>0</v>
      </c>
      <c r="N35" s="12">
        <f>IF(N$3="",0,+Assumptions!O250)</f>
        <v>0</v>
      </c>
      <c r="O35" s="12">
        <f>IF(O$3="",0,+Assumptions!P250)</f>
        <v>0</v>
      </c>
      <c r="P35" s="12">
        <f>IF(P$3="",0,+Assumptions!Q250)</f>
        <v>0</v>
      </c>
      <c r="Q35" s="12">
        <f>IF(Q$3="",0,+Assumptions!R250)</f>
        <v>0</v>
      </c>
    </row>
    <row r="36" spans="2:17" ht="12" thickBot="1">
      <c r="B36" s="43" t="s">
        <v>116</v>
      </c>
      <c r="C36" s="99">
        <f>+C34-C35</f>
        <v>48.200000000000728</v>
      </c>
      <c r="D36" s="99">
        <f>+D31+D34-D35</f>
        <v>-2631.0999999999995</v>
      </c>
      <c r="E36" s="99">
        <f t="shared" ref="E36:H36" si="20">+E31+E34-E35</f>
        <v>-3394.9999999999991</v>
      </c>
      <c r="F36" s="99">
        <f t="shared" si="20"/>
        <v>-7198.7999999999993</v>
      </c>
      <c r="G36" s="99">
        <f t="shared" si="20"/>
        <v>-4827.8999999999996</v>
      </c>
      <c r="H36" s="39">
        <f t="shared" si="20"/>
        <v>-6087.8992079214877</v>
      </c>
      <c r="I36" s="39">
        <f t="shared" ref="I36:Q36" si="21">+I31+I34-I35</f>
        <v>-7030.8422785958564</v>
      </c>
      <c r="J36" s="39">
        <f t="shared" si="21"/>
        <v>-7973.5194367898184</v>
      </c>
      <c r="K36" s="39">
        <f t="shared" si="21"/>
        <v>-9055.3086635216296</v>
      </c>
      <c r="L36" s="39">
        <f t="shared" si="21"/>
        <v>-9910.8987055608322</v>
      </c>
      <c r="M36" s="39">
        <f t="shared" si="21"/>
        <v>0</v>
      </c>
      <c r="N36" s="39">
        <f t="shared" si="21"/>
        <v>0</v>
      </c>
      <c r="O36" s="39">
        <f t="shared" si="21"/>
        <v>0</v>
      </c>
      <c r="P36" s="39">
        <f t="shared" si="21"/>
        <v>0</v>
      </c>
      <c r="Q36" s="39">
        <f t="shared" si="21"/>
        <v>0</v>
      </c>
    </row>
    <row r="37" spans="2:17" ht="12" thickTop="1">
      <c r="C37" s="12"/>
      <c r="D37" s="12"/>
      <c r="E37" s="12"/>
      <c r="F37" s="12"/>
      <c r="G37" s="12"/>
      <c r="H37" s="12"/>
      <c r="I37" s="12"/>
      <c r="J37" s="12"/>
      <c r="K37" s="12"/>
      <c r="L37" s="12"/>
      <c r="M37" s="12"/>
      <c r="N37" s="12"/>
      <c r="O37" s="12"/>
      <c r="P37" s="12"/>
      <c r="Q37" s="12"/>
    </row>
    <row r="38" spans="2:17">
      <c r="C38" s="12"/>
      <c r="D38" s="12"/>
      <c r="E38" s="12"/>
      <c r="F38" s="12"/>
      <c r="G38" s="12"/>
      <c r="H38" s="12"/>
      <c r="I38" s="12"/>
      <c r="J38" s="12"/>
      <c r="K38" s="12"/>
      <c r="L38" s="12"/>
      <c r="M38" s="12"/>
      <c r="N38" s="12"/>
      <c r="O38" s="12"/>
      <c r="P38" s="12"/>
      <c r="Q38" s="12"/>
    </row>
    <row r="39" spans="2:17">
      <c r="B39" s="30" t="s">
        <v>86</v>
      </c>
      <c r="C39" s="40"/>
      <c r="D39" s="40"/>
      <c r="E39" s="40"/>
      <c r="F39" s="40"/>
      <c r="G39" s="40"/>
      <c r="H39" s="40"/>
      <c r="I39" s="40"/>
      <c r="J39" s="40"/>
      <c r="K39" s="40"/>
      <c r="L39" s="40"/>
      <c r="M39" s="40"/>
      <c r="N39" s="40"/>
      <c r="O39" s="40"/>
      <c r="P39" s="40"/>
      <c r="Q39" s="40"/>
    </row>
    <row r="40" spans="2:17">
      <c r="B40" s="1" t="str">
        <f>'Income Statement'!B4</f>
        <v>Revenue</v>
      </c>
      <c r="C40" s="12">
        <f>'IS Bear'!C4</f>
        <v>50069</v>
      </c>
      <c r="D40" s="12">
        <f>'IS Bear'!D4</f>
        <v>39087</v>
      </c>
      <c r="E40" s="12">
        <f>'IS Bear'!E4</f>
        <v>47071</v>
      </c>
      <c r="F40" s="12">
        <f>'IS Bear'!F4</f>
        <v>53309</v>
      </c>
      <c r="G40" s="12">
        <f>'IS Bear'!G4</f>
        <v>43649</v>
      </c>
      <c r="H40" s="12">
        <f>'IS Bear'!H4</f>
        <v>44085.49</v>
      </c>
      <c r="I40" s="12">
        <f>'IS Bear'!I4</f>
        <v>44526.344899999996</v>
      </c>
      <c r="J40" s="12">
        <f>'IS Bear'!J4</f>
        <v>44971.608348999995</v>
      </c>
      <c r="K40" s="12">
        <f>'IS Bear'!K4</f>
        <v>45421.324432489993</v>
      </c>
      <c r="L40" s="12">
        <f>'IS Bear'!L4</f>
        <v>45875.537676814893</v>
      </c>
      <c r="M40" s="12">
        <f>'IS Bear'!M4</f>
        <v>0</v>
      </c>
      <c r="N40" s="12">
        <f>'IS Bear'!N4</f>
        <v>0</v>
      </c>
      <c r="O40" s="12">
        <f>'IS Bear'!O4</f>
        <v>0</v>
      </c>
      <c r="P40" s="12">
        <f>'IS Bear'!P4</f>
        <v>0</v>
      </c>
      <c r="Q40" s="12">
        <f>'IS Bear'!Q4</f>
        <v>0</v>
      </c>
    </row>
    <row r="41" spans="2:17">
      <c r="B41" s="1" t="str">
        <f>'Income Statement'!B37</f>
        <v>Net Income (Loss), GAAP</v>
      </c>
      <c r="C41" s="12">
        <f>'IS Bear'!C37</f>
        <v>5705</v>
      </c>
      <c r="D41" s="12">
        <f>'IS Bear'!D37</f>
        <v>3363</v>
      </c>
      <c r="E41" s="12">
        <f>'IS Bear'!E37</f>
        <v>6189</v>
      </c>
      <c r="F41" s="12">
        <f>'IS Bear'!F37</f>
        <v>3003</v>
      </c>
      <c r="G41" s="12">
        <f>'IS Bear'!G37</f>
        <v>6191</v>
      </c>
      <c r="H41" s="12">
        <f>'IS Bear'!H37</f>
        <v>4313.6878754599784</v>
      </c>
      <c r="I41" s="12">
        <f>'IS Bear'!I37</f>
        <v>4376.5210700798661</v>
      </c>
      <c r="J41" s="12">
        <f>'IS Bear'!J37</f>
        <v>4440.5801795454981</v>
      </c>
      <c r="K41" s="12">
        <f>'IS Bear'!K37</f>
        <v>4546.2330542052341</v>
      </c>
      <c r="L41" s="12">
        <f>'IS Bear'!L37</f>
        <v>4616.7335313237618</v>
      </c>
      <c r="M41" s="12">
        <f>'IS Bear'!M37</f>
        <v>0</v>
      </c>
      <c r="N41" s="12">
        <f>'IS Bear'!N37</f>
        <v>0</v>
      </c>
      <c r="O41" s="12">
        <f>'IS Bear'!O37</f>
        <v>0</v>
      </c>
      <c r="P41" s="12">
        <f>'IS Bear'!P37</f>
        <v>0</v>
      </c>
      <c r="Q41" s="12">
        <f>'IS Bear'!Q37</f>
        <v>0</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60F0F-7A5B-490B-90F4-3A198BE97339}">
  <sheetPr>
    <tabColor theme="8" tint="0.79998168889431442"/>
  </sheetPr>
  <dimension ref="B2:Q41"/>
  <sheetViews>
    <sheetView zoomScaleNormal="100"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8.6640625" defaultRowHeight="11" outlineLevelCol="1"/>
  <cols>
    <col min="1" max="1" width="2.1640625" style="1" customWidth="1"/>
    <col min="2" max="2" width="28.1640625" style="1" bestFit="1" customWidth="1"/>
    <col min="3" max="7" width="8.6640625" style="1" customWidth="1" outlineLevel="1"/>
    <col min="8" max="17" width="8.6640625" style="1" customWidth="1"/>
    <col min="18" max="16384" width="8.6640625" style="1"/>
  </cols>
  <sheetData>
    <row r="2" spans="2:17">
      <c r="B2" s="30" t="s">
        <v>65</v>
      </c>
      <c r="C2" s="30"/>
      <c r="D2" s="30"/>
      <c r="E2" s="30"/>
      <c r="F2" s="30"/>
      <c r="G2" s="30"/>
      <c r="H2" s="30"/>
      <c r="I2" s="30"/>
      <c r="J2" s="30"/>
      <c r="K2" s="30"/>
      <c r="L2" s="30"/>
      <c r="M2" s="30"/>
      <c r="N2" s="30"/>
      <c r="O2" s="30"/>
      <c r="P2" s="30"/>
      <c r="Q2" s="30"/>
    </row>
    <row r="3" spans="2:17">
      <c r="B3" s="14" t="str">
        <f>Assumptions!$B$113</f>
        <v>Year Ending December 31, In CAD Millions</v>
      </c>
      <c r="C3" s="14" cm="1">
        <f t="array" ref="C3:L3">_xlfn.SEQUENCE(1,5+Assumptions!$C$21,(YEAR('Valuation Summary'!$C$4)-5))</f>
        <v>2019</v>
      </c>
      <c r="D3" s="14">
        <v>2020</v>
      </c>
      <c r="E3" s="14">
        <v>2021</v>
      </c>
      <c r="F3" s="14">
        <v>2022</v>
      </c>
      <c r="G3" s="14">
        <v>2023</v>
      </c>
      <c r="H3" s="15">
        <v>2024</v>
      </c>
      <c r="I3" s="15">
        <v>2025</v>
      </c>
      <c r="J3" s="15">
        <v>2026</v>
      </c>
      <c r="K3" s="15">
        <v>2027</v>
      </c>
      <c r="L3" s="15">
        <v>2028</v>
      </c>
      <c r="M3" s="15"/>
      <c r="N3" s="15"/>
      <c r="O3" s="15"/>
      <c r="P3" s="15"/>
      <c r="Q3" s="15"/>
    </row>
    <row r="4" spans="2:17">
      <c r="B4" s="10" t="s">
        <v>66</v>
      </c>
      <c r="C4" s="109"/>
      <c r="D4" s="109"/>
      <c r="E4" s="109"/>
      <c r="F4" s="109"/>
      <c r="G4" s="109"/>
      <c r="H4" s="12"/>
      <c r="I4" s="12"/>
      <c r="J4" s="12"/>
      <c r="K4" s="12"/>
      <c r="L4" s="12"/>
      <c r="M4" s="12"/>
      <c r="N4" s="12"/>
      <c r="O4" s="12"/>
      <c r="P4" s="12"/>
      <c r="Q4" s="12"/>
    </row>
    <row r="5" spans="2:17">
      <c r="B5" s="23" t="str">
        <f>'Income Statement'!B37</f>
        <v>Net Income (Loss), GAAP</v>
      </c>
      <c r="C5" s="109">
        <f>'IS Bull'!C37</f>
        <v>5705</v>
      </c>
      <c r="D5" s="109">
        <f>'IS Bull'!D37</f>
        <v>3363</v>
      </c>
      <c r="E5" s="109">
        <f>'IS Bull'!E37</f>
        <v>6189</v>
      </c>
      <c r="F5" s="109">
        <f>'IS Bull'!F37</f>
        <v>3003</v>
      </c>
      <c r="G5" s="109">
        <f>'IS Bull'!G37</f>
        <v>6191</v>
      </c>
      <c r="H5" s="12">
        <f>IF(H$3="",0,'IS Bull'!H37)</f>
        <v>4593.747020588401</v>
      </c>
      <c r="I5" s="12">
        <f>IF(I$3="",0,'IS Bull'!I37)</f>
        <v>4953.4429090444182</v>
      </c>
      <c r="J5" s="12">
        <f>IF(J$3="",0,'IS Bull'!J37)</f>
        <v>5332.0364444037759</v>
      </c>
      <c r="K5" s="12">
        <f>IF(K$3="",0,'IS Bull'!K37)</f>
        <v>5770.8073495913877</v>
      </c>
      <c r="L5" s="12">
        <f>IF(L$3="",0,'IS Bull'!L37)</f>
        <v>6193.9672109370313</v>
      </c>
      <c r="M5" s="12">
        <f>IF(M$3="",0,'IS Bull'!M37)</f>
        <v>0</v>
      </c>
      <c r="N5" s="12">
        <f>IF(N$3="",0,'IS Bull'!N37)</f>
        <v>0</v>
      </c>
      <c r="O5" s="12">
        <f>IF(O$3="",0,'IS Bull'!O37)</f>
        <v>0</v>
      </c>
      <c r="P5" s="12">
        <f>IF(P$3="",0,'IS Bull'!P37)</f>
        <v>0</v>
      </c>
      <c r="Q5" s="12">
        <f>IF(Q$3="",0,'IS Bull'!Q37)</f>
        <v>0</v>
      </c>
    </row>
    <row r="6" spans="2:17">
      <c r="B6" s="23" t="str">
        <f>'Income Statement'!B47</f>
        <v>Depreciation and Amortization</v>
      </c>
      <c r="C6" s="109">
        <f>'IS Bull'!C47</f>
        <v>3391</v>
      </c>
      <c r="D6" s="109">
        <f>'IS Bull'!D47</f>
        <v>3712</v>
      </c>
      <c r="E6" s="109">
        <f>'IS Bull'!E47</f>
        <v>3852</v>
      </c>
      <c r="F6" s="109">
        <f>'IS Bull'!F47</f>
        <v>4317</v>
      </c>
      <c r="G6" s="109">
        <f>'IS Bull'!G47</f>
        <v>4613</v>
      </c>
      <c r="H6" s="12">
        <f>IF(H$3="",0,'IS Bull'!H47)</f>
        <v>4142.1616399007571</v>
      </c>
      <c r="I6" s="12">
        <f>IF(I$3="",0,'IS Bull'!I47)</f>
        <v>4349.2697218957956</v>
      </c>
      <c r="J6" s="12">
        <f>IF(J$3="",0,'IS Bull'!J47)</f>
        <v>4566.7332079905855</v>
      </c>
      <c r="K6" s="12">
        <f>IF(K$3="",0,'IS Bull'!K47)</f>
        <v>4795.0698683901146</v>
      </c>
      <c r="L6" s="12">
        <f>IF(L$3="",0,'IS Bull'!L47)</f>
        <v>5034.823361809621</v>
      </c>
      <c r="M6" s="12">
        <f>IF(M$3="",0,'IS Bull'!M47)</f>
        <v>0</v>
      </c>
      <c r="N6" s="12">
        <f>IF(N$3="",0,'IS Bull'!N47)</f>
        <v>0</v>
      </c>
      <c r="O6" s="12">
        <f>IF(O$3="",0,'IS Bull'!O47)</f>
        <v>0</v>
      </c>
      <c r="P6" s="12">
        <f>IF(P$3="",0,'IS Bull'!P47)</f>
        <v>0</v>
      </c>
      <c r="Q6" s="12">
        <f>IF(Q$3="",0,'IS Bull'!Q47)</f>
        <v>0</v>
      </c>
    </row>
    <row r="7" spans="2:17">
      <c r="B7" s="23" t="str">
        <f>Assumptions!B187</f>
        <v>Non-Cash Items</v>
      </c>
      <c r="C7" s="109">
        <f>Assumptions!D187</f>
        <v>65.2</v>
      </c>
      <c r="D7" s="109">
        <f>Assumptions!E187</f>
        <v>304.7</v>
      </c>
      <c r="E7" s="109">
        <f>Assumptions!F187</f>
        <v>207.1</v>
      </c>
      <c r="F7" s="109">
        <f>Assumptions!G187</f>
        <v>-36.799999999999997</v>
      </c>
      <c r="G7" s="109">
        <f>Assumptions!H187</f>
        <v>67.900000000000006</v>
      </c>
      <c r="H7" s="12">
        <f>IF(H$3="",0,H40*Assumptions!I189)</f>
        <v>0</v>
      </c>
      <c r="I7" s="12">
        <f>IF(I$3="",0,I40*Assumptions!J189)</f>
        <v>0</v>
      </c>
      <c r="J7" s="12">
        <f>IF(J$3="",0,J40*Assumptions!K189)</f>
        <v>0</v>
      </c>
      <c r="K7" s="12">
        <f>IF(K$3="",0,K40*Assumptions!L189)</f>
        <v>0</v>
      </c>
      <c r="L7" s="12">
        <f>IF(L$3="",0,L40*Assumptions!M189)</f>
        <v>0</v>
      </c>
      <c r="M7" s="12">
        <f>IF(M$3="",0,M40*Assumptions!N189)</f>
        <v>0</v>
      </c>
      <c r="N7" s="12">
        <f>IF(N$3="",0,N40*Assumptions!O189)</f>
        <v>0</v>
      </c>
      <c r="O7" s="12">
        <f>IF(O$3="",0,O40*Assumptions!P189)</f>
        <v>0</v>
      </c>
      <c r="P7" s="12">
        <f>IF(P$3="",0,P40*Assumptions!Q189)</f>
        <v>0</v>
      </c>
      <c r="Q7" s="12">
        <f>IF(Q$3="",0,Q40*Assumptions!R189)</f>
        <v>0</v>
      </c>
    </row>
    <row r="8" spans="2:17">
      <c r="B8" s="23" t="str">
        <f>Assumptions!B194</f>
        <v>Change in Non-Cash Working Capital</v>
      </c>
      <c r="C8" s="109">
        <f>Assumptions!D194</f>
        <v>-259</v>
      </c>
      <c r="D8" s="109">
        <f>Assumptions!E194</f>
        <v>-55</v>
      </c>
      <c r="E8" s="109">
        <f>Assumptions!F194</f>
        <v>-1590</v>
      </c>
      <c r="F8" s="109">
        <f>Assumptions!G194</f>
        <v>-432</v>
      </c>
      <c r="G8" s="109">
        <f>Assumptions!H194</f>
        <v>660</v>
      </c>
      <c r="H8" s="12">
        <f>IF(H$3="",0,IFERROR(AVERAGE(C8:G8),0))</f>
        <v>-335.2</v>
      </c>
      <c r="I8" s="12">
        <f t="shared" ref="I8:Q8" si="0">IF(I$3="",0,IFERROR(AVERAGE(D8:H8),0))</f>
        <v>-350.44</v>
      </c>
      <c r="J8" s="12">
        <f t="shared" si="0"/>
        <v>-409.52800000000002</v>
      </c>
      <c r="K8" s="12">
        <f t="shared" si="0"/>
        <v>-173.43360000000001</v>
      </c>
      <c r="L8" s="12">
        <f t="shared" si="0"/>
        <v>-121.72031999999999</v>
      </c>
      <c r="M8" s="12">
        <f t="shared" si="0"/>
        <v>0</v>
      </c>
      <c r="N8" s="12">
        <f t="shared" si="0"/>
        <v>0</v>
      </c>
      <c r="O8" s="12">
        <f t="shared" si="0"/>
        <v>0</v>
      </c>
      <c r="P8" s="12">
        <f t="shared" si="0"/>
        <v>0</v>
      </c>
      <c r="Q8" s="12">
        <f t="shared" si="0"/>
        <v>0</v>
      </c>
    </row>
    <row r="9" spans="2:17">
      <c r="B9" s="23" t="str">
        <f>Assumptions!B205</f>
        <v>Net Cash from Discontinued Operations</v>
      </c>
      <c r="C9" s="109">
        <f>Assumptions!D205</f>
        <v>0</v>
      </c>
      <c r="D9" s="109">
        <f>Assumptions!E205</f>
        <v>0</v>
      </c>
      <c r="E9" s="109">
        <f>Assumptions!F205</f>
        <v>0</v>
      </c>
      <c r="F9" s="109">
        <f>Assumptions!G205</f>
        <v>0</v>
      </c>
      <c r="G9" s="109">
        <f>Assumptions!H205</f>
        <v>0</v>
      </c>
      <c r="H9" s="12">
        <f>IF(H$3="",0,Assumptions!I205)</f>
        <v>0</v>
      </c>
      <c r="I9" s="12">
        <f>IF(I$3="",0,Assumptions!J205)</f>
        <v>0</v>
      </c>
      <c r="J9" s="12">
        <f>IF(J$3="",0,Assumptions!K205)</f>
        <v>0</v>
      </c>
      <c r="K9" s="12">
        <f>IF(K$3="",0,Assumptions!L205)</f>
        <v>0</v>
      </c>
      <c r="L9" s="12">
        <f>IF(L$3="",0,Assumptions!M205)</f>
        <v>0</v>
      </c>
      <c r="M9" s="12">
        <f>IF(M$3="",0,Assumptions!N205)</f>
        <v>0</v>
      </c>
      <c r="N9" s="12">
        <f>IF(N$3="",0,Assumptions!O205)</f>
        <v>0</v>
      </c>
      <c r="O9" s="12">
        <f>IF(O$3="",0,Assumptions!P205)</f>
        <v>0</v>
      </c>
      <c r="P9" s="12">
        <f>IF(P$3="",0,Assumptions!Q205)</f>
        <v>0</v>
      </c>
      <c r="Q9" s="12">
        <f>IF(Q$3="",0,Assumptions!R205)</f>
        <v>0</v>
      </c>
    </row>
    <row r="10" spans="2:17">
      <c r="B10" s="31" t="s">
        <v>69</v>
      </c>
      <c r="C10" s="112">
        <f>SUM(C5:C9)</f>
        <v>8902.2000000000007</v>
      </c>
      <c r="D10" s="112">
        <f t="shared" ref="D10:G10" si="1">SUM(D5:D9)</f>
        <v>7324.7</v>
      </c>
      <c r="E10" s="112">
        <f t="shared" si="1"/>
        <v>8658.1</v>
      </c>
      <c r="F10" s="112">
        <f t="shared" si="1"/>
        <v>6851.2</v>
      </c>
      <c r="G10" s="112">
        <f t="shared" si="1"/>
        <v>11531.9</v>
      </c>
      <c r="H10" s="32">
        <f t="shared" ref="H10:Q10" si="2">SUM(H5:H9)</f>
        <v>8400.7086604891574</v>
      </c>
      <c r="I10" s="32">
        <f t="shared" si="2"/>
        <v>8952.2726309402133</v>
      </c>
      <c r="J10" s="32">
        <f t="shared" si="2"/>
        <v>9489.2416523943612</v>
      </c>
      <c r="K10" s="32">
        <f t="shared" si="2"/>
        <v>10392.443617981502</v>
      </c>
      <c r="L10" s="32">
        <f t="shared" si="2"/>
        <v>11107.070252746653</v>
      </c>
      <c r="M10" s="32">
        <f t="shared" si="2"/>
        <v>0</v>
      </c>
      <c r="N10" s="32">
        <f t="shared" si="2"/>
        <v>0</v>
      </c>
      <c r="O10" s="32">
        <f t="shared" si="2"/>
        <v>0</v>
      </c>
      <c r="P10" s="32">
        <f t="shared" si="2"/>
        <v>0</v>
      </c>
      <c r="Q10" s="32">
        <f t="shared" si="2"/>
        <v>0</v>
      </c>
    </row>
    <row r="11" spans="2:17">
      <c r="C11" s="109"/>
      <c r="D11" s="109"/>
      <c r="E11" s="109"/>
      <c r="F11" s="109"/>
      <c r="G11" s="109"/>
      <c r="H11" s="12"/>
      <c r="I11" s="12"/>
      <c r="J11" s="12"/>
      <c r="K11" s="12"/>
      <c r="L11" s="12"/>
      <c r="M11" s="12"/>
      <c r="N11" s="12"/>
      <c r="O11" s="12"/>
      <c r="P11" s="12"/>
      <c r="Q11" s="12"/>
    </row>
    <row r="12" spans="2:17">
      <c r="B12" s="10" t="s">
        <v>71</v>
      </c>
      <c r="C12" s="109"/>
      <c r="D12" s="109"/>
      <c r="E12" s="109"/>
      <c r="F12" s="109"/>
      <c r="G12" s="109"/>
      <c r="H12" s="12"/>
      <c r="I12" s="12"/>
      <c r="J12" s="12"/>
      <c r="K12" s="12"/>
      <c r="L12" s="12"/>
      <c r="M12" s="12"/>
      <c r="N12" s="12"/>
      <c r="O12" s="12"/>
      <c r="P12" s="12"/>
      <c r="Q12" s="12"/>
    </row>
    <row r="13" spans="2:17">
      <c r="B13" s="23" t="s">
        <v>72</v>
      </c>
      <c r="C13" s="109">
        <f>-'IS Bull'!C44+Assumptions!D210</f>
        <v>-3382</v>
      </c>
      <c r="D13" s="109">
        <f>-'IS Bull'!D44+Assumptions!E210</f>
        <v>-5140</v>
      </c>
      <c r="E13" s="109">
        <f>-'IS Bull'!E44+Assumptions!F210</f>
        <v>-6555</v>
      </c>
      <c r="F13" s="109">
        <f>-'IS Bull'!F44+Assumptions!G210</f>
        <v>-4647</v>
      </c>
      <c r="G13" s="109">
        <f>-'IS Bull'!G44+Assumptions!H210</f>
        <v>-4654</v>
      </c>
      <c r="H13" s="12">
        <f>IF(H$3="",0,-'IS Bull'!H44+('BS Bull'!H12*Assumptions!I211))</f>
        <v>-4764.6631359435087</v>
      </c>
      <c r="I13" s="12">
        <f>IF(I$3="",0,-'IS Bull'!I44+('BS Bull'!I12*Assumptions!J211))</f>
        <v>-5031.8294522492424</v>
      </c>
      <c r="J13" s="12">
        <f>IF(J$3="",0,-'IS Bull'!J44+('BS Bull'!J12*Assumptions!K211))</f>
        <v>-5312.3540843702622</v>
      </c>
      <c r="K13" s="12">
        <f>IF(K$3="",0,-'IS Bull'!K44+('BS Bull'!K12*Assumptions!L211))</f>
        <v>-5606.9049480973335</v>
      </c>
      <c r="L13" s="12">
        <f>IF(L$3="",0,-'IS Bull'!L44+('BS Bull'!L12*Assumptions!M211))</f>
        <v>-5916.1833550107585</v>
      </c>
      <c r="M13" s="12">
        <f>IF(M$3="",0,-'IS Bull'!M44+('BS Bull'!M12*Assumptions!N211))</f>
        <v>0</v>
      </c>
      <c r="N13" s="12">
        <f>IF(N$3="",0,-'IS Bull'!N44+('BS Bull'!N12*Assumptions!O211))</f>
        <v>0</v>
      </c>
      <c r="O13" s="12">
        <f>IF(O$3="",0,-'IS Bull'!O44+('BS Bull'!O12*Assumptions!P211))</f>
        <v>0</v>
      </c>
      <c r="P13" s="12">
        <f>IF(P$3="",0,-'IS Bull'!P44+('BS Bull'!P12*Assumptions!Q211))</f>
        <v>0</v>
      </c>
      <c r="Q13" s="12">
        <f>IF(Q$3="",0,-'IS Bull'!Q44+('BS Bull'!Q12*Assumptions!R211))</f>
        <v>0</v>
      </c>
    </row>
    <row r="14" spans="2:17">
      <c r="B14" s="23" t="s">
        <v>73</v>
      </c>
      <c r="C14" s="109">
        <f>Assumptions!D214</f>
        <v>-1159</v>
      </c>
      <c r="D14" s="109">
        <f>Assumptions!E214</f>
        <v>-487</v>
      </c>
      <c r="E14" s="109">
        <f>Assumptions!F214</f>
        <v>-640</v>
      </c>
      <c r="F14" s="109">
        <f>Assumptions!G214</f>
        <v>-1041</v>
      </c>
      <c r="G14" s="109">
        <f>Assumptions!H214</f>
        <v>-1276</v>
      </c>
      <c r="H14" s="12">
        <f>IF(H$3="",0,IFERROR(AVERAGE(C14:G14),0))</f>
        <v>-920.6</v>
      </c>
      <c r="I14" s="12">
        <f t="shared" ref="I14:Q14" si="3">IF(I$3="",0,IFERROR(AVERAGE(D14:H14),0))</f>
        <v>-872.92000000000007</v>
      </c>
      <c r="J14" s="12">
        <f t="shared" si="3"/>
        <v>-950.10400000000004</v>
      </c>
      <c r="K14" s="12">
        <f t="shared" si="3"/>
        <v>-1012.1248000000002</v>
      </c>
      <c r="L14" s="12">
        <f t="shared" si="3"/>
        <v>-1006.3497600000001</v>
      </c>
      <c r="M14" s="12">
        <f t="shared" si="3"/>
        <v>0</v>
      </c>
      <c r="N14" s="12">
        <f t="shared" si="3"/>
        <v>0</v>
      </c>
      <c r="O14" s="12">
        <f t="shared" si="3"/>
        <v>0</v>
      </c>
      <c r="P14" s="12">
        <f t="shared" si="3"/>
        <v>0</v>
      </c>
      <c r="Q14" s="12">
        <f t="shared" si="3"/>
        <v>0</v>
      </c>
    </row>
    <row r="15" spans="2:17">
      <c r="B15" s="23" t="s">
        <v>74</v>
      </c>
      <c r="C15" s="109">
        <f>Assumptions!D217</f>
        <v>-200</v>
      </c>
      <c r="D15" s="109">
        <f>Assumptions!E217</f>
        <v>-239</v>
      </c>
      <c r="E15" s="109">
        <f>Assumptions!F217</f>
        <v>-4060</v>
      </c>
      <c r="F15" s="109">
        <f>Assumptions!G217</f>
        <v>-480</v>
      </c>
      <c r="G15" s="109">
        <f>Assumptions!H217</f>
        <v>-1176</v>
      </c>
      <c r="H15" s="12">
        <f>IF(H$3="",0,IFERROR(AVERAGE(C15:G15),0))</f>
        <v>-1231</v>
      </c>
      <c r="I15" s="12">
        <f t="shared" ref="I15:Q15" si="4">IF(I$3="",0,IFERROR(AVERAGE(D15:H15),0))</f>
        <v>-1437.2</v>
      </c>
      <c r="J15" s="12">
        <f t="shared" si="4"/>
        <v>-1676.8400000000001</v>
      </c>
      <c r="K15" s="12">
        <f t="shared" si="4"/>
        <v>-1200.2080000000001</v>
      </c>
      <c r="L15" s="12">
        <f t="shared" si="4"/>
        <v>-1344.2495999999999</v>
      </c>
      <c r="M15" s="12">
        <f t="shared" si="4"/>
        <v>0</v>
      </c>
      <c r="N15" s="12">
        <f t="shared" si="4"/>
        <v>0</v>
      </c>
      <c r="O15" s="12">
        <f t="shared" si="4"/>
        <v>0</v>
      </c>
      <c r="P15" s="12">
        <f t="shared" si="4"/>
        <v>0</v>
      </c>
      <c r="Q15" s="12">
        <f t="shared" si="4"/>
        <v>0</v>
      </c>
    </row>
    <row r="16" spans="2:17">
      <c r="B16" s="23" t="s">
        <v>75</v>
      </c>
      <c r="C16" s="109">
        <f>Assumptions!D220</f>
        <v>83</v>
      </c>
      <c r="D16" s="109">
        <f>Assumptions!E220</f>
        <v>689</v>
      </c>
      <c r="E16" s="109">
        <f>Assumptions!F220</f>
        <v>598</v>
      </c>
      <c r="F16" s="109">
        <f>Assumptions!G220</f>
        <v>898</v>
      </c>
      <c r="G16" s="109">
        <f>Assumptions!H220</f>
        <v>1063</v>
      </c>
      <c r="H16" s="12">
        <f>IF(H$3="",0,IFERROR(AVERAGE(C16:G16),0))</f>
        <v>666.2</v>
      </c>
      <c r="I16" s="12">
        <f t="shared" ref="I16:Q16" si="5">IF(I$3="",0,IFERROR(AVERAGE(D16:H16),0))</f>
        <v>782.83999999999992</v>
      </c>
      <c r="J16" s="12">
        <f t="shared" si="5"/>
        <v>801.60799999999995</v>
      </c>
      <c r="K16" s="12">
        <f t="shared" si="5"/>
        <v>842.32960000000003</v>
      </c>
      <c r="L16" s="12">
        <f t="shared" si="5"/>
        <v>831.19551999999999</v>
      </c>
      <c r="M16" s="12">
        <f t="shared" si="5"/>
        <v>0</v>
      </c>
      <c r="N16" s="12">
        <f t="shared" si="5"/>
        <v>0</v>
      </c>
      <c r="O16" s="12">
        <f t="shared" si="5"/>
        <v>0</v>
      </c>
      <c r="P16" s="12">
        <f t="shared" si="5"/>
        <v>0</v>
      </c>
      <c r="Q16" s="12">
        <f t="shared" si="5"/>
        <v>0</v>
      </c>
    </row>
    <row r="17" spans="2:17">
      <c r="B17" s="23" t="s">
        <v>68</v>
      </c>
      <c r="C17" s="109">
        <f>Assumptions!D223</f>
        <v>0</v>
      </c>
      <c r="D17" s="109">
        <f>Assumptions!E223</f>
        <v>0</v>
      </c>
      <c r="E17" s="109">
        <f>Assumptions!F223</f>
        <v>0</v>
      </c>
      <c r="F17" s="109">
        <f>Assumptions!G223</f>
        <v>0</v>
      </c>
      <c r="G17" s="109">
        <f>Assumptions!H223</f>
        <v>0</v>
      </c>
      <c r="H17" s="12">
        <f>IF(H$3="",0,IFERROR(AVERAGE(C17:G17),0))</f>
        <v>0</v>
      </c>
      <c r="I17" s="12">
        <f t="shared" ref="I17:Q17" si="6">IF(I$3="",0,IFERROR(AVERAGE(D17:H17),0))</f>
        <v>0</v>
      </c>
      <c r="J17" s="12">
        <f t="shared" si="6"/>
        <v>0</v>
      </c>
      <c r="K17" s="12">
        <f t="shared" si="6"/>
        <v>0</v>
      </c>
      <c r="L17" s="12">
        <f t="shared" si="6"/>
        <v>0</v>
      </c>
      <c r="M17" s="12">
        <f t="shared" si="6"/>
        <v>0</v>
      </c>
      <c r="N17" s="12">
        <f t="shared" si="6"/>
        <v>0</v>
      </c>
      <c r="O17" s="12">
        <f t="shared" si="6"/>
        <v>0</v>
      </c>
      <c r="P17" s="12">
        <f t="shared" si="6"/>
        <v>0</v>
      </c>
      <c r="Q17" s="12">
        <f t="shared" si="6"/>
        <v>0</v>
      </c>
    </row>
    <row r="18" spans="2:17">
      <c r="B18" s="31" t="s">
        <v>76</v>
      </c>
      <c r="C18" s="112">
        <f>SUM(C13:C17)</f>
        <v>-4658</v>
      </c>
      <c r="D18" s="112">
        <f t="shared" ref="D18:G18" si="7">SUM(D13:D17)</f>
        <v>-5177</v>
      </c>
      <c r="E18" s="112">
        <f t="shared" si="7"/>
        <v>-10657</v>
      </c>
      <c r="F18" s="112">
        <f t="shared" si="7"/>
        <v>-5270</v>
      </c>
      <c r="G18" s="112">
        <f t="shared" si="7"/>
        <v>-6043</v>
      </c>
      <c r="H18" s="32">
        <f t="shared" ref="H18:Q18" si="8">SUM(H13:H17)</f>
        <v>-6250.0631359435092</v>
      </c>
      <c r="I18" s="32">
        <f t="shared" si="8"/>
        <v>-6559.1094522492422</v>
      </c>
      <c r="J18" s="32">
        <f t="shared" si="8"/>
        <v>-7137.6900843702624</v>
      </c>
      <c r="K18" s="32">
        <f t="shared" si="8"/>
        <v>-6976.9081480973337</v>
      </c>
      <c r="L18" s="32">
        <f t="shared" si="8"/>
        <v>-7435.5871950107585</v>
      </c>
      <c r="M18" s="32">
        <f t="shared" si="8"/>
        <v>0</v>
      </c>
      <c r="N18" s="32">
        <f t="shared" si="8"/>
        <v>0</v>
      </c>
      <c r="O18" s="32">
        <f t="shared" si="8"/>
        <v>0</v>
      </c>
      <c r="P18" s="32">
        <f t="shared" si="8"/>
        <v>0</v>
      </c>
      <c r="Q18" s="32">
        <f t="shared" si="8"/>
        <v>0</v>
      </c>
    </row>
    <row r="19" spans="2:17">
      <c r="C19" s="109"/>
      <c r="D19" s="109"/>
      <c r="E19" s="109"/>
      <c r="F19" s="109"/>
      <c r="G19" s="109"/>
      <c r="H19" s="12"/>
      <c r="I19" s="12"/>
      <c r="J19" s="12"/>
      <c r="K19" s="12"/>
      <c r="L19" s="12"/>
      <c r="M19" s="12"/>
      <c r="N19" s="12"/>
      <c r="O19" s="12"/>
      <c r="P19" s="12"/>
      <c r="Q19" s="12"/>
    </row>
    <row r="20" spans="2:17">
      <c r="C20" s="109"/>
      <c r="D20" s="109"/>
      <c r="E20" s="109"/>
      <c r="F20" s="109"/>
      <c r="G20" s="109"/>
      <c r="H20" s="12"/>
      <c r="I20" s="12"/>
      <c r="J20" s="12"/>
      <c r="K20" s="12"/>
      <c r="L20" s="12"/>
      <c r="M20" s="12"/>
      <c r="N20" s="12"/>
      <c r="O20" s="12"/>
      <c r="P20" s="12"/>
      <c r="Q20" s="12"/>
    </row>
    <row r="21" spans="2:17">
      <c r="B21" s="10" t="s">
        <v>77</v>
      </c>
      <c r="C21" s="109"/>
      <c r="D21" s="109"/>
      <c r="E21" s="109"/>
      <c r="F21" s="109"/>
      <c r="G21" s="109"/>
      <c r="H21" s="12"/>
      <c r="I21" s="12"/>
      <c r="J21" s="12"/>
      <c r="K21" s="12"/>
      <c r="L21" s="12"/>
      <c r="M21" s="12"/>
      <c r="N21" s="12"/>
      <c r="O21" s="12"/>
      <c r="P21" s="12"/>
      <c r="Q21" s="12"/>
    </row>
    <row r="22" spans="2:17">
      <c r="B22" s="23" t="str">
        <f>Assumptions!B226</f>
        <v>Dividends Paid</v>
      </c>
      <c r="C22" s="109">
        <f>Assumptions!D226</f>
        <v>-6356</v>
      </c>
      <c r="D22" s="109">
        <f>Assumptions!E226</f>
        <v>-6940</v>
      </c>
      <c r="E22" s="109">
        <f>Assumptions!F226</f>
        <v>-7133</v>
      </c>
      <c r="F22" s="109">
        <f>Assumptions!G226</f>
        <v>-7306</v>
      </c>
      <c r="G22" s="109">
        <f>Assumptions!H226</f>
        <v>-7628</v>
      </c>
      <c r="H22" s="12">
        <f>IF(H$3="",0,H41*Assumptions!I227)</f>
        <v>-7345.6627155419774</v>
      </c>
      <c r="I22" s="12">
        <f>IF(I$3="",0,I41*Assumptions!J227)</f>
        <v>-7920.8368957750627</v>
      </c>
      <c r="J22" s="12">
        <f>IF(J$3="",0,J41*Assumptions!K227)</f>
        <v>-8526.2294880467725</v>
      </c>
      <c r="K22" s="12">
        <f>IF(K$3="",0,K41*Assumptions!L227)</f>
        <v>-9227.8491167411739</v>
      </c>
      <c r="L22" s="12">
        <f>IF(L$3="",0,L41*Assumptions!M227)</f>
        <v>-9904.5057985891999</v>
      </c>
      <c r="M22" s="12">
        <f>IF(M$3="",0,M41*Assumptions!N227)</f>
        <v>0</v>
      </c>
      <c r="N22" s="12">
        <f>IF(N$3="",0,N41*Assumptions!O227)</f>
        <v>0</v>
      </c>
      <c r="O22" s="12">
        <f>IF(O$3="",0,O41*Assumptions!P227)</f>
        <v>0</v>
      </c>
      <c r="P22" s="12">
        <f>IF(P$3="",0,P41*Assumptions!Q227)</f>
        <v>0</v>
      </c>
      <c r="Q22" s="12">
        <f>IF(Q$3="",0,Q41*Assumptions!R227)</f>
        <v>0</v>
      </c>
    </row>
    <row r="23" spans="2:17">
      <c r="B23" s="23" t="str">
        <f>Assumptions!B230</f>
        <v>Net Cash from (Repayment) Debt</v>
      </c>
      <c r="C23" s="109">
        <f>Assumptions!D230</f>
        <v>2206</v>
      </c>
      <c r="D23" s="109">
        <f>Assumptions!E230</f>
        <v>2532</v>
      </c>
      <c r="E23" s="109">
        <f>Assumptions!F230</f>
        <v>9122</v>
      </c>
      <c r="F23" s="109">
        <f>Assumptions!G230</f>
        <v>2497</v>
      </c>
      <c r="G23" s="109">
        <f>Assumptions!H230</f>
        <v>805</v>
      </c>
      <c r="H23" s="12">
        <f>IF(H$3="",0,IFERROR(AVERAGE(C23:G23),0))</f>
        <v>3432.4</v>
      </c>
      <c r="I23" s="12">
        <f t="shared" ref="I23:Q23" si="9">IF(I$3="",0,IFERROR(AVERAGE(D23:H23),0))</f>
        <v>3677.6800000000003</v>
      </c>
      <c r="J23" s="12">
        <f t="shared" si="9"/>
        <v>3906.8160000000003</v>
      </c>
      <c r="K23" s="12">
        <f t="shared" si="9"/>
        <v>2863.7791999999999</v>
      </c>
      <c r="L23" s="12">
        <f t="shared" si="9"/>
        <v>2937.1350400000001</v>
      </c>
      <c r="M23" s="12">
        <f t="shared" si="9"/>
        <v>0</v>
      </c>
      <c r="N23" s="12">
        <f t="shared" si="9"/>
        <v>0</v>
      </c>
      <c r="O23" s="12">
        <f t="shared" si="9"/>
        <v>0</v>
      </c>
      <c r="P23" s="12">
        <f t="shared" si="9"/>
        <v>0</v>
      </c>
      <c r="Q23" s="12">
        <f t="shared" si="9"/>
        <v>0</v>
      </c>
    </row>
    <row r="24" spans="2:17">
      <c r="B24" s="23" t="str">
        <f>Assumptions!B233</f>
        <v>Cash (Repurchase) of Equity</v>
      </c>
      <c r="C24" s="109">
        <f>Assumptions!D233</f>
        <v>-282</v>
      </c>
      <c r="D24" s="109">
        <f>Assumptions!E233</f>
        <v>5</v>
      </c>
      <c r="E24" s="109">
        <f>Assumptions!F233</f>
        <v>-410</v>
      </c>
      <c r="F24" s="109">
        <f>Assumptions!G233</f>
        <v>-1151</v>
      </c>
      <c r="G24" s="109">
        <f>Assumptions!H233</f>
        <v>4325</v>
      </c>
      <c r="H24" s="12">
        <f>IF(H$3="",0,IFERROR(AVERAGE(C24:G24),0))</f>
        <v>497.4</v>
      </c>
      <c r="I24" s="12">
        <f t="shared" ref="I24:Q24" si="10">IF(I$3="",0,IFERROR(AVERAGE(D24:H24),0))</f>
        <v>653.28</v>
      </c>
      <c r="J24" s="12">
        <f t="shared" si="10"/>
        <v>782.93600000000004</v>
      </c>
      <c r="K24" s="12">
        <f t="shared" si="10"/>
        <v>1021.5232</v>
      </c>
      <c r="L24" s="12">
        <f t="shared" si="10"/>
        <v>1456.0278399999997</v>
      </c>
      <c r="M24" s="12">
        <f t="shared" si="10"/>
        <v>0</v>
      </c>
      <c r="N24" s="12">
        <f t="shared" si="10"/>
        <v>0</v>
      </c>
      <c r="O24" s="12">
        <f t="shared" si="10"/>
        <v>0</v>
      </c>
      <c r="P24" s="12">
        <f t="shared" si="10"/>
        <v>0</v>
      </c>
      <c r="Q24" s="12">
        <f t="shared" si="10"/>
        <v>0</v>
      </c>
    </row>
    <row r="25" spans="2:17">
      <c r="B25" s="23" t="str">
        <f>Assumptions!B236</f>
        <v>Other Financing Activities</v>
      </c>
      <c r="C25" s="109">
        <f>Assumptions!D236</f>
        <v>-313</v>
      </c>
      <c r="D25" s="109">
        <f>Assumptions!E236</f>
        <v>-367</v>
      </c>
      <c r="E25" s="109">
        <f>Assumptions!F236</f>
        <v>-343</v>
      </c>
      <c r="F25" s="109">
        <f>Assumptions!G236</f>
        <v>532</v>
      </c>
      <c r="G25" s="109">
        <f>Assumptions!H236</f>
        <v>-366</v>
      </c>
      <c r="H25" s="12">
        <f>IF(H$3="",0,IFERROR(AVERAGE(C25:G25),0))</f>
        <v>-171.4</v>
      </c>
      <c r="I25" s="12">
        <f t="shared" ref="I25:Q25" si="11">IF(I$3="",0,IFERROR(AVERAGE(D25:H25),0))</f>
        <v>-143.07999999999998</v>
      </c>
      <c r="J25" s="12">
        <f t="shared" si="11"/>
        <v>-98.295999999999992</v>
      </c>
      <c r="K25" s="12">
        <f t="shared" si="11"/>
        <v>-49.355199999999996</v>
      </c>
      <c r="L25" s="12">
        <f t="shared" si="11"/>
        <v>-165.62624</v>
      </c>
      <c r="M25" s="12">
        <f t="shared" si="11"/>
        <v>0</v>
      </c>
      <c r="N25" s="12">
        <f t="shared" si="11"/>
        <v>0</v>
      </c>
      <c r="O25" s="12">
        <f t="shared" si="11"/>
        <v>0</v>
      </c>
      <c r="P25" s="12">
        <f t="shared" si="11"/>
        <v>0</v>
      </c>
      <c r="Q25" s="12">
        <f t="shared" si="11"/>
        <v>0</v>
      </c>
    </row>
    <row r="26" spans="2:17">
      <c r="B26" s="23" t="str">
        <f>Assumptions!B239</f>
        <v>Net Cash from Discontinued Operations</v>
      </c>
      <c r="C26" s="109">
        <f>Assumptions!D239</f>
        <v>0</v>
      </c>
      <c r="D26" s="109">
        <f>Assumptions!E239</f>
        <v>0</v>
      </c>
      <c r="E26" s="109">
        <f>Assumptions!F239</f>
        <v>0</v>
      </c>
      <c r="F26" s="109">
        <f>Assumptions!G239</f>
        <v>0</v>
      </c>
      <c r="G26" s="109">
        <f>Assumptions!H239</f>
        <v>0</v>
      </c>
      <c r="H26" s="12">
        <f>IF(H$3="",0,IFERROR(AVERAGE(C26:G26),0))</f>
        <v>0</v>
      </c>
      <c r="I26" s="12">
        <f t="shared" ref="I26:Q26" si="12">IF(I$3="",0,IFERROR(AVERAGE(D26:H26),0))</f>
        <v>0</v>
      </c>
      <c r="J26" s="12">
        <f t="shared" si="12"/>
        <v>0</v>
      </c>
      <c r="K26" s="12">
        <f t="shared" si="12"/>
        <v>0</v>
      </c>
      <c r="L26" s="12">
        <f t="shared" si="12"/>
        <v>0</v>
      </c>
      <c r="M26" s="12">
        <f t="shared" si="12"/>
        <v>0</v>
      </c>
      <c r="N26" s="12">
        <f t="shared" si="12"/>
        <v>0</v>
      </c>
      <c r="O26" s="12">
        <f t="shared" si="12"/>
        <v>0</v>
      </c>
      <c r="P26" s="12">
        <f t="shared" si="12"/>
        <v>0</v>
      </c>
      <c r="Q26" s="12">
        <f t="shared" si="12"/>
        <v>0</v>
      </c>
    </row>
    <row r="27" spans="2:17">
      <c r="B27" s="31" t="s">
        <v>82</v>
      </c>
      <c r="C27" s="112">
        <f>SUM(C22:C26)</f>
        <v>-4745</v>
      </c>
      <c r="D27" s="112">
        <f t="shared" ref="D27:G27" si="13">SUM(D22:D26)</f>
        <v>-4770</v>
      </c>
      <c r="E27" s="112">
        <f t="shared" si="13"/>
        <v>1236</v>
      </c>
      <c r="F27" s="112">
        <f t="shared" si="13"/>
        <v>-5428</v>
      </c>
      <c r="G27" s="112">
        <f t="shared" si="13"/>
        <v>-2864</v>
      </c>
      <c r="H27" s="32">
        <f t="shared" ref="H27:Q27" si="14">SUM(H22:H26)</f>
        <v>-3587.2627155419773</v>
      </c>
      <c r="I27" s="32">
        <f t="shared" si="14"/>
        <v>-3732.9568957750625</v>
      </c>
      <c r="J27" s="32">
        <f t="shared" si="14"/>
        <v>-3934.7734880467715</v>
      </c>
      <c r="K27" s="32">
        <f t="shared" si="14"/>
        <v>-5391.9019167411743</v>
      </c>
      <c r="L27" s="32">
        <f t="shared" si="14"/>
        <v>-5676.9691585891997</v>
      </c>
      <c r="M27" s="32">
        <f t="shared" si="14"/>
        <v>0</v>
      </c>
      <c r="N27" s="32">
        <f t="shared" si="14"/>
        <v>0</v>
      </c>
      <c r="O27" s="32">
        <f t="shared" si="14"/>
        <v>0</v>
      </c>
      <c r="P27" s="32">
        <f t="shared" si="14"/>
        <v>0</v>
      </c>
      <c r="Q27" s="32">
        <f t="shared" si="14"/>
        <v>0</v>
      </c>
    </row>
    <row r="28" spans="2:17">
      <c r="C28" s="109"/>
      <c r="D28" s="109"/>
      <c r="E28" s="109"/>
      <c r="F28" s="109"/>
      <c r="G28" s="109"/>
      <c r="H28" s="12"/>
      <c r="I28" s="12"/>
      <c r="J28" s="12"/>
      <c r="K28" s="12"/>
      <c r="L28" s="12"/>
      <c r="M28" s="12"/>
      <c r="N28" s="12"/>
      <c r="O28" s="12"/>
      <c r="P28" s="12"/>
      <c r="Q28" s="12"/>
    </row>
    <row r="29" spans="2:17">
      <c r="B29" s="38" t="str">
        <f>Assumptions!B242</f>
        <v>Effect of Foreign Exchange Rates</v>
      </c>
      <c r="C29" s="109">
        <f>+Assumptions!D242</f>
        <v>44</v>
      </c>
      <c r="D29" s="109">
        <f>+Assumptions!E242</f>
        <v>-20</v>
      </c>
      <c r="E29" s="109">
        <f>+Assumptions!F242</f>
        <v>-5</v>
      </c>
      <c r="F29" s="109">
        <f>+Assumptions!G242</f>
        <v>55</v>
      </c>
      <c r="G29" s="109">
        <f>+Assumptions!H242</f>
        <v>-216</v>
      </c>
      <c r="H29" s="12">
        <f>IF(H$3="",0,IFERROR(AVERAGE(C29:G29),0))</f>
        <v>-28.4</v>
      </c>
      <c r="I29" s="12">
        <f t="shared" ref="I29:Q29" si="15">IF(I$3="",0,IFERROR(AVERAGE(D29:H29),0))</f>
        <v>-42.88</v>
      </c>
      <c r="J29" s="12">
        <f t="shared" si="15"/>
        <v>-47.456000000000003</v>
      </c>
      <c r="K29" s="12">
        <f t="shared" si="15"/>
        <v>-55.947199999999995</v>
      </c>
      <c r="L29" s="12">
        <f t="shared" si="15"/>
        <v>-78.136640000000014</v>
      </c>
      <c r="M29" s="12">
        <f t="shared" si="15"/>
        <v>0</v>
      </c>
      <c r="N29" s="12">
        <f t="shared" si="15"/>
        <v>0</v>
      </c>
      <c r="O29" s="12">
        <f t="shared" si="15"/>
        <v>0</v>
      </c>
      <c r="P29" s="12">
        <f t="shared" si="15"/>
        <v>0</v>
      </c>
      <c r="Q29" s="12">
        <f t="shared" si="15"/>
        <v>0</v>
      </c>
    </row>
    <row r="30" spans="2:17">
      <c r="C30" s="109"/>
      <c r="D30" s="109"/>
      <c r="E30" s="109"/>
      <c r="F30" s="109"/>
      <c r="G30" s="109"/>
      <c r="H30" s="12"/>
      <c r="I30" s="12"/>
      <c r="J30" s="12"/>
      <c r="K30" s="12"/>
      <c r="L30" s="12"/>
      <c r="M30" s="12"/>
      <c r="N30" s="12"/>
      <c r="O30" s="12"/>
      <c r="P30" s="12"/>
      <c r="Q30" s="12"/>
    </row>
    <row r="31" spans="2:17" ht="12" thickBot="1">
      <c r="B31" s="44" t="s">
        <v>111</v>
      </c>
      <c r="C31" s="111">
        <f>SUM(C10,C18,C27,C29)</f>
        <v>-456.79999999999927</v>
      </c>
      <c r="D31" s="111">
        <f t="shared" ref="D31:G31" si="16">SUM(D10,D18,D27,D29)</f>
        <v>-2642.3</v>
      </c>
      <c r="E31" s="111">
        <f t="shared" si="16"/>
        <v>-767.89999999999964</v>
      </c>
      <c r="F31" s="111">
        <f t="shared" si="16"/>
        <v>-3791.8</v>
      </c>
      <c r="G31" s="111">
        <f t="shared" si="16"/>
        <v>2408.8999999999996</v>
      </c>
      <c r="H31" s="34">
        <f t="shared" ref="H31:Q31" si="17">SUM(H10,H18,H27,H29)</f>
        <v>-1465.0171909963292</v>
      </c>
      <c r="I31" s="34">
        <f t="shared" si="17"/>
        <v>-1382.6737170840915</v>
      </c>
      <c r="J31" s="34">
        <f t="shared" si="17"/>
        <v>-1630.6779200226727</v>
      </c>
      <c r="K31" s="34">
        <f t="shared" si="17"/>
        <v>-2032.313646857006</v>
      </c>
      <c r="L31" s="34">
        <f t="shared" si="17"/>
        <v>-2083.6227408533055</v>
      </c>
      <c r="M31" s="34">
        <f t="shared" si="17"/>
        <v>0</v>
      </c>
      <c r="N31" s="34">
        <f t="shared" si="17"/>
        <v>0</v>
      </c>
      <c r="O31" s="34">
        <f t="shared" si="17"/>
        <v>0</v>
      </c>
      <c r="P31" s="34">
        <f t="shared" si="17"/>
        <v>0</v>
      </c>
      <c r="Q31" s="34">
        <f t="shared" si="17"/>
        <v>0</v>
      </c>
    </row>
    <row r="32" spans="2:17">
      <c r="C32" s="114"/>
      <c r="D32" s="114"/>
      <c r="E32" s="114"/>
      <c r="F32" s="114"/>
      <c r="G32" s="114"/>
    </row>
    <row r="33" spans="2:17">
      <c r="B33" s="10" t="s">
        <v>117</v>
      </c>
      <c r="C33" s="109"/>
      <c r="D33" s="109"/>
      <c r="E33" s="109"/>
      <c r="F33" s="109"/>
      <c r="G33" s="109"/>
      <c r="H33" s="12"/>
      <c r="I33" s="12"/>
      <c r="J33" s="12"/>
      <c r="K33" s="12"/>
      <c r="L33" s="12"/>
      <c r="M33" s="12"/>
      <c r="N33" s="12"/>
      <c r="O33" s="12"/>
      <c r="P33" s="12"/>
      <c r="Q33" s="12"/>
    </row>
    <row r="34" spans="2:17">
      <c r="B34" s="23" t="str">
        <f>+Assumptions!B245</f>
        <v>Opening Cash</v>
      </c>
      <c r="C34" s="109">
        <f>+Assumptions!C246+C31</f>
        <v>49.200000000000728</v>
      </c>
      <c r="D34" s="109">
        <f>+C36</f>
        <v>48.200000000000728</v>
      </c>
      <c r="E34" s="109">
        <f t="shared" ref="E34:G34" si="18">+D36</f>
        <v>-2631.0999999999995</v>
      </c>
      <c r="F34" s="109">
        <f t="shared" si="18"/>
        <v>-3394.9999999999991</v>
      </c>
      <c r="G34" s="109">
        <f t="shared" si="18"/>
        <v>-7198.7999999999993</v>
      </c>
      <c r="H34" s="12">
        <f>IF(H$3="",0,+G36)</f>
        <v>-4827.8999999999996</v>
      </c>
      <c r="I34" s="12">
        <f t="shared" ref="I34:Q34" si="19">IF(I$3="",0,+H36)</f>
        <v>-6309.717190996329</v>
      </c>
      <c r="J34" s="12">
        <f t="shared" si="19"/>
        <v>-7709.1909080804207</v>
      </c>
      <c r="K34" s="12">
        <f t="shared" si="19"/>
        <v>-9356.6688281030929</v>
      </c>
      <c r="L34" s="12">
        <f t="shared" si="19"/>
        <v>-11405.782474960099</v>
      </c>
      <c r="M34" s="12">
        <f t="shared" si="19"/>
        <v>0</v>
      </c>
      <c r="N34" s="12">
        <f t="shared" si="19"/>
        <v>0</v>
      </c>
      <c r="O34" s="12">
        <f t="shared" si="19"/>
        <v>0</v>
      </c>
      <c r="P34" s="12">
        <f t="shared" si="19"/>
        <v>0</v>
      </c>
      <c r="Q34" s="12">
        <f t="shared" si="19"/>
        <v>0</v>
      </c>
    </row>
    <row r="35" spans="2:17">
      <c r="B35" s="23" t="str">
        <f>Assumptions!B248</f>
        <v>Restricted Cash</v>
      </c>
      <c r="C35" s="109">
        <f>+Assumptions!D250</f>
        <v>1</v>
      </c>
      <c r="D35" s="109">
        <f>+Assumptions!E250</f>
        <v>37</v>
      </c>
      <c r="E35" s="109">
        <f>+Assumptions!F250</f>
        <v>-4</v>
      </c>
      <c r="F35" s="109">
        <f>+Assumptions!G250</f>
        <v>12</v>
      </c>
      <c r="G35" s="109">
        <f>+Assumptions!H250</f>
        <v>38</v>
      </c>
      <c r="H35" s="12">
        <f>IF(H$3="",0,+Assumptions!I250)</f>
        <v>16.8</v>
      </c>
      <c r="I35" s="12">
        <f>IF(I$3="",0,+Assumptions!J250)</f>
        <v>16.8</v>
      </c>
      <c r="J35" s="12">
        <f>IF(J$3="",0,+Assumptions!K250)</f>
        <v>16.8</v>
      </c>
      <c r="K35" s="12">
        <f>IF(K$3="",0,+Assumptions!L250)</f>
        <v>16.8</v>
      </c>
      <c r="L35" s="12">
        <f>IF(L$3="",0,+Assumptions!M250)</f>
        <v>16.8</v>
      </c>
      <c r="M35" s="12">
        <f>IF(M$3="",0,+Assumptions!N250)</f>
        <v>0</v>
      </c>
      <c r="N35" s="12">
        <f>IF(N$3="",0,+Assumptions!O250)</f>
        <v>0</v>
      </c>
      <c r="O35" s="12">
        <f>IF(O$3="",0,+Assumptions!P250)</f>
        <v>0</v>
      </c>
      <c r="P35" s="12">
        <f>IF(P$3="",0,+Assumptions!Q250)</f>
        <v>0</v>
      </c>
      <c r="Q35" s="12">
        <f>IF(Q$3="",0,+Assumptions!R250)</f>
        <v>0</v>
      </c>
    </row>
    <row r="36" spans="2:17" ht="12" thickBot="1">
      <c r="B36" s="43" t="s">
        <v>116</v>
      </c>
      <c r="C36" s="99">
        <f>+C34-C35</f>
        <v>48.200000000000728</v>
      </c>
      <c r="D36" s="99">
        <f>+D31+D34-D35</f>
        <v>-2631.0999999999995</v>
      </c>
      <c r="E36" s="99">
        <f t="shared" ref="E36:H36" si="20">+E31+E34-E35</f>
        <v>-3394.9999999999991</v>
      </c>
      <c r="F36" s="99">
        <f t="shared" si="20"/>
        <v>-7198.7999999999993</v>
      </c>
      <c r="G36" s="99">
        <f t="shared" si="20"/>
        <v>-4827.8999999999996</v>
      </c>
      <c r="H36" s="39">
        <f t="shared" si="20"/>
        <v>-6309.717190996329</v>
      </c>
      <c r="I36" s="39">
        <f t="shared" ref="I36:Q36" si="21">+I31+I34-I35</f>
        <v>-7709.1909080804207</v>
      </c>
      <c r="J36" s="39">
        <f t="shared" si="21"/>
        <v>-9356.6688281030929</v>
      </c>
      <c r="K36" s="39">
        <f t="shared" si="21"/>
        <v>-11405.782474960099</v>
      </c>
      <c r="L36" s="39">
        <f t="shared" si="21"/>
        <v>-13506.205215813403</v>
      </c>
      <c r="M36" s="39">
        <f t="shared" si="21"/>
        <v>0</v>
      </c>
      <c r="N36" s="39">
        <f t="shared" si="21"/>
        <v>0</v>
      </c>
      <c r="O36" s="39">
        <f t="shared" si="21"/>
        <v>0</v>
      </c>
      <c r="P36" s="39">
        <f t="shared" si="21"/>
        <v>0</v>
      </c>
      <c r="Q36" s="39">
        <f t="shared" si="21"/>
        <v>0</v>
      </c>
    </row>
    <row r="37" spans="2:17" ht="12" thickTop="1">
      <c r="C37" s="12"/>
      <c r="D37" s="12"/>
      <c r="E37" s="12"/>
      <c r="F37" s="12"/>
      <c r="G37" s="12"/>
      <c r="H37" s="12"/>
      <c r="I37" s="12"/>
      <c r="J37" s="12"/>
      <c r="K37" s="12"/>
      <c r="L37" s="12"/>
      <c r="M37" s="12"/>
      <c r="N37" s="12"/>
      <c r="O37" s="12"/>
      <c r="P37" s="12"/>
      <c r="Q37" s="12"/>
    </row>
    <row r="38" spans="2:17">
      <c r="C38" s="12"/>
      <c r="D38" s="12"/>
      <c r="E38" s="12"/>
      <c r="F38" s="12"/>
      <c r="G38" s="12"/>
      <c r="H38" s="12"/>
      <c r="I38" s="12"/>
      <c r="J38" s="12"/>
      <c r="K38" s="12"/>
      <c r="L38" s="12"/>
      <c r="M38" s="12"/>
      <c r="N38" s="12"/>
      <c r="O38" s="12"/>
      <c r="P38" s="12"/>
      <c r="Q38" s="12"/>
    </row>
    <row r="39" spans="2:17">
      <c r="B39" s="30" t="s">
        <v>86</v>
      </c>
      <c r="C39" s="40"/>
      <c r="D39" s="40"/>
      <c r="E39" s="40"/>
      <c r="F39" s="40"/>
      <c r="G39" s="40"/>
      <c r="H39" s="40"/>
      <c r="I39" s="40"/>
      <c r="J39" s="40"/>
      <c r="K39" s="40"/>
      <c r="L39" s="40"/>
      <c r="M39" s="40"/>
      <c r="N39" s="40"/>
      <c r="O39" s="40"/>
      <c r="P39" s="40"/>
      <c r="Q39" s="40"/>
    </row>
    <row r="40" spans="2:17">
      <c r="B40" s="1" t="str">
        <f>'Income Statement'!B4</f>
        <v>Revenue</v>
      </c>
      <c r="C40" s="12">
        <f>'IS Bull'!C4</f>
        <v>50069</v>
      </c>
      <c r="D40" s="12">
        <f>'IS Bull'!D4</f>
        <v>39087</v>
      </c>
      <c r="E40" s="12">
        <f>'IS Bull'!E4</f>
        <v>47071</v>
      </c>
      <c r="F40" s="12">
        <f>'IS Bull'!F4</f>
        <v>53309</v>
      </c>
      <c r="G40" s="12">
        <f>'IS Bull'!G4</f>
        <v>43649</v>
      </c>
      <c r="H40" s="12">
        <f>'IS Bull'!H4</f>
        <v>45831.450000000004</v>
      </c>
      <c r="I40" s="12">
        <f>'IS Bull'!I4</f>
        <v>48123.022500000006</v>
      </c>
      <c r="J40" s="12">
        <f>'IS Bull'!J4</f>
        <v>50529.17362500001</v>
      </c>
      <c r="K40" s="12">
        <f>'IS Bull'!K4</f>
        <v>53055.632306250016</v>
      </c>
      <c r="L40" s="12">
        <f>'IS Bull'!L4</f>
        <v>55708.413921562518</v>
      </c>
      <c r="M40" s="12">
        <f>'IS Bull'!M4</f>
        <v>0</v>
      </c>
      <c r="N40" s="12">
        <f>'IS Bull'!N4</f>
        <v>0</v>
      </c>
      <c r="O40" s="12">
        <f>'IS Bull'!O4</f>
        <v>0</v>
      </c>
      <c r="P40" s="12">
        <f>'IS Bull'!P4</f>
        <v>0</v>
      </c>
      <c r="Q40" s="12">
        <f>'IS Bull'!Q4</f>
        <v>0</v>
      </c>
    </row>
    <row r="41" spans="2:17">
      <c r="B41" s="1" t="str">
        <f>'Income Statement'!B37</f>
        <v>Net Income (Loss), GAAP</v>
      </c>
      <c r="C41" s="12">
        <f>'IS Bull'!C37</f>
        <v>5705</v>
      </c>
      <c r="D41" s="12">
        <f>'IS Bull'!D37</f>
        <v>3363</v>
      </c>
      <c r="E41" s="12">
        <f>'IS Bull'!E37</f>
        <v>6189</v>
      </c>
      <c r="F41" s="12">
        <f>'IS Bull'!F37</f>
        <v>3003</v>
      </c>
      <c r="G41" s="12">
        <f>'IS Bull'!G37</f>
        <v>6191</v>
      </c>
      <c r="H41" s="12">
        <f>'IS Bull'!H37</f>
        <v>4593.747020588401</v>
      </c>
      <c r="I41" s="12">
        <f>'IS Bull'!I37</f>
        <v>4953.4429090444182</v>
      </c>
      <c r="J41" s="12">
        <f>'IS Bull'!J37</f>
        <v>5332.0364444037759</v>
      </c>
      <c r="K41" s="12">
        <f>'IS Bull'!K37</f>
        <v>5770.8073495913877</v>
      </c>
      <c r="L41" s="12">
        <f>'IS Bull'!L37</f>
        <v>6193.9672109370313</v>
      </c>
      <c r="M41" s="12">
        <f>'IS Bull'!M37</f>
        <v>0</v>
      </c>
      <c r="N41" s="12">
        <f>'IS Bull'!N37</f>
        <v>0</v>
      </c>
      <c r="O41" s="12">
        <f>'IS Bull'!O37</f>
        <v>0</v>
      </c>
      <c r="P41" s="12">
        <f>'IS Bull'!P37</f>
        <v>0</v>
      </c>
      <c r="Q41" s="12">
        <f>'IS Bull'!Q37</f>
        <v>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27CDB-5480-4400-9000-189FA28D0B34}">
  <sheetPr>
    <tabColor theme="7"/>
  </sheetPr>
  <dimension ref="B2:Q57"/>
  <sheetViews>
    <sheetView zoomScale="90" zoomScaleNormal="90" workbookViewId="0">
      <pane xSplit="1" ySplit="3" topLeftCell="B19" activePane="bottomRight" state="frozen"/>
      <selection pane="topRight" activeCell="B1" sqref="B1"/>
      <selection pane="bottomLeft" activeCell="A4" sqref="A4"/>
      <selection pane="bottomRight" activeCell="C6" sqref="C6"/>
    </sheetView>
  </sheetViews>
  <sheetFormatPr baseColWidth="10" defaultColWidth="8.6640625" defaultRowHeight="11" outlineLevelCol="1"/>
  <cols>
    <col min="1" max="1" width="2.1640625" style="1" customWidth="1"/>
    <col min="2" max="2" width="39" style="1" bestFit="1" customWidth="1"/>
    <col min="3" max="7" width="8.6640625" style="1" customWidth="1" outlineLevel="1"/>
    <col min="8" max="17" width="8.6640625" style="1" customWidth="1"/>
    <col min="18" max="16384" width="8.6640625" style="1"/>
  </cols>
  <sheetData>
    <row r="2" spans="2:17">
      <c r="B2" s="30" t="s">
        <v>50</v>
      </c>
      <c r="C2" s="30"/>
      <c r="D2" s="30"/>
      <c r="E2" s="30"/>
      <c r="F2" s="30"/>
      <c r="G2" s="30"/>
      <c r="H2" s="30"/>
      <c r="I2" s="30"/>
      <c r="J2" s="30"/>
      <c r="K2" s="30"/>
      <c r="L2" s="30"/>
      <c r="M2" s="30"/>
      <c r="N2" s="30"/>
      <c r="O2" s="30"/>
      <c r="P2" s="30"/>
      <c r="Q2" s="30"/>
    </row>
    <row r="3" spans="2:17">
      <c r="B3" s="14" t="str">
        <f>Assumptions!$B$113</f>
        <v>Year Ending December 31, In CAD Millions</v>
      </c>
      <c r="C3" s="14" cm="1">
        <f t="array" ref="C3:L3">_xlfn.SEQUENCE(1,5+Assumptions!$C$21,(YEAR('Valuation Summary'!$C$4)-5))</f>
        <v>2019</v>
      </c>
      <c r="D3" s="14">
        <v>2020</v>
      </c>
      <c r="E3" s="14">
        <v>2021</v>
      </c>
      <c r="F3" s="14">
        <v>2022</v>
      </c>
      <c r="G3" s="14">
        <v>2023</v>
      </c>
      <c r="H3" s="15">
        <v>2024</v>
      </c>
      <c r="I3" s="15">
        <v>2025</v>
      </c>
      <c r="J3" s="15">
        <v>2026</v>
      </c>
      <c r="K3" s="15">
        <v>2027</v>
      </c>
      <c r="L3" s="15">
        <v>2028</v>
      </c>
      <c r="M3" s="15"/>
      <c r="N3" s="15"/>
      <c r="O3" s="15"/>
      <c r="P3" s="15"/>
      <c r="Q3" s="15"/>
    </row>
    <row r="4" spans="2:17">
      <c r="B4" s="10" t="s">
        <v>51</v>
      </c>
      <c r="C4" s="109"/>
      <c r="D4" s="109"/>
      <c r="E4" s="109"/>
      <c r="F4" s="109"/>
      <c r="G4" s="109"/>
      <c r="H4" s="12"/>
      <c r="I4" s="12"/>
      <c r="J4" s="12"/>
      <c r="K4" s="12"/>
      <c r="L4" s="12"/>
      <c r="M4" s="12"/>
      <c r="N4" s="12"/>
      <c r="O4" s="12"/>
      <c r="P4" s="12"/>
      <c r="Q4" s="12"/>
    </row>
    <row r="5" spans="2:17">
      <c r="B5" s="11" t="s">
        <v>52</v>
      </c>
      <c r="C5" s="109"/>
      <c r="D5" s="109"/>
      <c r="E5" s="109"/>
      <c r="F5" s="109"/>
      <c r="G5" s="109"/>
      <c r="H5" s="12"/>
      <c r="I5" s="12"/>
      <c r="J5" s="12"/>
      <c r="K5" s="12"/>
      <c r="L5" s="12"/>
      <c r="M5" s="12"/>
      <c r="N5" s="12"/>
      <c r="O5" s="12"/>
      <c r="P5" s="12"/>
      <c r="Q5" s="12"/>
    </row>
    <row r="6" spans="2:17">
      <c r="B6" s="27" t="str">
        <f>Assumptions!B260</f>
        <v>Cash, Cash Equivalents, and Short-Term Investments</v>
      </c>
      <c r="C6" s="109">
        <f>+Assumptions!D261+'Cash Flows'!C36</f>
        <v>696.20000000000073</v>
      </c>
      <c r="D6" s="109">
        <f>+Assumptions!E261+'Cash Flows'!D36</f>
        <v>-2179.0999999999995</v>
      </c>
      <c r="E6" s="109">
        <f>+Assumptions!F261+'Cash Flows'!E36</f>
        <v>-3108.9999999999991</v>
      </c>
      <c r="F6" s="109">
        <f>+Assumptions!G261+'Cash Flows'!F36</f>
        <v>-6337.7999999999993</v>
      </c>
      <c r="G6" s="109">
        <f>+Assumptions!H261+'Cash Flows'!G36</f>
        <v>1073.1000000000004</v>
      </c>
      <c r="H6" s="119">
        <f>IF(H$3="",0,'Cash Flows'!H36+'Income Statement'!H4*Assumptions!I$262)</f>
        <v>-4562.9921611980189</v>
      </c>
      <c r="I6" s="119">
        <f>IF(I$3="",0,'Cash Flows'!I36+'Income Statement'!I4*Assumptions!J$262)</f>
        <v>-5682.9078940986747</v>
      </c>
      <c r="J6" s="119">
        <f>IF(J$3="",0,'Cash Flows'!J36+'Income Statement'!J4*Assumptions!K$262)</f>
        <v>-6920.5886859349612</v>
      </c>
      <c r="K6" s="119">
        <f>IF(K$3="",0,'Cash Flows'!K36+'Income Statement'!K4*Assumptions!L$262)</f>
        <v>-8419.8734654208929</v>
      </c>
      <c r="L6" s="119">
        <f>IF(L$3="",0,'Cash Flows'!L36+'Income Statement'!L4*Assumptions!M$262)</f>
        <v>-9820.0549556381611</v>
      </c>
      <c r="M6" s="119">
        <f>IF(M$3="",0,'Cash Flows'!M36+'Income Statement'!M4*Assumptions!N$262)</f>
        <v>0</v>
      </c>
      <c r="N6" s="119">
        <f>IF(N$3="",0,'Cash Flows'!N36+'Income Statement'!N4*Assumptions!O$262)</f>
        <v>0</v>
      </c>
      <c r="O6" s="119">
        <f>IF(O$3="",0,'Cash Flows'!O36+'Income Statement'!O4*Assumptions!P$262)</f>
        <v>0</v>
      </c>
      <c r="P6" s="119">
        <f>IF(P$3="",0,'Cash Flows'!P36+'Income Statement'!P4*Assumptions!Q$262)</f>
        <v>0</v>
      </c>
      <c r="Q6" s="119">
        <f>IF(Q$3="",0,'Cash Flows'!Q36+'Income Statement'!Q4*Assumptions!R$262)</f>
        <v>0</v>
      </c>
    </row>
    <row r="7" spans="2:17">
      <c r="B7" s="27" t="str">
        <f>Assumptions!B265</f>
        <v>Accounts and Notes Receivable</v>
      </c>
      <c r="C7" s="109">
        <f>Assumptions!D265</f>
        <v>6578</v>
      </c>
      <c r="D7" s="109">
        <f>Assumptions!E265</f>
        <v>3923</v>
      </c>
      <c r="E7" s="109">
        <f>Assumptions!F265</f>
        <v>4957</v>
      </c>
      <c r="F7" s="109">
        <f>Assumptions!G265</f>
        <v>5616</v>
      </c>
      <c r="G7" s="109">
        <f>Assumptions!H265</f>
        <v>4410</v>
      </c>
      <c r="H7" s="119">
        <f>IF(H$3="",0,G7*(1+Assumptions!I$118))</f>
        <v>4542.3</v>
      </c>
      <c r="I7" s="119">
        <f>IF(I$3="",0,H7*(1+Assumptions!J$118))</f>
        <v>4678.5690000000004</v>
      </c>
      <c r="J7" s="119">
        <f>IF(J$3="",0,I7*(1+Assumptions!K$118))</f>
        <v>4818.9260700000004</v>
      </c>
      <c r="K7" s="119">
        <f>IF(K$3="",0,J7*(1+Assumptions!L$118))</f>
        <v>4963.4938521000004</v>
      </c>
      <c r="L7" s="119">
        <f>IF(L$3="",0,K7*(1+Assumptions!M$118))</f>
        <v>5112.3986676630002</v>
      </c>
      <c r="M7" s="119">
        <f>IF(M$3="",0,L7*(1+Assumptions!N$118))</f>
        <v>0</v>
      </c>
      <c r="N7" s="119">
        <f>IF(N$3="",0,M7*(1+Assumptions!O$118))</f>
        <v>0</v>
      </c>
      <c r="O7" s="119">
        <f>IF(O$3="",0,N7*(1+Assumptions!P$118))</f>
        <v>0</v>
      </c>
      <c r="P7" s="119">
        <f>IF(P$3="",0,O7*(1+Assumptions!Q$118))</f>
        <v>0</v>
      </c>
      <c r="Q7" s="119">
        <f>IF(Q$3="",0,P7*(1+Assumptions!R$118))</f>
        <v>0</v>
      </c>
    </row>
    <row r="8" spans="2:17">
      <c r="B8" s="27" t="str">
        <f>Assumptions!B271</f>
        <v>Inventory</v>
      </c>
      <c r="C8" s="109">
        <f>Assumptions!D271</f>
        <v>1299</v>
      </c>
      <c r="D8" s="109">
        <f>Assumptions!E271</f>
        <v>1536</v>
      </c>
      <c r="E8" s="109">
        <f>Assumptions!F271</f>
        <v>1670</v>
      </c>
      <c r="F8" s="109">
        <f>Assumptions!G271</f>
        <v>2255</v>
      </c>
      <c r="G8" s="109">
        <f>Assumptions!H271</f>
        <v>1479</v>
      </c>
      <c r="H8" s="119">
        <f>IF(H$3="",0,+G8*(1+'Income Statement'!H$10))</f>
        <v>1779.2607867084248</v>
      </c>
      <c r="I8" s="119">
        <f>IF(I$3="",0,+H8*(1+'Income Statement'!I$10))</f>
        <v>1832.6386103096777</v>
      </c>
      <c r="J8" s="119">
        <f>IF(J$3="",0,+I8*(1+'Income Statement'!J$10))</f>
        <v>1887.6177686189681</v>
      </c>
      <c r="K8" s="119">
        <f>IF(K$3="",0,+J8*(1+'Income Statement'!K$10))</f>
        <v>1944.2463016775371</v>
      </c>
      <c r="L8" s="119">
        <f>IF(L$3="",0,+K8*(1+'Income Statement'!L$10))</f>
        <v>2002.5736907278633</v>
      </c>
      <c r="M8" s="119">
        <f>IF(M$3="",0,+L8*(1+'Income Statement'!M$10))</f>
        <v>0</v>
      </c>
      <c r="N8" s="119">
        <f>IF(N$3="",0,+M8*(1+'Income Statement'!N$10))</f>
        <v>0</v>
      </c>
      <c r="O8" s="119">
        <f>IF(O$3="",0,+N8*(1+'Income Statement'!O$10))</f>
        <v>0</v>
      </c>
      <c r="P8" s="119">
        <f>IF(P$3="",0,+O8*(1+'Income Statement'!P$10))</f>
        <v>0</v>
      </c>
      <c r="Q8" s="119">
        <f>IF(Q$3="",0,+P8*(1+'Income Statement'!Q$10))</f>
        <v>0</v>
      </c>
    </row>
    <row r="9" spans="2:17">
      <c r="B9" s="27" t="str">
        <f>Assumptions!B274</f>
        <v>Other Short-Term Assets</v>
      </c>
      <c r="C9" s="109">
        <f>Assumptions!D274</f>
        <v>300</v>
      </c>
      <c r="D9" s="109">
        <f>Assumptions!E274</f>
        <v>1439</v>
      </c>
      <c r="E9" s="109">
        <f>Assumptions!F274</f>
        <v>2046</v>
      </c>
      <c r="F9" s="109">
        <f>Assumptions!G274</f>
        <v>3415</v>
      </c>
      <c r="G9" s="109">
        <f>Assumptions!H274</f>
        <v>2609</v>
      </c>
      <c r="H9" s="119">
        <f>IF(H$3="",0,G9*(1+Assumptions!I$118))</f>
        <v>2687.27</v>
      </c>
      <c r="I9" s="119">
        <f>IF(I$3="",0,H9*(1+Assumptions!J$118))</f>
        <v>2767.8881000000001</v>
      </c>
      <c r="J9" s="119">
        <f>IF(J$3="",0,I9*(1+Assumptions!K$118))</f>
        <v>2850.924743</v>
      </c>
      <c r="K9" s="119">
        <f>IF(K$3="",0,J9*(1+Assumptions!L$118))</f>
        <v>2936.4524852899999</v>
      </c>
      <c r="L9" s="119">
        <f>IF(L$3="",0,K9*(1+Assumptions!M$118))</f>
        <v>3024.5460598486998</v>
      </c>
      <c r="M9" s="119">
        <f>IF(M$3="",0,L9*(1+Assumptions!N$118))</f>
        <v>0</v>
      </c>
      <c r="N9" s="119">
        <f>IF(N$3="",0,M9*(1+Assumptions!O$118))</f>
        <v>0</v>
      </c>
      <c r="O9" s="119">
        <f>IF(O$3="",0,N9*(1+Assumptions!P$118))</f>
        <v>0</v>
      </c>
      <c r="P9" s="119">
        <f>IF(P$3="",0,O9*(1+Assumptions!Q$118))</f>
        <v>0</v>
      </c>
      <c r="Q9" s="119">
        <f>IF(Q$3="",0,P9*(1+Assumptions!R$118))</f>
        <v>0</v>
      </c>
    </row>
    <row r="10" spans="2:17">
      <c r="B10" s="11" t="str">
        <f>"Total "&amp;B5</f>
        <v>Total Current Assets</v>
      </c>
      <c r="C10" s="117">
        <f>SUM(C6:C9)</f>
        <v>8873.2000000000007</v>
      </c>
      <c r="D10" s="117">
        <f t="shared" ref="D10:G10" si="0">SUM(D6:D9)</f>
        <v>4718.9000000000005</v>
      </c>
      <c r="E10" s="117">
        <f t="shared" si="0"/>
        <v>5564.0000000000009</v>
      </c>
      <c r="F10" s="117">
        <f t="shared" si="0"/>
        <v>4948.2000000000007</v>
      </c>
      <c r="G10" s="117">
        <f t="shared" si="0"/>
        <v>9571.1</v>
      </c>
      <c r="H10" s="118">
        <f t="shared" ref="H10:Q10" si="1">SUM(H6:H9)</f>
        <v>4445.838625510406</v>
      </c>
      <c r="I10" s="118">
        <f t="shared" si="1"/>
        <v>3596.1878162110033</v>
      </c>
      <c r="J10" s="118">
        <f t="shared" si="1"/>
        <v>2636.8798956840074</v>
      </c>
      <c r="K10" s="118">
        <f t="shared" si="1"/>
        <v>1424.3191736466445</v>
      </c>
      <c r="L10" s="118">
        <f t="shared" si="1"/>
        <v>319.46346260140217</v>
      </c>
      <c r="M10" s="118">
        <f t="shared" si="1"/>
        <v>0</v>
      </c>
      <c r="N10" s="118">
        <f t="shared" si="1"/>
        <v>0</v>
      </c>
      <c r="O10" s="118">
        <f t="shared" si="1"/>
        <v>0</v>
      </c>
      <c r="P10" s="118">
        <f t="shared" si="1"/>
        <v>0</v>
      </c>
      <c r="Q10" s="118">
        <f t="shared" si="1"/>
        <v>0</v>
      </c>
    </row>
    <row r="11" spans="2:17">
      <c r="B11" s="11" t="s">
        <v>91</v>
      </c>
      <c r="C11" s="109"/>
      <c r="D11" s="109"/>
      <c r="E11" s="109"/>
      <c r="F11" s="109"/>
      <c r="G11" s="109"/>
      <c r="H11" s="12"/>
      <c r="I11" s="12"/>
      <c r="J11" s="12"/>
      <c r="K11" s="12"/>
      <c r="L11" s="12"/>
      <c r="M11" s="12"/>
      <c r="N11" s="12"/>
      <c r="O11" s="12"/>
      <c r="P11" s="12"/>
      <c r="Q11" s="12"/>
    </row>
    <row r="12" spans="2:17">
      <c r="B12" s="27" t="str">
        <f>Assumptions!B277</f>
        <v>Property, Plant, and Equipment</v>
      </c>
      <c r="C12" s="109">
        <f>Assumptions!D277</f>
        <v>93273</v>
      </c>
      <c r="D12" s="109">
        <f>Assumptions!E277</f>
        <v>94571</v>
      </c>
      <c r="E12" s="109">
        <f>Assumptions!F277</f>
        <v>100067</v>
      </c>
      <c r="F12" s="109">
        <f>Assumptions!G277</f>
        <v>104460</v>
      </c>
      <c r="G12" s="109">
        <f>Assumptions!H277</f>
        <v>104641</v>
      </c>
      <c r="H12" s="119">
        <f>IF(H$3="",0,G12+H54-H55)</f>
        <v>106043.37146910177</v>
      </c>
      <c r="I12" s="119">
        <f t="shared" ref="I12:Q12" si="2">IF(I$3="",0,H12+I54-I55)</f>
        <v>107487.81408227659</v>
      </c>
      <c r="J12" s="119">
        <f t="shared" si="2"/>
        <v>108975.58997384665</v>
      </c>
      <c r="K12" s="119">
        <f t="shared" si="2"/>
        <v>110507.99914216383</v>
      </c>
      <c r="L12" s="119">
        <f t="shared" si="2"/>
        <v>112086.38058553051</v>
      </c>
      <c r="M12" s="119">
        <f t="shared" si="2"/>
        <v>0</v>
      </c>
      <c r="N12" s="119">
        <f t="shared" si="2"/>
        <v>0</v>
      </c>
      <c r="O12" s="119">
        <f t="shared" si="2"/>
        <v>0</v>
      </c>
      <c r="P12" s="119">
        <f t="shared" si="2"/>
        <v>0</v>
      </c>
      <c r="Q12" s="119">
        <f t="shared" si="2"/>
        <v>0</v>
      </c>
    </row>
    <row r="13" spans="2:17">
      <c r="B13" s="27" t="str">
        <f>Assumptions!B280</f>
        <v>Long-Term Investments and Receivables</v>
      </c>
      <c r="C13" s="109">
        <f>Assumptions!D280</f>
        <v>16528</v>
      </c>
      <c r="D13" s="109">
        <f>Assumptions!E280</f>
        <v>13818</v>
      </c>
      <c r="E13" s="109">
        <f>Assumptions!F280</f>
        <v>13324</v>
      </c>
      <c r="F13" s="109">
        <f>Assumptions!G280</f>
        <v>15936</v>
      </c>
      <c r="G13" s="109">
        <f>Assumptions!H280</f>
        <v>16793</v>
      </c>
      <c r="H13" s="12">
        <f>IF(H$3="",0,G13)</f>
        <v>16793</v>
      </c>
      <c r="I13" s="12">
        <f t="shared" ref="I13:Q13" si="3">IF(I$3="",0,H13)</f>
        <v>16793</v>
      </c>
      <c r="J13" s="12">
        <f t="shared" si="3"/>
        <v>16793</v>
      </c>
      <c r="K13" s="12">
        <f t="shared" si="3"/>
        <v>16793</v>
      </c>
      <c r="L13" s="12">
        <f t="shared" si="3"/>
        <v>16793</v>
      </c>
      <c r="M13" s="12">
        <f t="shared" si="3"/>
        <v>0</v>
      </c>
      <c r="N13" s="12">
        <f t="shared" si="3"/>
        <v>0</v>
      </c>
      <c r="O13" s="12">
        <f t="shared" si="3"/>
        <v>0</v>
      </c>
      <c r="P13" s="12">
        <f t="shared" si="3"/>
        <v>0</v>
      </c>
      <c r="Q13" s="12">
        <f t="shared" si="3"/>
        <v>0</v>
      </c>
    </row>
    <row r="14" spans="2:17">
      <c r="B14" s="27" t="str">
        <f>Assumptions!B283</f>
        <v>Other Long-Term Assets</v>
      </c>
      <c r="C14" s="109">
        <f>Assumptions!D283</f>
        <v>44193</v>
      </c>
      <c r="D14" s="109">
        <f>Assumptions!E283</f>
        <v>44537</v>
      </c>
      <c r="E14" s="109">
        <f>Assumptions!F283</f>
        <v>46515</v>
      </c>
      <c r="F14" s="109">
        <f>Assumptions!G283</f>
        <v>47065</v>
      </c>
      <c r="G14" s="109">
        <f>Assumptions!H283</f>
        <v>44484</v>
      </c>
      <c r="H14" s="12">
        <f>IF(H$3="",0,G14)</f>
        <v>44484</v>
      </c>
      <c r="I14" s="12">
        <f t="shared" ref="I14:Q14" si="4">IF(I$3="",0,H14)</f>
        <v>44484</v>
      </c>
      <c r="J14" s="12">
        <f t="shared" si="4"/>
        <v>44484</v>
      </c>
      <c r="K14" s="12">
        <f t="shared" si="4"/>
        <v>44484</v>
      </c>
      <c r="L14" s="12">
        <f t="shared" si="4"/>
        <v>44484</v>
      </c>
      <c r="M14" s="12">
        <f t="shared" si="4"/>
        <v>0</v>
      </c>
      <c r="N14" s="12">
        <f t="shared" si="4"/>
        <v>0</v>
      </c>
      <c r="O14" s="12">
        <f t="shared" si="4"/>
        <v>0</v>
      </c>
      <c r="P14" s="12">
        <f t="shared" si="4"/>
        <v>0</v>
      </c>
      <c r="Q14" s="12">
        <f t="shared" si="4"/>
        <v>0</v>
      </c>
    </row>
    <row r="15" spans="2:17">
      <c r="B15" s="11" t="str">
        <f>"Total "&amp;B11</f>
        <v>Total Non-Current Assets</v>
      </c>
      <c r="C15" s="110">
        <f>SUM(C12:C14)</f>
        <v>153994</v>
      </c>
      <c r="D15" s="110">
        <f t="shared" ref="D15:G15" si="5">SUM(D12:D14)</f>
        <v>152926</v>
      </c>
      <c r="E15" s="110">
        <f t="shared" si="5"/>
        <v>159906</v>
      </c>
      <c r="F15" s="110">
        <f t="shared" si="5"/>
        <v>167461</v>
      </c>
      <c r="G15" s="110">
        <f t="shared" si="5"/>
        <v>165918</v>
      </c>
      <c r="H15" s="13">
        <f>IF(H$3="",0,SUM(H12:H14))</f>
        <v>167320.37146910175</v>
      </c>
      <c r="I15" s="13">
        <f t="shared" ref="I15:Q15" si="6">IF(I$3="",0,SUM(I12:I14))</f>
        <v>168764.8140822766</v>
      </c>
      <c r="J15" s="13">
        <f t="shared" si="6"/>
        <v>170252.58997384665</v>
      </c>
      <c r="K15" s="13">
        <f t="shared" si="6"/>
        <v>171784.99914216384</v>
      </c>
      <c r="L15" s="13">
        <f t="shared" si="6"/>
        <v>173363.38058553051</v>
      </c>
      <c r="M15" s="13">
        <f t="shared" si="6"/>
        <v>0</v>
      </c>
      <c r="N15" s="13">
        <f t="shared" si="6"/>
        <v>0</v>
      </c>
      <c r="O15" s="13">
        <f t="shared" si="6"/>
        <v>0</v>
      </c>
      <c r="P15" s="13">
        <f t="shared" si="6"/>
        <v>0</v>
      </c>
      <c r="Q15" s="13">
        <f t="shared" si="6"/>
        <v>0</v>
      </c>
    </row>
    <row r="16" spans="2:17" ht="12" thickBot="1">
      <c r="B16" s="33" t="str">
        <f>"Total "&amp;B4</f>
        <v>Total Assets</v>
      </c>
      <c r="C16" s="111">
        <f>SUM(C10,C15)</f>
        <v>162867.20000000001</v>
      </c>
      <c r="D16" s="111">
        <f t="shared" ref="D16:H16" si="7">SUM(D10,D15)</f>
        <v>157644.9</v>
      </c>
      <c r="E16" s="111">
        <f t="shared" si="7"/>
        <v>165470</v>
      </c>
      <c r="F16" s="111">
        <f t="shared" si="7"/>
        <v>172409.2</v>
      </c>
      <c r="G16" s="111">
        <f t="shared" si="7"/>
        <v>175489.1</v>
      </c>
      <c r="H16" s="34">
        <f t="shared" si="7"/>
        <v>171766.21009461215</v>
      </c>
      <c r="I16" s="34">
        <f t="shared" ref="I16:Q16" si="8">SUM(I10,I15)</f>
        <v>172361.00189848759</v>
      </c>
      <c r="J16" s="34">
        <f t="shared" si="8"/>
        <v>172889.46986953067</v>
      </c>
      <c r="K16" s="34">
        <f t="shared" si="8"/>
        <v>173209.31831581049</v>
      </c>
      <c r="L16" s="34">
        <f t="shared" si="8"/>
        <v>173682.84404813193</v>
      </c>
      <c r="M16" s="34">
        <f t="shared" si="8"/>
        <v>0</v>
      </c>
      <c r="N16" s="34">
        <f t="shared" si="8"/>
        <v>0</v>
      </c>
      <c r="O16" s="34">
        <f t="shared" si="8"/>
        <v>0</v>
      </c>
      <c r="P16" s="34">
        <f t="shared" si="8"/>
        <v>0</v>
      </c>
      <c r="Q16" s="34">
        <f t="shared" si="8"/>
        <v>0</v>
      </c>
    </row>
    <row r="17" spans="2:17">
      <c r="C17" s="114"/>
      <c r="D17" s="114"/>
      <c r="E17" s="114"/>
      <c r="F17" s="114"/>
      <c r="G17" s="114"/>
    </row>
    <row r="18" spans="2:17">
      <c r="C18" s="114"/>
      <c r="D18" s="114"/>
      <c r="E18" s="114"/>
      <c r="F18" s="114"/>
      <c r="G18" s="114"/>
    </row>
    <row r="19" spans="2:17">
      <c r="B19" s="10" t="s">
        <v>94</v>
      </c>
      <c r="C19" s="109"/>
      <c r="D19" s="109"/>
      <c r="E19" s="109"/>
      <c r="F19" s="109"/>
      <c r="G19" s="109"/>
      <c r="H19" s="12"/>
      <c r="I19" s="12"/>
      <c r="J19" s="12"/>
      <c r="K19" s="12"/>
      <c r="L19" s="12"/>
      <c r="M19" s="12"/>
      <c r="N19" s="12"/>
      <c r="O19" s="12"/>
      <c r="P19" s="12"/>
      <c r="Q19" s="12"/>
    </row>
    <row r="20" spans="2:17">
      <c r="B20" s="11" t="s">
        <v>97</v>
      </c>
      <c r="C20" s="109"/>
      <c r="D20" s="109"/>
      <c r="E20" s="109"/>
      <c r="F20" s="109"/>
      <c r="G20" s="109"/>
      <c r="H20" s="12"/>
      <c r="I20" s="12"/>
      <c r="J20" s="12"/>
      <c r="K20" s="12"/>
      <c r="L20" s="12"/>
      <c r="M20" s="12"/>
      <c r="N20" s="12"/>
      <c r="O20" s="12"/>
      <c r="P20" s="12"/>
      <c r="Q20" s="12"/>
    </row>
    <row r="21" spans="2:17">
      <c r="B21" s="27" t="str">
        <f>Assumptions!B287</f>
        <v>Payables and Accruals</v>
      </c>
      <c r="C21" s="109">
        <f>Assumptions!D287</f>
        <v>9782</v>
      </c>
      <c r="D21" s="109">
        <f>Assumptions!E287</f>
        <v>9014</v>
      </c>
      <c r="E21" s="109">
        <f>Assumptions!F287</f>
        <v>9912</v>
      </c>
      <c r="F21" s="109">
        <f>Assumptions!G287</f>
        <v>10941</v>
      </c>
      <c r="G21" s="109">
        <f>Assumptions!H287</f>
        <v>5266</v>
      </c>
      <c r="H21" s="119">
        <f>IF(H$3="",0,+G21*(1+'Income Statement'!H$10))</f>
        <v>6335.0826929050472</v>
      </c>
      <c r="I21" s="119">
        <f>IF(I$3="",0,+H21*(1+'Income Statement'!I$10))</f>
        <v>6525.1351736921988</v>
      </c>
      <c r="J21" s="119">
        <f>IF(J$3="",0,+I21*(1+'Income Statement'!J$10))</f>
        <v>6720.8892289029645</v>
      </c>
      <c r="K21" s="119">
        <f>IF(K$3="",0,+J21*(1+'Income Statement'!K$10))</f>
        <v>6922.5159057700539</v>
      </c>
      <c r="L21" s="119">
        <f>IF(L$3="",0,+K21*(1+'Income Statement'!L$10))</f>
        <v>7130.191382943156</v>
      </c>
      <c r="M21" s="119">
        <f>IF(M$3="",0,+L21*(1+'Income Statement'!M$10))</f>
        <v>0</v>
      </c>
      <c r="N21" s="119">
        <f>IF(N$3="",0,+M21*(1+'Income Statement'!N$10))</f>
        <v>0</v>
      </c>
      <c r="O21" s="119">
        <f>IF(O$3="",0,+N21*(1+'Income Statement'!O$10))</f>
        <v>0</v>
      </c>
      <c r="P21" s="119">
        <f>IF(P$3="",0,+O21*(1+'Income Statement'!P$10))</f>
        <v>0</v>
      </c>
      <c r="Q21" s="119">
        <f>IF(Q$3="",0,+P21*(1+'Income Statement'!Q$10))</f>
        <v>0</v>
      </c>
    </row>
    <row r="22" spans="2:17">
      <c r="B22" s="27" t="str">
        <f>Assumptions!B290</f>
        <v>Short-Term Debt</v>
      </c>
      <c r="C22" s="109">
        <f>Assumptions!D290</f>
        <v>5396</v>
      </c>
      <c r="D22" s="109">
        <f>Assumptions!E290</f>
        <v>4158</v>
      </c>
      <c r="E22" s="109">
        <f>Assumptions!F290</f>
        <v>7771</v>
      </c>
      <c r="F22" s="109">
        <f>Assumptions!G290</f>
        <v>8128</v>
      </c>
      <c r="G22" s="109">
        <f>Assumptions!H290</f>
        <v>6582</v>
      </c>
      <c r="H22" s="119">
        <f>IF(H$3="",0,(Assumptions!I$143*Assumptions!I$142)+'Cash Flows'!H$23)</f>
        <v>10456.001440897331</v>
      </c>
      <c r="I22" s="119">
        <f>IF(I$3="",0,(Assumptions!J$143*Assumptions!J$142)+'Cash Flows'!I$23)</f>
        <v>10701.281440897332</v>
      </c>
      <c r="J22" s="119">
        <f>IF(J$3="",0,(Assumptions!K$143*Assumptions!K$142)+'Cash Flows'!J$23)</f>
        <v>10930.41744089733</v>
      </c>
      <c r="K22" s="119">
        <f>IF(K$3="",0,(Assumptions!L$143*Assumptions!L$142)+'Cash Flows'!K$23)</f>
        <v>9887.3806408973305</v>
      </c>
      <c r="L22" s="119">
        <f>IF(L$3="",0,(Assumptions!M$143*Assumptions!M$142)+'Cash Flows'!L$23)</f>
        <v>9960.7364808973307</v>
      </c>
      <c r="M22" s="119">
        <f>IF(M$3="",0,(Assumptions!N$143*Assumptions!N$142)+'Cash Flows'!M$23)</f>
        <v>0</v>
      </c>
      <c r="N22" s="119">
        <f>IF(N$3="",0,(Assumptions!O$143*Assumptions!O$142)+'Cash Flows'!N$23)</f>
        <v>0</v>
      </c>
      <c r="O22" s="119">
        <f>IF(O$3="",0,(Assumptions!P$143*Assumptions!P$142)+'Cash Flows'!O$23)</f>
        <v>0</v>
      </c>
      <c r="P22" s="119">
        <f>IF(P$3="",0,(Assumptions!Q$143*Assumptions!Q$142)+'Cash Flows'!P$23)</f>
        <v>0</v>
      </c>
      <c r="Q22" s="119">
        <f>IF(Q$3="",0,(Assumptions!R$143*Assumptions!R$142)+'Cash Flows'!Q$23)</f>
        <v>0</v>
      </c>
    </row>
    <row r="23" spans="2:17">
      <c r="B23" s="27" t="str">
        <f>Assumptions!B293</f>
        <v>Other Short-Term Liabilities</v>
      </c>
      <c r="C23" s="109">
        <f>Assumptions!D293</f>
        <v>832</v>
      </c>
      <c r="D23" s="109">
        <f>Assumptions!E293</f>
        <v>807</v>
      </c>
      <c r="E23" s="109">
        <f>Assumptions!F293</f>
        <v>546</v>
      </c>
      <c r="F23" s="109">
        <f>Assumptions!G293</f>
        <v>1232</v>
      </c>
      <c r="G23" s="109">
        <f>Assumptions!H293</f>
        <v>5587</v>
      </c>
      <c r="H23" s="119">
        <f>IF(H$3="",0,G23*(1+Assumptions!I118))</f>
        <v>5754.6100000000006</v>
      </c>
      <c r="I23" s="119">
        <f>IF(I$3="",0,H23*(1+Assumptions!J118))</f>
        <v>5927.2483000000011</v>
      </c>
      <c r="J23" s="119">
        <f>IF(J$3="",0,I23*(1+Assumptions!K118))</f>
        <v>6105.0657490000012</v>
      </c>
      <c r="K23" s="119">
        <f>IF(K$3="",0,J23*(1+Assumptions!L118))</f>
        <v>6288.2177214700014</v>
      </c>
      <c r="L23" s="119">
        <f>IF(L$3="",0,K23*(1+Assumptions!M118))</f>
        <v>6476.8642531141013</v>
      </c>
      <c r="M23" s="119">
        <f>IF(M$3="",0,L23*(1+Assumptions!N118))</f>
        <v>0</v>
      </c>
      <c r="N23" s="119">
        <f>IF(N$3="",0,M23*(1+Assumptions!O118))</f>
        <v>0</v>
      </c>
      <c r="O23" s="119">
        <f>IF(O$3="",0,N23*(1+Assumptions!P118))</f>
        <v>0</v>
      </c>
      <c r="P23" s="119">
        <f>IF(P$3="",0,O23*(1+Assumptions!Q118))</f>
        <v>0</v>
      </c>
      <c r="Q23" s="119">
        <f>IF(Q$3="",0,P23*(1+Assumptions!R118))</f>
        <v>0</v>
      </c>
    </row>
    <row r="24" spans="2:17">
      <c r="B24" s="11" t="str">
        <f>"Total "&amp;B20</f>
        <v>Total Current Liabilities</v>
      </c>
      <c r="C24" s="117">
        <f>SUM(C21:C23)</f>
        <v>16010</v>
      </c>
      <c r="D24" s="117">
        <f t="shared" ref="D24:G24" si="9">SUM(D21:D23)</f>
        <v>13979</v>
      </c>
      <c r="E24" s="117">
        <f t="shared" si="9"/>
        <v>18229</v>
      </c>
      <c r="F24" s="117">
        <f t="shared" si="9"/>
        <v>20301</v>
      </c>
      <c r="G24" s="117">
        <f t="shared" si="9"/>
        <v>17435</v>
      </c>
      <c r="H24" s="118">
        <f>IF(H$3="",0,SUM(H21:H23))</f>
        <v>22545.694133802379</v>
      </c>
      <c r="I24" s="118">
        <f t="shared" ref="I24:Q24" si="10">IF(I$3="",0,SUM(I21:I23))</f>
        <v>23153.664914589528</v>
      </c>
      <c r="J24" s="118">
        <f t="shared" si="10"/>
        <v>23756.372418800296</v>
      </c>
      <c r="K24" s="118">
        <f t="shared" si="10"/>
        <v>23098.114268137386</v>
      </c>
      <c r="L24" s="118">
        <f t="shared" si="10"/>
        <v>23567.792116954588</v>
      </c>
      <c r="M24" s="118">
        <f t="shared" si="10"/>
        <v>0</v>
      </c>
      <c r="N24" s="118">
        <f t="shared" si="10"/>
        <v>0</v>
      </c>
      <c r="O24" s="118">
        <f t="shared" si="10"/>
        <v>0</v>
      </c>
      <c r="P24" s="118">
        <f t="shared" si="10"/>
        <v>0</v>
      </c>
      <c r="Q24" s="118">
        <f t="shared" si="10"/>
        <v>0</v>
      </c>
    </row>
    <row r="25" spans="2:17">
      <c r="B25" s="11" t="s">
        <v>98</v>
      </c>
      <c r="C25" s="109"/>
      <c r="D25" s="109"/>
      <c r="E25" s="109"/>
      <c r="F25" s="109"/>
      <c r="G25" s="109"/>
      <c r="H25" s="12"/>
      <c r="I25" s="12"/>
      <c r="J25" s="12"/>
      <c r="K25" s="12"/>
      <c r="L25" s="12"/>
      <c r="M25" s="12"/>
      <c r="N25" s="12"/>
      <c r="O25" s="12"/>
      <c r="P25" s="12"/>
      <c r="Q25" s="12"/>
    </row>
    <row r="26" spans="2:17">
      <c r="B26" s="27" t="str">
        <f>Assumptions!B296</f>
        <v>Long-Term Debt</v>
      </c>
      <c r="C26" s="109">
        <f>Assumptions!D296</f>
        <v>60350</v>
      </c>
      <c r="D26" s="109">
        <f>Assumptions!E296</f>
        <v>63500</v>
      </c>
      <c r="E26" s="109">
        <f>Assumptions!F296</f>
        <v>68573</v>
      </c>
      <c r="F26" s="109">
        <f>Assumptions!G296</f>
        <v>73616</v>
      </c>
      <c r="G26" s="109">
        <f>Assumptions!H296</f>
        <v>75367</v>
      </c>
      <c r="H26" s="12">
        <f>IF(H$3="",0,G26)</f>
        <v>75367</v>
      </c>
      <c r="I26" s="12">
        <f t="shared" ref="I26:Q26" si="11">IF(I$3="",0,H26)</f>
        <v>75367</v>
      </c>
      <c r="J26" s="12">
        <f t="shared" si="11"/>
        <v>75367</v>
      </c>
      <c r="K26" s="12">
        <f t="shared" si="11"/>
        <v>75367</v>
      </c>
      <c r="L26" s="12">
        <f t="shared" si="11"/>
        <v>75367</v>
      </c>
      <c r="M26" s="12">
        <f t="shared" si="11"/>
        <v>0</v>
      </c>
      <c r="N26" s="12">
        <f t="shared" si="11"/>
        <v>0</v>
      </c>
      <c r="O26" s="12">
        <f t="shared" si="11"/>
        <v>0</v>
      </c>
      <c r="P26" s="12">
        <f t="shared" si="11"/>
        <v>0</v>
      </c>
      <c r="Q26" s="12">
        <f t="shared" si="11"/>
        <v>0</v>
      </c>
    </row>
    <row r="27" spans="2:17">
      <c r="B27" s="27" t="str">
        <f>Assumptions!B299</f>
        <v>Other Long-Term Liabilities</v>
      </c>
      <c r="C27" s="109">
        <f>Assumptions!D299</f>
        <v>17502</v>
      </c>
      <c r="D27" s="109">
        <f>Assumptions!E299</f>
        <v>18434</v>
      </c>
      <c r="E27" s="109">
        <f>Assumptions!F299</f>
        <v>18694</v>
      </c>
      <c r="F27" s="109">
        <f>Assumptions!G299</f>
        <v>22293</v>
      </c>
      <c r="G27" s="109">
        <f>Assumptions!H299</f>
        <v>23032</v>
      </c>
      <c r="H27" s="12">
        <f>IF(H$3="",0,G27)</f>
        <v>23032</v>
      </c>
      <c r="I27" s="12">
        <f t="shared" ref="I27:Q27" si="12">IF(I$3="",0,H27)</f>
        <v>23032</v>
      </c>
      <c r="J27" s="12">
        <f t="shared" si="12"/>
        <v>23032</v>
      </c>
      <c r="K27" s="12">
        <f t="shared" si="12"/>
        <v>23032</v>
      </c>
      <c r="L27" s="12">
        <f t="shared" si="12"/>
        <v>23032</v>
      </c>
      <c r="M27" s="12">
        <f t="shared" si="12"/>
        <v>0</v>
      </c>
      <c r="N27" s="12">
        <f t="shared" si="12"/>
        <v>0</v>
      </c>
      <c r="O27" s="12">
        <f t="shared" si="12"/>
        <v>0</v>
      </c>
      <c r="P27" s="12">
        <f t="shared" si="12"/>
        <v>0</v>
      </c>
      <c r="Q27" s="12">
        <f t="shared" si="12"/>
        <v>0</v>
      </c>
    </row>
    <row r="28" spans="2:17">
      <c r="B28" s="11" t="str">
        <f>"Total "&amp;B25</f>
        <v>Total Non-Current Liabilities</v>
      </c>
      <c r="C28" s="110">
        <f>SUM(C26:C27)</f>
        <v>77852</v>
      </c>
      <c r="D28" s="110">
        <f t="shared" ref="D28:H28" si="13">SUM(D26:D27)</f>
        <v>81934</v>
      </c>
      <c r="E28" s="110">
        <f t="shared" si="13"/>
        <v>87267</v>
      </c>
      <c r="F28" s="110">
        <f t="shared" si="13"/>
        <v>95909</v>
      </c>
      <c r="G28" s="110">
        <f t="shared" si="13"/>
        <v>98399</v>
      </c>
      <c r="H28" s="13">
        <f t="shared" si="13"/>
        <v>98399</v>
      </c>
      <c r="I28" s="13">
        <f t="shared" ref="I28:Q28" si="14">SUM(I26:I27)</f>
        <v>98399</v>
      </c>
      <c r="J28" s="13">
        <f t="shared" si="14"/>
        <v>98399</v>
      </c>
      <c r="K28" s="13">
        <f t="shared" si="14"/>
        <v>98399</v>
      </c>
      <c r="L28" s="13">
        <f t="shared" si="14"/>
        <v>98399</v>
      </c>
      <c r="M28" s="13">
        <f t="shared" si="14"/>
        <v>0</v>
      </c>
      <c r="N28" s="13">
        <f t="shared" si="14"/>
        <v>0</v>
      </c>
      <c r="O28" s="13">
        <f t="shared" si="14"/>
        <v>0</v>
      </c>
      <c r="P28" s="13">
        <f t="shared" si="14"/>
        <v>0</v>
      </c>
      <c r="Q28" s="13">
        <f t="shared" si="14"/>
        <v>0</v>
      </c>
    </row>
    <row r="29" spans="2:17">
      <c r="B29" s="31" t="str">
        <f>"Total "&amp;B19</f>
        <v>Total Liabilities</v>
      </c>
      <c r="C29" s="112">
        <f>SUM(C24,C28)</f>
        <v>93862</v>
      </c>
      <c r="D29" s="112">
        <f t="shared" ref="D29:H29" si="15">SUM(D24,D28)</f>
        <v>95913</v>
      </c>
      <c r="E29" s="112">
        <f t="shared" si="15"/>
        <v>105496</v>
      </c>
      <c r="F29" s="112">
        <f t="shared" si="15"/>
        <v>116210</v>
      </c>
      <c r="G29" s="112">
        <f t="shared" si="15"/>
        <v>115834</v>
      </c>
      <c r="H29" s="32">
        <f t="shared" si="15"/>
        <v>120944.69413380238</v>
      </c>
      <c r="I29" s="32">
        <f t="shared" ref="I29:Q29" si="16">SUM(I24,I28)</f>
        <v>121552.66491458952</v>
      </c>
      <c r="J29" s="32">
        <f t="shared" si="16"/>
        <v>122155.3724188003</v>
      </c>
      <c r="K29" s="32">
        <f t="shared" si="16"/>
        <v>121497.11426813739</v>
      </c>
      <c r="L29" s="32">
        <f t="shared" si="16"/>
        <v>121966.79211695459</v>
      </c>
      <c r="M29" s="32">
        <f t="shared" si="16"/>
        <v>0</v>
      </c>
      <c r="N29" s="32">
        <f t="shared" si="16"/>
        <v>0</v>
      </c>
      <c r="O29" s="32">
        <f t="shared" si="16"/>
        <v>0</v>
      </c>
      <c r="P29" s="32">
        <f t="shared" si="16"/>
        <v>0</v>
      </c>
      <c r="Q29" s="32">
        <f t="shared" si="16"/>
        <v>0</v>
      </c>
    </row>
    <row r="30" spans="2:17">
      <c r="C30" s="109"/>
      <c r="D30" s="109"/>
      <c r="E30" s="109"/>
      <c r="F30" s="109"/>
      <c r="G30" s="109"/>
      <c r="H30" s="12"/>
      <c r="I30" s="12"/>
      <c r="J30" s="12"/>
      <c r="K30" s="12"/>
      <c r="L30" s="12"/>
      <c r="M30" s="12"/>
      <c r="N30" s="12"/>
      <c r="O30" s="12"/>
      <c r="P30" s="12"/>
      <c r="Q30" s="12"/>
    </row>
    <row r="31" spans="2:17">
      <c r="C31" s="109"/>
      <c r="D31" s="109"/>
      <c r="E31" s="109"/>
      <c r="F31" s="109"/>
      <c r="G31" s="109"/>
      <c r="H31" s="12"/>
      <c r="I31" s="12"/>
      <c r="J31" s="12"/>
      <c r="K31" s="12"/>
      <c r="L31" s="12"/>
      <c r="M31" s="12"/>
      <c r="N31" s="12"/>
      <c r="O31" s="12"/>
      <c r="P31" s="12"/>
      <c r="Q31" s="12"/>
    </row>
    <row r="32" spans="2:17">
      <c r="B32" s="10" t="s">
        <v>101</v>
      </c>
      <c r="C32" s="109"/>
      <c r="D32" s="109"/>
      <c r="E32" s="109"/>
      <c r="F32" s="109"/>
      <c r="G32" s="109"/>
      <c r="H32" s="12"/>
      <c r="I32" s="12"/>
      <c r="J32" s="12"/>
      <c r="K32" s="12"/>
      <c r="L32" s="12"/>
      <c r="M32" s="12"/>
      <c r="N32" s="12"/>
      <c r="O32" s="12"/>
      <c r="P32" s="12"/>
      <c r="Q32" s="12"/>
    </row>
    <row r="33" spans="2:17">
      <c r="B33" s="23" t="str">
        <f>Assumptions!B311</f>
        <v>Retained Earnings</v>
      </c>
      <c r="C33" s="109">
        <f>Assumptions!D311</f>
        <v>-6314</v>
      </c>
      <c r="D33" s="109">
        <f>Assumptions!E311</f>
        <v>-9995</v>
      </c>
      <c r="E33" s="109">
        <f>Assumptions!F311</f>
        <v>-10989</v>
      </c>
      <c r="F33" s="109">
        <f>Assumptions!G311</f>
        <v>-15486</v>
      </c>
      <c r="G33" s="109">
        <f>Assumptions!H311</f>
        <v>-17115</v>
      </c>
      <c r="H33" s="119">
        <f>IF(H$3="",0,G33+H56+H57)</f>
        <v>-19783.030018017074</v>
      </c>
      <c r="I33" s="119">
        <f t="shared" ref="I33:Q33" si="17">IF(I$3="",0,H33+I56+I57)</f>
        <v>-22575.941796719795</v>
      </c>
      <c r="J33" s="119">
        <f t="shared" si="17"/>
        <v>-25497.934207271537</v>
      </c>
      <c r="K33" s="119">
        <f t="shared" si="17"/>
        <v>-28577.501165573718</v>
      </c>
      <c r="L33" s="119">
        <f t="shared" si="17"/>
        <v>-31797.277135511053</v>
      </c>
      <c r="M33" s="119">
        <f t="shared" si="17"/>
        <v>0</v>
      </c>
      <c r="N33" s="119">
        <f t="shared" si="17"/>
        <v>0</v>
      </c>
      <c r="O33" s="119">
        <f t="shared" si="17"/>
        <v>0</v>
      </c>
      <c r="P33" s="119">
        <f t="shared" si="17"/>
        <v>0</v>
      </c>
      <c r="Q33" s="119">
        <f t="shared" si="17"/>
        <v>0</v>
      </c>
    </row>
    <row r="34" spans="2:17">
      <c r="B34" s="23" t="str">
        <f>Assumptions!B305</f>
        <v>Preferred and Hybrid Capital</v>
      </c>
      <c r="C34" s="109">
        <f>Assumptions!D305</f>
        <v>7747</v>
      </c>
      <c r="D34" s="109">
        <f>Assumptions!E305</f>
        <v>7747</v>
      </c>
      <c r="E34" s="109">
        <f>Assumptions!F305</f>
        <v>7747</v>
      </c>
      <c r="F34" s="109">
        <f>Assumptions!G305</f>
        <v>6818</v>
      </c>
      <c r="G34" s="109">
        <f>Assumptions!H305</f>
        <v>6818</v>
      </c>
      <c r="H34" s="12">
        <f>IF(H$3="",0,G34)</f>
        <v>6818</v>
      </c>
      <c r="I34" s="12">
        <f t="shared" ref="I34:Q34" si="18">IF(I$3="",0,H34)</f>
        <v>6818</v>
      </c>
      <c r="J34" s="12">
        <f t="shared" si="18"/>
        <v>6818</v>
      </c>
      <c r="K34" s="12">
        <f t="shared" si="18"/>
        <v>6818</v>
      </c>
      <c r="L34" s="12">
        <f t="shared" si="18"/>
        <v>6818</v>
      </c>
      <c r="M34" s="12">
        <f t="shared" si="18"/>
        <v>0</v>
      </c>
      <c r="N34" s="12">
        <f t="shared" si="18"/>
        <v>0</v>
      </c>
      <c r="O34" s="12">
        <f t="shared" si="18"/>
        <v>0</v>
      </c>
      <c r="P34" s="12">
        <f t="shared" si="18"/>
        <v>0</v>
      </c>
      <c r="Q34" s="12">
        <f t="shared" si="18"/>
        <v>0</v>
      </c>
    </row>
    <row r="35" spans="2:17">
      <c r="B35" s="23" t="str">
        <f>Assumptions!B308</f>
        <v>Share Capital and Additional Paid in Capital</v>
      </c>
      <c r="C35" s="109">
        <f>Assumptions!D308</f>
        <v>64993</v>
      </c>
      <c r="D35" s="109">
        <f>Assumptions!E308</f>
        <v>65045</v>
      </c>
      <c r="E35" s="109">
        <f>Assumptions!F308</f>
        <v>65164</v>
      </c>
      <c r="F35" s="109">
        <f>Assumptions!G308</f>
        <v>65035</v>
      </c>
      <c r="G35" s="109">
        <f>Assumptions!H308</f>
        <v>69448</v>
      </c>
      <c r="H35" s="12">
        <f>IF(H$3="",0,G35)</f>
        <v>69448</v>
      </c>
      <c r="I35" s="12">
        <f t="shared" ref="I35:Q35" si="19">IF(I$3="",0,H35)</f>
        <v>69448</v>
      </c>
      <c r="J35" s="12">
        <f t="shared" si="19"/>
        <v>69448</v>
      </c>
      <c r="K35" s="12">
        <f t="shared" si="19"/>
        <v>69448</v>
      </c>
      <c r="L35" s="12">
        <f t="shared" si="19"/>
        <v>69448</v>
      </c>
      <c r="M35" s="12">
        <f t="shared" si="19"/>
        <v>0</v>
      </c>
      <c r="N35" s="12">
        <f t="shared" si="19"/>
        <v>0</v>
      </c>
      <c r="O35" s="12">
        <f t="shared" si="19"/>
        <v>0</v>
      </c>
      <c r="P35" s="12">
        <f t="shared" si="19"/>
        <v>0</v>
      </c>
      <c r="Q35" s="12">
        <f t="shared" si="19"/>
        <v>0</v>
      </c>
    </row>
    <row r="36" spans="2:17">
      <c r="B36" s="23" t="str">
        <f>Assumptions!B314</f>
        <v>Other Equity</v>
      </c>
      <c r="C36" s="109">
        <f>Assumptions!D314</f>
        <v>-323</v>
      </c>
      <c r="D36" s="109">
        <f>Assumptions!E314</f>
        <v>-1430</v>
      </c>
      <c r="E36" s="109">
        <f>Assumptions!F314</f>
        <v>-1096</v>
      </c>
      <c r="F36" s="109">
        <f>Assumptions!G314</f>
        <v>3520</v>
      </c>
      <c r="G36" s="109">
        <f>Assumptions!H314</f>
        <v>2303</v>
      </c>
      <c r="H36" s="12">
        <f>IF(H$3="",0,G36)</f>
        <v>2303</v>
      </c>
      <c r="I36" s="12">
        <f t="shared" ref="I36:Q36" si="20">IF(I$3="",0,H36)</f>
        <v>2303</v>
      </c>
      <c r="J36" s="12">
        <f t="shared" si="20"/>
        <v>2303</v>
      </c>
      <c r="K36" s="12">
        <f t="shared" si="20"/>
        <v>2303</v>
      </c>
      <c r="L36" s="12">
        <f t="shared" si="20"/>
        <v>2303</v>
      </c>
      <c r="M36" s="12">
        <f t="shared" si="20"/>
        <v>0</v>
      </c>
      <c r="N36" s="12">
        <f t="shared" si="20"/>
        <v>0</v>
      </c>
      <c r="O36" s="12">
        <f t="shared" si="20"/>
        <v>0</v>
      </c>
      <c r="P36" s="12">
        <f t="shared" si="20"/>
        <v>0</v>
      </c>
      <c r="Q36" s="12">
        <f t="shared" si="20"/>
        <v>0</v>
      </c>
    </row>
    <row r="37" spans="2:17">
      <c r="B37" s="23" t="str">
        <f>Assumptions!B317</f>
        <v>Minority and Non-Controlling Interest</v>
      </c>
      <c r="C37" s="109">
        <f>Assumptions!D317</f>
        <v>3364</v>
      </c>
      <c r="D37" s="109">
        <f>Assumptions!E317</f>
        <v>2996</v>
      </c>
      <c r="E37" s="109">
        <f>Assumptions!F317</f>
        <v>2542</v>
      </c>
      <c r="F37" s="109">
        <f>Assumptions!G317</f>
        <v>3511</v>
      </c>
      <c r="G37" s="109">
        <f>Assumptions!H317</f>
        <v>3029</v>
      </c>
      <c r="H37" s="12">
        <f>IF(H$3="",0,G37)</f>
        <v>3029</v>
      </c>
      <c r="I37" s="12">
        <f t="shared" ref="I37:Q37" si="21">IF(I$3="",0,H37)</f>
        <v>3029</v>
      </c>
      <c r="J37" s="12">
        <f t="shared" si="21"/>
        <v>3029</v>
      </c>
      <c r="K37" s="12">
        <f t="shared" si="21"/>
        <v>3029</v>
      </c>
      <c r="L37" s="12">
        <f t="shared" si="21"/>
        <v>3029</v>
      </c>
      <c r="M37" s="12">
        <f t="shared" si="21"/>
        <v>0</v>
      </c>
      <c r="N37" s="12">
        <f t="shared" si="21"/>
        <v>0</v>
      </c>
      <c r="O37" s="12">
        <f t="shared" si="21"/>
        <v>0</v>
      </c>
      <c r="P37" s="12">
        <f t="shared" si="21"/>
        <v>0</v>
      </c>
      <c r="Q37" s="12">
        <f t="shared" si="21"/>
        <v>0</v>
      </c>
    </row>
    <row r="38" spans="2:17">
      <c r="B38" s="23" t="str">
        <f>Assumptions!B320</f>
        <v>Treasury Stock</v>
      </c>
      <c r="C38" s="109">
        <f>Assumptions!D320</f>
        <v>0</v>
      </c>
      <c r="D38" s="109">
        <f>Assumptions!E320</f>
        <v>0</v>
      </c>
      <c r="E38" s="109">
        <f>Assumptions!F320</f>
        <v>0</v>
      </c>
      <c r="F38" s="109">
        <f>Assumptions!G320</f>
        <v>0</v>
      </c>
      <c r="G38" s="109">
        <f>Assumptions!H320</f>
        <v>0</v>
      </c>
      <c r="H38" s="12">
        <f>IF(H$3="",0,G38)</f>
        <v>0</v>
      </c>
      <c r="I38" s="12">
        <f t="shared" ref="I38:Q38" si="22">IF(I$3="",0,H38)</f>
        <v>0</v>
      </c>
      <c r="J38" s="12">
        <f t="shared" si="22"/>
        <v>0</v>
      </c>
      <c r="K38" s="12">
        <f t="shared" si="22"/>
        <v>0</v>
      </c>
      <c r="L38" s="12">
        <f t="shared" si="22"/>
        <v>0</v>
      </c>
      <c r="M38" s="12">
        <f t="shared" si="22"/>
        <v>0</v>
      </c>
      <c r="N38" s="12">
        <f t="shared" si="22"/>
        <v>0</v>
      </c>
      <c r="O38" s="12">
        <f t="shared" si="22"/>
        <v>0</v>
      </c>
      <c r="P38" s="12">
        <f t="shared" si="22"/>
        <v>0</v>
      </c>
      <c r="Q38" s="12">
        <f t="shared" si="22"/>
        <v>0</v>
      </c>
    </row>
    <row r="39" spans="2:17">
      <c r="B39" s="24" t="s">
        <v>121</v>
      </c>
      <c r="C39" s="113"/>
      <c r="D39" s="113"/>
      <c r="E39" s="113"/>
      <c r="F39" s="113"/>
      <c r="G39" s="113"/>
      <c r="H39" s="47"/>
      <c r="I39" s="47"/>
      <c r="J39" s="47"/>
      <c r="K39" s="47"/>
      <c r="L39" s="47"/>
      <c r="M39" s="47"/>
      <c r="N39" s="47"/>
      <c r="O39" s="47"/>
      <c r="P39" s="47"/>
      <c r="Q39" s="47"/>
    </row>
    <row r="40" spans="2:17">
      <c r="B40" s="31" t="str">
        <f>"Total "&amp;B32</f>
        <v>Total Equity</v>
      </c>
      <c r="C40" s="112">
        <f>SUM(C33:C37)-C38+C39</f>
        <v>69467</v>
      </c>
      <c r="D40" s="112">
        <f t="shared" ref="D40:H40" si="23">SUM(D33:D37)-D38+D39</f>
        <v>64363</v>
      </c>
      <c r="E40" s="112">
        <f t="shared" si="23"/>
        <v>63368</v>
      </c>
      <c r="F40" s="112">
        <f t="shared" si="23"/>
        <v>63398</v>
      </c>
      <c r="G40" s="112">
        <f t="shared" si="23"/>
        <v>64483</v>
      </c>
      <c r="H40" s="112">
        <f t="shared" si="23"/>
        <v>61814.969981982926</v>
      </c>
      <c r="I40" s="112">
        <f t="shared" ref="I40" si="24">SUM(I33:I37)-I38+I39</f>
        <v>59022.058203280205</v>
      </c>
      <c r="J40" s="112">
        <f t="shared" ref="J40" si="25">SUM(J33:J37)-J38+J39</f>
        <v>56100.065792728463</v>
      </c>
      <c r="K40" s="112">
        <f t="shared" ref="K40" si="26">SUM(K33:K37)-K38+K39</f>
        <v>53020.498834426282</v>
      </c>
      <c r="L40" s="112">
        <f t="shared" ref="L40" si="27">SUM(L33:L37)-L38+L39</f>
        <v>49800.722864488947</v>
      </c>
      <c r="M40" s="112">
        <f t="shared" ref="M40" si="28">SUM(M33:M37)-M38+M39</f>
        <v>0</v>
      </c>
      <c r="N40" s="112">
        <f t="shared" ref="N40" si="29">SUM(N33:N37)-N38+N39</f>
        <v>0</v>
      </c>
      <c r="O40" s="112">
        <f t="shared" ref="O40" si="30">SUM(O33:O37)-O38+O39</f>
        <v>0</v>
      </c>
      <c r="P40" s="112">
        <f t="shared" ref="P40" si="31">SUM(P33:P37)-P38+P39</f>
        <v>0</v>
      </c>
      <c r="Q40" s="112">
        <f t="shared" ref="Q40" si="32">SUM(Q33:Q37)-Q38+Q39</f>
        <v>0</v>
      </c>
    </row>
    <row r="41" spans="2:17">
      <c r="C41" s="114"/>
      <c r="D41" s="114"/>
      <c r="E41" s="114"/>
      <c r="F41" s="114"/>
      <c r="G41" s="114"/>
    </row>
    <row r="42" spans="2:17" ht="12" thickBot="1">
      <c r="B42" s="33" t="str">
        <f>"Total "&amp;B19&amp;" and "&amp;B32</f>
        <v>Total Liabilities and Equity</v>
      </c>
      <c r="C42" s="115">
        <f t="shared" ref="C42:H42" si="33">C29+C40</f>
        <v>163329</v>
      </c>
      <c r="D42" s="115">
        <f t="shared" si="33"/>
        <v>160276</v>
      </c>
      <c r="E42" s="115">
        <f t="shared" si="33"/>
        <v>168864</v>
      </c>
      <c r="F42" s="115">
        <f t="shared" si="33"/>
        <v>179608</v>
      </c>
      <c r="G42" s="115">
        <f t="shared" si="33"/>
        <v>180317</v>
      </c>
      <c r="H42" s="35">
        <f t="shared" si="33"/>
        <v>182759.6641157853</v>
      </c>
      <c r="I42" s="35">
        <f t="shared" ref="I42:Q42" si="34">I29+I40</f>
        <v>180574.72311786973</v>
      </c>
      <c r="J42" s="35">
        <f t="shared" si="34"/>
        <v>178255.43821152876</v>
      </c>
      <c r="K42" s="35">
        <f t="shared" si="34"/>
        <v>174517.61310256366</v>
      </c>
      <c r="L42" s="35">
        <f t="shared" si="34"/>
        <v>171767.51498144353</v>
      </c>
      <c r="M42" s="35">
        <f t="shared" si="34"/>
        <v>0</v>
      </c>
      <c r="N42" s="35">
        <f t="shared" si="34"/>
        <v>0</v>
      </c>
      <c r="O42" s="35">
        <f t="shared" si="34"/>
        <v>0</v>
      </c>
      <c r="P42" s="35">
        <f t="shared" si="34"/>
        <v>0</v>
      </c>
      <c r="Q42" s="35">
        <f t="shared" si="34"/>
        <v>0</v>
      </c>
    </row>
    <row r="43" spans="2:17">
      <c r="B43" s="36" t="s">
        <v>108</v>
      </c>
      <c r="C43" s="116">
        <f>C16-C42</f>
        <v>-461.79999999998836</v>
      </c>
      <c r="D43" s="116">
        <f t="shared" ref="D43:H43" si="35">D16-D42</f>
        <v>-2631.1000000000058</v>
      </c>
      <c r="E43" s="116">
        <f t="shared" si="35"/>
        <v>-3394</v>
      </c>
      <c r="F43" s="116">
        <f t="shared" si="35"/>
        <v>-7198.7999999999884</v>
      </c>
      <c r="G43" s="116">
        <f t="shared" si="35"/>
        <v>-4827.8999999999942</v>
      </c>
      <c r="H43" s="37">
        <f t="shared" si="35"/>
        <v>-10993.454021173151</v>
      </c>
      <c r="I43" s="37">
        <f t="shared" ref="I43:Q43" si="36">I16-I42</f>
        <v>-8213.7212193821324</v>
      </c>
      <c r="J43" s="37">
        <f t="shared" si="36"/>
        <v>-5365.9683419980865</v>
      </c>
      <c r="K43" s="37">
        <f t="shared" si="36"/>
        <v>-1308.294786753162</v>
      </c>
      <c r="L43" s="37">
        <f t="shared" si="36"/>
        <v>1915.3290666883986</v>
      </c>
      <c r="M43" s="37">
        <f t="shared" si="36"/>
        <v>0</v>
      </c>
      <c r="N43" s="37">
        <f t="shared" si="36"/>
        <v>0</v>
      </c>
      <c r="O43" s="37">
        <f t="shared" si="36"/>
        <v>0</v>
      </c>
      <c r="P43" s="37">
        <f t="shared" si="36"/>
        <v>0</v>
      </c>
      <c r="Q43" s="37">
        <f t="shared" si="36"/>
        <v>0</v>
      </c>
    </row>
    <row r="46" spans="2:17">
      <c r="B46" s="30" t="s">
        <v>118</v>
      </c>
      <c r="C46" s="30"/>
      <c r="D46" s="30"/>
      <c r="E46" s="30"/>
      <c r="F46" s="30"/>
      <c r="G46" s="30"/>
      <c r="H46" s="30"/>
      <c r="I46" s="30"/>
      <c r="J46" s="30"/>
      <c r="K46" s="30"/>
      <c r="L46" s="30"/>
      <c r="M46" s="30"/>
      <c r="N46" s="30"/>
      <c r="O46" s="30"/>
      <c r="P46" s="30"/>
      <c r="Q46" s="30"/>
    </row>
    <row r="47" spans="2:17">
      <c r="B47" s="1" t="s">
        <v>119</v>
      </c>
      <c r="C47" s="46">
        <f t="shared" ref="C47:Q47" si="37">C10-C24</f>
        <v>-7136.7999999999993</v>
      </c>
      <c r="D47" s="46">
        <f t="shared" si="37"/>
        <v>-9260.0999999999985</v>
      </c>
      <c r="E47" s="46">
        <f t="shared" si="37"/>
        <v>-12665</v>
      </c>
      <c r="F47" s="46">
        <f t="shared" si="37"/>
        <v>-15352.8</v>
      </c>
      <c r="G47" s="46">
        <f t="shared" si="37"/>
        <v>-7863.9</v>
      </c>
      <c r="H47" s="46">
        <f t="shared" si="37"/>
        <v>-18099.855508291974</v>
      </c>
      <c r="I47" s="46">
        <f t="shared" si="37"/>
        <v>-19557.477098378524</v>
      </c>
      <c r="J47" s="46">
        <f t="shared" si="37"/>
        <v>-21119.492523116289</v>
      </c>
      <c r="K47" s="46">
        <f t="shared" si="37"/>
        <v>-21673.795094490742</v>
      </c>
      <c r="L47" s="46">
        <f t="shared" si="37"/>
        <v>-23248.328654353187</v>
      </c>
      <c r="M47" s="46">
        <f t="shared" si="37"/>
        <v>0</v>
      </c>
      <c r="N47" s="46">
        <f t="shared" si="37"/>
        <v>0</v>
      </c>
      <c r="O47" s="46">
        <f t="shared" si="37"/>
        <v>0</v>
      </c>
      <c r="P47" s="46">
        <f t="shared" si="37"/>
        <v>0</v>
      </c>
      <c r="Q47" s="46">
        <f t="shared" si="37"/>
        <v>0</v>
      </c>
    </row>
    <row r="48" spans="2:17">
      <c r="B48" s="1" t="s">
        <v>120</v>
      </c>
      <c r="C48" s="46">
        <f t="shared" ref="C48:Q48" si="38">+C22+C26-C6</f>
        <v>65049.8</v>
      </c>
      <c r="D48" s="46">
        <f t="shared" si="38"/>
        <v>69837.100000000006</v>
      </c>
      <c r="E48" s="46">
        <f t="shared" si="38"/>
        <v>79453</v>
      </c>
      <c r="F48" s="46">
        <f t="shared" si="38"/>
        <v>88081.8</v>
      </c>
      <c r="G48" s="46">
        <f t="shared" si="38"/>
        <v>80875.899999999994</v>
      </c>
      <c r="H48" s="46">
        <f t="shared" si="38"/>
        <v>90385.993602095361</v>
      </c>
      <c r="I48" s="46">
        <f t="shared" si="38"/>
        <v>91751.189334996016</v>
      </c>
      <c r="J48" s="46">
        <f t="shared" si="38"/>
        <v>93218.00612683229</v>
      </c>
      <c r="K48" s="46">
        <f t="shared" si="38"/>
        <v>93674.254106318229</v>
      </c>
      <c r="L48" s="46">
        <f t="shared" si="38"/>
        <v>95147.791436535495</v>
      </c>
      <c r="M48" s="46">
        <f t="shared" si="38"/>
        <v>0</v>
      </c>
      <c r="N48" s="46">
        <f t="shared" si="38"/>
        <v>0</v>
      </c>
      <c r="O48" s="46">
        <f t="shared" si="38"/>
        <v>0</v>
      </c>
      <c r="P48" s="46">
        <f t="shared" si="38"/>
        <v>0</v>
      </c>
      <c r="Q48" s="46">
        <f t="shared" si="38"/>
        <v>0</v>
      </c>
    </row>
    <row r="51" spans="2:17">
      <c r="B51" s="30" t="s">
        <v>86</v>
      </c>
      <c r="C51" s="30"/>
      <c r="D51" s="30"/>
      <c r="E51" s="30"/>
      <c r="F51" s="30"/>
      <c r="G51" s="30"/>
      <c r="H51" s="30"/>
      <c r="I51" s="30"/>
      <c r="J51" s="30"/>
      <c r="K51" s="30"/>
      <c r="L51" s="30"/>
      <c r="M51" s="30"/>
      <c r="N51" s="30"/>
      <c r="O51" s="30"/>
      <c r="P51" s="30"/>
      <c r="Q51" s="30"/>
    </row>
    <row r="52" spans="2:17">
      <c r="B52" s="1" t="str">
        <f>'Income Statement'!B4</f>
        <v>Revenue</v>
      </c>
      <c r="C52" s="12">
        <f>'Income Statement'!C4</f>
        <v>50069</v>
      </c>
      <c r="D52" s="12">
        <f>'Income Statement'!D4</f>
        <v>39087</v>
      </c>
      <c r="E52" s="12">
        <f>'Income Statement'!E4</f>
        <v>47071</v>
      </c>
      <c r="F52" s="12">
        <f>'Income Statement'!F4</f>
        <v>53309</v>
      </c>
      <c r="G52" s="12">
        <f>'Income Statement'!G4</f>
        <v>43649</v>
      </c>
      <c r="H52" s="12">
        <f>'Income Statement'!H4</f>
        <v>44958.47</v>
      </c>
      <c r="I52" s="12">
        <f>'Income Statement'!I4</f>
        <v>46307.224099999999</v>
      </c>
      <c r="J52" s="12">
        <f>'Income Statement'!J4</f>
        <v>47696.440822999997</v>
      </c>
      <c r="K52" s="12">
        <f>'Income Statement'!K4</f>
        <v>49127.334047689998</v>
      </c>
      <c r="L52" s="12">
        <f>'Income Statement'!L4</f>
        <v>50601.154069120697</v>
      </c>
      <c r="M52" s="12">
        <f>'Income Statement'!M4</f>
        <v>0</v>
      </c>
      <c r="N52" s="12">
        <f>'Income Statement'!N4</f>
        <v>0</v>
      </c>
      <c r="O52" s="12">
        <f>'Income Statement'!O4</f>
        <v>0</v>
      </c>
      <c r="P52" s="12">
        <f>'Income Statement'!P4</f>
        <v>0</v>
      </c>
      <c r="Q52" s="12">
        <f>'Income Statement'!Q4</f>
        <v>0</v>
      </c>
    </row>
    <row r="53" spans="2:17">
      <c r="B53" s="1" t="str">
        <f>'Income Statement'!B8</f>
        <v>Cost of Revenue ~ Cost of Goods Sold</v>
      </c>
      <c r="C53" s="12">
        <f>'Income Statement'!C8</f>
        <v>31004</v>
      </c>
      <c r="D53" s="12">
        <f>'Income Statement'!D8</f>
        <v>20669</v>
      </c>
      <c r="E53" s="12">
        <f>'Income Statement'!E8</f>
        <v>28702</v>
      </c>
      <c r="F53" s="12">
        <f>'Income Statement'!F8</f>
        <v>32589</v>
      </c>
      <c r="G53" s="12">
        <f>'Income Statement'!G8</f>
        <v>21366</v>
      </c>
      <c r="H53" s="12">
        <f>'Income Statement'!H8</f>
        <v>25703.641628676272</v>
      </c>
      <c r="I53" s="12">
        <f>'Income Statement'!I8</f>
        <v>26474.75087753656</v>
      </c>
      <c r="J53" s="12">
        <f>'Income Statement'!J8</f>
        <v>27268.993403862656</v>
      </c>
      <c r="K53" s="12">
        <f>'Income Statement'!K8</f>
        <v>28087.063205978535</v>
      </c>
      <c r="L53" s="12">
        <f>'Income Statement'!L8</f>
        <v>28929.675102157893</v>
      </c>
      <c r="M53" s="12">
        <f>'Income Statement'!M8</f>
        <v>0</v>
      </c>
      <c r="N53" s="12">
        <f>'Income Statement'!N8</f>
        <v>0</v>
      </c>
      <c r="O53" s="12">
        <f>'Income Statement'!O8</f>
        <v>0</v>
      </c>
      <c r="P53" s="12">
        <f>'Income Statement'!P8</f>
        <v>0</v>
      </c>
      <c r="Q53" s="12">
        <f>'Income Statement'!Q8</f>
        <v>0</v>
      </c>
    </row>
    <row r="54" spans="2:17">
      <c r="B54" s="1" t="str">
        <f>'Income Statement'!B44</f>
        <v>Capital Expenditures</v>
      </c>
      <c r="C54" s="12">
        <f>'Income Statement'!C44</f>
        <v>5492</v>
      </c>
      <c r="D54" s="12">
        <f>'Income Statement'!D44</f>
        <v>5405</v>
      </c>
      <c r="E54" s="12">
        <f>'Income Statement'!E44</f>
        <v>7818</v>
      </c>
      <c r="F54" s="12">
        <f>'Income Statement'!F44</f>
        <v>4647</v>
      </c>
      <c r="G54" s="12">
        <f>'Income Statement'!G44</f>
        <v>4654</v>
      </c>
      <c r="H54" s="12">
        <f>'Income Statement'!H44</f>
        <v>5465.6347920520402</v>
      </c>
      <c r="I54" s="12">
        <f>'Income Statement'!I44</f>
        <v>5629.6038358136011</v>
      </c>
      <c r="J54" s="12">
        <f>'Income Statement'!J44</f>
        <v>5798.4919508880084</v>
      </c>
      <c r="K54" s="12">
        <f>'Income Statement'!K44</f>
        <v>5972.4467094146485</v>
      </c>
      <c r="L54" s="12">
        <f>'Income Statement'!L44</f>
        <v>6151.6201106970884</v>
      </c>
      <c r="M54" s="12">
        <f>'Income Statement'!M44</f>
        <v>0</v>
      </c>
      <c r="N54" s="12">
        <f>'Income Statement'!N44</f>
        <v>0</v>
      </c>
      <c r="O54" s="12">
        <f>'Income Statement'!O44</f>
        <v>0</v>
      </c>
      <c r="P54" s="12">
        <f>'Income Statement'!P44</f>
        <v>0</v>
      </c>
      <c r="Q54" s="12">
        <f>'Income Statement'!Q44</f>
        <v>0</v>
      </c>
    </row>
    <row r="55" spans="2:17">
      <c r="B55" s="1" t="str">
        <f>'Income Statement'!B47</f>
        <v>Depreciation and Amortization</v>
      </c>
      <c r="C55" s="12">
        <f>'Income Statement'!C47</f>
        <v>3391</v>
      </c>
      <c r="D55" s="12">
        <f>'Income Statement'!D47</f>
        <v>3712</v>
      </c>
      <c r="E55" s="12">
        <f>'Income Statement'!E47</f>
        <v>3852</v>
      </c>
      <c r="F55" s="12">
        <f>'Income Statement'!F47</f>
        <v>4317</v>
      </c>
      <c r="G55" s="12">
        <f>'Income Statement'!G47</f>
        <v>4613</v>
      </c>
      <c r="H55" s="12">
        <f>'Income Statement'!H47</f>
        <v>4063.2633229502667</v>
      </c>
      <c r="I55" s="12">
        <f>'Income Statement'!I47</f>
        <v>4185.1612226387742</v>
      </c>
      <c r="J55" s="12">
        <f>'Income Statement'!J47</f>
        <v>4310.7160593179369</v>
      </c>
      <c r="K55" s="12">
        <f>'Income Statement'!K47</f>
        <v>4440.0375410974748</v>
      </c>
      <c r="L55" s="12">
        <f>'Income Statement'!L47</f>
        <v>4573.2386673303999</v>
      </c>
      <c r="M55" s="12">
        <f>'Income Statement'!M47</f>
        <v>0</v>
      </c>
      <c r="N55" s="12">
        <f>'Income Statement'!N47</f>
        <v>0</v>
      </c>
      <c r="O55" s="12">
        <f>'Income Statement'!O47</f>
        <v>0</v>
      </c>
      <c r="P55" s="12">
        <f>'Income Statement'!P47</f>
        <v>0</v>
      </c>
      <c r="Q55" s="12">
        <f>'Income Statement'!Q47</f>
        <v>0</v>
      </c>
    </row>
    <row r="56" spans="2:17">
      <c r="B56" s="1" t="str">
        <f>'Income Statement'!B37</f>
        <v>Net Income (Loss), GAAP</v>
      </c>
      <c r="C56" s="12">
        <f>'Income Statement'!C37</f>
        <v>5705</v>
      </c>
      <c r="D56" s="12">
        <f>'Income Statement'!D37</f>
        <v>3363</v>
      </c>
      <c r="E56" s="12">
        <f>'Income Statement'!E37</f>
        <v>6189</v>
      </c>
      <c r="F56" s="12">
        <f>'Income Statement'!F37</f>
        <v>3003</v>
      </c>
      <c r="G56" s="12">
        <f>'Income Statement'!G37</f>
        <v>6191</v>
      </c>
      <c r="H56" s="12">
        <f>'Income Statement'!H37</f>
        <v>4453.7174480241902</v>
      </c>
      <c r="I56" s="12">
        <f>'Income Statement'!I37</f>
        <v>4662.1813981108571</v>
      </c>
      <c r="J56" s="12">
        <f>'Income Statement'!J37</f>
        <v>4877.6544843901675</v>
      </c>
      <c r="K56" s="12">
        <f>'Income Statement'!K37</f>
        <v>5140.6921968377255</v>
      </c>
      <c r="L56" s="12">
        <f>'Income Statement'!L37</f>
        <v>5374.7417829641299</v>
      </c>
      <c r="M56" s="12">
        <f>'Income Statement'!M37</f>
        <v>0</v>
      </c>
      <c r="N56" s="12">
        <f>'Income Statement'!N37</f>
        <v>0</v>
      </c>
      <c r="O56" s="12">
        <f>'Income Statement'!O37</f>
        <v>0</v>
      </c>
      <c r="P56" s="12">
        <f>'Income Statement'!P37</f>
        <v>0</v>
      </c>
      <c r="Q56" s="12">
        <f>'Income Statement'!Q37</f>
        <v>0</v>
      </c>
    </row>
    <row r="57" spans="2:17">
      <c r="B57" s="1" t="str">
        <f>'Cash Flows'!B22</f>
        <v>Dividends Paid</v>
      </c>
      <c r="C57" s="12">
        <f>'Cash Flows'!C22</f>
        <v>-6356</v>
      </c>
      <c r="D57" s="12">
        <f>'Cash Flows'!D22</f>
        <v>-6940</v>
      </c>
      <c r="E57" s="12">
        <f>'Cash Flows'!E22</f>
        <v>-7133</v>
      </c>
      <c r="F57" s="12">
        <f>'Cash Flows'!F22</f>
        <v>-7306</v>
      </c>
      <c r="G57" s="12">
        <f>'Cash Flows'!G22</f>
        <v>-7628</v>
      </c>
      <c r="H57" s="12">
        <f>'Cash Flows'!H22</f>
        <v>-7121.7474660412654</v>
      </c>
      <c r="I57" s="12">
        <f>'Cash Flows'!I22</f>
        <v>-7455.0931768135779</v>
      </c>
      <c r="J57" s="12">
        <f>'Cash Flows'!J22</f>
        <v>-7799.6468949419113</v>
      </c>
      <c r="K57" s="12">
        <f>'Cash Flows'!K22</f>
        <v>-8220.2591551399037</v>
      </c>
      <c r="L57" s="12">
        <f>'Cash Flows'!L22</f>
        <v>-8594.5177529014636</v>
      </c>
      <c r="M57" s="12">
        <f>'Cash Flows'!M22</f>
        <v>0</v>
      </c>
      <c r="N57" s="12">
        <f>'Cash Flows'!N22</f>
        <v>0</v>
      </c>
      <c r="O57" s="12">
        <f>'Cash Flows'!O22</f>
        <v>0</v>
      </c>
      <c r="P57" s="12">
        <f>'Cash Flows'!P22</f>
        <v>0</v>
      </c>
      <c r="Q57" s="12">
        <f>'Cash Flows'!Q22</f>
        <v>0</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0D23F-EC20-475D-A354-A9149E66C24C}">
  <sheetPr>
    <tabColor theme="7" tint="0.79998168889431442"/>
  </sheetPr>
  <dimension ref="B2:Q57"/>
  <sheetViews>
    <sheetView zoomScaleNormal="100"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8.6640625" defaultRowHeight="11" outlineLevelCol="1"/>
  <cols>
    <col min="1" max="1" width="2.1640625" style="1" customWidth="1"/>
    <col min="2" max="2" width="35.1640625" style="1" bestFit="1" customWidth="1"/>
    <col min="3" max="7" width="8.6640625" style="1" customWidth="1" outlineLevel="1"/>
    <col min="8" max="17" width="8.6640625" style="1" customWidth="1"/>
    <col min="18" max="16384" width="8.6640625" style="1"/>
  </cols>
  <sheetData>
    <row r="2" spans="2:17">
      <c r="B2" s="30" t="s">
        <v>50</v>
      </c>
      <c r="C2" s="30"/>
      <c r="D2" s="30"/>
      <c r="E2" s="30"/>
      <c r="F2" s="30"/>
      <c r="G2" s="30"/>
      <c r="H2" s="30"/>
      <c r="I2" s="30"/>
      <c r="J2" s="30"/>
      <c r="K2" s="30"/>
      <c r="L2" s="30"/>
      <c r="M2" s="30"/>
      <c r="N2" s="30"/>
      <c r="O2" s="30"/>
      <c r="P2" s="30"/>
      <c r="Q2" s="30"/>
    </row>
    <row r="3" spans="2:17">
      <c r="B3" s="14" t="str">
        <f>Assumptions!$B$113</f>
        <v>Year Ending December 31, In CAD Millions</v>
      </c>
      <c r="C3" s="14" cm="1">
        <f t="array" ref="C3:L3">_xlfn.SEQUENCE(1,5+Assumptions!$C$21,(YEAR('Valuation Summary'!$C$4)-5))</f>
        <v>2019</v>
      </c>
      <c r="D3" s="14">
        <v>2020</v>
      </c>
      <c r="E3" s="14">
        <v>2021</v>
      </c>
      <c r="F3" s="14">
        <v>2022</v>
      </c>
      <c r="G3" s="14">
        <v>2023</v>
      </c>
      <c r="H3" s="15">
        <v>2024</v>
      </c>
      <c r="I3" s="15">
        <v>2025</v>
      </c>
      <c r="J3" s="15">
        <v>2026</v>
      </c>
      <c r="K3" s="15">
        <v>2027</v>
      </c>
      <c r="L3" s="15">
        <v>2028</v>
      </c>
      <c r="M3" s="15"/>
      <c r="N3" s="15"/>
      <c r="O3" s="15"/>
      <c r="P3" s="15"/>
      <c r="Q3" s="15"/>
    </row>
    <row r="4" spans="2:17">
      <c r="B4" s="10" t="s">
        <v>51</v>
      </c>
      <c r="C4" s="109"/>
      <c r="D4" s="109"/>
      <c r="E4" s="109"/>
      <c r="F4" s="109"/>
      <c r="G4" s="109"/>
      <c r="H4" s="12"/>
      <c r="I4" s="12"/>
      <c r="J4" s="12"/>
      <c r="K4" s="12"/>
      <c r="L4" s="12"/>
      <c r="M4" s="12"/>
      <c r="N4" s="12"/>
      <c r="O4" s="12"/>
      <c r="P4" s="12"/>
      <c r="Q4" s="12"/>
    </row>
    <row r="5" spans="2:17">
      <c r="B5" s="11" t="s">
        <v>52</v>
      </c>
      <c r="C5" s="109"/>
      <c r="D5" s="109"/>
      <c r="E5" s="109"/>
      <c r="F5" s="109"/>
      <c r="G5" s="109"/>
      <c r="H5" s="12"/>
      <c r="I5" s="12"/>
      <c r="J5" s="12"/>
      <c r="K5" s="12"/>
      <c r="L5" s="12"/>
      <c r="M5" s="12"/>
      <c r="N5" s="12"/>
      <c r="O5" s="12"/>
      <c r="P5" s="12"/>
      <c r="Q5" s="12"/>
    </row>
    <row r="6" spans="2:17">
      <c r="B6" s="27" t="str">
        <f>Assumptions!B260</f>
        <v>Cash, Cash Equivalents, and Short-Term Investments</v>
      </c>
      <c r="C6" s="109">
        <f>+Assumptions!D261+'CF Bear'!C36</f>
        <v>696.20000000000073</v>
      </c>
      <c r="D6" s="109">
        <f>+Assumptions!E261+'CF Bear'!D36</f>
        <v>-2179.0999999999995</v>
      </c>
      <c r="E6" s="109">
        <f>+Assumptions!F261+'CF Bear'!E36</f>
        <v>-3108.9999999999991</v>
      </c>
      <c r="F6" s="109">
        <f>+Assumptions!G261+'CF Bear'!F36</f>
        <v>-6337.7999999999993</v>
      </c>
      <c r="G6" s="109">
        <f>+Assumptions!H261+'CF Bear'!G36</f>
        <v>1073.1000000000004</v>
      </c>
      <c r="H6" s="119">
        <f>IF(H$3="",0,'CF Bear'!H36+'IS Bear'!H4*Assumptions!I$262)</f>
        <v>-4483.8465878792558</v>
      </c>
      <c r="I6" s="119">
        <f>IF(I$3="",0,'CF Bear'!I36+'IS Bear'!I4*Assumptions!J$262)</f>
        <v>-5410.7491323532013</v>
      </c>
      <c r="J6" s="119">
        <f>IF(J$3="",0,'CF Bear'!J36+'IS Bear'!J4*Assumptions!K$262)</f>
        <v>-6337.2253590847376</v>
      </c>
      <c r="K6" s="119">
        <f>IF(K$3="",0,'CF Bear'!K36+'IS Bear'!K4*Assumptions!L$262)</f>
        <v>-7402.6516450394975</v>
      </c>
      <c r="L6" s="119">
        <f>IF(L$3="",0,'CF Bear'!L36+'IS Bear'!L4*Assumptions!M$262)</f>
        <v>-8241.7151168938799</v>
      </c>
      <c r="M6" s="119">
        <f>IF(M$3="",0,'CF Bear'!M36+'IS Bear'!M4*Assumptions!N$262)</f>
        <v>0</v>
      </c>
      <c r="N6" s="119">
        <f>IF(N$3="",0,'CF Bear'!N36+'IS Bear'!N4*Assumptions!O$262)</f>
        <v>0</v>
      </c>
      <c r="O6" s="119">
        <f>IF(O$3="",0,'CF Bear'!O36+'IS Bear'!O4*Assumptions!P$262)</f>
        <v>0</v>
      </c>
      <c r="P6" s="119">
        <f>IF(P$3="",0,'CF Bear'!P36+'IS Bear'!P4*Assumptions!Q$262)</f>
        <v>0</v>
      </c>
      <c r="Q6" s="119">
        <f>IF(Q$3="",0,'CF Bear'!Q36+'IS Bear'!Q4*Assumptions!R$262)</f>
        <v>0</v>
      </c>
    </row>
    <row r="7" spans="2:17">
      <c r="B7" s="27" t="str">
        <f>Assumptions!B265</f>
        <v>Accounts and Notes Receivable</v>
      </c>
      <c r="C7" s="109">
        <f>Assumptions!D265</f>
        <v>6578</v>
      </c>
      <c r="D7" s="109">
        <f>Assumptions!E265</f>
        <v>3923</v>
      </c>
      <c r="E7" s="109">
        <f>Assumptions!F265</f>
        <v>4957</v>
      </c>
      <c r="F7" s="109">
        <f>Assumptions!G265</f>
        <v>5616</v>
      </c>
      <c r="G7" s="109">
        <f>Assumptions!H265</f>
        <v>4410</v>
      </c>
      <c r="H7" s="119">
        <f>IF(H$3="",0,G7*(1+Assumptions!I$119))</f>
        <v>4454.1000000000004</v>
      </c>
      <c r="I7" s="119">
        <f>IF(I$3="",0,H7*(1+Assumptions!J$119))</f>
        <v>4498.6410000000005</v>
      </c>
      <c r="J7" s="119">
        <f>IF(J$3="",0,I7*(1+Assumptions!K$119))</f>
        <v>4543.627410000001</v>
      </c>
      <c r="K7" s="119">
        <f>IF(K$3="",0,J7*(1+Assumptions!L$119))</f>
        <v>4589.0636841000014</v>
      </c>
      <c r="L7" s="119">
        <f>IF(L$3="",0,K7*(1+Assumptions!M$119))</f>
        <v>4634.9543209410012</v>
      </c>
      <c r="M7" s="119">
        <f>IF(M$3="",0,L7*(1+Assumptions!N$119))</f>
        <v>0</v>
      </c>
      <c r="N7" s="119">
        <f>IF(N$3="",0,M7*(1+Assumptions!O$119))</f>
        <v>0</v>
      </c>
      <c r="O7" s="119">
        <f>IF(O$3="",0,N7*(1+Assumptions!P$119))</f>
        <v>0</v>
      </c>
      <c r="P7" s="119">
        <f>IF(P$3="",0,O7*(1+Assumptions!Q$119))</f>
        <v>0</v>
      </c>
      <c r="Q7" s="119">
        <f>IF(Q$3="",0,P7*(1+Assumptions!R$119))</f>
        <v>0</v>
      </c>
    </row>
    <row r="8" spans="2:17">
      <c r="B8" s="27" t="str">
        <f>Assumptions!B271</f>
        <v>Inventory</v>
      </c>
      <c r="C8" s="109">
        <f>Assumptions!D271</f>
        <v>1299</v>
      </c>
      <c r="D8" s="109">
        <f>Assumptions!E271</f>
        <v>1536</v>
      </c>
      <c r="E8" s="109">
        <f>Assumptions!F271</f>
        <v>1670</v>
      </c>
      <c r="F8" s="109">
        <f>Assumptions!G271</f>
        <v>2255</v>
      </c>
      <c r="G8" s="109">
        <f>Assumptions!H271</f>
        <v>1479</v>
      </c>
      <c r="H8" s="119">
        <f>IF(H$3="",0,+G8*(1+'IS Bear'!H$10))</f>
        <v>1744.7120335684554</v>
      </c>
      <c r="I8" s="119">
        <f>IF(I$3="",0,+H8*(1+'IS Bear'!I$10))</f>
        <v>1762.1591539041399</v>
      </c>
      <c r="J8" s="119">
        <f>IF(J$3="",0,+I8*(1+'IS Bear'!J$10))</f>
        <v>1779.7807454431809</v>
      </c>
      <c r="K8" s="119">
        <f>IF(K$3="",0,+J8*(1+'IS Bear'!K$10))</f>
        <v>1797.5785528976128</v>
      </c>
      <c r="L8" s="119">
        <f>IF(L$3="",0,+K8*(1+'IS Bear'!L$10))</f>
        <v>1815.5543384265889</v>
      </c>
      <c r="M8" s="119">
        <f>IF(M$3="",0,+L8*(1+'IS Bear'!M$10))</f>
        <v>0</v>
      </c>
      <c r="N8" s="119">
        <f>IF(N$3="",0,+M8*(1+'IS Bear'!N$10))</f>
        <v>0</v>
      </c>
      <c r="O8" s="119">
        <f>IF(O$3="",0,+N8*(1+'IS Bear'!O$10))</f>
        <v>0</v>
      </c>
      <c r="P8" s="119">
        <f>IF(P$3="",0,+O8*(1+'IS Bear'!P$10))</f>
        <v>0</v>
      </c>
      <c r="Q8" s="119">
        <f>IF(Q$3="",0,+P8*(1+'IS Bear'!Q$10))</f>
        <v>0</v>
      </c>
    </row>
    <row r="9" spans="2:17">
      <c r="B9" s="27" t="str">
        <f>Assumptions!B274</f>
        <v>Other Short-Term Assets</v>
      </c>
      <c r="C9" s="109">
        <f>Assumptions!D274</f>
        <v>300</v>
      </c>
      <c r="D9" s="109">
        <f>Assumptions!E274</f>
        <v>1439</v>
      </c>
      <c r="E9" s="109">
        <f>Assumptions!F274</f>
        <v>2046</v>
      </c>
      <c r="F9" s="109">
        <f>Assumptions!G274</f>
        <v>3415</v>
      </c>
      <c r="G9" s="109">
        <f>Assumptions!H274</f>
        <v>2609</v>
      </c>
      <c r="H9" s="119">
        <f>IF(H$3="",0,G9*(1+Assumptions!I$119))</f>
        <v>2635.09</v>
      </c>
      <c r="I9" s="119">
        <f>IF(I$3="",0,H9*(1+Assumptions!J$119))</f>
        <v>2661.4409000000001</v>
      </c>
      <c r="J9" s="119">
        <f>IF(J$3="",0,I9*(1+Assumptions!K$119))</f>
        <v>2688.0553090000003</v>
      </c>
      <c r="K9" s="119">
        <f>IF(K$3="",0,J9*(1+Assumptions!L$119))</f>
        <v>2714.9358620900002</v>
      </c>
      <c r="L9" s="119">
        <f>IF(L$3="",0,K9*(1+Assumptions!M$119))</f>
        <v>2742.0852207109001</v>
      </c>
      <c r="M9" s="119">
        <f>IF(M$3="",0,L9*(1+Assumptions!N$119))</f>
        <v>0</v>
      </c>
      <c r="N9" s="119">
        <f>IF(N$3="",0,M9*(1+Assumptions!O$119))</f>
        <v>0</v>
      </c>
      <c r="O9" s="119">
        <f>IF(O$3="",0,N9*(1+Assumptions!P$119))</f>
        <v>0</v>
      </c>
      <c r="P9" s="119">
        <f>IF(P$3="",0,O9*(1+Assumptions!Q$119))</f>
        <v>0</v>
      </c>
      <c r="Q9" s="119">
        <f>IF(Q$3="",0,P9*(1+Assumptions!R$119))</f>
        <v>0</v>
      </c>
    </row>
    <row r="10" spans="2:17">
      <c r="B10" s="11" t="str">
        <f>"Total "&amp;B5</f>
        <v>Total Current Assets</v>
      </c>
      <c r="C10" s="117">
        <f>SUM(C6:C9)</f>
        <v>8873.2000000000007</v>
      </c>
      <c r="D10" s="117">
        <f t="shared" ref="D10:G10" si="0">SUM(D6:D9)</f>
        <v>4718.9000000000005</v>
      </c>
      <c r="E10" s="117">
        <f t="shared" si="0"/>
        <v>5564.0000000000009</v>
      </c>
      <c r="F10" s="117">
        <f t="shared" si="0"/>
        <v>4948.2000000000007</v>
      </c>
      <c r="G10" s="117">
        <f t="shared" si="0"/>
        <v>9571.1</v>
      </c>
      <c r="H10" s="118">
        <f t="shared" ref="H10:Q10" si="1">SUM(H6:H9)</f>
        <v>4350.0554456892005</v>
      </c>
      <c r="I10" s="118">
        <f t="shared" si="1"/>
        <v>3511.491921550939</v>
      </c>
      <c r="J10" s="118">
        <f t="shared" si="1"/>
        <v>2674.2381053584445</v>
      </c>
      <c r="K10" s="118">
        <f t="shared" si="1"/>
        <v>1698.926454048117</v>
      </c>
      <c r="L10" s="118">
        <f t="shared" si="1"/>
        <v>950.87876318461031</v>
      </c>
      <c r="M10" s="118">
        <f t="shared" si="1"/>
        <v>0</v>
      </c>
      <c r="N10" s="118">
        <f t="shared" si="1"/>
        <v>0</v>
      </c>
      <c r="O10" s="118">
        <f t="shared" si="1"/>
        <v>0</v>
      </c>
      <c r="P10" s="118">
        <f t="shared" si="1"/>
        <v>0</v>
      </c>
      <c r="Q10" s="118">
        <f t="shared" si="1"/>
        <v>0</v>
      </c>
    </row>
    <row r="11" spans="2:17">
      <c r="B11" s="11" t="s">
        <v>91</v>
      </c>
      <c r="C11" s="109"/>
      <c r="D11" s="109"/>
      <c r="E11" s="109"/>
      <c r="F11" s="109"/>
      <c r="G11" s="109"/>
      <c r="H11" s="12"/>
      <c r="I11" s="12"/>
      <c r="J11" s="12"/>
      <c r="K11" s="12"/>
      <c r="L11" s="12"/>
      <c r="M11" s="12"/>
      <c r="N11" s="12"/>
      <c r="O11" s="12"/>
      <c r="P11" s="12"/>
      <c r="Q11" s="12"/>
    </row>
    <row r="12" spans="2:17">
      <c r="B12" s="27" t="str">
        <f>Assumptions!B277</f>
        <v>Property, Plant, and Equipment</v>
      </c>
      <c r="C12" s="109">
        <f>Assumptions!D277</f>
        <v>93273</v>
      </c>
      <c r="D12" s="109">
        <f>Assumptions!E277</f>
        <v>94571</v>
      </c>
      <c r="E12" s="109">
        <f>Assumptions!F277</f>
        <v>100067</v>
      </c>
      <c r="F12" s="109">
        <f>Assumptions!G277</f>
        <v>104460</v>
      </c>
      <c r="G12" s="109">
        <f>Assumptions!H277</f>
        <v>104641</v>
      </c>
      <c r="H12" s="119">
        <f>IF(H$3="",0,G12+H54-H55)</f>
        <v>106016.14095513863</v>
      </c>
      <c r="I12" s="119">
        <f t="shared" ref="I12:Q12" si="2">IF(I$3="",0,H12+I54-I55)</f>
        <v>107405.03331982865</v>
      </c>
      <c r="J12" s="119">
        <f t="shared" si="2"/>
        <v>108807.81460816557</v>
      </c>
      <c r="K12" s="119">
        <f t="shared" si="2"/>
        <v>110224.62370938585</v>
      </c>
      <c r="L12" s="119">
        <f t="shared" si="2"/>
        <v>111655.60090161834</v>
      </c>
      <c r="M12" s="119">
        <f t="shared" si="2"/>
        <v>0</v>
      </c>
      <c r="N12" s="119">
        <f t="shared" si="2"/>
        <v>0</v>
      </c>
      <c r="O12" s="119">
        <f t="shared" si="2"/>
        <v>0</v>
      </c>
      <c r="P12" s="119">
        <f t="shared" si="2"/>
        <v>0</v>
      </c>
      <c r="Q12" s="119">
        <f t="shared" si="2"/>
        <v>0</v>
      </c>
    </row>
    <row r="13" spans="2:17">
      <c r="B13" s="27" t="str">
        <f>Assumptions!B280</f>
        <v>Long-Term Investments and Receivables</v>
      </c>
      <c r="C13" s="109">
        <f>Assumptions!D280</f>
        <v>16528</v>
      </c>
      <c r="D13" s="109">
        <f>Assumptions!E280</f>
        <v>13818</v>
      </c>
      <c r="E13" s="109">
        <f>Assumptions!F280</f>
        <v>13324</v>
      </c>
      <c r="F13" s="109">
        <f>Assumptions!G280</f>
        <v>15936</v>
      </c>
      <c r="G13" s="109">
        <f>Assumptions!H280</f>
        <v>16793</v>
      </c>
      <c r="H13" s="12">
        <f>IF(H$3="",0,G13)</f>
        <v>16793</v>
      </c>
      <c r="I13" s="12">
        <f t="shared" ref="I13:Q13" si="3">IF(I$3="",0,H13)</f>
        <v>16793</v>
      </c>
      <c r="J13" s="12">
        <f t="shared" si="3"/>
        <v>16793</v>
      </c>
      <c r="K13" s="12">
        <f t="shared" si="3"/>
        <v>16793</v>
      </c>
      <c r="L13" s="12">
        <f t="shared" si="3"/>
        <v>16793</v>
      </c>
      <c r="M13" s="12">
        <f t="shared" si="3"/>
        <v>0</v>
      </c>
      <c r="N13" s="12">
        <f t="shared" si="3"/>
        <v>0</v>
      </c>
      <c r="O13" s="12">
        <f t="shared" si="3"/>
        <v>0</v>
      </c>
      <c r="P13" s="12">
        <f t="shared" si="3"/>
        <v>0</v>
      </c>
      <c r="Q13" s="12">
        <f t="shared" si="3"/>
        <v>0</v>
      </c>
    </row>
    <row r="14" spans="2:17">
      <c r="B14" s="27" t="str">
        <f>Assumptions!B283</f>
        <v>Other Long-Term Assets</v>
      </c>
      <c r="C14" s="109">
        <f>Assumptions!D283</f>
        <v>44193</v>
      </c>
      <c r="D14" s="109">
        <f>Assumptions!E283</f>
        <v>44537</v>
      </c>
      <c r="E14" s="109">
        <f>Assumptions!F283</f>
        <v>46515</v>
      </c>
      <c r="F14" s="109">
        <f>Assumptions!G283</f>
        <v>47065</v>
      </c>
      <c r="G14" s="109">
        <f>Assumptions!H283</f>
        <v>44484</v>
      </c>
      <c r="H14" s="12">
        <f>IF(H$3="",0,G14)</f>
        <v>44484</v>
      </c>
      <c r="I14" s="12">
        <f t="shared" ref="I14:Q14" si="4">IF(I$3="",0,H14)</f>
        <v>44484</v>
      </c>
      <c r="J14" s="12">
        <f t="shared" si="4"/>
        <v>44484</v>
      </c>
      <c r="K14" s="12">
        <f t="shared" si="4"/>
        <v>44484</v>
      </c>
      <c r="L14" s="12">
        <f t="shared" si="4"/>
        <v>44484</v>
      </c>
      <c r="M14" s="12">
        <f t="shared" si="4"/>
        <v>0</v>
      </c>
      <c r="N14" s="12">
        <f t="shared" si="4"/>
        <v>0</v>
      </c>
      <c r="O14" s="12">
        <f t="shared" si="4"/>
        <v>0</v>
      </c>
      <c r="P14" s="12">
        <f t="shared" si="4"/>
        <v>0</v>
      </c>
      <c r="Q14" s="12">
        <f t="shared" si="4"/>
        <v>0</v>
      </c>
    </row>
    <row r="15" spans="2:17">
      <c r="B15" s="11" t="str">
        <f>"Total "&amp;B11</f>
        <v>Total Non-Current Assets</v>
      </c>
      <c r="C15" s="110">
        <f>SUM(C12:C14)</f>
        <v>153994</v>
      </c>
      <c r="D15" s="110">
        <f t="shared" ref="D15:G15" si="5">SUM(D12:D14)</f>
        <v>152926</v>
      </c>
      <c r="E15" s="110">
        <f t="shared" si="5"/>
        <v>159906</v>
      </c>
      <c r="F15" s="110">
        <f t="shared" si="5"/>
        <v>167461</v>
      </c>
      <c r="G15" s="110">
        <f t="shared" si="5"/>
        <v>165918</v>
      </c>
      <c r="H15" s="13">
        <f t="shared" ref="H15:Q15" si="6">SUM(H12:H14)</f>
        <v>167293.14095513863</v>
      </c>
      <c r="I15" s="13">
        <f t="shared" si="6"/>
        <v>168682.03331982865</v>
      </c>
      <c r="J15" s="13">
        <f t="shared" si="6"/>
        <v>170084.81460816559</v>
      </c>
      <c r="K15" s="13">
        <f t="shared" si="6"/>
        <v>171501.62370938587</v>
      </c>
      <c r="L15" s="13">
        <f t="shared" si="6"/>
        <v>172932.60090161834</v>
      </c>
      <c r="M15" s="13">
        <f t="shared" si="6"/>
        <v>0</v>
      </c>
      <c r="N15" s="13">
        <f t="shared" si="6"/>
        <v>0</v>
      </c>
      <c r="O15" s="13">
        <f t="shared" si="6"/>
        <v>0</v>
      </c>
      <c r="P15" s="13">
        <f t="shared" si="6"/>
        <v>0</v>
      </c>
      <c r="Q15" s="13">
        <f t="shared" si="6"/>
        <v>0</v>
      </c>
    </row>
    <row r="16" spans="2:17" ht="12" thickBot="1">
      <c r="B16" s="33" t="str">
        <f>"Total "&amp;B4</f>
        <v>Total Assets</v>
      </c>
      <c r="C16" s="111">
        <f>SUM(C10,C15)</f>
        <v>162867.20000000001</v>
      </c>
      <c r="D16" s="111">
        <f t="shared" ref="D16:G16" si="7">SUM(D10,D15)</f>
        <v>157644.9</v>
      </c>
      <c r="E16" s="111">
        <f t="shared" si="7"/>
        <v>165470</v>
      </c>
      <c r="F16" s="111">
        <f t="shared" si="7"/>
        <v>172409.2</v>
      </c>
      <c r="G16" s="111">
        <f t="shared" si="7"/>
        <v>175489.1</v>
      </c>
      <c r="H16" s="34">
        <f t="shared" ref="H16:Q16" si="8">SUM(H10,H15)</f>
        <v>171643.19640082784</v>
      </c>
      <c r="I16" s="34">
        <f t="shared" si="8"/>
        <v>172193.5252413796</v>
      </c>
      <c r="J16" s="34">
        <f t="shared" si="8"/>
        <v>172759.05271352403</v>
      </c>
      <c r="K16" s="34">
        <f t="shared" si="8"/>
        <v>173200.55016343397</v>
      </c>
      <c r="L16" s="34">
        <f t="shared" si="8"/>
        <v>173883.47966480296</v>
      </c>
      <c r="M16" s="34">
        <f t="shared" si="8"/>
        <v>0</v>
      </c>
      <c r="N16" s="34">
        <f t="shared" si="8"/>
        <v>0</v>
      </c>
      <c r="O16" s="34">
        <f t="shared" si="8"/>
        <v>0</v>
      </c>
      <c r="P16" s="34">
        <f t="shared" si="8"/>
        <v>0</v>
      </c>
      <c r="Q16" s="34">
        <f t="shared" si="8"/>
        <v>0</v>
      </c>
    </row>
    <row r="17" spans="2:17">
      <c r="C17" s="114"/>
      <c r="D17" s="114"/>
      <c r="E17" s="114"/>
      <c r="F17" s="114"/>
      <c r="G17" s="114"/>
    </row>
    <row r="18" spans="2:17">
      <c r="C18" s="114"/>
      <c r="D18" s="114"/>
      <c r="E18" s="114"/>
      <c r="F18" s="114"/>
      <c r="G18" s="114"/>
    </row>
    <row r="19" spans="2:17">
      <c r="B19" s="10" t="s">
        <v>94</v>
      </c>
      <c r="C19" s="109"/>
      <c r="D19" s="109"/>
      <c r="E19" s="109"/>
      <c r="F19" s="109"/>
      <c r="G19" s="109"/>
      <c r="H19" s="12"/>
      <c r="I19" s="12"/>
      <c r="J19" s="12"/>
      <c r="K19" s="12"/>
      <c r="L19" s="12"/>
      <c r="M19" s="12"/>
      <c r="N19" s="12"/>
      <c r="O19" s="12"/>
      <c r="P19" s="12"/>
      <c r="Q19" s="12"/>
    </row>
    <row r="20" spans="2:17">
      <c r="B20" s="11" t="s">
        <v>97</v>
      </c>
      <c r="C20" s="109"/>
      <c r="D20" s="109"/>
      <c r="E20" s="109"/>
      <c r="F20" s="109"/>
      <c r="G20" s="109"/>
      <c r="H20" s="12"/>
      <c r="I20" s="12"/>
      <c r="J20" s="12"/>
      <c r="K20" s="12"/>
      <c r="L20" s="12"/>
      <c r="M20" s="12"/>
      <c r="N20" s="12"/>
      <c r="O20" s="12"/>
      <c r="P20" s="12"/>
      <c r="Q20" s="12"/>
    </row>
    <row r="21" spans="2:17">
      <c r="B21" s="27" t="str">
        <f>Assumptions!B287</f>
        <v>Payables and Accruals</v>
      </c>
      <c r="C21" s="109">
        <f>Assumptions!D287</f>
        <v>9782</v>
      </c>
      <c r="D21" s="109">
        <f>Assumptions!E287</f>
        <v>9014</v>
      </c>
      <c r="E21" s="109">
        <f>Assumptions!F287</f>
        <v>9912</v>
      </c>
      <c r="F21" s="109">
        <f>Assumptions!G287</f>
        <v>10941</v>
      </c>
      <c r="G21" s="109">
        <f>Assumptions!H287</f>
        <v>5266</v>
      </c>
      <c r="H21" s="119">
        <f>IF(H$3="",0,+G21*(1+'IS Bear'!H$10))</f>
        <v>6212.0713784797063</v>
      </c>
      <c r="I21" s="119">
        <f>IF(I$3="",0,+H21*(1+'IS Bear'!I$10))</f>
        <v>6274.1920922645031</v>
      </c>
      <c r="J21" s="119">
        <f>IF(J$3="",0,+I21*(1+'IS Bear'!J$10))</f>
        <v>6336.9340131871468</v>
      </c>
      <c r="K21" s="119">
        <f>IF(K$3="",0,+J21*(1+'IS Bear'!K$10))</f>
        <v>6400.3033533190182</v>
      </c>
      <c r="L21" s="119">
        <f>IF(L$3="",0,+K21*(1+'IS Bear'!L$10))</f>
        <v>6464.3063868522086</v>
      </c>
      <c r="M21" s="119">
        <f>IF(M$3="",0,+L21*(1+'IS Bear'!M$10))</f>
        <v>0</v>
      </c>
      <c r="N21" s="119">
        <f>IF(N$3="",0,+M21*(1+'IS Bear'!N$10))</f>
        <v>0</v>
      </c>
      <c r="O21" s="119">
        <f>IF(O$3="",0,+N21*(1+'IS Bear'!O$10))</f>
        <v>0</v>
      </c>
      <c r="P21" s="119">
        <f>IF(P$3="",0,+O21*(1+'IS Bear'!P$10))</f>
        <v>0</v>
      </c>
      <c r="Q21" s="119">
        <f>IF(Q$3="",0,+P21*(1+'IS Bear'!Q$10))</f>
        <v>0</v>
      </c>
    </row>
    <row r="22" spans="2:17">
      <c r="B22" s="27" t="str">
        <f>Assumptions!B290</f>
        <v>Short-Term Debt</v>
      </c>
      <c r="C22" s="109">
        <f>Assumptions!D290</f>
        <v>5396</v>
      </c>
      <c r="D22" s="109">
        <f>Assumptions!E290</f>
        <v>4158</v>
      </c>
      <c r="E22" s="109">
        <f>Assumptions!F290</f>
        <v>7771</v>
      </c>
      <c r="F22" s="109">
        <f>Assumptions!G290</f>
        <v>8128</v>
      </c>
      <c r="G22" s="109">
        <f>Assumptions!H290</f>
        <v>6582</v>
      </c>
      <c r="H22" s="119">
        <f>IF(H$3="",0,(Assumptions!I$143*Assumptions!I$142)+'CF Bear'!H$23)</f>
        <v>10456.001440897331</v>
      </c>
      <c r="I22" s="119">
        <f>IF(I$3="",0,(Assumptions!J$143*Assumptions!J$142)+'CF Bear'!I$23)</f>
        <v>10701.281440897332</v>
      </c>
      <c r="J22" s="119">
        <f>IF(J$3="",0,(Assumptions!K$143*Assumptions!K$142)+'CF Bear'!J$23)</f>
        <v>10930.41744089733</v>
      </c>
      <c r="K22" s="119">
        <f>IF(K$3="",0,(Assumptions!L$143*Assumptions!L$142)+'CF Bear'!K$23)</f>
        <v>9887.3806408973305</v>
      </c>
      <c r="L22" s="119">
        <f>IF(L$3="",0,(Assumptions!M$143*Assumptions!M$142)+'CF Bear'!L$23)</f>
        <v>9960.7364808973307</v>
      </c>
      <c r="M22" s="119">
        <f>IF(M$3="",0,(Assumptions!N$143*Assumptions!N$142)+'CF Bear'!M$23)</f>
        <v>0</v>
      </c>
      <c r="N22" s="119">
        <f>IF(N$3="",0,(Assumptions!O$143*Assumptions!O$142)+'CF Bear'!N$23)</f>
        <v>0</v>
      </c>
      <c r="O22" s="119">
        <f>IF(O$3="",0,(Assumptions!P$143*Assumptions!P$142)+'CF Bear'!O$23)</f>
        <v>0</v>
      </c>
      <c r="P22" s="119">
        <f>IF(P$3="",0,(Assumptions!Q$143*Assumptions!Q$142)+'CF Bear'!P$23)</f>
        <v>0</v>
      </c>
      <c r="Q22" s="119">
        <f>IF(Q$3="",0,(Assumptions!R$143*Assumptions!R$142)+'CF Bear'!Q$23)</f>
        <v>0</v>
      </c>
    </row>
    <row r="23" spans="2:17">
      <c r="B23" s="27" t="str">
        <f>Assumptions!B293</f>
        <v>Other Short-Term Liabilities</v>
      </c>
      <c r="C23" s="109">
        <f>Assumptions!D293</f>
        <v>832</v>
      </c>
      <c r="D23" s="109">
        <f>Assumptions!E293</f>
        <v>807</v>
      </c>
      <c r="E23" s="109">
        <f>Assumptions!F293</f>
        <v>546</v>
      </c>
      <c r="F23" s="109">
        <f>Assumptions!G293</f>
        <v>1232</v>
      </c>
      <c r="G23" s="109">
        <f>Assumptions!H293</f>
        <v>5587</v>
      </c>
      <c r="H23" s="119">
        <f>IF(H$3="",0,G23*(1+Assumptions!I119))</f>
        <v>5642.87</v>
      </c>
      <c r="I23" s="119">
        <f>IF(I$3="",0,H23*(1+Assumptions!J119))</f>
        <v>5699.2987000000003</v>
      </c>
      <c r="J23" s="119">
        <f>IF(J$3="",0,I23*(1+Assumptions!K119))</f>
        <v>5756.2916869999999</v>
      </c>
      <c r="K23" s="119">
        <f>IF(K$3="",0,J23*(1+Assumptions!L119))</f>
        <v>5813.8546038699997</v>
      </c>
      <c r="L23" s="119">
        <f>IF(L$3="",0,K23*(1+Assumptions!M119))</f>
        <v>5871.9931499086997</v>
      </c>
      <c r="M23" s="119">
        <f>IF(M$3="",0,L23*(1+Assumptions!N119))</f>
        <v>0</v>
      </c>
      <c r="N23" s="119">
        <f>IF(N$3="",0,M23*(1+Assumptions!O119))</f>
        <v>0</v>
      </c>
      <c r="O23" s="119">
        <f>IF(O$3="",0,N23*(1+Assumptions!P119))</f>
        <v>0</v>
      </c>
      <c r="P23" s="119">
        <f>IF(P$3="",0,O23*(1+Assumptions!Q119))</f>
        <v>0</v>
      </c>
      <c r="Q23" s="119">
        <f>IF(Q$3="",0,P23*(1+Assumptions!R119))</f>
        <v>0</v>
      </c>
    </row>
    <row r="24" spans="2:17">
      <c r="B24" s="11" t="str">
        <f>"Total "&amp;B20</f>
        <v>Total Current Liabilities</v>
      </c>
      <c r="C24" s="117">
        <f>SUM(C21:C23)</f>
        <v>16010</v>
      </c>
      <c r="D24" s="117">
        <f t="shared" ref="D24:G24" si="9">SUM(D21:D23)</f>
        <v>13979</v>
      </c>
      <c r="E24" s="117">
        <f t="shared" si="9"/>
        <v>18229</v>
      </c>
      <c r="F24" s="117">
        <f t="shared" si="9"/>
        <v>20301</v>
      </c>
      <c r="G24" s="117">
        <f t="shared" si="9"/>
        <v>17435</v>
      </c>
      <c r="H24" s="118">
        <f t="shared" ref="H24:Q24" si="10">SUM(H21:H23)</f>
        <v>22310.942819377036</v>
      </c>
      <c r="I24" s="118">
        <f t="shared" si="10"/>
        <v>22674.772233161835</v>
      </c>
      <c r="J24" s="118">
        <f t="shared" si="10"/>
        <v>23023.643141084478</v>
      </c>
      <c r="K24" s="118">
        <f t="shared" si="10"/>
        <v>22101.53859808635</v>
      </c>
      <c r="L24" s="118">
        <f t="shared" si="10"/>
        <v>22297.03601765824</v>
      </c>
      <c r="M24" s="118">
        <f t="shared" si="10"/>
        <v>0</v>
      </c>
      <c r="N24" s="118">
        <f t="shared" si="10"/>
        <v>0</v>
      </c>
      <c r="O24" s="118">
        <f t="shared" si="10"/>
        <v>0</v>
      </c>
      <c r="P24" s="118">
        <f t="shared" si="10"/>
        <v>0</v>
      </c>
      <c r="Q24" s="118">
        <f t="shared" si="10"/>
        <v>0</v>
      </c>
    </row>
    <row r="25" spans="2:17">
      <c r="B25" s="11" t="s">
        <v>98</v>
      </c>
      <c r="C25" s="109"/>
      <c r="D25" s="109"/>
      <c r="E25" s="109"/>
      <c r="F25" s="109"/>
      <c r="G25" s="109"/>
      <c r="H25" s="12"/>
      <c r="I25" s="12"/>
      <c r="J25" s="12"/>
      <c r="K25" s="12"/>
      <c r="L25" s="12"/>
      <c r="M25" s="12"/>
      <c r="N25" s="12"/>
      <c r="O25" s="12"/>
      <c r="P25" s="12"/>
      <c r="Q25" s="12"/>
    </row>
    <row r="26" spans="2:17">
      <c r="B26" s="27" t="str">
        <f>Assumptions!B296</f>
        <v>Long-Term Debt</v>
      </c>
      <c r="C26" s="109">
        <f>Assumptions!D296</f>
        <v>60350</v>
      </c>
      <c r="D26" s="109">
        <f>Assumptions!E296</f>
        <v>63500</v>
      </c>
      <c r="E26" s="109">
        <f>Assumptions!F296</f>
        <v>68573</v>
      </c>
      <c r="F26" s="109">
        <f>Assumptions!G296</f>
        <v>73616</v>
      </c>
      <c r="G26" s="109">
        <f>Assumptions!H296</f>
        <v>75367</v>
      </c>
      <c r="H26" s="12">
        <f>IF(H$3="",0,G26)</f>
        <v>75367</v>
      </c>
      <c r="I26" s="12">
        <f t="shared" ref="I26:Q26" si="11">IF(I$3="",0,H26)</f>
        <v>75367</v>
      </c>
      <c r="J26" s="12">
        <f t="shared" si="11"/>
        <v>75367</v>
      </c>
      <c r="K26" s="12">
        <f t="shared" si="11"/>
        <v>75367</v>
      </c>
      <c r="L26" s="12">
        <f t="shared" si="11"/>
        <v>75367</v>
      </c>
      <c r="M26" s="12">
        <f t="shared" si="11"/>
        <v>0</v>
      </c>
      <c r="N26" s="12">
        <f t="shared" si="11"/>
        <v>0</v>
      </c>
      <c r="O26" s="12">
        <f t="shared" si="11"/>
        <v>0</v>
      </c>
      <c r="P26" s="12">
        <f t="shared" si="11"/>
        <v>0</v>
      </c>
      <c r="Q26" s="12">
        <f t="shared" si="11"/>
        <v>0</v>
      </c>
    </row>
    <row r="27" spans="2:17">
      <c r="B27" s="27" t="str">
        <f>Assumptions!B299</f>
        <v>Other Long-Term Liabilities</v>
      </c>
      <c r="C27" s="109">
        <f>Assumptions!D299</f>
        <v>17502</v>
      </c>
      <c r="D27" s="109">
        <f>Assumptions!E299</f>
        <v>18434</v>
      </c>
      <c r="E27" s="109">
        <f>Assumptions!F299</f>
        <v>18694</v>
      </c>
      <c r="F27" s="109">
        <f>Assumptions!G299</f>
        <v>22293</v>
      </c>
      <c r="G27" s="109">
        <f>Assumptions!H299</f>
        <v>23032</v>
      </c>
      <c r="H27" s="12">
        <f>IF(H$3="",0,G27)</f>
        <v>23032</v>
      </c>
      <c r="I27" s="12">
        <f t="shared" ref="I27:Q27" si="12">IF(I$3="",0,H27)</f>
        <v>23032</v>
      </c>
      <c r="J27" s="12">
        <f t="shared" si="12"/>
        <v>23032</v>
      </c>
      <c r="K27" s="12">
        <f t="shared" si="12"/>
        <v>23032</v>
      </c>
      <c r="L27" s="12">
        <f t="shared" si="12"/>
        <v>23032</v>
      </c>
      <c r="M27" s="12">
        <f t="shared" si="12"/>
        <v>0</v>
      </c>
      <c r="N27" s="12">
        <f t="shared" si="12"/>
        <v>0</v>
      </c>
      <c r="O27" s="12">
        <f t="shared" si="12"/>
        <v>0</v>
      </c>
      <c r="P27" s="12">
        <f t="shared" si="12"/>
        <v>0</v>
      </c>
      <c r="Q27" s="12">
        <f t="shared" si="12"/>
        <v>0</v>
      </c>
    </row>
    <row r="28" spans="2:17">
      <c r="B28" s="11" t="str">
        <f>"Total "&amp;B25</f>
        <v>Total Non-Current Liabilities</v>
      </c>
      <c r="C28" s="110">
        <f>SUM(C26:C27)</f>
        <v>77852</v>
      </c>
      <c r="D28" s="110">
        <f t="shared" ref="D28:G28" si="13">SUM(D26:D27)</f>
        <v>81934</v>
      </c>
      <c r="E28" s="110">
        <f t="shared" si="13"/>
        <v>87267</v>
      </c>
      <c r="F28" s="110">
        <f t="shared" si="13"/>
        <v>95909</v>
      </c>
      <c r="G28" s="110">
        <f t="shared" si="13"/>
        <v>98399</v>
      </c>
      <c r="H28" s="13">
        <f t="shared" ref="H28:Q28" si="14">SUM(H26:H27)</f>
        <v>98399</v>
      </c>
      <c r="I28" s="13">
        <f t="shared" si="14"/>
        <v>98399</v>
      </c>
      <c r="J28" s="13">
        <f t="shared" si="14"/>
        <v>98399</v>
      </c>
      <c r="K28" s="13">
        <f t="shared" si="14"/>
        <v>98399</v>
      </c>
      <c r="L28" s="13">
        <f t="shared" si="14"/>
        <v>98399</v>
      </c>
      <c r="M28" s="13">
        <f t="shared" si="14"/>
        <v>0</v>
      </c>
      <c r="N28" s="13">
        <f t="shared" si="14"/>
        <v>0</v>
      </c>
      <c r="O28" s="13">
        <f t="shared" si="14"/>
        <v>0</v>
      </c>
      <c r="P28" s="13">
        <f t="shared" si="14"/>
        <v>0</v>
      </c>
      <c r="Q28" s="13">
        <f t="shared" si="14"/>
        <v>0</v>
      </c>
    </row>
    <row r="29" spans="2:17">
      <c r="B29" s="31" t="str">
        <f>"Total "&amp;B19</f>
        <v>Total Liabilities</v>
      </c>
      <c r="C29" s="112">
        <f>SUM(C24,C28)</f>
        <v>93862</v>
      </c>
      <c r="D29" s="112">
        <f t="shared" ref="D29:G29" si="15">SUM(D24,D28)</f>
        <v>95913</v>
      </c>
      <c r="E29" s="112">
        <f t="shared" si="15"/>
        <v>105496</v>
      </c>
      <c r="F29" s="112">
        <f t="shared" si="15"/>
        <v>116210</v>
      </c>
      <c r="G29" s="112">
        <f t="shared" si="15"/>
        <v>115834</v>
      </c>
      <c r="H29" s="32">
        <f t="shared" ref="H29:Q29" si="16">SUM(H24,H28)</f>
        <v>120709.94281937703</v>
      </c>
      <c r="I29" s="32">
        <f t="shared" si="16"/>
        <v>121073.77223316184</v>
      </c>
      <c r="J29" s="32">
        <f t="shared" si="16"/>
        <v>121422.64314108448</v>
      </c>
      <c r="K29" s="32">
        <f t="shared" si="16"/>
        <v>120500.53859808635</v>
      </c>
      <c r="L29" s="32">
        <f t="shared" si="16"/>
        <v>120696.03601765825</v>
      </c>
      <c r="M29" s="32">
        <f t="shared" si="16"/>
        <v>0</v>
      </c>
      <c r="N29" s="32">
        <f t="shared" si="16"/>
        <v>0</v>
      </c>
      <c r="O29" s="32">
        <f t="shared" si="16"/>
        <v>0</v>
      </c>
      <c r="P29" s="32">
        <f t="shared" si="16"/>
        <v>0</v>
      </c>
      <c r="Q29" s="32">
        <f t="shared" si="16"/>
        <v>0</v>
      </c>
    </row>
    <row r="30" spans="2:17">
      <c r="C30" s="109"/>
      <c r="D30" s="109"/>
      <c r="E30" s="109"/>
      <c r="F30" s="109"/>
      <c r="G30" s="109"/>
      <c r="H30" s="12"/>
      <c r="I30" s="12"/>
      <c r="J30" s="12"/>
      <c r="K30" s="12"/>
      <c r="L30" s="12"/>
      <c r="M30" s="12"/>
      <c r="N30" s="12"/>
      <c r="O30" s="12"/>
      <c r="P30" s="12"/>
      <c r="Q30" s="12"/>
    </row>
    <row r="31" spans="2:17">
      <c r="C31" s="109"/>
      <c r="D31" s="109"/>
      <c r="E31" s="109"/>
      <c r="F31" s="109"/>
      <c r="G31" s="109"/>
      <c r="H31" s="12"/>
      <c r="I31" s="12"/>
      <c r="J31" s="12"/>
      <c r="K31" s="12"/>
      <c r="L31" s="12"/>
      <c r="M31" s="12"/>
      <c r="N31" s="12"/>
      <c r="O31" s="12"/>
      <c r="P31" s="12"/>
      <c r="Q31" s="12"/>
    </row>
    <row r="32" spans="2:17">
      <c r="B32" s="10" t="s">
        <v>101</v>
      </c>
      <c r="C32" s="109"/>
      <c r="D32" s="109"/>
      <c r="E32" s="109"/>
      <c r="F32" s="109"/>
      <c r="G32" s="109"/>
      <c r="H32" s="12"/>
      <c r="I32" s="12"/>
      <c r="J32" s="12"/>
      <c r="K32" s="12"/>
      <c r="L32" s="12"/>
      <c r="M32" s="12"/>
      <c r="N32" s="12"/>
      <c r="O32" s="12"/>
      <c r="P32" s="12"/>
      <c r="Q32" s="12"/>
    </row>
    <row r="33" spans="2:17">
      <c r="B33" s="23" t="str">
        <f>Assumptions!B311</f>
        <v>Retained Earnings</v>
      </c>
      <c r="C33" s="109">
        <f>Assumptions!D311</f>
        <v>-6314</v>
      </c>
      <c r="D33" s="109">
        <f>Assumptions!E311</f>
        <v>-9995</v>
      </c>
      <c r="E33" s="109">
        <f>Assumptions!F311</f>
        <v>-10989</v>
      </c>
      <c r="F33" s="109">
        <f>Assumptions!G311</f>
        <v>-15486</v>
      </c>
      <c r="G33" s="109">
        <f>Assumptions!H311</f>
        <v>-17115</v>
      </c>
      <c r="H33" s="119">
        <f>IF(H$3="",0,G33+H56+H57)</f>
        <v>-19699.144341080573</v>
      </c>
      <c r="I33" s="119">
        <f t="shared" ref="I33:Q33" si="17">IF(I$3="",0,H33+I56+I57)</f>
        <v>-22320.92933883283</v>
      </c>
      <c r="J33" s="119">
        <f t="shared" si="17"/>
        <v>-24981.089385962674</v>
      </c>
      <c r="K33" s="119">
        <f t="shared" si="17"/>
        <v>-27704.541513106942</v>
      </c>
      <c r="L33" s="119">
        <f t="shared" si="17"/>
        <v>-30470.227435149944</v>
      </c>
      <c r="M33" s="119">
        <f t="shared" si="17"/>
        <v>0</v>
      </c>
      <c r="N33" s="119">
        <f t="shared" si="17"/>
        <v>0</v>
      </c>
      <c r="O33" s="119">
        <f t="shared" si="17"/>
        <v>0</v>
      </c>
      <c r="P33" s="119">
        <f t="shared" si="17"/>
        <v>0</v>
      </c>
      <c r="Q33" s="119">
        <f t="shared" si="17"/>
        <v>0</v>
      </c>
    </row>
    <row r="34" spans="2:17">
      <c r="B34" s="23" t="str">
        <f>Assumptions!B305</f>
        <v>Preferred and Hybrid Capital</v>
      </c>
      <c r="C34" s="109">
        <f>Assumptions!D305</f>
        <v>7747</v>
      </c>
      <c r="D34" s="109">
        <f>Assumptions!E305</f>
        <v>7747</v>
      </c>
      <c r="E34" s="109">
        <f>Assumptions!F305</f>
        <v>7747</v>
      </c>
      <c r="F34" s="109">
        <f>Assumptions!G305</f>
        <v>6818</v>
      </c>
      <c r="G34" s="109">
        <f>Assumptions!H305</f>
        <v>6818</v>
      </c>
      <c r="H34" s="12">
        <f>IF(H$3="",0,G34)</f>
        <v>6818</v>
      </c>
      <c r="I34" s="12">
        <f t="shared" ref="I34:Q34" si="18">IF(I$3="",0,H34)</f>
        <v>6818</v>
      </c>
      <c r="J34" s="12">
        <f t="shared" si="18"/>
        <v>6818</v>
      </c>
      <c r="K34" s="12">
        <f t="shared" si="18"/>
        <v>6818</v>
      </c>
      <c r="L34" s="12">
        <f t="shared" si="18"/>
        <v>6818</v>
      </c>
      <c r="M34" s="12">
        <f t="shared" si="18"/>
        <v>0</v>
      </c>
      <c r="N34" s="12">
        <f t="shared" si="18"/>
        <v>0</v>
      </c>
      <c r="O34" s="12">
        <f t="shared" si="18"/>
        <v>0</v>
      </c>
      <c r="P34" s="12">
        <f t="shared" si="18"/>
        <v>0</v>
      </c>
      <c r="Q34" s="12">
        <f t="shared" si="18"/>
        <v>0</v>
      </c>
    </row>
    <row r="35" spans="2:17">
      <c r="B35" s="23" t="str">
        <f>Assumptions!B308</f>
        <v>Share Capital and Additional Paid in Capital</v>
      </c>
      <c r="C35" s="109">
        <f>Assumptions!D308</f>
        <v>64993</v>
      </c>
      <c r="D35" s="109">
        <f>Assumptions!E308</f>
        <v>65045</v>
      </c>
      <c r="E35" s="109">
        <f>Assumptions!F308</f>
        <v>65164</v>
      </c>
      <c r="F35" s="109">
        <f>Assumptions!G308</f>
        <v>65035</v>
      </c>
      <c r="G35" s="109">
        <f>Assumptions!H308</f>
        <v>69448</v>
      </c>
      <c r="H35" s="12">
        <f>IF(H$3="",0,G35)</f>
        <v>69448</v>
      </c>
      <c r="I35" s="12">
        <f t="shared" ref="I35:Q35" si="19">IF(I$3="",0,H35)</f>
        <v>69448</v>
      </c>
      <c r="J35" s="12">
        <f t="shared" si="19"/>
        <v>69448</v>
      </c>
      <c r="K35" s="12">
        <f t="shared" si="19"/>
        <v>69448</v>
      </c>
      <c r="L35" s="12">
        <f t="shared" si="19"/>
        <v>69448</v>
      </c>
      <c r="M35" s="12">
        <f t="shared" si="19"/>
        <v>0</v>
      </c>
      <c r="N35" s="12">
        <f t="shared" si="19"/>
        <v>0</v>
      </c>
      <c r="O35" s="12">
        <f t="shared" si="19"/>
        <v>0</v>
      </c>
      <c r="P35" s="12">
        <f t="shared" si="19"/>
        <v>0</v>
      </c>
      <c r="Q35" s="12">
        <f t="shared" si="19"/>
        <v>0</v>
      </c>
    </row>
    <row r="36" spans="2:17">
      <c r="B36" s="23" t="str">
        <f>Assumptions!B314</f>
        <v>Other Equity</v>
      </c>
      <c r="C36" s="109">
        <f>Assumptions!D314</f>
        <v>-323</v>
      </c>
      <c r="D36" s="109">
        <f>Assumptions!E314</f>
        <v>-1430</v>
      </c>
      <c r="E36" s="109">
        <f>Assumptions!F314</f>
        <v>-1096</v>
      </c>
      <c r="F36" s="109">
        <f>Assumptions!G314</f>
        <v>3520</v>
      </c>
      <c r="G36" s="109">
        <f>Assumptions!H314</f>
        <v>2303</v>
      </c>
      <c r="H36" s="12">
        <f>IF(H$3="",0,G36)</f>
        <v>2303</v>
      </c>
      <c r="I36" s="12">
        <f t="shared" ref="I36:Q36" si="20">IF(I$3="",0,H36)</f>
        <v>2303</v>
      </c>
      <c r="J36" s="12">
        <f t="shared" si="20"/>
        <v>2303</v>
      </c>
      <c r="K36" s="12">
        <f t="shared" si="20"/>
        <v>2303</v>
      </c>
      <c r="L36" s="12">
        <f t="shared" si="20"/>
        <v>2303</v>
      </c>
      <c r="M36" s="12">
        <f t="shared" si="20"/>
        <v>0</v>
      </c>
      <c r="N36" s="12">
        <f t="shared" si="20"/>
        <v>0</v>
      </c>
      <c r="O36" s="12">
        <f t="shared" si="20"/>
        <v>0</v>
      </c>
      <c r="P36" s="12">
        <f t="shared" si="20"/>
        <v>0</v>
      </c>
      <c r="Q36" s="12">
        <f t="shared" si="20"/>
        <v>0</v>
      </c>
    </row>
    <row r="37" spans="2:17">
      <c r="B37" s="23" t="str">
        <f>Assumptions!B317</f>
        <v>Minority and Non-Controlling Interest</v>
      </c>
      <c r="C37" s="109">
        <f>Assumptions!D317</f>
        <v>3364</v>
      </c>
      <c r="D37" s="109">
        <f>Assumptions!E317</f>
        <v>2996</v>
      </c>
      <c r="E37" s="109">
        <f>Assumptions!F317</f>
        <v>2542</v>
      </c>
      <c r="F37" s="109">
        <f>Assumptions!G317</f>
        <v>3511</v>
      </c>
      <c r="G37" s="109">
        <f>Assumptions!H317</f>
        <v>3029</v>
      </c>
      <c r="H37" s="12">
        <f>IF(H$3="",0,G37)</f>
        <v>3029</v>
      </c>
      <c r="I37" s="12">
        <f t="shared" ref="I37:Q37" si="21">IF(I$3="",0,H37)</f>
        <v>3029</v>
      </c>
      <c r="J37" s="12">
        <f t="shared" si="21"/>
        <v>3029</v>
      </c>
      <c r="K37" s="12">
        <f t="shared" si="21"/>
        <v>3029</v>
      </c>
      <c r="L37" s="12">
        <f t="shared" si="21"/>
        <v>3029</v>
      </c>
      <c r="M37" s="12">
        <f t="shared" si="21"/>
        <v>0</v>
      </c>
      <c r="N37" s="12">
        <f t="shared" si="21"/>
        <v>0</v>
      </c>
      <c r="O37" s="12">
        <f t="shared" si="21"/>
        <v>0</v>
      </c>
      <c r="P37" s="12">
        <f t="shared" si="21"/>
        <v>0</v>
      </c>
      <c r="Q37" s="12">
        <f t="shared" si="21"/>
        <v>0</v>
      </c>
    </row>
    <row r="38" spans="2:17">
      <c r="B38" s="23" t="str">
        <f>Assumptions!B320</f>
        <v>Treasury Stock</v>
      </c>
      <c r="C38" s="109">
        <f>Assumptions!D320</f>
        <v>0</v>
      </c>
      <c r="D38" s="109">
        <f>Assumptions!E320</f>
        <v>0</v>
      </c>
      <c r="E38" s="109">
        <f>Assumptions!F320</f>
        <v>0</v>
      </c>
      <c r="F38" s="109">
        <f>Assumptions!G320</f>
        <v>0</v>
      </c>
      <c r="G38" s="109">
        <f>Assumptions!H320</f>
        <v>0</v>
      </c>
      <c r="H38" s="12">
        <f>IF(H$3="",0,G38)</f>
        <v>0</v>
      </c>
      <c r="I38" s="12">
        <f t="shared" ref="I38:Q38" si="22">IF(I$3="",0,H38)</f>
        <v>0</v>
      </c>
      <c r="J38" s="12">
        <f t="shared" si="22"/>
        <v>0</v>
      </c>
      <c r="K38" s="12">
        <f t="shared" si="22"/>
        <v>0</v>
      </c>
      <c r="L38" s="12">
        <f t="shared" si="22"/>
        <v>0</v>
      </c>
      <c r="M38" s="12">
        <f t="shared" si="22"/>
        <v>0</v>
      </c>
      <c r="N38" s="12">
        <f t="shared" si="22"/>
        <v>0</v>
      </c>
      <c r="O38" s="12">
        <f t="shared" si="22"/>
        <v>0</v>
      </c>
      <c r="P38" s="12">
        <f t="shared" si="22"/>
        <v>0</v>
      </c>
      <c r="Q38" s="12">
        <f t="shared" si="22"/>
        <v>0</v>
      </c>
    </row>
    <row r="39" spans="2:17">
      <c r="B39" s="24" t="s">
        <v>121</v>
      </c>
      <c r="C39" s="113"/>
      <c r="D39" s="113"/>
      <c r="E39" s="113"/>
      <c r="F39" s="113"/>
      <c r="G39" s="113"/>
      <c r="H39" s="47"/>
      <c r="I39" s="47"/>
      <c r="J39" s="47"/>
      <c r="K39" s="47"/>
      <c r="L39" s="47"/>
      <c r="M39" s="47"/>
      <c r="N39" s="47"/>
      <c r="O39" s="47"/>
      <c r="P39" s="47"/>
      <c r="Q39" s="47"/>
    </row>
    <row r="40" spans="2:17">
      <c r="B40" s="31" t="str">
        <f>"Total "&amp;B32</f>
        <v>Total Equity</v>
      </c>
      <c r="C40" s="112">
        <f>SUM(C33:C37)-C38+C39</f>
        <v>69467</v>
      </c>
      <c r="D40" s="112">
        <f t="shared" ref="D40:H40" si="23">SUM(D33:D37)-D38+D39</f>
        <v>64363</v>
      </c>
      <c r="E40" s="112">
        <f t="shared" si="23"/>
        <v>63368</v>
      </c>
      <c r="F40" s="112">
        <f t="shared" si="23"/>
        <v>63398</v>
      </c>
      <c r="G40" s="112">
        <f t="shared" si="23"/>
        <v>64483</v>
      </c>
      <c r="H40" s="112">
        <f t="shared" si="23"/>
        <v>61898.855658919427</v>
      </c>
      <c r="I40" s="112">
        <f t="shared" ref="I40" si="24">SUM(I33:I37)-I38+I39</f>
        <v>59277.07066116717</v>
      </c>
      <c r="J40" s="112">
        <f t="shared" ref="J40" si="25">SUM(J33:J37)-J38+J39</f>
        <v>56616.910614037326</v>
      </c>
      <c r="K40" s="112">
        <f t="shared" ref="K40" si="26">SUM(K33:K37)-K38+K39</f>
        <v>53893.458486893054</v>
      </c>
      <c r="L40" s="112">
        <f t="shared" ref="L40" si="27">SUM(L33:L37)-L38+L39</f>
        <v>51127.772564850056</v>
      </c>
      <c r="M40" s="112">
        <f t="shared" ref="M40" si="28">SUM(M33:M37)-M38+M39</f>
        <v>0</v>
      </c>
      <c r="N40" s="112">
        <f t="shared" ref="N40" si="29">SUM(N33:N37)-N38+N39</f>
        <v>0</v>
      </c>
      <c r="O40" s="112">
        <f t="shared" ref="O40" si="30">SUM(O33:O37)-O38+O39</f>
        <v>0</v>
      </c>
      <c r="P40" s="112">
        <f t="shared" ref="P40" si="31">SUM(P33:P37)-P38+P39</f>
        <v>0</v>
      </c>
      <c r="Q40" s="112">
        <f t="shared" ref="Q40" si="32">SUM(Q33:Q37)-Q38+Q39</f>
        <v>0</v>
      </c>
    </row>
    <row r="41" spans="2:17">
      <c r="C41" s="114"/>
      <c r="D41" s="114"/>
      <c r="E41" s="114"/>
      <c r="F41" s="114"/>
      <c r="G41" s="114"/>
    </row>
    <row r="42" spans="2:17" ht="12" thickBot="1">
      <c r="B42" s="33" t="str">
        <f>"Total "&amp;B19&amp;" and "&amp;B32</f>
        <v>Total Liabilities and Equity</v>
      </c>
      <c r="C42" s="115">
        <f t="shared" ref="C42:H42" si="33">C29+C40</f>
        <v>163329</v>
      </c>
      <c r="D42" s="115">
        <f t="shared" si="33"/>
        <v>160276</v>
      </c>
      <c r="E42" s="115">
        <f t="shared" si="33"/>
        <v>168864</v>
      </c>
      <c r="F42" s="115">
        <f t="shared" si="33"/>
        <v>179608</v>
      </c>
      <c r="G42" s="115">
        <f t="shared" si="33"/>
        <v>180317</v>
      </c>
      <c r="H42" s="35">
        <f t="shared" si="33"/>
        <v>182608.79847829646</v>
      </c>
      <c r="I42" s="35">
        <f t="shared" ref="I42:Q42" si="34">I29+I40</f>
        <v>180350.84289432902</v>
      </c>
      <c r="J42" s="35">
        <f t="shared" si="34"/>
        <v>178039.5537551218</v>
      </c>
      <c r="K42" s="35">
        <f t="shared" si="34"/>
        <v>174393.9970849794</v>
      </c>
      <c r="L42" s="35">
        <f t="shared" si="34"/>
        <v>171823.8085825083</v>
      </c>
      <c r="M42" s="35">
        <f t="shared" si="34"/>
        <v>0</v>
      </c>
      <c r="N42" s="35">
        <f t="shared" si="34"/>
        <v>0</v>
      </c>
      <c r="O42" s="35">
        <f t="shared" si="34"/>
        <v>0</v>
      </c>
      <c r="P42" s="35">
        <f t="shared" si="34"/>
        <v>0</v>
      </c>
      <c r="Q42" s="35">
        <f t="shared" si="34"/>
        <v>0</v>
      </c>
    </row>
    <row r="43" spans="2:17">
      <c r="B43" s="36" t="s">
        <v>108</v>
      </c>
      <c r="C43" s="116">
        <f t="shared" ref="C43:H43" si="35">C16-C42</f>
        <v>-461.79999999998836</v>
      </c>
      <c r="D43" s="116">
        <f t="shared" si="35"/>
        <v>-2631.1000000000058</v>
      </c>
      <c r="E43" s="116">
        <f t="shared" si="35"/>
        <v>-3394</v>
      </c>
      <c r="F43" s="116">
        <f t="shared" si="35"/>
        <v>-7198.7999999999884</v>
      </c>
      <c r="G43" s="116">
        <f t="shared" si="35"/>
        <v>-4827.8999999999942</v>
      </c>
      <c r="H43" s="37">
        <f t="shared" si="35"/>
        <v>-10965.602077468619</v>
      </c>
      <c r="I43" s="37">
        <f t="shared" ref="I43:Q43" si="36">I16-I42</f>
        <v>-8157.3176529494231</v>
      </c>
      <c r="J43" s="37">
        <f t="shared" si="36"/>
        <v>-5280.501041597774</v>
      </c>
      <c r="K43" s="37">
        <f t="shared" si="36"/>
        <v>-1193.4469215454301</v>
      </c>
      <c r="L43" s="37">
        <f t="shared" si="36"/>
        <v>2059.6710822946625</v>
      </c>
      <c r="M43" s="37">
        <f t="shared" si="36"/>
        <v>0</v>
      </c>
      <c r="N43" s="37">
        <f t="shared" si="36"/>
        <v>0</v>
      </c>
      <c r="O43" s="37">
        <f t="shared" si="36"/>
        <v>0</v>
      </c>
      <c r="P43" s="37">
        <f t="shared" si="36"/>
        <v>0</v>
      </c>
      <c r="Q43" s="37">
        <f t="shared" si="36"/>
        <v>0</v>
      </c>
    </row>
    <row r="46" spans="2:17">
      <c r="B46" s="30" t="s">
        <v>118</v>
      </c>
      <c r="C46" s="30"/>
      <c r="D46" s="30"/>
      <c r="E46" s="30"/>
      <c r="F46" s="30"/>
      <c r="G46" s="30"/>
      <c r="H46" s="30"/>
      <c r="I46" s="30"/>
      <c r="J46" s="30"/>
      <c r="K46" s="30"/>
      <c r="L46" s="30"/>
      <c r="M46" s="30"/>
      <c r="N46" s="30"/>
      <c r="O46" s="30"/>
      <c r="P46" s="30"/>
      <c r="Q46" s="30"/>
    </row>
    <row r="47" spans="2:17">
      <c r="B47" s="1" t="s">
        <v>119</v>
      </c>
      <c r="C47" s="46">
        <f>C10-C24</f>
        <v>-7136.7999999999993</v>
      </c>
      <c r="D47" s="46">
        <f t="shared" ref="D47:Q47" si="37">D10-D24</f>
        <v>-9260.0999999999985</v>
      </c>
      <c r="E47" s="46">
        <f t="shared" si="37"/>
        <v>-12665</v>
      </c>
      <c r="F47" s="46">
        <f t="shared" si="37"/>
        <v>-15352.8</v>
      </c>
      <c r="G47" s="46">
        <f t="shared" si="37"/>
        <v>-7863.9</v>
      </c>
      <c r="H47" s="46">
        <f t="shared" si="37"/>
        <v>-17960.887373687838</v>
      </c>
      <c r="I47" s="46">
        <f t="shared" si="37"/>
        <v>-19163.280311610895</v>
      </c>
      <c r="J47" s="46">
        <f t="shared" si="37"/>
        <v>-20349.405035726035</v>
      </c>
      <c r="K47" s="46">
        <f t="shared" si="37"/>
        <v>-20402.612144038234</v>
      </c>
      <c r="L47" s="46">
        <f t="shared" si="37"/>
        <v>-21346.15725447363</v>
      </c>
      <c r="M47" s="46">
        <f t="shared" si="37"/>
        <v>0</v>
      </c>
      <c r="N47" s="46">
        <f t="shared" si="37"/>
        <v>0</v>
      </c>
      <c r="O47" s="46">
        <f t="shared" si="37"/>
        <v>0</v>
      </c>
      <c r="P47" s="46">
        <f t="shared" si="37"/>
        <v>0</v>
      </c>
      <c r="Q47" s="46">
        <f t="shared" si="37"/>
        <v>0</v>
      </c>
    </row>
    <row r="48" spans="2:17">
      <c r="B48" s="1" t="s">
        <v>120</v>
      </c>
      <c r="C48" s="46">
        <f>+C22+C26-C6</f>
        <v>65049.8</v>
      </c>
      <c r="D48" s="46">
        <f t="shared" ref="D48:Q48" si="38">+D22+D26-D6</f>
        <v>69837.100000000006</v>
      </c>
      <c r="E48" s="46">
        <f t="shared" si="38"/>
        <v>79453</v>
      </c>
      <c r="F48" s="46">
        <f t="shared" si="38"/>
        <v>88081.8</v>
      </c>
      <c r="G48" s="46">
        <f t="shared" si="38"/>
        <v>80875.899999999994</v>
      </c>
      <c r="H48" s="46">
        <f t="shared" si="38"/>
        <v>90306.848028776585</v>
      </c>
      <c r="I48" s="46">
        <f t="shared" si="38"/>
        <v>91479.030573250537</v>
      </c>
      <c r="J48" s="46">
        <f t="shared" si="38"/>
        <v>92634.642799982073</v>
      </c>
      <c r="K48" s="46">
        <f t="shared" si="38"/>
        <v>92657.032285936832</v>
      </c>
      <c r="L48" s="46">
        <f t="shared" si="38"/>
        <v>93569.451597791223</v>
      </c>
      <c r="M48" s="46">
        <f t="shared" si="38"/>
        <v>0</v>
      </c>
      <c r="N48" s="46">
        <f t="shared" si="38"/>
        <v>0</v>
      </c>
      <c r="O48" s="46">
        <f t="shared" si="38"/>
        <v>0</v>
      </c>
      <c r="P48" s="46">
        <f t="shared" si="38"/>
        <v>0</v>
      </c>
      <c r="Q48" s="46">
        <f t="shared" si="38"/>
        <v>0</v>
      </c>
    </row>
    <row r="51" spans="2:17">
      <c r="B51" s="30" t="s">
        <v>86</v>
      </c>
      <c r="C51" s="30"/>
      <c r="D51" s="30"/>
      <c r="E51" s="30"/>
      <c r="F51" s="30"/>
      <c r="G51" s="30"/>
      <c r="H51" s="30"/>
      <c r="I51" s="30"/>
      <c r="J51" s="30"/>
      <c r="K51" s="30"/>
      <c r="L51" s="30"/>
      <c r="M51" s="30"/>
      <c r="N51" s="30"/>
      <c r="O51" s="30"/>
      <c r="P51" s="30"/>
      <c r="Q51" s="30"/>
    </row>
    <row r="52" spans="2:17">
      <c r="B52" s="1" t="str">
        <f>'Income Statement'!B4</f>
        <v>Revenue</v>
      </c>
      <c r="C52" s="12">
        <f>'IS Bear'!C4</f>
        <v>50069</v>
      </c>
      <c r="D52" s="12">
        <f>'IS Bear'!D4</f>
        <v>39087</v>
      </c>
      <c r="E52" s="12">
        <f>'IS Bear'!E4</f>
        <v>47071</v>
      </c>
      <c r="F52" s="12">
        <f>'IS Bear'!F4</f>
        <v>53309</v>
      </c>
      <c r="G52" s="12">
        <f>'IS Bear'!G4</f>
        <v>43649</v>
      </c>
      <c r="H52" s="12">
        <f>'IS Bear'!H4</f>
        <v>44085.49</v>
      </c>
      <c r="I52" s="12">
        <f>'IS Bear'!I4</f>
        <v>44526.344899999996</v>
      </c>
      <c r="J52" s="12">
        <f>'IS Bear'!J4</f>
        <v>44971.608348999995</v>
      </c>
      <c r="K52" s="12">
        <f>'IS Bear'!K4</f>
        <v>45421.324432489993</v>
      </c>
      <c r="L52" s="12">
        <f>'IS Bear'!L4</f>
        <v>45875.537676814893</v>
      </c>
      <c r="M52" s="12">
        <f>'IS Bear'!M4</f>
        <v>0</v>
      </c>
      <c r="N52" s="12">
        <f>'IS Bear'!N4</f>
        <v>0</v>
      </c>
      <c r="O52" s="12">
        <f>'IS Bear'!O4</f>
        <v>0</v>
      </c>
      <c r="P52" s="12">
        <f>'IS Bear'!P4</f>
        <v>0</v>
      </c>
      <c r="Q52" s="12">
        <f>'IS Bear'!Q4</f>
        <v>0</v>
      </c>
    </row>
    <row r="53" spans="2:17">
      <c r="B53" s="1" t="str">
        <f>'Income Statement'!B8</f>
        <v>Cost of Revenue ~ Cost of Goods Sold</v>
      </c>
      <c r="C53" s="12">
        <f>'IS Bear'!C8</f>
        <v>31004</v>
      </c>
      <c r="D53" s="12">
        <f>'IS Bear'!D8</f>
        <v>20669</v>
      </c>
      <c r="E53" s="12">
        <f>'IS Bear'!E8</f>
        <v>28702</v>
      </c>
      <c r="F53" s="12">
        <f>'IS Bear'!F8</f>
        <v>32589</v>
      </c>
      <c r="G53" s="12">
        <f>'IS Bear'!G8</f>
        <v>21366</v>
      </c>
      <c r="H53" s="12">
        <f>'IS Bear'!H8</f>
        <v>25204.541791226246</v>
      </c>
      <c r="I53" s="12">
        <f>'IS Bear'!I8</f>
        <v>25456.58720913851</v>
      </c>
      <c r="J53" s="12">
        <f>'IS Bear'!J8</f>
        <v>25711.153081229892</v>
      </c>
      <c r="K53" s="12">
        <f>'IS Bear'!K8</f>
        <v>25968.264612042192</v>
      </c>
      <c r="L53" s="12">
        <f>'IS Bear'!L8</f>
        <v>26227.947258162614</v>
      </c>
      <c r="M53" s="12">
        <f>'IS Bear'!M8</f>
        <v>0</v>
      </c>
      <c r="N53" s="12">
        <f>'IS Bear'!N8</f>
        <v>0</v>
      </c>
      <c r="O53" s="12">
        <f>'IS Bear'!O8</f>
        <v>0</v>
      </c>
      <c r="P53" s="12">
        <f>'IS Bear'!P8</f>
        <v>0</v>
      </c>
      <c r="Q53" s="12">
        <f>'IS Bear'!Q8</f>
        <v>0</v>
      </c>
    </row>
    <row r="54" spans="2:17">
      <c r="B54" s="1" t="str">
        <f>'Income Statement'!B44</f>
        <v>Capital Expenditures</v>
      </c>
      <c r="C54" s="12">
        <f>'IS Bear'!C44</f>
        <v>5492</v>
      </c>
      <c r="D54" s="12">
        <f>'IS Bear'!D44</f>
        <v>5405</v>
      </c>
      <c r="E54" s="12">
        <f>'IS Bear'!E44</f>
        <v>7818</v>
      </c>
      <c r="F54" s="12">
        <f>'IS Bear'!F44</f>
        <v>4647</v>
      </c>
      <c r="G54" s="12">
        <f>'IS Bear'!G44</f>
        <v>4654</v>
      </c>
      <c r="H54" s="12">
        <f>'IS Bear'!H44</f>
        <v>5359.5059611384077</v>
      </c>
      <c r="I54" s="12">
        <f>'IS Bear'!I44</f>
        <v>5413.1010207497911</v>
      </c>
      <c r="J54" s="12">
        <f>'IS Bear'!J44</f>
        <v>5467.2320309572888</v>
      </c>
      <c r="K54" s="12">
        <f>'IS Bear'!K44</f>
        <v>5521.9043512668622</v>
      </c>
      <c r="L54" s="12">
        <f>'IS Bear'!L44</f>
        <v>5577.1233947795308</v>
      </c>
      <c r="M54" s="12">
        <f>'IS Bear'!M44</f>
        <v>0</v>
      </c>
      <c r="N54" s="12">
        <f>'IS Bear'!N44</f>
        <v>0</v>
      </c>
      <c r="O54" s="12">
        <f>'IS Bear'!O44</f>
        <v>0</v>
      </c>
      <c r="P54" s="12">
        <f>'IS Bear'!P44</f>
        <v>0</v>
      </c>
      <c r="Q54" s="12">
        <f>'IS Bear'!Q44</f>
        <v>0</v>
      </c>
    </row>
    <row r="55" spans="2:17">
      <c r="B55" s="1" t="str">
        <f>'Income Statement'!B47</f>
        <v>Depreciation and Amortization</v>
      </c>
      <c r="C55" s="12">
        <f>'IS Bear'!C47</f>
        <v>3391</v>
      </c>
      <c r="D55" s="12">
        <f>'IS Bear'!D47</f>
        <v>3712</v>
      </c>
      <c r="E55" s="12">
        <f>'IS Bear'!E47</f>
        <v>3852</v>
      </c>
      <c r="F55" s="12">
        <f>'IS Bear'!F47</f>
        <v>4317</v>
      </c>
      <c r="G55" s="12">
        <f>'IS Bear'!G47</f>
        <v>4613</v>
      </c>
      <c r="H55" s="12">
        <f>'IS Bear'!H47</f>
        <v>3984.3650059997758</v>
      </c>
      <c r="I55" s="12">
        <f>'IS Bear'!I47</f>
        <v>4024.2086560597727</v>
      </c>
      <c r="J55" s="12">
        <f>'IS Bear'!J47</f>
        <v>4064.4507426203704</v>
      </c>
      <c r="K55" s="12">
        <f>'IS Bear'!K47</f>
        <v>4105.0952500465746</v>
      </c>
      <c r="L55" s="12">
        <f>'IS Bear'!L47</f>
        <v>4146.14620254704</v>
      </c>
      <c r="M55" s="12">
        <f>'IS Bear'!M47</f>
        <v>0</v>
      </c>
      <c r="N55" s="12">
        <f>'IS Bear'!N47</f>
        <v>0</v>
      </c>
      <c r="O55" s="12">
        <f>'IS Bear'!O47</f>
        <v>0</v>
      </c>
      <c r="P55" s="12">
        <f>'IS Bear'!P47</f>
        <v>0</v>
      </c>
      <c r="Q55" s="12">
        <f>'IS Bear'!Q47</f>
        <v>0</v>
      </c>
    </row>
    <row r="56" spans="2:17">
      <c r="B56" s="1" t="str">
        <f>'Income Statement'!B37</f>
        <v>Net Income (Loss), GAAP</v>
      </c>
      <c r="C56" s="12">
        <f>'IS Bear'!C37</f>
        <v>5705</v>
      </c>
      <c r="D56" s="12">
        <f>'IS Bear'!D37</f>
        <v>3363</v>
      </c>
      <c r="E56" s="12">
        <f>'IS Bear'!E37</f>
        <v>6189</v>
      </c>
      <c r="F56" s="12">
        <f>'IS Bear'!F37</f>
        <v>3003</v>
      </c>
      <c r="G56" s="12">
        <f>'IS Bear'!G37</f>
        <v>6191</v>
      </c>
      <c r="H56" s="12">
        <f>'IS Bear'!H37</f>
        <v>4313.6878754599784</v>
      </c>
      <c r="I56" s="12">
        <f>'IS Bear'!I37</f>
        <v>4376.5210700798661</v>
      </c>
      <c r="J56" s="12">
        <f>'IS Bear'!J37</f>
        <v>4440.5801795454981</v>
      </c>
      <c r="K56" s="12">
        <f>'IS Bear'!K37</f>
        <v>4546.2330542052341</v>
      </c>
      <c r="L56" s="12">
        <f>'IS Bear'!L37</f>
        <v>4616.7335313237618</v>
      </c>
      <c r="M56" s="12">
        <f>'IS Bear'!M37</f>
        <v>0</v>
      </c>
      <c r="N56" s="12">
        <f>'IS Bear'!N37</f>
        <v>0</v>
      </c>
      <c r="O56" s="12">
        <f>'IS Bear'!O37</f>
        <v>0</v>
      </c>
      <c r="P56" s="12">
        <f>'IS Bear'!P37</f>
        <v>0</v>
      </c>
      <c r="Q56" s="12">
        <f>'IS Bear'!Q37</f>
        <v>0</v>
      </c>
    </row>
    <row r="57" spans="2:17">
      <c r="B57" s="1" t="str">
        <f>'Cash Flows'!B22</f>
        <v>Dividends Paid</v>
      </c>
      <c r="C57" s="12">
        <f>'CF Bear'!C22</f>
        <v>-6356</v>
      </c>
      <c r="D57" s="12">
        <f>'CF Bear'!D22</f>
        <v>-6940</v>
      </c>
      <c r="E57" s="12">
        <f>'CF Bear'!E22</f>
        <v>-7133</v>
      </c>
      <c r="F57" s="12">
        <f>'CF Bear'!F22</f>
        <v>-7306</v>
      </c>
      <c r="G57" s="12">
        <f>'CF Bear'!G22</f>
        <v>-7628</v>
      </c>
      <c r="H57" s="12">
        <f>'CF Bear'!H22</f>
        <v>-6897.8322165405516</v>
      </c>
      <c r="I57" s="12">
        <f>'CF Bear'!I22</f>
        <v>-6998.3060678321244</v>
      </c>
      <c r="J57" s="12">
        <f>'CF Bear'!J22</f>
        <v>-7100.7402266753425</v>
      </c>
      <c r="K57" s="12">
        <f>'CF Bear'!K22</f>
        <v>-7269.6851813495005</v>
      </c>
      <c r="L57" s="12">
        <f>'CF Bear'!L22</f>
        <v>-7382.4194533667596</v>
      </c>
      <c r="M57" s="12">
        <f>'CF Bear'!M22</f>
        <v>0</v>
      </c>
      <c r="N57" s="12">
        <f>'CF Bear'!N22</f>
        <v>0</v>
      </c>
      <c r="O57" s="12">
        <f>'CF Bear'!O22</f>
        <v>0</v>
      </c>
      <c r="P57" s="12">
        <f>'CF Bear'!P22</f>
        <v>0</v>
      </c>
      <c r="Q57" s="12">
        <f>'CF Bear'!Q22</f>
        <v>0</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F690F-68B1-483A-81C1-60403565E9BD}">
  <sheetPr>
    <tabColor theme="7" tint="0.79998168889431442"/>
  </sheetPr>
  <dimension ref="B2:Q57"/>
  <sheetViews>
    <sheetView zoomScaleNormal="100"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8.6640625" defaultRowHeight="11" outlineLevelCol="1"/>
  <cols>
    <col min="1" max="1" width="2.1640625" style="1" customWidth="1"/>
    <col min="2" max="2" width="35.1640625" style="1" bestFit="1" customWidth="1"/>
    <col min="3" max="7" width="8.6640625" style="1" customWidth="1" outlineLevel="1"/>
    <col min="8" max="17" width="8.6640625" style="1" customWidth="1"/>
    <col min="18" max="16384" width="8.6640625" style="1"/>
  </cols>
  <sheetData>
    <row r="2" spans="2:17">
      <c r="B2" s="30" t="s">
        <v>50</v>
      </c>
      <c r="C2" s="30"/>
      <c r="D2" s="30"/>
      <c r="E2" s="30"/>
      <c r="F2" s="30"/>
      <c r="G2" s="30"/>
      <c r="H2" s="30"/>
      <c r="I2" s="30"/>
      <c r="J2" s="30"/>
      <c r="K2" s="30"/>
      <c r="L2" s="30"/>
      <c r="M2" s="30"/>
      <c r="N2" s="30"/>
      <c r="O2" s="30"/>
      <c r="P2" s="30"/>
      <c r="Q2" s="30"/>
    </row>
    <row r="3" spans="2:17">
      <c r="B3" s="14" t="str">
        <f>Assumptions!$B$113</f>
        <v>Year Ending December 31, In CAD Millions</v>
      </c>
      <c r="C3" s="14" cm="1">
        <f t="array" ref="C3:L3">_xlfn.SEQUENCE(1,5+Assumptions!$C$21,(YEAR('Valuation Summary'!$C$4)-5))</f>
        <v>2019</v>
      </c>
      <c r="D3" s="14">
        <v>2020</v>
      </c>
      <c r="E3" s="14">
        <v>2021</v>
      </c>
      <c r="F3" s="14">
        <v>2022</v>
      </c>
      <c r="G3" s="14">
        <v>2023</v>
      </c>
      <c r="H3" s="15">
        <v>2024</v>
      </c>
      <c r="I3" s="15">
        <v>2025</v>
      </c>
      <c r="J3" s="15">
        <v>2026</v>
      </c>
      <c r="K3" s="15">
        <v>2027</v>
      </c>
      <c r="L3" s="15">
        <v>2028</v>
      </c>
      <c r="M3" s="15"/>
      <c r="N3" s="15"/>
      <c r="O3" s="15"/>
      <c r="P3" s="15"/>
      <c r="Q3" s="15"/>
    </row>
    <row r="4" spans="2:17">
      <c r="B4" s="10" t="s">
        <v>51</v>
      </c>
      <c r="C4" s="109"/>
      <c r="D4" s="109"/>
      <c r="E4" s="109"/>
      <c r="F4" s="109"/>
      <c r="G4" s="109"/>
      <c r="H4" s="12"/>
      <c r="I4" s="12"/>
      <c r="J4" s="12"/>
      <c r="K4" s="12"/>
      <c r="L4" s="12"/>
      <c r="M4" s="12"/>
      <c r="N4" s="12"/>
      <c r="O4" s="12"/>
      <c r="P4" s="12"/>
      <c r="Q4" s="12"/>
    </row>
    <row r="5" spans="2:17">
      <c r="B5" s="11" t="s">
        <v>52</v>
      </c>
      <c r="C5" s="109"/>
      <c r="D5" s="109"/>
      <c r="E5" s="109"/>
      <c r="F5" s="109"/>
      <c r="G5" s="109"/>
      <c r="H5" s="12"/>
      <c r="I5" s="12"/>
      <c r="J5" s="12"/>
      <c r="K5" s="12"/>
      <c r="L5" s="12"/>
      <c r="M5" s="12"/>
      <c r="N5" s="12"/>
      <c r="O5" s="12"/>
      <c r="P5" s="12"/>
      <c r="Q5" s="12"/>
    </row>
    <row r="6" spans="2:17">
      <c r="B6" s="27" t="str">
        <f>Assumptions!B260</f>
        <v>Cash, Cash Equivalents, and Short-Term Investments</v>
      </c>
      <c r="C6" s="109">
        <f>+Assumptions!D261+'CF Bull'!C36</f>
        <v>696.20000000000073</v>
      </c>
      <c r="D6" s="109">
        <f>+Assumptions!E261+'CF Bull'!D36</f>
        <v>-2179.0999999999995</v>
      </c>
      <c r="E6" s="109">
        <f>+Assumptions!F261+'CF Bull'!E36</f>
        <v>-3108.9999999999991</v>
      </c>
      <c r="F6" s="109">
        <f>+Assumptions!G261+'CF Bull'!F36</f>
        <v>-6337.7999999999993</v>
      </c>
      <c r="G6" s="109">
        <f>+Assumptions!H261+'CF Bull'!G36</f>
        <v>1073.1000000000004</v>
      </c>
      <c r="H6" s="119">
        <f>IF(H$3="",0,'CF Bull'!H36+'IS Bull'!H4*Assumptions!I$262)</f>
        <v>-4642.1377345167803</v>
      </c>
      <c r="I6" s="119">
        <f>IF(I$3="",0,'CF Bull'!I36+'IS Bull'!I4*Assumptions!J$262)</f>
        <v>-5958.2324787768939</v>
      </c>
      <c r="J6" s="119">
        <f>IF(J$3="",0,'CF Bull'!J36+'IS Bull'!J4*Assumptions!K$262)</f>
        <v>-7518.1624773343901</v>
      </c>
      <c r="K6" s="119">
        <f>IF(K$3="",0,'CF Bull'!K36+'IS Bull'!K4*Assumptions!L$262)</f>
        <v>-9475.3508066529612</v>
      </c>
      <c r="L6" s="119">
        <f>IF(L$3="",0,'CF Bull'!L36+'IS Bull'!L4*Assumptions!M$262)</f>
        <v>-11479.251964090909</v>
      </c>
      <c r="M6" s="119">
        <f>IF(M$3="",0,'CF Bull'!M36+'IS Bull'!M4*Assumptions!N$262)</f>
        <v>0</v>
      </c>
      <c r="N6" s="119">
        <f>IF(N$3="",0,'CF Bull'!N36+'IS Bull'!N4*Assumptions!O$262)</f>
        <v>0</v>
      </c>
      <c r="O6" s="119">
        <f>IF(O$3="",0,'CF Bull'!O36+'IS Bull'!O4*Assumptions!P$262)</f>
        <v>0</v>
      </c>
      <c r="P6" s="119">
        <f>IF(P$3="",0,'CF Bull'!P36+'IS Bull'!P4*Assumptions!Q$262)</f>
        <v>0</v>
      </c>
      <c r="Q6" s="119">
        <f>IF(Q$3="",0,'CF Bull'!Q36+'IS Bull'!Q4*Assumptions!R$262)</f>
        <v>0</v>
      </c>
    </row>
    <row r="7" spans="2:17">
      <c r="B7" s="27" t="str">
        <f>Assumptions!B265</f>
        <v>Accounts and Notes Receivable</v>
      </c>
      <c r="C7" s="109">
        <f>Assumptions!D265</f>
        <v>6578</v>
      </c>
      <c r="D7" s="109">
        <f>Assumptions!E265</f>
        <v>3923</v>
      </c>
      <c r="E7" s="109">
        <f>Assumptions!F265</f>
        <v>4957</v>
      </c>
      <c r="F7" s="109">
        <f>Assumptions!G265</f>
        <v>5616</v>
      </c>
      <c r="G7" s="109">
        <f>Assumptions!H265</f>
        <v>4410</v>
      </c>
      <c r="H7" s="119">
        <f>IF(H$3="",0,G7*(1+Assumptions!I$120))</f>
        <v>4630.5</v>
      </c>
      <c r="I7" s="119">
        <f>IF(I$3="",0,H7*(1+Assumptions!J$120))</f>
        <v>4862.0250000000005</v>
      </c>
      <c r="J7" s="119">
        <f>IF(J$3="",0,I7*(1+Assumptions!K$120))</f>
        <v>5105.1262500000012</v>
      </c>
      <c r="K7" s="119">
        <f>IF(K$3="",0,J7*(1+Assumptions!L$120))</f>
        <v>5360.3825625000018</v>
      </c>
      <c r="L7" s="119">
        <f>IF(L$3="",0,K7*(1+Assumptions!M$120))</f>
        <v>5628.4016906250017</v>
      </c>
      <c r="M7" s="119">
        <f>IF(M$3="",0,L7*(1+Assumptions!N$120))</f>
        <v>0</v>
      </c>
      <c r="N7" s="119">
        <f>IF(N$3="",0,M7*(1+Assumptions!O$120))</f>
        <v>0</v>
      </c>
      <c r="O7" s="119">
        <f>IF(O$3="",0,N7*(1+Assumptions!P$120))</f>
        <v>0</v>
      </c>
      <c r="P7" s="119">
        <f>IF(P$3="",0,O7*(1+Assumptions!Q$120))</f>
        <v>0</v>
      </c>
      <c r="Q7" s="119">
        <f>IF(Q$3="",0,P7*(1+Assumptions!R$120))</f>
        <v>0</v>
      </c>
    </row>
    <row r="8" spans="2:17">
      <c r="B8" s="27" t="str">
        <f>Assumptions!B271</f>
        <v>Inventory</v>
      </c>
      <c r="C8" s="109">
        <f>Assumptions!D271</f>
        <v>1299</v>
      </c>
      <c r="D8" s="109">
        <f>Assumptions!E271</f>
        <v>1536</v>
      </c>
      <c r="E8" s="109">
        <f>Assumptions!F271</f>
        <v>1670</v>
      </c>
      <c r="F8" s="109">
        <f>Assumptions!G271</f>
        <v>2255</v>
      </c>
      <c r="G8" s="109">
        <f>Assumptions!H271</f>
        <v>1479</v>
      </c>
      <c r="H8" s="119">
        <f>IF(H$3="",0,+G8*(1+'IS Bull'!H$10))</f>
        <v>1813.8095398483945</v>
      </c>
      <c r="I8" s="119">
        <f>IF(I$3="",0,+H8*(1+'IS Bull'!I$10))</f>
        <v>1904.5000168408144</v>
      </c>
      <c r="J8" s="119">
        <f>IF(J$3="",0,+I8*(1+'IS Bull'!J$10))</f>
        <v>1999.7250176828557</v>
      </c>
      <c r="K8" s="119">
        <f>IF(K$3="",0,+J8*(1+'IS Bull'!K$10))</f>
        <v>2099.7112685669986</v>
      </c>
      <c r="L8" s="119">
        <f>IF(L$3="",0,+K8*(1+'IS Bull'!L$10))</f>
        <v>2204.6968319953485</v>
      </c>
      <c r="M8" s="119">
        <f>IF(M$3="",0,+L8*(1+'IS Bull'!M$10))</f>
        <v>0</v>
      </c>
      <c r="N8" s="119">
        <f>IF(N$3="",0,+M8*(1+'IS Bull'!N$10))</f>
        <v>0</v>
      </c>
      <c r="O8" s="119">
        <f>IF(O$3="",0,+N8*(1+'IS Bull'!O$10))</f>
        <v>0</v>
      </c>
      <c r="P8" s="119">
        <f>IF(P$3="",0,+O8*(1+'IS Bull'!P$10))</f>
        <v>0</v>
      </c>
      <c r="Q8" s="119">
        <f>IF(Q$3="",0,+P8*(1+'IS Bull'!Q$10))</f>
        <v>0</v>
      </c>
    </row>
    <row r="9" spans="2:17">
      <c r="B9" s="27" t="str">
        <f>Assumptions!B274</f>
        <v>Other Short-Term Assets</v>
      </c>
      <c r="C9" s="109">
        <f>Assumptions!D274</f>
        <v>300</v>
      </c>
      <c r="D9" s="109">
        <f>Assumptions!E274</f>
        <v>1439</v>
      </c>
      <c r="E9" s="109">
        <f>Assumptions!F274</f>
        <v>2046</v>
      </c>
      <c r="F9" s="109">
        <f>Assumptions!G274</f>
        <v>3415</v>
      </c>
      <c r="G9" s="109">
        <f>Assumptions!H274</f>
        <v>2609</v>
      </c>
      <c r="H9" s="119">
        <f>IF(H$3="",0,G9*(1+Assumptions!I$120))</f>
        <v>2739.4500000000003</v>
      </c>
      <c r="I9" s="119">
        <f>IF(I$3="",0,H9*(1+Assumptions!J$120))</f>
        <v>2876.4225000000006</v>
      </c>
      <c r="J9" s="119">
        <f>IF(J$3="",0,I9*(1+Assumptions!K$120))</f>
        <v>3020.2436250000005</v>
      </c>
      <c r="K9" s="119">
        <f>IF(K$3="",0,J9*(1+Assumptions!L$120))</f>
        <v>3171.2558062500007</v>
      </c>
      <c r="L9" s="119">
        <f>IF(L$3="",0,K9*(1+Assumptions!M$120))</f>
        <v>3329.8185965625007</v>
      </c>
      <c r="M9" s="119">
        <f>IF(M$3="",0,L9*(1+Assumptions!N$120))</f>
        <v>0</v>
      </c>
      <c r="N9" s="119">
        <f>IF(N$3="",0,M9*(1+Assumptions!O$120))</f>
        <v>0</v>
      </c>
      <c r="O9" s="119">
        <f>IF(O$3="",0,N9*(1+Assumptions!P$120))</f>
        <v>0</v>
      </c>
      <c r="P9" s="119">
        <f>IF(P$3="",0,O9*(1+Assumptions!Q$120))</f>
        <v>0</v>
      </c>
      <c r="Q9" s="119">
        <f>IF(Q$3="",0,P9*(1+Assumptions!R$120))</f>
        <v>0</v>
      </c>
    </row>
    <row r="10" spans="2:17">
      <c r="B10" s="11" t="str">
        <f>"Total "&amp;B5</f>
        <v>Total Current Assets</v>
      </c>
      <c r="C10" s="117">
        <f>SUM(C6:C9)</f>
        <v>8873.2000000000007</v>
      </c>
      <c r="D10" s="117">
        <f t="shared" ref="D10:G10" si="0">SUM(D6:D9)</f>
        <v>4718.9000000000005</v>
      </c>
      <c r="E10" s="117">
        <f t="shared" si="0"/>
        <v>5564.0000000000009</v>
      </c>
      <c r="F10" s="117">
        <f t="shared" si="0"/>
        <v>4948.2000000000007</v>
      </c>
      <c r="G10" s="117">
        <f t="shared" si="0"/>
        <v>9571.1</v>
      </c>
      <c r="H10" s="118">
        <f t="shared" ref="H10:Q10" si="1">SUM(H6:H9)</f>
        <v>4541.6218053316143</v>
      </c>
      <c r="I10" s="118">
        <f t="shared" si="1"/>
        <v>3684.7150380639214</v>
      </c>
      <c r="J10" s="118">
        <f t="shared" si="1"/>
        <v>2606.9324153484672</v>
      </c>
      <c r="K10" s="118">
        <f t="shared" si="1"/>
        <v>1155.9988306640398</v>
      </c>
      <c r="L10" s="118">
        <f t="shared" si="1"/>
        <v>-316.33484490805768</v>
      </c>
      <c r="M10" s="118">
        <f t="shared" si="1"/>
        <v>0</v>
      </c>
      <c r="N10" s="118">
        <f t="shared" si="1"/>
        <v>0</v>
      </c>
      <c r="O10" s="118">
        <f t="shared" si="1"/>
        <v>0</v>
      </c>
      <c r="P10" s="118">
        <f t="shared" si="1"/>
        <v>0</v>
      </c>
      <c r="Q10" s="118">
        <f t="shared" si="1"/>
        <v>0</v>
      </c>
    </row>
    <row r="11" spans="2:17">
      <c r="B11" s="11" t="s">
        <v>91</v>
      </c>
      <c r="C11" s="109"/>
      <c r="D11" s="109"/>
      <c r="E11" s="109"/>
      <c r="F11" s="109"/>
      <c r="G11" s="109"/>
      <c r="H11" s="12"/>
      <c r="I11" s="12"/>
      <c r="J11" s="12"/>
      <c r="K11" s="12"/>
      <c r="L11" s="12"/>
      <c r="M11" s="12"/>
      <c r="N11" s="12"/>
      <c r="O11" s="12"/>
      <c r="P11" s="12"/>
      <c r="Q11" s="12"/>
    </row>
    <row r="12" spans="2:17">
      <c r="B12" s="27" t="str">
        <f>Assumptions!B277</f>
        <v>Property, Plant, and Equipment</v>
      </c>
      <c r="C12" s="109">
        <f>Assumptions!D277</f>
        <v>93273</v>
      </c>
      <c r="D12" s="109">
        <f>Assumptions!E277</f>
        <v>94571</v>
      </c>
      <c r="E12" s="109">
        <f>Assumptions!F277</f>
        <v>100067</v>
      </c>
      <c r="F12" s="109">
        <f>Assumptions!G277</f>
        <v>104460</v>
      </c>
      <c r="G12" s="109">
        <f>Assumptions!H277</f>
        <v>104641</v>
      </c>
      <c r="H12" s="119">
        <f>IF(H$3="",0,G12+H54-H55)</f>
        <v>106070.60198306492</v>
      </c>
      <c r="I12" s="119">
        <f t="shared" ref="I12:Q12" si="2">IF(I$3="",0,H12+I54-I55)</f>
        <v>107571.68406528309</v>
      </c>
      <c r="J12" s="119">
        <f t="shared" si="2"/>
        <v>109147.82025161215</v>
      </c>
      <c r="K12" s="119">
        <f t="shared" si="2"/>
        <v>110802.76324725768</v>
      </c>
      <c r="L12" s="119">
        <f t="shared" si="2"/>
        <v>112540.45339268548</v>
      </c>
      <c r="M12" s="119">
        <f t="shared" si="2"/>
        <v>0</v>
      </c>
      <c r="N12" s="119">
        <f t="shared" si="2"/>
        <v>0</v>
      </c>
      <c r="O12" s="119">
        <f t="shared" si="2"/>
        <v>0</v>
      </c>
      <c r="P12" s="119">
        <f t="shared" si="2"/>
        <v>0</v>
      </c>
      <c r="Q12" s="119">
        <f t="shared" si="2"/>
        <v>0</v>
      </c>
    </row>
    <row r="13" spans="2:17">
      <c r="B13" s="27" t="str">
        <f>Assumptions!B280</f>
        <v>Long-Term Investments and Receivables</v>
      </c>
      <c r="C13" s="109">
        <f>Assumptions!D280</f>
        <v>16528</v>
      </c>
      <c r="D13" s="109">
        <f>Assumptions!E280</f>
        <v>13818</v>
      </c>
      <c r="E13" s="109">
        <f>Assumptions!F280</f>
        <v>13324</v>
      </c>
      <c r="F13" s="109">
        <f>Assumptions!G280</f>
        <v>15936</v>
      </c>
      <c r="G13" s="109">
        <f>Assumptions!H280</f>
        <v>16793</v>
      </c>
      <c r="H13" s="12">
        <f>IF(H$3="",0,G13)</f>
        <v>16793</v>
      </c>
      <c r="I13" s="12">
        <f t="shared" ref="I13:Q13" si="3">IF(I$3="",0,H13)</f>
        <v>16793</v>
      </c>
      <c r="J13" s="12">
        <f t="shared" si="3"/>
        <v>16793</v>
      </c>
      <c r="K13" s="12">
        <f t="shared" si="3"/>
        <v>16793</v>
      </c>
      <c r="L13" s="12">
        <f t="shared" si="3"/>
        <v>16793</v>
      </c>
      <c r="M13" s="12">
        <f t="shared" si="3"/>
        <v>0</v>
      </c>
      <c r="N13" s="12">
        <f t="shared" si="3"/>
        <v>0</v>
      </c>
      <c r="O13" s="12">
        <f t="shared" si="3"/>
        <v>0</v>
      </c>
      <c r="P13" s="12">
        <f t="shared" si="3"/>
        <v>0</v>
      </c>
      <c r="Q13" s="12">
        <f t="shared" si="3"/>
        <v>0</v>
      </c>
    </row>
    <row r="14" spans="2:17">
      <c r="B14" s="27" t="str">
        <f>Assumptions!B283</f>
        <v>Other Long-Term Assets</v>
      </c>
      <c r="C14" s="109">
        <f>Assumptions!D283</f>
        <v>44193</v>
      </c>
      <c r="D14" s="109">
        <f>Assumptions!E283</f>
        <v>44537</v>
      </c>
      <c r="E14" s="109">
        <f>Assumptions!F283</f>
        <v>46515</v>
      </c>
      <c r="F14" s="109">
        <f>Assumptions!G283</f>
        <v>47065</v>
      </c>
      <c r="G14" s="109">
        <f>Assumptions!H283</f>
        <v>44484</v>
      </c>
      <c r="H14" s="12">
        <f>IF(H$3="",0,G14)</f>
        <v>44484</v>
      </c>
      <c r="I14" s="12">
        <f t="shared" ref="I14:Q14" si="4">IF(I$3="",0,H14)</f>
        <v>44484</v>
      </c>
      <c r="J14" s="12">
        <f t="shared" si="4"/>
        <v>44484</v>
      </c>
      <c r="K14" s="12">
        <f t="shared" si="4"/>
        <v>44484</v>
      </c>
      <c r="L14" s="12">
        <f t="shared" si="4"/>
        <v>44484</v>
      </c>
      <c r="M14" s="12">
        <f t="shared" si="4"/>
        <v>0</v>
      </c>
      <c r="N14" s="12">
        <f t="shared" si="4"/>
        <v>0</v>
      </c>
      <c r="O14" s="12">
        <f t="shared" si="4"/>
        <v>0</v>
      </c>
      <c r="P14" s="12">
        <f t="shared" si="4"/>
        <v>0</v>
      </c>
      <c r="Q14" s="12">
        <f t="shared" si="4"/>
        <v>0</v>
      </c>
    </row>
    <row r="15" spans="2:17">
      <c r="B15" s="11" t="str">
        <f>"Total "&amp;B11</f>
        <v>Total Non-Current Assets</v>
      </c>
      <c r="C15" s="110">
        <f>SUM(C12:C14)</f>
        <v>153994</v>
      </c>
      <c r="D15" s="110">
        <f t="shared" ref="D15:G15" si="5">SUM(D12:D14)</f>
        <v>152926</v>
      </c>
      <c r="E15" s="110">
        <f t="shared" si="5"/>
        <v>159906</v>
      </c>
      <c r="F15" s="110">
        <f t="shared" si="5"/>
        <v>167461</v>
      </c>
      <c r="G15" s="110">
        <f t="shared" si="5"/>
        <v>165918</v>
      </c>
      <c r="H15" s="13">
        <f t="shared" ref="H15:Q15" si="6">SUM(H12:H14)</f>
        <v>167347.6019830649</v>
      </c>
      <c r="I15" s="13">
        <f t="shared" si="6"/>
        <v>168848.6840652831</v>
      </c>
      <c r="J15" s="13">
        <f t="shared" si="6"/>
        <v>170424.82025161217</v>
      </c>
      <c r="K15" s="13">
        <f t="shared" si="6"/>
        <v>172079.76324725768</v>
      </c>
      <c r="L15" s="13">
        <f t="shared" si="6"/>
        <v>173817.45339268548</v>
      </c>
      <c r="M15" s="13">
        <f t="shared" si="6"/>
        <v>0</v>
      </c>
      <c r="N15" s="13">
        <f t="shared" si="6"/>
        <v>0</v>
      </c>
      <c r="O15" s="13">
        <f t="shared" si="6"/>
        <v>0</v>
      </c>
      <c r="P15" s="13">
        <f t="shared" si="6"/>
        <v>0</v>
      </c>
      <c r="Q15" s="13">
        <f t="shared" si="6"/>
        <v>0</v>
      </c>
    </row>
    <row r="16" spans="2:17" ht="12" thickBot="1">
      <c r="B16" s="33" t="str">
        <f>"Total "&amp;B4</f>
        <v>Total Assets</v>
      </c>
      <c r="C16" s="111">
        <f>SUM(C10,C15)</f>
        <v>162867.20000000001</v>
      </c>
      <c r="D16" s="111">
        <f t="shared" ref="D16:H16" si="7">SUM(D10,D15)</f>
        <v>157644.9</v>
      </c>
      <c r="E16" s="111">
        <f t="shared" si="7"/>
        <v>165470</v>
      </c>
      <c r="F16" s="111">
        <f t="shared" si="7"/>
        <v>172409.2</v>
      </c>
      <c r="G16" s="111">
        <f t="shared" si="7"/>
        <v>175489.1</v>
      </c>
      <c r="H16" s="34">
        <f t="shared" si="7"/>
        <v>171889.22378839651</v>
      </c>
      <c r="I16" s="34">
        <f t="shared" ref="I16:Q16" si="8">SUM(I10,I15)</f>
        <v>172533.39910334704</v>
      </c>
      <c r="J16" s="34">
        <f t="shared" si="8"/>
        <v>173031.75266696065</v>
      </c>
      <c r="K16" s="34">
        <f t="shared" si="8"/>
        <v>173235.76207792171</v>
      </c>
      <c r="L16" s="34">
        <f t="shared" si="8"/>
        <v>173501.11854777741</v>
      </c>
      <c r="M16" s="34">
        <f t="shared" si="8"/>
        <v>0</v>
      </c>
      <c r="N16" s="34">
        <f t="shared" si="8"/>
        <v>0</v>
      </c>
      <c r="O16" s="34">
        <f t="shared" si="8"/>
        <v>0</v>
      </c>
      <c r="P16" s="34">
        <f t="shared" si="8"/>
        <v>0</v>
      </c>
      <c r="Q16" s="34">
        <f t="shared" si="8"/>
        <v>0</v>
      </c>
    </row>
    <row r="17" spans="2:17">
      <c r="C17" s="114"/>
      <c r="D17" s="114"/>
      <c r="E17" s="114"/>
      <c r="F17" s="114"/>
      <c r="G17" s="114"/>
    </row>
    <row r="18" spans="2:17">
      <c r="C18" s="114"/>
      <c r="D18" s="114"/>
      <c r="E18" s="114"/>
      <c r="F18" s="114"/>
      <c r="G18" s="114"/>
    </row>
    <row r="19" spans="2:17">
      <c r="B19" s="10" t="s">
        <v>94</v>
      </c>
      <c r="C19" s="109"/>
      <c r="D19" s="109"/>
      <c r="E19" s="109"/>
      <c r="F19" s="109"/>
      <c r="G19" s="109"/>
      <c r="H19" s="12"/>
      <c r="I19" s="12"/>
      <c r="J19" s="12"/>
      <c r="K19" s="12"/>
      <c r="L19" s="12"/>
      <c r="M19" s="12"/>
      <c r="N19" s="12"/>
      <c r="O19" s="12"/>
      <c r="P19" s="12"/>
      <c r="Q19" s="12"/>
    </row>
    <row r="20" spans="2:17">
      <c r="B20" s="11" t="s">
        <v>97</v>
      </c>
      <c r="C20" s="109"/>
      <c r="D20" s="109"/>
      <c r="E20" s="109"/>
      <c r="F20" s="109"/>
      <c r="G20" s="109"/>
      <c r="H20" s="12"/>
      <c r="I20" s="12"/>
      <c r="J20" s="12"/>
      <c r="K20" s="12"/>
      <c r="L20" s="12"/>
      <c r="M20" s="12"/>
      <c r="N20" s="12"/>
      <c r="O20" s="12"/>
      <c r="P20" s="12"/>
      <c r="Q20" s="12"/>
    </row>
    <row r="21" spans="2:17">
      <c r="B21" s="27" t="str">
        <f>Assumptions!B287</f>
        <v>Payables and Accruals</v>
      </c>
      <c r="C21" s="109">
        <f>Assumptions!D287</f>
        <v>9782</v>
      </c>
      <c r="D21" s="109">
        <f>Assumptions!E287</f>
        <v>9014</v>
      </c>
      <c r="E21" s="109">
        <f>Assumptions!F287</f>
        <v>9912</v>
      </c>
      <c r="F21" s="109">
        <f>Assumptions!G287</f>
        <v>10941</v>
      </c>
      <c r="G21" s="109">
        <f>Assumptions!H287</f>
        <v>5266</v>
      </c>
      <c r="H21" s="119">
        <f>IF(H$3="",0,+G21*(1+'IS Bull'!H$10))</f>
        <v>6458.0940073303891</v>
      </c>
      <c r="I21" s="119">
        <f>IF(I$3="",0,+H21*(1+'IS Bull'!I$10))</f>
        <v>6780.9987076969092</v>
      </c>
      <c r="J21" s="119">
        <f>IF(J$3="",0,+I21*(1+'IS Bull'!J$10))</f>
        <v>7120.0486430817564</v>
      </c>
      <c r="K21" s="119">
        <f>IF(K$3="",0,+J21*(1+'IS Bull'!K$10))</f>
        <v>7476.0510752358441</v>
      </c>
      <c r="L21" s="119">
        <f>IF(L$3="",0,+K21*(1+'IS Bull'!L$10))</f>
        <v>7849.8536289976364</v>
      </c>
      <c r="M21" s="119">
        <f>IF(M$3="",0,+L21*(1+'IS Bull'!M$10))</f>
        <v>0</v>
      </c>
      <c r="N21" s="119">
        <f>IF(N$3="",0,+M21*(1+'IS Bull'!N$10))</f>
        <v>0</v>
      </c>
      <c r="O21" s="119">
        <f>IF(O$3="",0,+N21*(1+'IS Bull'!O$10))</f>
        <v>0</v>
      </c>
      <c r="P21" s="119">
        <f>IF(P$3="",0,+O21*(1+'IS Bull'!P$10))</f>
        <v>0</v>
      </c>
      <c r="Q21" s="119">
        <f>IF(Q$3="",0,+P21*(1+'IS Bull'!Q$10))</f>
        <v>0</v>
      </c>
    </row>
    <row r="22" spans="2:17">
      <c r="B22" s="27" t="str">
        <f>Assumptions!B290</f>
        <v>Short-Term Debt</v>
      </c>
      <c r="C22" s="109">
        <f>Assumptions!D290</f>
        <v>5396</v>
      </c>
      <c r="D22" s="109">
        <f>Assumptions!E290</f>
        <v>4158</v>
      </c>
      <c r="E22" s="109">
        <f>Assumptions!F290</f>
        <v>7771</v>
      </c>
      <c r="F22" s="109">
        <f>Assumptions!G290</f>
        <v>8128</v>
      </c>
      <c r="G22" s="109">
        <f>Assumptions!H290</f>
        <v>6582</v>
      </c>
      <c r="H22" s="119">
        <f>IF(H$3="",0,(Assumptions!I$143*Assumptions!I$142)+'CF Bull'!H$23)</f>
        <v>10456.001440897331</v>
      </c>
      <c r="I22" s="119">
        <f>IF(I$3="",0,(Assumptions!J$143*Assumptions!J$142)+'CF Bull'!I$23)</f>
        <v>10701.281440897332</v>
      </c>
      <c r="J22" s="119">
        <f>IF(J$3="",0,(Assumptions!K$143*Assumptions!K$142)+'CF Bull'!J$23)</f>
        <v>10930.41744089733</v>
      </c>
      <c r="K22" s="119">
        <f>IF(K$3="",0,(Assumptions!L$143*Assumptions!L$142)+'CF Bull'!K$23)</f>
        <v>9887.3806408973305</v>
      </c>
      <c r="L22" s="119">
        <f>IF(L$3="",0,(Assumptions!M$143*Assumptions!M$142)+'CF Bull'!L$23)</f>
        <v>9960.7364808973307</v>
      </c>
      <c r="M22" s="119">
        <f>IF(M$3="",0,(Assumptions!N$143*Assumptions!N$142)+'CF Bull'!M$23)</f>
        <v>0</v>
      </c>
      <c r="N22" s="119">
        <f>IF(N$3="",0,(Assumptions!O$143*Assumptions!O$142)+'CF Bull'!N$23)</f>
        <v>0</v>
      </c>
      <c r="O22" s="119">
        <f>IF(O$3="",0,(Assumptions!P$143*Assumptions!P$142)+'CF Bull'!O$23)</f>
        <v>0</v>
      </c>
      <c r="P22" s="119">
        <f>IF(P$3="",0,(Assumptions!Q$143*Assumptions!Q$142)+'CF Bull'!P$23)</f>
        <v>0</v>
      </c>
      <c r="Q22" s="119">
        <f>IF(Q$3="",0,(Assumptions!R$143*Assumptions!R$142)+'CF Bull'!Q$23)</f>
        <v>0</v>
      </c>
    </row>
    <row r="23" spans="2:17">
      <c r="B23" s="27" t="str">
        <f>Assumptions!B293</f>
        <v>Other Short-Term Liabilities</v>
      </c>
      <c r="C23" s="109">
        <f>Assumptions!D293</f>
        <v>832</v>
      </c>
      <c r="D23" s="109">
        <f>Assumptions!E293</f>
        <v>807</v>
      </c>
      <c r="E23" s="109">
        <f>Assumptions!F293</f>
        <v>546</v>
      </c>
      <c r="F23" s="109">
        <f>Assumptions!G293</f>
        <v>1232</v>
      </c>
      <c r="G23" s="109">
        <f>Assumptions!H293</f>
        <v>5587</v>
      </c>
      <c r="H23" s="119">
        <f>IF(H$3="",0,G23*(1+Assumptions!I120))</f>
        <v>5866.35</v>
      </c>
      <c r="I23" s="119">
        <f>IF(I$3="",0,H23*(1+Assumptions!J120))</f>
        <v>6159.6675000000005</v>
      </c>
      <c r="J23" s="119">
        <f>IF(J$3="",0,I23*(1+Assumptions!K120))</f>
        <v>6467.6508750000012</v>
      </c>
      <c r="K23" s="119">
        <f>IF(K$3="",0,J23*(1+Assumptions!L120))</f>
        <v>6791.0334187500011</v>
      </c>
      <c r="L23" s="119">
        <f>IF(L$3="",0,K23*(1+Assumptions!M120))</f>
        <v>7130.5850896875017</v>
      </c>
      <c r="M23" s="119">
        <f>IF(M$3="",0,L23*(1+Assumptions!N120))</f>
        <v>0</v>
      </c>
      <c r="N23" s="119">
        <f>IF(N$3="",0,M23*(1+Assumptions!O120))</f>
        <v>0</v>
      </c>
      <c r="O23" s="119">
        <f>IF(O$3="",0,N23*(1+Assumptions!P120))</f>
        <v>0</v>
      </c>
      <c r="P23" s="119">
        <f>IF(P$3="",0,O23*(1+Assumptions!Q120))</f>
        <v>0</v>
      </c>
      <c r="Q23" s="119">
        <f>IF(Q$3="",0,P23*(1+Assumptions!R120))</f>
        <v>0</v>
      </c>
    </row>
    <row r="24" spans="2:17">
      <c r="B24" s="11" t="str">
        <f>"Total "&amp;B20</f>
        <v>Total Current Liabilities</v>
      </c>
      <c r="C24" s="117">
        <f>SUM(C21:C23)</f>
        <v>16010</v>
      </c>
      <c r="D24" s="117">
        <f t="shared" ref="D24:G24" si="9">SUM(D21:D23)</f>
        <v>13979</v>
      </c>
      <c r="E24" s="117">
        <f t="shared" si="9"/>
        <v>18229</v>
      </c>
      <c r="F24" s="117">
        <f t="shared" si="9"/>
        <v>20301</v>
      </c>
      <c r="G24" s="117">
        <f t="shared" si="9"/>
        <v>17435</v>
      </c>
      <c r="H24" s="118">
        <f t="shared" ref="H24:Q24" si="10">SUM(H21:H23)</f>
        <v>22780.445448227721</v>
      </c>
      <c r="I24" s="118">
        <f t="shared" si="10"/>
        <v>23641.94764859424</v>
      </c>
      <c r="J24" s="118">
        <f t="shared" si="10"/>
        <v>24518.116958979088</v>
      </c>
      <c r="K24" s="118">
        <f t="shared" si="10"/>
        <v>24154.465134883176</v>
      </c>
      <c r="L24" s="118">
        <f t="shared" si="10"/>
        <v>24941.175199582471</v>
      </c>
      <c r="M24" s="118">
        <f t="shared" si="10"/>
        <v>0</v>
      </c>
      <c r="N24" s="118">
        <f t="shared" si="10"/>
        <v>0</v>
      </c>
      <c r="O24" s="118">
        <f t="shared" si="10"/>
        <v>0</v>
      </c>
      <c r="P24" s="118">
        <f t="shared" si="10"/>
        <v>0</v>
      </c>
      <c r="Q24" s="118">
        <f t="shared" si="10"/>
        <v>0</v>
      </c>
    </row>
    <row r="25" spans="2:17">
      <c r="B25" s="11" t="s">
        <v>98</v>
      </c>
      <c r="C25" s="109"/>
      <c r="D25" s="109"/>
      <c r="E25" s="109"/>
      <c r="F25" s="109"/>
      <c r="G25" s="109"/>
      <c r="H25" s="12"/>
      <c r="I25" s="12"/>
      <c r="J25" s="12"/>
      <c r="K25" s="12"/>
      <c r="L25" s="12"/>
      <c r="M25" s="12"/>
      <c r="N25" s="12"/>
      <c r="O25" s="12"/>
      <c r="P25" s="12"/>
      <c r="Q25" s="12"/>
    </row>
    <row r="26" spans="2:17">
      <c r="B26" s="27" t="str">
        <f>Assumptions!B296</f>
        <v>Long-Term Debt</v>
      </c>
      <c r="C26" s="109">
        <f>Assumptions!D296</f>
        <v>60350</v>
      </c>
      <c r="D26" s="109">
        <f>Assumptions!E296</f>
        <v>63500</v>
      </c>
      <c r="E26" s="109">
        <f>Assumptions!F296</f>
        <v>68573</v>
      </c>
      <c r="F26" s="109">
        <f>Assumptions!G296</f>
        <v>73616</v>
      </c>
      <c r="G26" s="109">
        <f>Assumptions!H296</f>
        <v>75367</v>
      </c>
      <c r="H26" s="12">
        <f>IF(H$3="",0,G26)</f>
        <v>75367</v>
      </c>
      <c r="I26" s="12">
        <f t="shared" ref="I26:Q26" si="11">IF(I$3="",0,H26)</f>
        <v>75367</v>
      </c>
      <c r="J26" s="12">
        <f t="shared" si="11"/>
        <v>75367</v>
      </c>
      <c r="K26" s="12">
        <f t="shared" si="11"/>
        <v>75367</v>
      </c>
      <c r="L26" s="12">
        <f t="shared" si="11"/>
        <v>75367</v>
      </c>
      <c r="M26" s="12">
        <f t="shared" si="11"/>
        <v>0</v>
      </c>
      <c r="N26" s="12">
        <f t="shared" si="11"/>
        <v>0</v>
      </c>
      <c r="O26" s="12">
        <f t="shared" si="11"/>
        <v>0</v>
      </c>
      <c r="P26" s="12">
        <f t="shared" si="11"/>
        <v>0</v>
      </c>
      <c r="Q26" s="12">
        <f t="shared" si="11"/>
        <v>0</v>
      </c>
    </row>
    <row r="27" spans="2:17">
      <c r="B27" s="27" t="str">
        <f>Assumptions!B299</f>
        <v>Other Long-Term Liabilities</v>
      </c>
      <c r="C27" s="109">
        <f>Assumptions!D299</f>
        <v>17502</v>
      </c>
      <c r="D27" s="109">
        <f>Assumptions!E299</f>
        <v>18434</v>
      </c>
      <c r="E27" s="109">
        <f>Assumptions!F299</f>
        <v>18694</v>
      </c>
      <c r="F27" s="109">
        <f>Assumptions!G299</f>
        <v>22293</v>
      </c>
      <c r="G27" s="109">
        <f>Assumptions!H299</f>
        <v>23032</v>
      </c>
      <c r="H27" s="12">
        <f>IF(H$3="",0,G27)</f>
        <v>23032</v>
      </c>
      <c r="I27" s="12">
        <f t="shared" ref="I27:Q27" si="12">IF(I$3="",0,H27)</f>
        <v>23032</v>
      </c>
      <c r="J27" s="12">
        <f t="shared" si="12"/>
        <v>23032</v>
      </c>
      <c r="K27" s="12">
        <f t="shared" si="12"/>
        <v>23032</v>
      </c>
      <c r="L27" s="12">
        <f t="shared" si="12"/>
        <v>23032</v>
      </c>
      <c r="M27" s="12">
        <f t="shared" si="12"/>
        <v>0</v>
      </c>
      <c r="N27" s="12">
        <f t="shared" si="12"/>
        <v>0</v>
      </c>
      <c r="O27" s="12">
        <f t="shared" si="12"/>
        <v>0</v>
      </c>
      <c r="P27" s="12">
        <f t="shared" si="12"/>
        <v>0</v>
      </c>
      <c r="Q27" s="12">
        <f t="shared" si="12"/>
        <v>0</v>
      </c>
    </row>
    <row r="28" spans="2:17">
      <c r="B28" s="11" t="str">
        <f>"Total "&amp;B25</f>
        <v>Total Non-Current Liabilities</v>
      </c>
      <c r="C28" s="110">
        <f>SUM(C26:C27)</f>
        <v>77852</v>
      </c>
      <c r="D28" s="110">
        <f t="shared" ref="D28:G28" si="13">SUM(D26:D27)</f>
        <v>81934</v>
      </c>
      <c r="E28" s="110">
        <f t="shared" si="13"/>
        <v>87267</v>
      </c>
      <c r="F28" s="110">
        <f t="shared" si="13"/>
        <v>95909</v>
      </c>
      <c r="G28" s="110">
        <f t="shared" si="13"/>
        <v>98399</v>
      </c>
      <c r="H28" s="13">
        <f t="shared" ref="H28:Q28" si="14">SUM(H26:H27)</f>
        <v>98399</v>
      </c>
      <c r="I28" s="13">
        <f t="shared" si="14"/>
        <v>98399</v>
      </c>
      <c r="J28" s="13">
        <f t="shared" si="14"/>
        <v>98399</v>
      </c>
      <c r="K28" s="13">
        <f t="shared" si="14"/>
        <v>98399</v>
      </c>
      <c r="L28" s="13">
        <f t="shared" si="14"/>
        <v>98399</v>
      </c>
      <c r="M28" s="13">
        <f t="shared" si="14"/>
        <v>0</v>
      </c>
      <c r="N28" s="13">
        <f t="shared" si="14"/>
        <v>0</v>
      </c>
      <c r="O28" s="13">
        <f t="shared" si="14"/>
        <v>0</v>
      </c>
      <c r="P28" s="13">
        <f t="shared" si="14"/>
        <v>0</v>
      </c>
      <c r="Q28" s="13">
        <f t="shared" si="14"/>
        <v>0</v>
      </c>
    </row>
    <row r="29" spans="2:17">
      <c r="B29" s="31" t="str">
        <f>"Total "&amp;B19</f>
        <v>Total Liabilities</v>
      </c>
      <c r="C29" s="112">
        <f>SUM(C24,C28)</f>
        <v>93862</v>
      </c>
      <c r="D29" s="112">
        <f t="shared" ref="D29:H29" si="15">SUM(D24,D28)</f>
        <v>95913</v>
      </c>
      <c r="E29" s="112">
        <f t="shared" si="15"/>
        <v>105496</v>
      </c>
      <c r="F29" s="112">
        <f t="shared" si="15"/>
        <v>116210</v>
      </c>
      <c r="G29" s="112">
        <f t="shared" si="15"/>
        <v>115834</v>
      </c>
      <c r="H29" s="32">
        <f t="shared" si="15"/>
        <v>121179.44544822772</v>
      </c>
      <c r="I29" s="32">
        <f t="shared" ref="I29:Q29" si="16">SUM(I24,I28)</f>
        <v>122040.94764859424</v>
      </c>
      <c r="J29" s="32">
        <f t="shared" si="16"/>
        <v>122917.11695897908</v>
      </c>
      <c r="K29" s="32">
        <f t="shared" si="16"/>
        <v>122553.46513488318</v>
      </c>
      <c r="L29" s="32">
        <f t="shared" si="16"/>
        <v>123340.17519958247</v>
      </c>
      <c r="M29" s="32">
        <f t="shared" si="16"/>
        <v>0</v>
      </c>
      <c r="N29" s="32">
        <f t="shared" si="16"/>
        <v>0</v>
      </c>
      <c r="O29" s="32">
        <f t="shared" si="16"/>
        <v>0</v>
      </c>
      <c r="P29" s="32">
        <f t="shared" si="16"/>
        <v>0</v>
      </c>
      <c r="Q29" s="32">
        <f t="shared" si="16"/>
        <v>0</v>
      </c>
    </row>
    <row r="30" spans="2:17">
      <c r="C30" s="109"/>
      <c r="D30" s="109"/>
      <c r="E30" s="109"/>
      <c r="F30" s="109"/>
      <c r="G30" s="109"/>
      <c r="H30" s="12"/>
      <c r="I30" s="12"/>
      <c r="J30" s="12"/>
      <c r="K30" s="12"/>
      <c r="L30" s="12"/>
      <c r="M30" s="12"/>
      <c r="N30" s="12"/>
      <c r="O30" s="12"/>
      <c r="P30" s="12"/>
      <c r="Q30" s="12"/>
    </row>
    <row r="31" spans="2:17">
      <c r="C31" s="109"/>
      <c r="D31" s="109"/>
      <c r="E31" s="109"/>
      <c r="F31" s="109"/>
      <c r="G31" s="109"/>
      <c r="H31" s="12"/>
      <c r="I31" s="12"/>
      <c r="J31" s="12"/>
      <c r="K31" s="12"/>
      <c r="L31" s="12"/>
      <c r="M31" s="12"/>
      <c r="N31" s="12"/>
      <c r="O31" s="12"/>
      <c r="P31" s="12"/>
      <c r="Q31" s="12"/>
    </row>
    <row r="32" spans="2:17">
      <c r="B32" s="10" t="s">
        <v>101</v>
      </c>
      <c r="C32" s="109"/>
      <c r="D32" s="109"/>
      <c r="E32" s="109"/>
      <c r="F32" s="109"/>
      <c r="G32" s="109"/>
      <c r="H32" s="12"/>
      <c r="I32" s="12"/>
      <c r="J32" s="12"/>
      <c r="K32" s="12"/>
      <c r="L32" s="12"/>
      <c r="M32" s="12"/>
      <c r="N32" s="12"/>
      <c r="O32" s="12"/>
      <c r="P32" s="12"/>
      <c r="Q32" s="12"/>
    </row>
    <row r="33" spans="2:17">
      <c r="B33" s="23" t="str">
        <f>Assumptions!B311</f>
        <v>Retained Earnings</v>
      </c>
      <c r="C33" s="109">
        <f>Assumptions!D311</f>
        <v>-6314</v>
      </c>
      <c r="D33" s="109">
        <f>Assumptions!E311</f>
        <v>-9995</v>
      </c>
      <c r="E33" s="109">
        <f>Assumptions!F311</f>
        <v>-10989</v>
      </c>
      <c r="F33" s="109">
        <f>Assumptions!G311</f>
        <v>-15486</v>
      </c>
      <c r="G33" s="109">
        <f>Assumptions!H311</f>
        <v>-17115</v>
      </c>
      <c r="H33" s="119">
        <f>IF(H$3="",0,G33+H56+H57)</f>
        <v>-19866.915694953575</v>
      </c>
      <c r="I33" s="119">
        <f t="shared" ref="I33:Q33" si="17">IF(I$3="",0,H33+I56+I57)</f>
        <v>-22834.309681684223</v>
      </c>
      <c r="J33" s="119">
        <f t="shared" si="17"/>
        <v>-26028.50272532722</v>
      </c>
      <c r="K33" s="119">
        <f t="shared" si="17"/>
        <v>-29485.544492477005</v>
      </c>
      <c r="L33" s="119">
        <f t="shared" si="17"/>
        <v>-33196.083080129174</v>
      </c>
      <c r="M33" s="119">
        <f t="shared" si="17"/>
        <v>0</v>
      </c>
      <c r="N33" s="119">
        <f t="shared" si="17"/>
        <v>0</v>
      </c>
      <c r="O33" s="119">
        <f t="shared" si="17"/>
        <v>0</v>
      </c>
      <c r="P33" s="119">
        <f t="shared" si="17"/>
        <v>0</v>
      </c>
      <c r="Q33" s="119">
        <f t="shared" si="17"/>
        <v>0</v>
      </c>
    </row>
    <row r="34" spans="2:17">
      <c r="B34" s="23" t="str">
        <f>Assumptions!B305</f>
        <v>Preferred and Hybrid Capital</v>
      </c>
      <c r="C34" s="109">
        <f>Assumptions!D305</f>
        <v>7747</v>
      </c>
      <c r="D34" s="109">
        <f>Assumptions!E305</f>
        <v>7747</v>
      </c>
      <c r="E34" s="109">
        <f>Assumptions!F305</f>
        <v>7747</v>
      </c>
      <c r="F34" s="109">
        <f>Assumptions!G305</f>
        <v>6818</v>
      </c>
      <c r="G34" s="109">
        <f>Assumptions!H305</f>
        <v>6818</v>
      </c>
      <c r="H34" s="12">
        <f>IF(H$3="",0,G34)</f>
        <v>6818</v>
      </c>
      <c r="I34" s="12">
        <f t="shared" ref="I34:Q34" si="18">IF(I$3="",0,H34)</f>
        <v>6818</v>
      </c>
      <c r="J34" s="12">
        <f t="shared" si="18"/>
        <v>6818</v>
      </c>
      <c r="K34" s="12">
        <f t="shared" si="18"/>
        <v>6818</v>
      </c>
      <c r="L34" s="12">
        <f t="shared" si="18"/>
        <v>6818</v>
      </c>
      <c r="M34" s="12">
        <f t="shared" si="18"/>
        <v>0</v>
      </c>
      <c r="N34" s="12">
        <f t="shared" si="18"/>
        <v>0</v>
      </c>
      <c r="O34" s="12">
        <f t="shared" si="18"/>
        <v>0</v>
      </c>
      <c r="P34" s="12">
        <f t="shared" si="18"/>
        <v>0</v>
      </c>
      <c r="Q34" s="12">
        <f t="shared" si="18"/>
        <v>0</v>
      </c>
    </row>
    <row r="35" spans="2:17">
      <c r="B35" s="23" t="str">
        <f>Assumptions!B308</f>
        <v>Share Capital and Additional Paid in Capital</v>
      </c>
      <c r="C35" s="109">
        <f>Assumptions!D308</f>
        <v>64993</v>
      </c>
      <c r="D35" s="109">
        <f>Assumptions!E308</f>
        <v>65045</v>
      </c>
      <c r="E35" s="109">
        <f>Assumptions!F308</f>
        <v>65164</v>
      </c>
      <c r="F35" s="109">
        <f>Assumptions!G308</f>
        <v>65035</v>
      </c>
      <c r="G35" s="109">
        <f>Assumptions!H308</f>
        <v>69448</v>
      </c>
      <c r="H35" s="12">
        <f>IF(H$3="",0,G35)</f>
        <v>69448</v>
      </c>
      <c r="I35" s="12">
        <f t="shared" ref="I35:Q35" si="19">IF(I$3="",0,H35)</f>
        <v>69448</v>
      </c>
      <c r="J35" s="12">
        <f t="shared" si="19"/>
        <v>69448</v>
      </c>
      <c r="K35" s="12">
        <f t="shared" si="19"/>
        <v>69448</v>
      </c>
      <c r="L35" s="12">
        <f t="shared" si="19"/>
        <v>69448</v>
      </c>
      <c r="M35" s="12">
        <f t="shared" si="19"/>
        <v>0</v>
      </c>
      <c r="N35" s="12">
        <f t="shared" si="19"/>
        <v>0</v>
      </c>
      <c r="O35" s="12">
        <f t="shared" si="19"/>
        <v>0</v>
      </c>
      <c r="P35" s="12">
        <f t="shared" si="19"/>
        <v>0</v>
      </c>
      <c r="Q35" s="12">
        <f t="shared" si="19"/>
        <v>0</v>
      </c>
    </row>
    <row r="36" spans="2:17">
      <c r="B36" s="23" t="str">
        <f>Assumptions!B314</f>
        <v>Other Equity</v>
      </c>
      <c r="C36" s="109">
        <f>Assumptions!D314</f>
        <v>-323</v>
      </c>
      <c r="D36" s="109">
        <f>Assumptions!E314</f>
        <v>-1430</v>
      </c>
      <c r="E36" s="109">
        <f>Assumptions!F314</f>
        <v>-1096</v>
      </c>
      <c r="F36" s="109">
        <f>Assumptions!G314</f>
        <v>3520</v>
      </c>
      <c r="G36" s="109">
        <f>Assumptions!H314</f>
        <v>2303</v>
      </c>
      <c r="H36" s="12">
        <f>IF(H$3="",0,G36)</f>
        <v>2303</v>
      </c>
      <c r="I36" s="12">
        <f t="shared" ref="I36:Q36" si="20">IF(I$3="",0,H36)</f>
        <v>2303</v>
      </c>
      <c r="J36" s="12">
        <f t="shared" si="20"/>
        <v>2303</v>
      </c>
      <c r="K36" s="12">
        <f t="shared" si="20"/>
        <v>2303</v>
      </c>
      <c r="L36" s="12">
        <f t="shared" si="20"/>
        <v>2303</v>
      </c>
      <c r="M36" s="12">
        <f t="shared" si="20"/>
        <v>0</v>
      </c>
      <c r="N36" s="12">
        <f t="shared" si="20"/>
        <v>0</v>
      </c>
      <c r="O36" s="12">
        <f t="shared" si="20"/>
        <v>0</v>
      </c>
      <c r="P36" s="12">
        <f t="shared" si="20"/>
        <v>0</v>
      </c>
      <c r="Q36" s="12">
        <f t="shared" si="20"/>
        <v>0</v>
      </c>
    </row>
    <row r="37" spans="2:17">
      <c r="B37" s="23" t="str">
        <f>Assumptions!B317</f>
        <v>Minority and Non-Controlling Interest</v>
      </c>
      <c r="C37" s="109">
        <f>Assumptions!D317</f>
        <v>3364</v>
      </c>
      <c r="D37" s="109">
        <f>Assumptions!E317</f>
        <v>2996</v>
      </c>
      <c r="E37" s="109">
        <f>Assumptions!F317</f>
        <v>2542</v>
      </c>
      <c r="F37" s="109">
        <f>Assumptions!G317</f>
        <v>3511</v>
      </c>
      <c r="G37" s="109">
        <f>Assumptions!H317</f>
        <v>3029</v>
      </c>
      <c r="H37" s="12">
        <f>IF(H$3="",0,G37)</f>
        <v>3029</v>
      </c>
      <c r="I37" s="12">
        <f t="shared" ref="I37:Q37" si="21">IF(I$3="",0,H37)</f>
        <v>3029</v>
      </c>
      <c r="J37" s="12">
        <f t="shared" si="21"/>
        <v>3029</v>
      </c>
      <c r="K37" s="12">
        <f t="shared" si="21"/>
        <v>3029</v>
      </c>
      <c r="L37" s="12">
        <f t="shared" si="21"/>
        <v>3029</v>
      </c>
      <c r="M37" s="12">
        <f t="shared" si="21"/>
        <v>0</v>
      </c>
      <c r="N37" s="12">
        <f t="shared" si="21"/>
        <v>0</v>
      </c>
      <c r="O37" s="12">
        <f t="shared" si="21"/>
        <v>0</v>
      </c>
      <c r="P37" s="12">
        <f t="shared" si="21"/>
        <v>0</v>
      </c>
      <c r="Q37" s="12">
        <f t="shared" si="21"/>
        <v>0</v>
      </c>
    </row>
    <row r="38" spans="2:17">
      <c r="B38" s="23" t="str">
        <f>Assumptions!B320</f>
        <v>Treasury Stock</v>
      </c>
      <c r="C38" s="109">
        <f>Assumptions!D320</f>
        <v>0</v>
      </c>
      <c r="D38" s="109">
        <f>Assumptions!E320</f>
        <v>0</v>
      </c>
      <c r="E38" s="109">
        <f>Assumptions!F320</f>
        <v>0</v>
      </c>
      <c r="F38" s="109">
        <f>Assumptions!G320</f>
        <v>0</v>
      </c>
      <c r="G38" s="109">
        <f>Assumptions!H320</f>
        <v>0</v>
      </c>
      <c r="H38" s="12">
        <f>IF(H$3="",0,G38)</f>
        <v>0</v>
      </c>
      <c r="I38" s="12">
        <f t="shared" ref="I38:Q38" si="22">IF(I$3="",0,H38)</f>
        <v>0</v>
      </c>
      <c r="J38" s="12">
        <f t="shared" si="22"/>
        <v>0</v>
      </c>
      <c r="K38" s="12">
        <f t="shared" si="22"/>
        <v>0</v>
      </c>
      <c r="L38" s="12">
        <f t="shared" si="22"/>
        <v>0</v>
      </c>
      <c r="M38" s="12">
        <f t="shared" si="22"/>
        <v>0</v>
      </c>
      <c r="N38" s="12">
        <f t="shared" si="22"/>
        <v>0</v>
      </c>
      <c r="O38" s="12">
        <f t="shared" si="22"/>
        <v>0</v>
      </c>
      <c r="P38" s="12">
        <f t="shared" si="22"/>
        <v>0</v>
      </c>
      <c r="Q38" s="12">
        <f t="shared" si="22"/>
        <v>0</v>
      </c>
    </row>
    <row r="39" spans="2:17">
      <c r="B39" s="24" t="s">
        <v>121</v>
      </c>
      <c r="C39" s="113"/>
      <c r="D39" s="113"/>
      <c r="E39" s="113"/>
      <c r="F39" s="113"/>
      <c r="G39" s="113"/>
      <c r="H39" s="47"/>
      <c r="I39" s="47"/>
      <c r="J39" s="47"/>
      <c r="K39" s="47"/>
      <c r="L39" s="47"/>
      <c r="M39" s="47"/>
      <c r="N39" s="47"/>
      <c r="O39" s="47"/>
      <c r="P39" s="47"/>
      <c r="Q39" s="47"/>
    </row>
    <row r="40" spans="2:17">
      <c r="B40" s="31" t="str">
        <f>"Total "&amp;B32</f>
        <v>Total Equity</v>
      </c>
      <c r="C40" s="112">
        <f>SUM(C33:C37)-C38+C39</f>
        <v>69467</v>
      </c>
      <c r="D40" s="112">
        <f t="shared" ref="D40:H40" si="23">SUM(D33:D37)-D38+D39</f>
        <v>64363</v>
      </c>
      <c r="E40" s="112">
        <f t="shared" si="23"/>
        <v>63368</v>
      </c>
      <c r="F40" s="112">
        <f t="shared" si="23"/>
        <v>63398</v>
      </c>
      <c r="G40" s="112">
        <f t="shared" si="23"/>
        <v>64483</v>
      </c>
      <c r="H40" s="112">
        <f t="shared" si="23"/>
        <v>61731.084305046425</v>
      </c>
      <c r="I40" s="112">
        <f t="shared" ref="I40" si="24">SUM(I33:I37)-I38+I39</f>
        <v>58763.690318315777</v>
      </c>
      <c r="J40" s="112">
        <f t="shared" ref="J40" si="25">SUM(J33:J37)-J38+J39</f>
        <v>55569.49727467278</v>
      </c>
      <c r="K40" s="112">
        <f t="shared" ref="K40" si="26">SUM(K33:K37)-K38+K39</f>
        <v>52112.455507522995</v>
      </c>
      <c r="L40" s="112">
        <f t="shared" ref="L40" si="27">SUM(L33:L37)-L38+L39</f>
        <v>48401.916919870826</v>
      </c>
      <c r="M40" s="112">
        <f t="shared" ref="M40" si="28">SUM(M33:M37)-M38+M39</f>
        <v>0</v>
      </c>
      <c r="N40" s="112">
        <f t="shared" ref="N40" si="29">SUM(N33:N37)-N38+N39</f>
        <v>0</v>
      </c>
      <c r="O40" s="112">
        <f t="shared" ref="O40" si="30">SUM(O33:O37)-O38+O39</f>
        <v>0</v>
      </c>
      <c r="P40" s="112">
        <f t="shared" ref="P40" si="31">SUM(P33:P37)-P38+P39</f>
        <v>0</v>
      </c>
      <c r="Q40" s="112">
        <f t="shared" ref="Q40" si="32">SUM(Q33:Q37)-Q38+Q39</f>
        <v>0</v>
      </c>
    </row>
    <row r="41" spans="2:17">
      <c r="C41" s="114"/>
      <c r="D41" s="114"/>
      <c r="E41" s="114"/>
      <c r="F41" s="114"/>
      <c r="G41" s="114"/>
    </row>
    <row r="42" spans="2:17" ht="12" thickBot="1">
      <c r="B42" s="33" t="str">
        <f>"Total "&amp;B19&amp;" and "&amp;B32</f>
        <v>Total Liabilities and Equity</v>
      </c>
      <c r="C42" s="115">
        <f t="shared" ref="C42:H42" si="33">C29+C40</f>
        <v>163329</v>
      </c>
      <c r="D42" s="115">
        <f t="shared" si="33"/>
        <v>160276</v>
      </c>
      <c r="E42" s="115">
        <f t="shared" si="33"/>
        <v>168864</v>
      </c>
      <c r="F42" s="115">
        <f t="shared" si="33"/>
        <v>179608</v>
      </c>
      <c r="G42" s="115">
        <f t="shared" si="33"/>
        <v>180317</v>
      </c>
      <c r="H42" s="35">
        <f t="shared" si="33"/>
        <v>182910.52975327414</v>
      </c>
      <c r="I42" s="35">
        <f t="shared" ref="I42:Q42" si="34">I29+I40</f>
        <v>180804.63796691003</v>
      </c>
      <c r="J42" s="35">
        <f t="shared" si="34"/>
        <v>178486.61423365187</v>
      </c>
      <c r="K42" s="35">
        <f t="shared" si="34"/>
        <v>174665.92064240618</v>
      </c>
      <c r="L42" s="35">
        <f t="shared" si="34"/>
        <v>171742.0921194533</v>
      </c>
      <c r="M42" s="35">
        <f t="shared" si="34"/>
        <v>0</v>
      </c>
      <c r="N42" s="35">
        <f t="shared" si="34"/>
        <v>0</v>
      </c>
      <c r="O42" s="35">
        <f t="shared" si="34"/>
        <v>0</v>
      </c>
      <c r="P42" s="35">
        <f t="shared" si="34"/>
        <v>0</v>
      </c>
      <c r="Q42" s="35">
        <f t="shared" si="34"/>
        <v>0</v>
      </c>
    </row>
    <row r="43" spans="2:17">
      <c r="B43" s="36" t="s">
        <v>108</v>
      </c>
      <c r="C43" s="116">
        <f t="shared" ref="C43:H43" si="35">C16-C42</f>
        <v>-461.79999999998836</v>
      </c>
      <c r="D43" s="116">
        <f t="shared" si="35"/>
        <v>-2631.1000000000058</v>
      </c>
      <c r="E43" s="116">
        <f t="shared" si="35"/>
        <v>-3394</v>
      </c>
      <c r="F43" s="116">
        <f t="shared" si="35"/>
        <v>-7198.7999999999884</v>
      </c>
      <c r="G43" s="116">
        <f t="shared" si="35"/>
        <v>-4827.8999999999942</v>
      </c>
      <c r="H43" s="37">
        <f t="shared" si="35"/>
        <v>-11021.305964877625</v>
      </c>
      <c r="I43" s="37">
        <f t="shared" ref="I43:Q43" si="36">I16-I42</f>
        <v>-8271.2388635629904</v>
      </c>
      <c r="J43" s="37">
        <f t="shared" si="36"/>
        <v>-5454.8615666912228</v>
      </c>
      <c r="K43" s="37">
        <f t="shared" si="36"/>
        <v>-1430.1585644844745</v>
      </c>
      <c r="L43" s="37">
        <f t="shared" si="36"/>
        <v>1759.0264283241122</v>
      </c>
      <c r="M43" s="37">
        <f t="shared" si="36"/>
        <v>0</v>
      </c>
      <c r="N43" s="37">
        <f t="shared" si="36"/>
        <v>0</v>
      </c>
      <c r="O43" s="37">
        <f t="shared" si="36"/>
        <v>0</v>
      </c>
      <c r="P43" s="37">
        <f t="shared" si="36"/>
        <v>0</v>
      </c>
      <c r="Q43" s="37">
        <f t="shared" si="36"/>
        <v>0</v>
      </c>
    </row>
    <row r="46" spans="2:17">
      <c r="B46" s="30" t="s">
        <v>118</v>
      </c>
      <c r="C46" s="30"/>
      <c r="D46" s="30"/>
      <c r="E46" s="30"/>
      <c r="F46" s="30"/>
      <c r="G46" s="30"/>
      <c r="H46" s="30"/>
      <c r="I46" s="30"/>
      <c r="J46" s="30"/>
      <c r="K46" s="30"/>
      <c r="L46" s="30"/>
      <c r="M46" s="30"/>
      <c r="N46" s="30"/>
      <c r="O46" s="30"/>
      <c r="P46" s="30"/>
      <c r="Q46" s="30"/>
    </row>
    <row r="47" spans="2:17">
      <c r="B47" s="1" t="s">
        <v>119</v>
      </c>
      <c r="C47" s="46">
        <f t="shared" ref="C47:Q47" si="37">C10-C24</f>
        <v>-7136.7999999999993</v>
      </c>
      <c r="D47" s="46">
        <f t="shared" si="37"/>
        <v>-9260.0999999999985</v>
      </c>
      <c r="E47" s="46">
        <f t="shared" si="37"/>
        <v>-12665</v>
      </c>
      <c r="F47" s="46">
        <f t="shared" si="37"/>
        <v>-15352.8</v>
      </c>
      <c r="G47" s="46">
        <f t="shared" si="37"/>
        <v>-7863.9</v>
      </c>
      <c r="H47" s="46">
        <f t="shared" si="37"/>
        <v>-18238.823642896106</v>
      </c>
      <c r="I47" s="46">
        <f t="shared" si="37"/>
        <v>-19957.232610530318</v>
      </c>
      <c r="J47" s="46">
        <f t="shared" si="37"/>
        <v>-21911.184543630621</v>
      </c>
      <c r="K47" s="46">
        <f t="shared" si="37"/>
        <v>-22998.466304219135</v>
      </c>
      <c r="L47" s="46">
        <f t="shared" si="37"/>
        <v>-25257.510044490529</v>
      </c>
      <c r="M47" s="46">
        <f t="shared" si="37"/>
        <v>0</v>
      </c>
      <c r="N47" s="46">
        <f t="shared" si="37"/>
        <v>0</v>
      </c>
      <c r="O47" s="46">
        <f t="shared" si="37"/>
        <v>0</v>
      </c>
      <c r="P47" s="46">
        <f t="shared" si="37"/>
        <v>0</v>
      </c>
      <c r="Q47" s="46">
        <f t="shared" si="37"/>
        <v>0</v>
      </c>
    </row>
    <row r="48" spans="2:17">
      <c r="B48" s="1" t="s">
        <v>120</v>
      </c>
      <c r="C48" s="46">
        <f t="shared" ref="C48:Q48" si="38">+C22+C26-C6</f>
        <v>65049.8</v>
      </c>
      <c r="D48" s="46">
        <f t="shared" si="38"/>
        <v>69837.100000000006</v>
      </c>
      <c r="E48" s="46">
        <f t="shared" si="38"/>
        <v>79453</v>
      </c>
      <c r="F48" s="46">
        <f t="shared" si="38"/>
        <v>88081.8</v>
      </c>
      <c r="G48" s="46">
        <f t="shared" si="38"/>
        <v>80875.899999999994</v>
      </c>
      <c r="H48" s="46">
        <f t="shared" si="38"/>
        <v>90465.139175414122</v>
      </c>
      <c r="I48" s="46">
        <f t="shared" si="38"/>
        <v>92026.513919674224</v>
      </c>
      <c r="J48" s="46">
        <f t="shared" si="38"/>
        <v>93815.579918231728</v>
      </c>
      <c r="K48" s="46">
        <f t="shared" si="38"/>
        <v>94729.731447550294</v>
      </c>
      <c r="L48" s="46">
        <f t="shared" si="38"/>
        <v>96806.988444988237</v>
      </c>
      <c r="M48" s="46">
        <f t="shared" si="38"/>
        <v>0</v>
      </c>
      <c r="N48" s="46">
        <f t="shared" si="38"/>
        <v>0</v>
      </c>
      <c r="O48" s="46">
        <f t="shared" si="38"/>
        <v>0</v>
      </c>
      <c r="P48" s="46">
        <f t="shared" si="38"/>
        <v>0</v>
      </c>
      <c r="Q48" s="46">
        <f t="shared" si="38"/>
        <v>0</v>
      </c>
    </row>
    <row r="51" spans="2:17">
      <c r="B51" s="30" t="s">
        <v>86</v>
      </c>
      <c r="C51" s="30"/>
      <c r="D51" s="30"/>
      <c r="E51" s="30"/>
      <c r="F51" s="30"/>
      <c r="G51" s="30"/>
      <c r="H51" s="30"/>
      <c r="I51" s="30"/>
      <c r="J51" s="30"/>
      <c r="K51" s="30"/>
      <c r="L51" s="30"/>
      <c r="M51" s="30"/>
      <c r="N51" s="30"/>
      <c r="O51" s="30"/>
      <c r="P51" s="30"/>
      <c r="Q51" s="30"/>
    </row>
    <row r="52" spans="2:17">
      <c r="B52" s="1" t="str">
        <f>'Income Statement'!B4</f>
        <v>Revenue</v>
      </c>
      <c r="C52" s="12">
        <f>'IS Bull'!C4</f>
        <v>50069</v>
      </c>
      <c r="D52" s="12">
        <f>'IS Bull'!D4</f>
        <v>39087</v>
      </c>
      <c r="E52" s="12">
        <f>'IS Bull'!E4</f>
        <v>47071</v>
      </c>
      <c r="F52" s="12">
        <f>'IS Bull'!F4</f>
        <v>53309</v>
      </c>
      <c r="G52" s="12">
        <f>'IS Bull'!G4</f>
        <v>43649</v>
      </c>
      <c r="H52" s="12">
        <f>'IS Bull'!H4</f>
        <v>45831.450000000004</v>
      </c>
      <c r="I52" s="12">
        <f>'IS Bull'!I4</f>
        <v>48123.022500000006</v>
      </c>
      <c r="J52" s="12">
        <f>'IS Bull'!J4</f>
        <v>50529.17362500001</v>
      </c>
      <c r="K52" s="12">
        <f>'IS Bull'!K4</f>
        <v>53055.632306250016</v>
      </c>
      <c r="L52" s="12">
        <f>'IS Bull'!L4</f>
        <v>55708.413921562518</v>
      </c>
      <c r="M52" s="12">
        <f>'IS Bull'!M4</f>
        <v>0</v>
      </c>
      <c r="N52" s="12">
        <f>'IS Bull'!N4</f>
        <v>0</v>
      </c>
      <c r="O52" s="12">
        <f>'IS Bull'!O4</f>
        <v>0</v>
      </c>
      <c r="P52" s="12">
        <f>'IS Bull'!P4</f>
        <v>0</v>
      </c>
      <c r="Q52" s="12">
        <f>'IS Bull'!Q4</f>
        <v>0</v>
      </c>
    </row>
    <row r="53" spans="2:17">
      <c r="B53" s="1" t="str">
        <f>'Income Statement'!B8</f>
        <v>Cost of Revenue ~ Cost of Goods Sold</v>
      </c>
      <c r="C53" s="12">
        <f>'IS Bull'!C8</f>
        <v>31004</v>
      </c>
      <c r="D53" s="12">
        <f>'IS Bull'!D8</f>
        <v>20669</v>
      </c>
      <c r="E53" s="12">
        <f>'IS Bull'!E8</f>
        <v>28702</v>
      </c>
      <c r="F53" s="12">
        <f>'IS Bull'!F8</f>
        <v>32589</v>
      </c>
      <c r="G53" s="12">
        <f>'IS Bull'!G8</f>
        <v>21366</v>
      </c>
      <c r="H53" s="12">
        <f>'IS Bull'!H8</f>
        <v>26202.741466126299</v>
      </c>
      <c r="I53" s="12">
        <f>'IS Bull'!I8</f>
        <v>27512.878539432615</v>
      </c>
      <c r="J53" s="12">
        <f>'IS Bull'!J8</f>
        <v>28888.522466404251</v>
      </c>
      <c r="K53" s="12">
        <f>'IS Bull'!K8</f>
        <v>30332.948589724463</v>
      </c>
      <c r="L53" s="12">
        <f>'IS Bull'!L8</f>
        <v>31849.596019210687</v>
      </c>
      <c r="M53" s="12">
        <f>'IS Bull'!M8</f>
        <v>0</v>
      </c>
      <c r="N53" s="12">
        <f>'IS Bull'!N8</f>
        <v>0</v>
      </c>
      <c r="O53" s="12">
        <f>'IS Bull'!O8</f>
        <v>0</v>
      </c>
      <c r="P53" s="12">
        <f>'IS Bull'!P8</f>
        <v>0</v>
      </c>
      <c r="Q53" s="12">
        <f>'IS Bull'!Q8</f>
        <v>0</v>
      </c>
    </row>
    <row r="54" spans="2:17">
      <c r="B54" s="1" t="str">
        <f>'Income Statement'!B44</f>
        <v>Capital Expenditures</v>
      </c>
      <c r="C54" s="12">
        <f>'IS Bull'!C44</f>
        <v>5492</v>
      </c>
      <c r="D54" s="12">
        <f>'IS Bull'!D44</f>
        <v>5405</v>
      </c>
      <c r="E54" s="12">
        <f>'IS Bull'!E44</f>
        <v>7818</v>
      </c>
      <c r="F54" s="12">
        <f>'IS Bull'!F44</f>
        <v>4647</v>
      </c>
      <c r="G54" s="12">
        <f>'IS Bull'!G44</f>
        <v>4654</v>
      </c>
      <c r="H54" s="12">
        <f>'IS Bull'!H44</f>
        <v>5571.7636229656719</v>
      </c>
      <c r="I54" s="12">
        <f>'IS Bull'!I44</f>
        <v>5850.351804113956</v>
      </c>
      <c r="J54" s="12">
        <f>'IS Bull'!J44</f>
        <v>6142.869394319654</v>
      </c>
      <c r="K54" s="12">
        <f>'IS Bull'!K44</f>
        <v>6450.012864035637</v>
      </c>
      <c r="L54" s="12">
        <f>'IS Bull'!L44</f>
        <v>6772.5135072374196</v>
      </c>
      <c r="M54" s="12">
        <f>'IS Bull'!M44</f>
        <v>0</v>
      </c>
      <c r="N54" s="12">
        <f>'IS Bull'!N44</f>
        <v>0</v>
      </c>
      <c r="O54" s="12">
        <f>'IS Bull'!O44</f>
        <v>0</v>
      </c>
      <c r="P54" s="12">
        <f>'IS Bull'!P44</f>
        <v>0</v>
      </c>
      <c r="Q54" s="12">
        <f>'IS Bull'!Q44</f>
        <v>0</v>
      </c>
    </row>
    <row r="55" spans="2:17">
      <c r="B55" s="1" t="str">
        <f>'Income Statement'!B47</f>
        <v>Depreciation and Amortization</v>
      </c>
      <c r="C55" s="12">
        <f>'IS Bull'!C47</f>
        <v>3391</v>
      </c>
      <c r="D55" s="12">
        <f>'IS Bull'!D47</f>
        <v>3712</v>
      </c>
      <c r="E55" s="12">
        <f>'IS Bull'!E47</f>
        <v>3852</v>
      </c>
      <c r="F55" s="12">
        <f>'IS Bull'!F47</f>
        <v>4317</v>
      </c>
      <c r="G55" s="12">
        <f>'IS Bull'!G47</f>
        <v>4613</v>
      </c>
      <c r="H55" s="12">
        <f>'IS Bull'!H47</f>
        <v>4142.1616399007571</v>
      </c>
      <c r="I55" s="12">
        <f>'IS Bull'!I47</f>
        <v>4349.2697218957956</v>
      </c>
      <c r="J55" s="12">
        <f>'IS Bull'!J47</f>
        <v>4566.7332079905855</v>
      </c>
      <c r="K55" s="12">
        <f>'IS Bull'!K47</f>
        <v>4795.0698683901146</v>
      </c>
      <c r="L55" s="12">
        <f>'IS Bull'!L47</f>
        <v>5034.823361809621</v>
      </c>
      <c r="M55" s="12">
        <f>'IS Bull'!M47</f>
        <v>0</v>
      </c>
      <c r="N55" s="12">
        <f>'IS Bull'!N47</f>
        <v>0</v>
      </c>
      <c r="O55" s="12">
        <f>'IS Bull'!O47</f>
        <v>0</v>
      </c>
      <c r="P55" s="12">
        <f>'IS Bull'!P47</f>
        <v>0</v>
      </c>
      <c r="Q55" s="12">
        <f>'IS Bull'!Q47</f>
        <v>0</v>
      </c>
    </row>
    <row r="56" spans="2:17">
      <c r="B56" s="1" t="str">
        <f>'Income Statement'!B37</f>
        <v>Net Income (Loss), GAAP</v>
      </c>
      <c r="C56" s="12">
        <f>'IS Bull'!C37</f>
        <v>5705</v>
      </c>
      <c r="D56" s="12">
        <f>'IS Bull'!D37</f>
        <v>3363</v>
      </c>
      <c r="E56" s="12">
        <f>'IS Bull'!E37</f>
        <v>6189</v>
      </c>
      <c r="F56" s="12">
        <f>'IS Bull'!F37</f>
        <v>3003</v>
      </c>
      <c r="G56" s="12">
        <f>'IS Bull'!G37</f>
        <v>6191</v>
      </c>
      <c r="H56" s="12">
        <f>'IS Bull'!H37</f>
        <v>4593.747020588401</v>
      </c>
      <c r="I56" s="12">
        <f>'IS Bull'!I37</f>
        <v>4953.4429090444182</v>
      </c>
      <c r="J56" s="12">
        <f>'IS Bull'!J37</f>
        <v>5332.0364444037759</v>
      </c>
      <c r="K56" s="12">
        <f>'IS Bull'!K37</f>
        <v>5770.8073495913877</v>
      </c>
      <c r="L56" s="12">
        <f>'IS Bull'!L37</f>
        <v>6193.9672109370313</v>
      </c>
      <c r="M56" s="12">
        <f>'IS Bull'!M37</f>
        <v>0</v>
      </c>
      <c r="N56" s="12">
        <f>'IS Bull'!N37</f>
        <v>0</v>
      </c>
      <c r="O56" s="12">
        <f>'IS Bull'!O37</f>
        <v>0</v>
      </c>
      <c r="P56" s="12">
        <f>'IS Bull'!P37</f>
        <v>0</v>
      </c>
      <c r="Q56" s="12">
        <f>'IS Bull'!Q37</f>
        <v>0</v>
      </c>
    </row>
    <row r="57" spans="2:17">
      <c r="B57" s="1" t="str">
        <f>'Cash Flows'!B22</f>
        <v>Dividends Paid</v>
      </c>
      <c r="C57" s="12">
        <f>'CF Bull'!C22</f>
        <v>-6356</v>
      </c>
      <c r="D57" s="12">
        <f>'CF Bull'!D22</f>
        <v>-6940</v>
      </c>
      <c r="E57" s="12">
        <f>'CF Bull'!E22</f>
        <v>-7133</v>
      </c>
      <c r="F57" s="12">
        <f>'CF Bull'!F22</f>
        <v>-7306</v>
      </c>
      <c r="G57" s="12">
        <f>'CF Bull'!G22</f>
        <v>-7628</v>
      </c>
      <c r="H57" s="12">
        <f>'CF Bull'!H22</f>
        <v>-7345.6627155419774</v>
      </c>
      <c r="I57" s="12">
        <f>'CF Bull'!I22</f>
        <v>-7920.8368957750627</v>
      </c>
      <c r="J57" s="12">
        <f>'CF Bull'!J22</f>
        <v>-8526.2294880467725</v>
      </c>
      <c r="K57" s="12">
        <f>'CF Bull'!K22</f>
        <v>-9227.8491167411739</v>
      </c>
      <c r="L57" s="12">
        <f>'CF Bull'!L22</f>
        <v>-9904.5057985891999</v>
      </c>
      <c r="M57" s="12">
        <f>'CF Bull'!M22</f>
        <v>0</v>
      </c>
      <c r="N57" s="12">
        <f>'CF Bull'!N22</f>
        <v>0</v>
      </c>
      <c r="O57" s="12">
        <f>'CF Bull'!O22</f>
        <v>0</v>
      </c>
      <c r="P57" s="12">
        <f>'CF Bull'!P22</f>
        <v>0</v>
      </c>
      <c r="Q57" s="12">
        <f>'CF Bull'!Q22</f>
        <v>0</v>
      </c>
    </row>
  </sheetData>
  <pageMargins left="0.7" right="0.7" top="0.75" bottom="0.75" header="0.3" footer="0.3"/>
  <legacyDrawing r:id="rId1"/>
</worksheet>
</file>

<file path=docMetadata/LabelInfo.xml><?xml version="1.0" encoding="utf-8"?>
<clbl:labelList xmlns:clbl="http://schemas.microsoft.com/office/2020/mipLabelMetadata">
  <clbl:label id="{5217e0e7-539d-4563-b1bf-7c6dcf074f91}" enabled="0" method="" siteId="{5217e0e7-539d-4563-b1bf-7c6dcf074f91}"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Effect on Portfolio</vt:lpstr>
      <vt:lpstr>Valuation Summary</vt:lpstr>
      <vt:lpstr>Assumptions</vt:lpstr>
      <vt:lpstr>FCF Firm</vt:lpstr>
      <vt:lpstr>FCF Equity</vt:lpstr>
      <vt:lpstr>Comps</vt:lpstr>
      <vt:lpstr>Precedents</vt:lpstr>
      <vt:lpstr>Dividend Discount</vt:lpstr>
      <vt:lpstr>Income Statement</vt:lpstr>
      <vt:lpstr>IS Bear</vt:lpstr>
      <vt:lpstr>IS Bull</vt:lpstr>
      <vt:lpstr>Cash Flows</vt:lpstr>
      <vt:lpstr>CF Bear</vt:lpstr>
      <vt:lpstr>CF Bull</vt:lpstr>
      <vt:lpstr>Balance Sheet</vt:lpstr>
      <vt:lpstr>BS Bear</vt:lpstr>
      <vt:lpstr>BS Bull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Neff</dc:creator>
  <cp:lastModifiedBy>Yash Agrawal</cp:lastModifiedBy>
  <dcterms:created xsi:type="dcterms:W3CDTF">2024-10-21T18:49:07Z</dcterms:created>
  <dcterms:modified xsi:type="dcterms:W3CDTF">2025-06-11T05:08:21Z</dcterms:modified>
</cp:coreProperties>
</file>